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https://trilliumflow-my.sharepoint.com/personal/mattia_disomma_trilliumflow_com/Documents/R&amp;D/STANDARD WORK/Rotor thrust and balance drum/"/>
    </mc:Choice>
  </mc:AlternateContent>
  <xr:revisionPtr revIDLastSave="194" documentId="13_ncr:1_{8AEBA6D8-30B5-4E3A-8811-DDF216A349BF}" xr6:coauthVersionLast="47" xr6:coauthVersionMax="47" xr10:uidLastSave="{AA2F44C2-0ECD-4B85-86E9-1E98BE915544}"/>
  <bookViews>
    <workbookView xWindow="-120" yWindow="-120" windowWidth="38640" windowHeight="21120" tabRatio="640" activeTab="6" xr2:uid="{00000000-000D-0000-FFFF-FFFF00000000}"/>
  </bookViews>
  <sheets>
    <sheet name="content" sheetId="10" r:id="rId1"/>
    <sheet name="single_suction-1" sheetId="11" r:id="rId2"/>
    <sheet name="double_suction-1" sheetId="13" r:id="rId3"/>
    <sheet name="back_to_back-1" sheetId="14" r:id="rId4"/>
    <sheet name="single_suction-2" sheetId="15" r:id="rId5"/>
    <sheet name="double_suction-2" sheetId="21" r:id="rId6"/>
    <sheet name="back_to_back-2" sheetId="20" r:id="rId7"/>
    <sheet name="impeller_type" sheetId="19" state="hidden" r:id="rId8"/>
  </sheets>
  <functionGroups builtInGroupCount="19"/>
  <definedNames>
    <definedName name="figure1">impeller_type!$A$3:$L$29</definedName>
    <definedName name="figure2">impeller_type!$A$30:$L$56</definedName>
    <definedName name="figure3">impeller_type!$A$57:$L$83</definedName>
    <definedName name="figure4">impeller_type!$A$84:$L$110</definedName>
    <definedName name="figure5">impeller_type!$N$3:$Y$29</definedName>
    <definedName name="figure6">impeller_type!$N$30:$Y$56</definedName>
    <definedName name="figure7">impeller_type!$N$57:$Y$83</definedName>
    <definedName name="figure8">impeller_type!$N$84:$Y$110</definedName>
    <definedName name="myfig1">INDIRECT(impeller_type!$A$2)</definedName>
    <definedName name="myfig2">INDIRECT(impeller_type!$N$2)</definedName>
  </definedNames>
  <calcPr calcId="191029" iterateCount="1000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5" i="14" l="1"/>
  <c r="G55" i="14"/>
  <c r="F55" i="14"/>
  <c r="E55" i="14"/>
  <c r="D55" i="14"/>
  <c r="C55" i="14"/>
  <c r="E103" i="15"/>
  <c r="E104" i="15"/>
  <c r="J40" i="11"/>
  <c r="J39" i="11"/>
  <c r="G80" i="13"/>
  <c r="F80" i="13"/>
  <c r="E80" i="13"/>
  <c r="D80" i="13"/>
  <c r="C80" i="13"/>
  <c r="H80" i="13"/>
  <c r="H78" i="13"/>
  <c r="G78" i="13"/>
  <c r="F78" i="13"/>
  <c r="E78" i="13"/>
  <c r="D78" i="13"/>
  <c r="C78" i="13"/>
  <c r="J79" i="13"/>
  <c r="J78" i="13"/>
  <c r="J86" i="14"/>
  <c r="J85" i="14"/>
  <c r="J84" i="14"/>
  <c r="J83" i="14"/>
  <c r="E133" i="20"/>
  <c r="C61" i="13"/>
  <c r="C40" i="13"/>
  <c r="C79" i="13"/>
  <c r="G72" i="13"/>
  <c r="H65" i="13"/>
  <c r="G65" i="13"/>
  <c r="F65" i="13"/>
  <c r="E65" i="13"/>
  <c r="D65" i="13"/>
  <c r="H63" i="13"/>
  <c r="H64" i="13" s="1"/>
  <c r="G63" i="13"/>
  <c r="G64" i="13" s="1"/>
  <c r="F63" i="13"/>
  <c r="E63" i="13"/>
  <c r="E64" i="13" s="1"/>
  <c r="E66" i="13" s="1"/>
  <c r="E67" i="13" s="1"/>
  <c r="D63" i="13"/>
  <c r="D64" i="13" s="1"/>
  <c r="H62" i="13"/>
  <c r="H72" i="13" s="1"/>
  <c r="G62" i="13"/>
  <c r="F62" i="13"/>
  <c r="F72" i="13" s="1"/>
  <c r="E62" i="13"/>
  <c r="E72" i="13" s="1"/>
  <c r="D62" i="13"/>
  <c r="D72" i="13" s="1"/>
  <c r="G61" i="13"/>
  <c r="F61" i="13"/>
  <c r="E61" i="13"/>
  <c r="D61" i="13"/>
  <c r="G51" i="13"/>
  <c r="E51" i="13"/>
  <c r="D51" i="13"/>
  <c r="H44" i="13"/>
  <c r="G44" i="13"/>
  <c r="F44" i="13"/>
  <c r="E44" i="13"/>
  <c r="D44" i="13"/>
  <c r="H42" i="13"/>
  <c r="H43" i="13" s="1"/>
  <c r="H47" i="13" s="1"/>
  <c r="H48" i="13" s="1"/>
  <c r="G42" i="13"/>
  <c r="F42" i="13"/>
  <c r="F43" i="13" s="1"/>
  <c r="E42" i="13"/>
  <c r="E43" i="13" s="1"/>
  <c r="E45" i="13" s="1"/>
  <c r="E46" i="13" s="1"/>
  <c r="D42" i="13"/>
  <c r="D43" i="13" s="1"/>
  <c r="H41" i="13"/>
  <c r="H51" i="13" s="1"/>
  <c r="G41" i="13"/>
  <c r="F41" i="13"/>
  <c r="F51" i="13" s="1"/>
  <c r="E41" i="13"/>
  <c r="D41" i="13"/>
  <c r="H29" i="13"/>
  <c r="H30" i="13" s="1"/>
  <c r="H32" i="13" s="1"/>
  <c r="E29" i="13"/>
  <c r="E30" i="13" s="1"/>
  <c r="E32" i="13" s="1"/>
  <c r="H28" i="13"/>
  <c r="G28" i="13"/>
  <c r="G29" i="13" s="1"/>
  <c r="F28" i="13"/>
  <c r="F29" i="13" s="1"/>
  <c r="E28" i="13"/>
  <c r="D28" i="13"/>
  <c r="D29" i="13" s="1"/>
  <c r="H27" i="13"/>
  <c r="G27" i="13"/>
  <c r="F27" i="13"/>
  <c r="E27" i="13"/>
  <c r="D27" i="13"/>
  <c r="D92" i="11"/>
  <c r="E92" i="11"/>
  <c r="F92" i="11"/>
  <c r="G92" i="11"/>
  <c r="H92" i="11"/>
  <c r="H102" i="11"/>
  <c r="J82" i="14"/>
  <c r="J87" i="14"/>
  <c r="J79" i="14"/>
  <c r="J78" i="14"/>
  <c r="J77" i="14"/>
  <c r="J76" i="14"/>
  <c r="J56" i="14"/>
  <c r="J55" i="14"/>
  <c r="J54" i="14"/>
  <c r="J53" i="14"/>
  <c r="J30" i="14"/>
  <c r="J29" i="14"/>
  <c r="J28" i="14"/>
  <c r="J17" i="14"/>
  <c r="J16" i="14"/>
  <c r="J15" i="14"/>
  <c r="J14" i="14"/>
  <c r="J13" i="14"/>
  <c r="J12" i="14"/>
  <c r="J11" i="14"/>
  <c r="J10" i="14"/>
  <c r="H39" i="14"/>
  <c r="G39" i="14"/>
  <c r="F39" i="14"/>
  <c r="E39" i="14"/>
  <c r="D63" i="14"/>
  <c r="E63" i="14"/>
  <c r="J9" i="14"/>
  <c r="J9" i="13"/>
  <c r="J75" i="13"/>
  <c r="J54" i="13"/>
  <c r="J16" i="13"/>
  <c r="J15" i="13"/>
  <c r="J14" i="13"/>
  <c r="J13" i="13"/>
  <c r="J12" i="13"/>
  <c r="J11" i="13"/>
  <c r="J89" i="11"/>
  <c r="J65" i="11"/>
  <c r="J36" i="11"/>
  <c r="J35" i="11"/>
  <c r="J31" i="11"/>
  <c r="J30" i="11"/>
  <c r="J16" i="11"/>
  <c r="J15" i="11"/>
  <c r="J14" i="11"/>
  <c r="J13" i="11"/>
  <c r="J12" i="11"/>
  <c r="J11" i="11"/>
  <c r="J10" i="11"/>
  <c r="J9" i="11"/>
  <c r="H69" i="14"/>
  <c r="H67" i="14"/>
  <c r="H66" i="14"/>
  <c r="H63" i="14"/>
  <c r="H46" i="14"/>
  <c r="H44" i="14"/>
  <c r="H43" i="14"/>
  <c r="H31" i="14"/>
  <c r="H32" i="14" s="1"/>
  <c r="H40" i="14" s="1"/>
  <c r="H30" i="14"/>
  <c r="H86" i="14" s="1"/>
  <c r="H29" i="14"/>
  <c r="H28" i="14"/>
  <c r="G69" i="14"/>
  <c r="G67" i="14"/>
  <c r="G66" i="14"/>
  <c r="G63" i="14"/>
  <c r="G46" i="14"/>
  <c r="G44" i="14"/>
  <c r="G43" i="14"/>
  <c r="G31" i="14"/>
  <c r="G32" i="14" s="1"/>
  <c r="G64" i="14" s="1"/>
  <c r="G65" i="14" s="1"/>
  <c r="G82" i="14" s="1"/>
  <c r="G30" i="14"/>
  <c r="G86" i="14" s="1"/>
  <c r="G29" i="14"/>
  <c r="G28" i="14"/>
  <c r="F86" i="14"/>
  <c r="F69" i="14"/>
  <c r="F67" i="14"/>
  <c r="F66" i="14"/>
  <c r="F63" i="14"/>
  <c r="F46" i="14"/>
  <c r="F44" i="14"/>
  <c r="F43" i="14"/>
  <c r="F31" i="14"/>
  <c r="F32" i="14" s="1"/>
  <c r="F40" i="14" s="1"/>
  <c r="F30" i="14"/>
  <c r="F29" i="14"/>
  <c r="F28" i="14"/>
  <c r="E69" i="14"/>
  <c r="E67" i="14"/>
  <c r="E66" i="14"/>
  <c r="E46" i="14"/>
  <c r="E44" i="14"/>
  <c r="E43" i="14"/>
  <c r="E31" i="14"/>
  <c r="E32" i="14" s="1"/>
  <c r="E40" i="14" s="1"/>
  <c r="E30" i="14"/>
  <c r="E86" i="14" s="1"/>
  <c r="E29" i="14"/>
  <c r="E28" i="14"/>
  <c r="D69" i="14"/>
  <c r="D67" i="14"/>
  <c r="D66" i="14"/>
  <c r="D46" i="14"/>
  <c r="D44" i="14"/>
  <c r="D43" i="14"/>
  <c r="D31" i="14"/>
  <c r="D32" i="14" s="1"/>
  <c r="D30" i="14"/>
  <c r="D86" i="14" s="1"/>
  <c r="D29" i="14"/>
  <c r="D28" i="14"/>
  <c r="E10" i="13"/>
  <c r="F10" i="13" s="1"/>
  <c r="H40" i="13"/>
  <c r="J27" i="13"/>
  <c r="G40" i="13"/>
  <c r="F40" i="13"/>
  <c r="E40" i="13"/>
  <c r="D40" i="13"/>
  <c r="H105" i="11"/>
  <c r="D102" i="11"/>
  <c r="E102" i="11"/>
  <c r="F102" i="11"/>
  <c r="G102" i="11"/>
  <c r="C102" i="11"/>
  <c r="H103" i="11"/>
  <c r="D37" i="11"/>
  <c r="H40" i="11"/>
  <c r="G40" i="11"/>
  <c r="F40" i="11"/>
  <c r="E40" i="11"/>
  <c r="D40" i="11"/>
  <c r="C40" i="11"/>
  <c r="F49" i="11"/>
  <c r="D49" i="11"/>
  <c r="C71" i="11"/>
  <c r="C44" i="20"/>
  <c r="C42" i="20"/>
  <c r="C29" i="14"/>
  <c r="C30" i="14"/>
  <c r="H85" i="11" a="1"/>
  <c r="H85" i="11" s="1"/>
  <c r="H76" i="11"/>
  <c r="H72" i="11"/>
  <c r="H71" i="11"/>
  <c r="H53" i="11"/>
  <c r="H49" i="11"/>
  <c r="H39" i="11"/>
  <c r="H35" i="11"/>
  <c r="H36" i="11" s="1"/>
  <c r="H24" i="11"/>
  <c r="H55" i="11" s="1"/>
  <c r="F85" i="11" a="1"/>
  <c r="F85" i="11" s="1"/>
  <c r="F76" i="11"/>
  <c r="F72" i="11"/>
  <c r="F105" i="11" s="1"/>
  <c r="F71" i="11"/>
  <c r="F53" i="11"/>
  <c r="F39" i="11"/>
  <c r="F35" i="11"/>
  <c r="F36" i="11" s="1"/>
  <c r="F24" i="11"/>
  <c r="F78" i="11" s="1"/>
  <c r="E85" i="11" a="1"/>
  <c r="E85" i="11" s="1"/>
  <c r="E76" i="11"/>
  <c r="E72" i="11"/>
  <c r="E105" i="11" s="1"/>
  <c r="E71" i="11"/>
  <c r="E53" i="11"/>
  <c r="E39" i="11"/>
  <c r="E35" i="11"/>
  <c r="E36" i="11" s="1"/>
  <c r="E24" i="11"/>
  <c r="E78" i="11" s="1"/>
  <c r="D85" i="11" a="1"/>
  <c r="D85" i="11" s="1"/>
  <c r="D76" i="11"/>
  <c r="D72" i="11"/>
  <c r="D105" i="11" s="1"/>
  <c r="D53" i="11"/>
  <c r="D39" i="11"/>
  <c r="D35" i="11"/>
  <c r="D36" i="11" s="1"/>
  <c r="D24" i="11"/>
  <c r="D78" i="11" s="1"/>
  <c r="G85" i="11" a="1"/>
  <c r="G85" i="11" s="1"/>
  <c r="G76" i="11"/>
  <c r="G72" i="11"/>
  <c r="G105" i="11" s="1"/>
  <c r="G71" i="11"/>
  <c r="G53" i="11"/>
  <c r="G49" i="11"/>
  <c r="G39" i="11"/>
  <c r="G35" i="11"/>
  <c r="G36" i="11" s="1"/>
  <c r="G24" i="11"/>
  <c r="G78" i="11" s="1"/>
  <c r="C104" i="15"/>
  <c r="C102" i="15"/>
  <c r="C77" i="15"/>
  <c r="E47" i="15"/>
  <c r="C101" i="15"/>
  <c r="C85" i="11" a="1"/>
  <c r="C85" i="11" s="1"/>
  <c r="C69" i="14"/>
  <c r="C67" i="14"/>
  <c r="C68" i="14" s="1"/>
  <c r="C46" i="14"/>
  <c r="C44" i="14"/>
  <c r="C45" i="14" s="1"/>
  <c r="C47" i="14" s="1"/>
  <c r="N2" i="19" a="1"/>
  <c r="N2" i="19" s="1"/>
  <c r="A2" i="19" a="1"/>
  <c r="A2" i="19" s="1"/>
  <c r="C39" i="11"/>
  <c r="C63" i="13"/>
  <c r="C64" i="13" s="1"/>
  <c r="C65" i="13"/>
  <c r="C44" i="13"/>
  <c r="C42" i="13"/>
  <c r="C76" i="11"/>
  <c r="E68" i="13" l="1"/>
  <c r="E69" i="13" s="1"/>
  <c r="G68" i="13"/>
  <c r="G69" i="13" s="1"/>
  <c r="G66" i="13"/>
  <c r="G67" i="13" s="1"/>
  <c r="G70" i="13" s="1"/>
  <c r="G73" i="13" s="1"/>
  <c r="D68" i="13"/>
  <c r="D69" i="13" s="1"/>
  <c r="H66" i="13"/>
  <c r="H67" i="13" s="1"/>
  <c r="H70" i="13" s="1"/>
  <c r="H73" i="13" s="1"/>
  <c r="H68" i="13"/>
  <c r="H69" i="13" s="1"/>
  <c r="D66" i="13"/>
  <c r="D67" i="13" s="1"/>
  <c r="D70" i="13" s="1"/>
  <c r="D73" i="13" s="1"/>
  <c r="E70" i="13"/>
  <c r="E73" i="13" s="1"/>
  <c r="F64" i="13"/>
  <c r="F68" i="13" s="1"/>
  <c r="F69" i="13" s="1"/>
  <c r="D45" i="13"/>
  <c r="D46" i="13" s="1"/>
  <c r="D49" i="13" s="1"/>
  <c r="D52" i="13" s="1"/>
  <c r="D47" i="13"/>
  <c r="D48" i="13" s="1"/>
  <c r="F45" i="13"/>
  <c r="F46" i="13" s="1"/>
  <c r="F49" i="13" s="1"/>
  <c r="F52" i="13" s="1"/>
  <c r="F47" i="13"/>
  <c r="F48" i="13" s="1"/>
  <c r="H45" i="13"/>
  <c r="H46" i="13" s="1"/>
  <c r="H49" i="13" s="1"/>
  <c r="H52" i="13" s="1"/>
  <c r="E49" i="13"/>
  <c r="E52" i="13" s="1"/>
  <c r="G43" i="13"/>
  <c r="E47" i="13"/>
  <c r="E48" i="13" s="1"/>
  <c r="D30" i="13"/>
  <c r="D32" i="13" s="1"/>
  <c r="D31" i="13"/>
  <c r="D33" i="13" s="1"/>
  <c r="F31" i="13"/>
  <c r="F33" i="13" s="1"/>
  <c r="F30" i="13"/>
  <c r="F32" i="13" s="1"/>
  <c r="G30" i="13"/>
  <c r="G32" i="13" s="1"/>
  <c r="G31" i="13"/>
  <c r="G33" i="13" s="1"/>
  <c r="H31" i="13"/>
  <c r="H33" i="13" s="1"/>
  <c r="E31" i="13"/>
  <c r="E33" i="13" s="1"/>
  <c r="E79" i="13"/>
  <c r="G78" i="14"/>
  <c r="H41" i="14"/>
  <c r="H54" i="14" s="1"/>
  <c r="H42" i="14"/>
  <c r="H84" i="14" s="1"/>
  <c r="H68" i="14"/>
  <c r="H45" i="14"/>
  <c r="H64" i="14"/>
  <c r="H65" i="14" s="1"/>
  <c r="H82" i="14" s="1"/>
  <c r="G83" i="14"/>
  <c r="G77" i="14"/>
  <c r="G68" i="14"/>
  <c r="G40" i="14"/>
  <c r="G45" i="14"/>
  <c r="G49" i="14" s="1"/>
  <c r="G50" i="14" s="1"/>
  <c r="F41" i="14"/>
  <c r="F42" i="14"/>
  <c r="F84" i="14" s="1"/>
  <c r="F77" i="14"/>
  <c r="F85" i="14"/>
  <c r="F54" i="14"/>
  <c r="F68" i="14"/>
  <c r="F45" i="14"/>
  <c r="F49" i="14" s="1"/>
  <c r="F50" i="14" s="1"/>
  <c r="F64" i="14"/>
  <c r="F65" i="14" s="1"/>
  <c r="F78" i="14" s="1"/>
  <c r="E41" i="14"/>
  <c r="E54" i="14" s="1"/>
  <c r="E42" i="14"/>
  <c r="E84" i="14" s="1"/>
  <c r="E68" i="14"/>
  <c r="E45" i="14"/>
  <c r="E49" i="14" s="1"/>
  <c r="E50" i="14" s="1"/>
  <c r="E64" i="14"/>
  <c r="E65" i="14" s="1"/>
  <c r="E82" i="14" s="1"/>
  <c r="D64" i="14"/>
  <c r="D65" i="14" s="1"/>
  <c r="D82" i="14" s="1"/>
  <c r="D40" i="14"/>
  <c r="D68" i="14"/>
  <c r="D83" i="14"/>
  <c r="D45" i="14"/>
  <c r="G10" i="13"/>
  <c r="G103" i="11"/>
  <c r="F103" i="11"/>
  <c r="E103" i="11"/>
  <c r="D103" i="11"/>
  <c r="D100" i="11"/>
  <c r="E10" i="11"/>
  <c r="E93" i="11" s="1"/>
  <c r="D75" i="11"/>
  <c r="D52" i="11"/>
  <c r="E54" i="11"/>
  <c r="E58" i="11" s="1"/>
  <c r="D38" i="11"/>
  <c r="D50" i="11" s="1"/>
  <c r="D51" i="11" s="1"/>
  <c r="E55" i="11"/>
  <c r="E77" i="11"/>
  <c r="E79" i="11" s="1"/>
  <c r="E80" i="11" s="1"/>
  <c r="F54" i="11"/>
  <c r="F58" i="11" s="1"/>
  <c r="H77" i="11"/>
  <c r="H79" i="11" s="1"/>
  <c r="D54" i="11"/>
  <c r="D56" i="11" s="1"/>
  <c r="D55" i="11"/>
  <c r="F55" i="11"/>
  <c r="H54" i="11"/>
  <c r="H58" i="11" s="1"/>
  <c r="H59" i="11" s="1"/>
  <c r="H60" i="11" s="1"/>
  <c r="H63" i="11" s="1"/>
  <c r="H64" i="11" s="1"/>
  <c r="H104" i="11"/>
  <c r="H78" i="11"/>
  <c r="F77" i="11"/>
  <c r="F104" i="11"/>
  <c r="E104" i="11"/>
  <c r="E101" i="11"/>
  <c r="D94" i="11"/>
  <c r="D77" i="11"/>
  <c r="D81" i="11" s="1"/>
  <c r="D82" i="11" s="1"/>
  <c r="D104" i="11"/>
  <c r="D101" i="11"/>
  <c r="D93" i="11"/>
  <c r="G54" i="11"/>
  <c r="G58" i="11" s="1"/>
  <c r="G55" i="11"/>
  <c r="G104" i="11"/>
  <c r="G77" i="11"/>
  <c r="C43" i="13"/>
  <c r="C45" i="13" s="1"/>
  <c r="C46" i="13" s="1"/>
  <c r="C49" i="13" s="1"/>
  <c r="C52" i="13" s="1"/>
  <c r="C72" i="14"/>
  <c r="C73" i="14" s="1"/>
  <c r="C70" i="14"/>
  <c r="C71" i="14" s="1"/>
  <c r="C48" i="14"/>
  <c r="C49" i="14"/>
  <c r="C66" i="13"/>
  <c r="C67" i="13" s="1"/>
  <c r="C68" i="13"/>
  <c r="C69" i="13" s="1"/>
  <c r="C53" i="11"/>
  <c r="D71" i="13" l="1"/>
  <c r="D74" i="13"/>
  <c r="E71" i="13"/>
  <c r="E74" i="13"/>
  <c r="F66" i="13"/>
  <c r="F67" i="13" s="1"/>
  <c r="F70" i="13" s="1"/>
  <c r="F73" i="13" s="1"/>
  <c r="H74" i="13"/>
  <c r="H71" i="13"/>
  <c r="G74" i="13"/>
  <c r="G71" i="13"/>
  <c r="H53" i="13"/>
  <c r="H50" i="13"/>
  <c r="J52" i="13"/>
  <c r="D50" i="13"/>
  <c r="D53" i="13"/>
  <c r="G47" i="13"/>
  <c r="G48" i="13" s="1"/>
  <c r="G45" i="13"/>
  <c r="G46" i="13" s="1"/>
  <c r="G49" i="13" s="1"/>
  <c r="G52" i="13" s="1"/>
  <c r="E50" i="13"/>
  <c r="E53" i="13"/>
  <c r="F53" i="13"/>
  <c r="F50" i="13"/>
  <c r="F79" i="13"/>
  <c r="D79" i="13"/>
  <c r="H85" i="14"/>
  <c r="H78" i="14"/>
  <c r="E85" i="14"/>
  <c r="H47" i="14"/>
  <c r="H48" i="14" s="1"/>
  <c r="H49" i="14"/>
  <c r="H50" i="14" s="1"/>
  <c r="H51" i="14" s="1"/>
  <c r="H53" i="14" s="1"/>
  <c r="H52" i="14" s="1"/>
  <c r="H72" i="14"/>
  <c r="H73" i="14" s="1"/>
  <c r="H70" i="14"/>
  <c r="H71" i="14" s="1"/>
  <c r="H74" i="14" s="1"/>
  <c r="H76" i="14" s="1"/>
  <c r="H77" i="14"/>
  <c r="H83" i="14"/>
  <c r="H87" i="14" s="1"/>
  <c r="G72" i="14"/>
  <c r="G73" i="14" s="1"/>
  <c r="G70" i="14"/>
  <c r="G71" i="14" s="1"/>
  <c r="G74" i="14" s="1"/>
  <c r="G76" i="14" s="1"/>
  <c r="G75" i="14" s="1"/>
  <c r="G47" i="14"/>
  <c r="G48" i="14" s="1"/>
  <c r="G51" i="14"/>
  <c r="G53" i="14" s="1"/>
  <c r="G41" i="14"/>
  <c r="G42" i="14"/>
  <c r="G84" i="14" s="1"/>
  <c r="F82" i="14"/>
  <c r="F72" i="14"/>
  <c r="F73" i="14" s="1"/>
  <c r="F70" i="14"/>
  <c r="F71" i="14" s="1"/>
  <c r="F74" i="14" s="1"/>
  <c r="F76" i="14" s="1"/>
  <c r="F75" i="14" s="1"/>
  <c r="F83" i="14"/>
  <c r="F47" i="14"/>
  <c r="F48" i="14" s="1"/>
  <c r="F51" i="14"/>
  <c r="F53" i="14" s="1"/>
  <c r="E47" i="14"/>
  <c r="E48" i="14" s="1"/>
  <c r="E51" i="14"/>
  <c r="E53" i="14" s="1"/>
  <c r="E52" i="14" s="1"/>
  <c r="E83" i="14"/>
  <c r="E72" i="14"/>
  <c r="E73" i="14" s="1"/>
  <c r="E70" i="14"/>
  <c r="E71" i="14" s="1"/>
  <c r="E74" i="14" s="1"/>
  <c r="E76" i="14" s="1"/>
  <c r="E78" i="14"/>
  <c r="E77" i="14"/>
  <c r="D78" i="14"/>
  <c r="D47" i="14"/>
  <c r="D48" i="14" s="1"/>
  <c r="D49" i="14"/>
  <c r="D50" i="14" s="1"/>
  <c r="D51" i="14" s="1"/>
  <c r="D53" i="14" s="1"/>
  <c r="D41" i="14"/>
  <c r="D42" i="14"/>
  <c r="D84" i="14" s="1"/>
  <c r="D72" i="14"/>
  <c r="D73" i="14" s="1"/>
  <c r="D70" i="14"/>
  <c r="D71" i="14" s="1"/>
  <c r="D74" i="14" s="1"/>
  <c r="D76" i="14" s="1"/>
  <c r="D77" i="14"/>
  <c r="E75" i="11"/>
  <c r="E37" i="11"/>
  <c r="E38" i="11" s="1"/>
  <c r="E73" i="11" s="1"/>
  <c r="E74" i="11" s="1"/>
  <c r="E42" i="11" s="1"/>
  <c r="E100" i="11"/>
  <c r="E94" i="11"/>
  <c r="H10" i="13"/>
  <c r="F59" i="11"/>
  <c r="F60" i="11" s="1"/>
  <c r="F63" i="11" s="1"/>
  <c r="H81" i="11"/>
  <c r="H82" i="11" s="1"/>
  <c r="H83" i="11" s="1"/>
  <c r="H87" i="11" s="1"/>
  <c r="F56" i="11"/>
  <c r="F57" i="11" s="1"/>
  <c r="E56" i="11"/>
  <c r="E57" i="11" s="1"/>
  <c r="D62" i="11"/>
  <c r="F10" i="11"/>
  <c r="E52" i="11"/>
  <c r="D58" i="11"/>
  <c r="D59" i="11" s="1"/>
  <c r="D60" i="11" s="1"/>
  <c r="D63" i="11" s="1"/>
  <c r="E81" i="11"/>
  <c r="E82" i="11" s="1"/>
  <c r="E83" i="11" s="1"/>
  <c r="E87" i="11" s="1"/>
  <c r="E88" i="11" s="1"/>
  <c r="E50" i="11"/>
  <c r="E51" i="11" s="1"/>
  <c r="D73" i="11"/>
  <c r="D74" i="11" s="1"/>
  <c r="D42" i="11" s="1"/>
  <c r="D41" i="11"/>
  <c r="E59" i="11"/>
  <c r="E60" i="11" s="1"/>
  <c r="E63" i="11" s="1"/>
  <c r="E64" i="11" s="1"/>
  <c r="H56" i="11"/>
  <c r="H57" i="11" s="1"/>
  <c r="G56" i="11"/>
  <c r="G57" i="11" s="1"/>
  <c r="D57" i="11"/>
  <c r="H80" i="11"/>
  <c r="F79" i="11"/>
  <c r="F80" i="11" s="1"/>
  <c r="F81" i="11"/>
  <c r="F82" i="11" s="1"/>
  <c r="F83" i="11" s="1"/>
  <c r="F87" i="11" s="1"/>
  <c r="J87" i="11" s="1"/>
  <c r="D83" i="11"/>
  <c r="D87" i="11" s="1"/>
  <c r="D79" i="11"/>
  <c r="D80" i="11" s="1"/>
  <c r="G59" i="11"/>
  <c r="G60" i="11" s="1"/>
  <c r="G63" i="11" s="1"/>
  <c r="G64" i="11" s="1"/>
  <c r="G79" i="11"/>
  <c r="G80" i="11" s="1"/>
  <c r="G81" i="11"/>
  <c r="G82" i="11" s="1"/>
  <c r="G83" i="11" s="1"/>
  <c r="G87" i="11" s="1"/>
  <c r="C47" i="13"/>
  <c r="C48" i="13" s="1"/>
  <c r="C70" i="13"/>
  <c r="C73" i="13" s="1"/>
  <c r="J73" i="13" s="1"/>
  <c r="C53" i="13"/>
  <c r="C74" i="14"/>
  <c r="C76" i="14" s="1"/>
  <c r="C50" i="14"/>
  <c r="C51" i="14" s="1"/>
  <c r="C50" i="15"/>
  <c r="C111" i="20"/>
  <c r="C85" i="20"/>
  <c r="C57" i="20"/>
  <c r="C46" i="20"/>
  <c r="C76" i="21"/>
  <c r="C50" i="21"/>
  <c r="C39" i="21"/>
  <c r="C80" i="15"/>
  <c r="C53" i="15"/>
  <c r="C24" i="11"/>
  <c r="F64" i="11" l="1"/>
  <c r="J64" i="11" s="1"/>
  <c r="J63" i="11"/>
  <c r="J53" i="13"/>
  <c r="F74" i="13"/>
  <c r="F71" i="13"/>
  <c r="G53" i="13"/>
  <c r="G50" i="13"/>
  <c r="J10" i="13"/>
  <c r="F87" i="14"/>
  <c r="F52" i="14"/>
  <c r="E87" i="14"/>
  <c r="H75" i="14"/>
  <c r="G85" i="14"/>
  <c r="G87" i="14" s="1"/>
  <c r="G54" i="14"/>
  <c r="E75" i="14"/>
  <c r="D54" i="14"/>
  <c r="D85" i="14"/>
  <c r="D87" i="14" s="1"/>
  <c r="D75" i="14"/>
  <c r="D86" i="11"/>
  <c r="D84" i="11" s="1"/>
  <c r="E62" i="11"/>
  <c r="E61" i="11" s="1"/>
  <c r="E86" i="11"/>
  <c r="E84" i="11" s="1"/>
  <c r="E41" i="11"/>
  <c r="E43" i="11" s="1"/>
  <c r="F52" i="11"/>
  <c r="F94" i="11"/>
  <c r="F93" i="11"/>
  <c r="F37" i="11"/>
  <c r="F38" i="11" s="1"/>
  <c r="F50" i="11" s="1"/>
  <c r="F51" i="11" s="1"/>
  <c r="F100" i="11"/>
  <c r="F101" i="11"/>
  <c r="F75" i="11"/>
  <c r="G10" i="11"/>
  <c r="D64" i="11"/>
  <c r="D43" i="11"/>
  <c r="D61" i="11"/>
  <c r="H88" i="11"/>
  <c r="F88" i="11"/>
  <c r="J88" i="11" s="1"/>
  <c r="D88" i="11"/>
  <c r="G88" i="11"/>
  <c r="C74" i="13"/>
  <c r="J74" i="13" s="1"/>
  <c r="C77" i="11"/>
  <c r="C79" i="11" s="1"/>
  <c r="C53" i="14"/>
  <c r="C55" i="11"/>
  <c r="C78" i="11"/>
  <c r="C54" i="11"/>
  <c r="C58" i="11" s="1"/>
  <c r="G79" i="13" l="1"/>
  <c r="G52" i="14"/>
  <c r="D52" i="14"/>
  <c r="G101" i="11"/>
  <c r="G94" i="11"/>
  <c r="G93" i="11"/>
  <c r="G100" i="11"/>
  <c r="H10" i="11"/>
  <c r="G75" i="11"/>
  <c r="G37" i="11"/>
  <c r="G38" i="11" s="1"/>
  <c r="G52" i="11"/>
  <c r="F73" i="11"/>
  <c r="F74" i="11" s="1"/>
  <c r="F86" i="11"/>
  <c r="F84" i="11" s="1"/>
  <c r="F42" i="11"/>
  <c r="F62" i="11"/>
  <c r="F61" i="11" s="1"/>
  <c r="F41" i="11"/>
  <c r="C56" i="11"/>
  <c r="C57" i="11" s="1"/>
  <c r="C59" i="11"/>
  <c r="C60" i="11" s="1"/>
  <c r="C63" i="11" s="1"/>
  <c r="J80" i="13" l="1"/>
  <c r="H79" i="13"/>
  <c r="H101" i="11"/>
  <c r="H100" i="11"/>
  <c r="H94" i="11"/>
  <c r="H37" i="11"/>
  <c r="H38" i="11" s="1"/>
  <c r="H52" i="11"/>
  <c r="H93" i="11"/>
  <c r="H75" i="11"/>
  <c r="G50" i="11"/>
  <c r="G51" i="11" s="1"/>
  <c r="G73" i="11"/>
  <c r="G74" i="11" s="1"/>
  <c r="F43" i="11"/>
  <c r="C64" i="11"/>
  <c r="C107" i="20"/>
  <c r="C81" i="20"/>
  <c r="C53" i="20"/>
  <c r="C72" i="21"/>
  <c r="C46" i="21"/>
  <c r="G41" i="11" l="1"/>
  <c r="G62" i="11"/>
  <c r="G61" i="11" s="1"/>
  <c r="G42" i="11"/>
  <c r="G43" i="11" s="1"/>
  <c r="G86" i="11"/>
  <c r="G84" i="11" s="1"/>
  <c r="H50" i="11"/>
  <c r="H51" i="11" s="1"/>
  <c r="H73" i="11"/>
  <c r="H74" i="11" s="1"/>
  <c r="H86" i="11" s="1"/>
  <c r="H84" i="11" s="1"/>
  <c r="C72" i="11"/>
  <c r="C47" i="21"/>
  <c r="C70" i="15"/>
  <c r="B92" i="15" s="1"/>
  <c r="C78" i="15"/>
  <c r="C79" i="15" s="1"/>
  <c r="C51" i="15"/>
  <c r="C52" i="15" s="1"/>
  <c r="E73" i="15"/>
  <c r="C97" i="15"/>
  <c r="C98" i="15" s="1"/>
  <c r="E98" i="15" s="1"/>
  <c r="C99" i="15"/>
  <c r="C88" i="15"/>
  <c r="C55" i="20"/>
  <c r="C56" i="20" s="1"/>
  <c r="C45" i="20"/>
  <c r="C69" i="20" s="1"/>
  <c r="E94" i="20"/>
  <c r="C43" i="20"/>
  <c r="E43" i="20" s="1"/>
  <c r="C95" i="20"/>
  <c r="C82" i="20"/>
  <c r="E71" i="20"/>
  <c r="C61" i="15"/>
  <c r="C75" i="11"/>
  <c r="C35" i="11"/>
  <c r="C37" i="11"/>
  <c r="C38" i="11" s="1"/>
  <c r="C52" i="11"/>
  <c r="M13" i="11"/>
  <c r="C86" i="14"/>
  <c r="E120" i="20"/>
  <c r="E44" i="20"/>
  <c r="C121" i="20"/>
  <c r="C108" i="20"/>
  <c r="E66" i="20"/>
  <c r="C68" i="20"/>
  <c r="C54" i="20"/>
  <c r="C133" i="20"/>
  <c r="C31" i="14"/>
  <c r="C32" i="14" s="1"/>
  <c r="C40" i="14" s="1"/>
  <c r="C38" i="21"/>
  <c r="C87" i="21" s="1"/>
  <c r="C86" i="21"/>
  <c r="C73" i="21"/>
  <c r="E85" i="21"/>
  <c r="C37" i="21"/>
  <c r="E37" i="21" s="1"/>
  <c r="C60" i="21"/>
  <c r="E59" i="21"/>
  <c r="C103" i="15"/>
  <c r="C66" i="14"/>
  <c r="C43" i="14"/>
  <c r="C83" i="20"/>
  <c r="C28" i="14"/>
  <c r="C27" i="13"/>
  <c r="C74" i="21"/>
  <c r="C75" i="21" s="1"/>
  <c r="C48" i="21"/>
  <c r="C49" i="21" s="1"/>
  <c r="E89" i="21"/>
  <c r="E63" i="21"/>
  <c r="E15" i="21"/>
  <c r="E14" i="21"/>
  <c r="E13" i="21"/>
  <c r="E12" i="21"/>
  <c r="E11" i="21"/>
  <c r="E10" i="21"/>
  <c r="E9" i="21"/>
  <c r="C109" i="20"/>
  <c r="E124" i="20"/>
  <c r="E98" i="20"/>
  <c r="E16" i="20"/>
  <c r="E15" i="20"/>
  <c r="E14" i="20"/>
  <c r="E13" i="20"/>
  <c r="E12" i="20"/>
  <c r="E97" i="15"/>
  <c r="E93" i="15"/>
  <c r="E11" i="20"/>
  <c r="E10" i="20"/>
  <c r="E9" i="20"/>
  <c r="E38" i="15"/>
  <c r="E66" i="15"/>
  <c r="C41" i="13"/>
  <c r="C62" i="13"/>
  <c r="C28" i="13"/>
  <c r="E39" i="15"/>
  <c r="E15" i="15"/>
  <c r="E14" i="15"/>
  <c r="E13" i="15"/>
  <c r="E12" i="15"/>
  <c r="E11" i="15"/>
  <c r="E10" i="15"/>
  <c r="E9" i="15"/>
  <c r="C90" i="21" a="1"/>
  <c r="C63" i="15" l="1"/>
  <c r="C90" i="15"/>
  <c r="C105" i="11"/>
  <c r="C103" i="11"/>
  <c r="H41" i="11"/>
  <c r="H62" i="11"/>
  <c r="H61" i="11" s="1"/>
  <c r="H42" i="11"/>
  <c r="M14" i="11"/>
  <c r="M15" i="11" s="1"/>
  <c r="M16" i="11" s="1"/>
  <c r="M17" i="11" s="1"/>
  <c r="M18" i="11" s="1"/>
  <c r="M19" i="11" s="1"/>
  <c r="M20" i="11" s="1"/>
  <c r="M21" i="11" s="1"/>
  <c r="M22" i="11" s="1"/>
  <c r="M23" i="11" s="1"/>
  <c r="M24" i="11" s="1"/>
  <c r="M25" i="11" s="1"/>
  <c r="M26" i="11" s="1"/>
  <c r="M27" i="11" s="1"/>
  <c r="M28" i="11" s="1"/>
  <c r="M29" i="11" s="1"/>
  <c r="M30" i="11" s="1"/>
  <c r="M31" i="11" s="1"/>
  <c r="M32" i="11" s="1"/>
  <c r="M33" i="11" s="1"/>
  <c r="M34" i="11" s="1"/>
  <c r="M35" i="11" s="1"/>
  <c r="M36" i="11" s="1"/>
  <c r="M37" i="11" s="1"/>
  <c r="M38" i="11" s="1"/>
  <c r="M39" i="11" s="1"/>
  <c r="M40" i="11" s="1"/>
  <c r="M41" i="11" s="1"/>
  <c r="M42" i="11" s="1"/>
  <c r="M43" i="11" s="1"/>
  <c r="M44" i="11" s="1"/>
  <c r="M45" i="11" s="1"/>
  <c r="M46" i="11" s="1"/>
  <c r="M47" i="11" s="1"/>
  <c r="M48" i="11" s="1"/>
  <c r="C90" i="21"/>
  <c r="D87" i="15"/>
  <c r="D92" i="15" s="1"/>
  <c r="I85" i="11"/>
  <c r="C29" i="13"/>
  <c r="C31" i="13" s="1"/>
  <c r="C33" i="13" s="1"/>
  <c r="C36" i="11"/>
  <c r="C110" i="20"/>
  <c r="C112" i="20" s="1"/>
  <c r="C113" i="20" s="1"/>
  <c r="C84" i="20"/>
  <c r="C88" i="20" s="1"/>
  <c r="C89" i="20" s="1"/>
  <c r="C41" i="14"/>
  <c r="C54" i="14" s="1"/>
  <c r="C42" i="14"/>
  <c r="C84" i="14" s="1"/>
  <c r="C64" i="14"/>
  <c r="C65" i="14" s="1"/>
  <c r="C82" i="14" s="1"/>
  <c r="C122" i="20"/>
  <c r="C96" i="20"/>
  <c r="E42" i="20"/>
  <c r="C51" i="21"/>
  <c r="C52" i="21" s="1"/>
  <c r="C79" i="21"/>
  <c r="C80" i="21" s="1"/>
  <c r="C61" i="21"/>
  <c r="C53" i="21"/>
  <c r="C54" i="21" s="1"/>
  <c r="C83" i="15"/>
  <c r="C84" i="15" s="1"/>
  <c r="C100" i="15"/>
  <c r="C62" i="15"/>
  <c r="C89" i="15"/>
  <c r="C54" i="15"/>
  <c r="C55" i="15" s="1"/>
  <c r="C50" i="11"/>
  <c r="C51" i="11" s="1"/>
  <c r="C73" i="11"/>
  <c r="C74" i="11" s="1"/>
  <c r="C92" i="11"/>
  <c r="S11" i="11" s="1"/>
  <c r="C94" i="11"/>
  <c r="C100" i="11"/>
  <c r="C101" i="11"/>
  <c r="C93" i="11"/>
  <c r="C104" i="11"/>
  <c r="S32" i="11" a="1"/>
  <c r="S26" i="11" a="1"/>
  <c r="C96" i="11" a="1"/>
  <c r="C65" i="15" a="1"/>
  <c r="F95" i="11" a="1"/>
  <c r="S24" i="11" a="1"/>
  <c r="S22" i="11" a="1"/>
  <c r="S23" i="11" a="1"/>
  <c r="H96" i="11" a="1"/>
  <c r="S28" i="11" a="1"/>
  <c r="C125" i="20" a="1"/>
  <c r="S35" i="11" a="1"/>
  <c r="S36" i="11" a="1"/>
  <c r="S34" i="11" a="1"/>
  <c r="S33" i="11" a="1"/>
  <c r="S20" i="11" a="1"/>
  <c r="H97" i="11" a="1"/>
  <c r="S37" i="11" a="1"/>
  <c r="S47" i="11" a="1"/>
  <c r="S27" i="11" a="1"/>
  <c r="E97" i="11" a="1"/>
  <c r="S41" i="11" a="1"/>
  <c r="S15" i="11" a="1"/>
  <c r="F97" i="11" a="1"/>
  <c r="C99" i="20" a="1"/>
  <c r="S48" i="11" a="1"/>
  <c r="S29" i="11" a="1"/>
  <c r="G96" i="11" a="1"/>
  <c r="S19" i="11" a="1"/>
  <c r="D96" i="11" a="1"/>
  <c r="S31" i="11" a="1"/>
  <c r="S25" i="11" a="1"/>
  <c r="E96" i="11" a="1"/>
  <c r="C64" i="21" a="1"/>
  <c r="S12" i="11" a="1"/>
  <c r="G95" i="11" a="1"/>
  <c r="S40" i="11" a="1"/>
  <c r="C94" i="21" a="1"/>
  <c r="G97" i="11" a="1"/>
  <c r="S42" i="11" a="1"/>
  <c r="C132" i="20" a="1"/>
  <c r="C95" i="21" a="1"/>
  <c r="S14" i="11" a="1"/>
  <c r="S38" i="11" a="1"/>
  <c r="S17" i="11" a="1"/>
  <c r="S46" i="11" a="1"/>
  <c r="S44" i="11" a="1"/>
  <c r="S45" i="11" a="1"/>
  <c r="S21" i="11" a="1"/>
  <c r="S13" i="11" a="1"/>
  <c r="H95" i="11" a="1"/>
  <c r="E95" i="11" a="1"/>
  <c r="C72" i="20" a="1"/>
  <c r="C97" i="11" a="1"/>
  <c r="S18" i="11" a="1"/>
  <c r="D95" i="11" a="1"/>
  <c r="S43" i="11" a="1"/>
  <c r="C130" i="20" a="1"/>
  <c r="S16" i="11" a="1"/>
  <c r="C67" i="15" a="1"/>
  <c r="D97" i="11" a="1"/>
  <c r="C95" i="11" a="1"/>
  <c r="F96" i="11" a="1"/>
  <c r="S30" i="11" a="1"/>
  <c r="S39" i="11" a="1"/>
  <c r="C129" i="20" a="1"/>
  <c r="C30" i="13" l="1"/>
  <c r="H43" i="11"/>
  <c r="H97" i="11"/>
  <c r="E97" i="11"/>
  <c r="G97" i="11"/>
  <c r="D97" i="11"/>
  <c r="F96" i="11"/>
  <c r="H95" i="11"/>
  <c r="E95" i="11"/>
  <c r="F97" i="11"/>
  <c r="H96" i="11"/>
  <c r="E96" i="11"/>
  <c r="G95" i="11"/>
  <c r="D95" i="11"/>
  <c r="G96" i="11"/>
  <c r="D96" i="11"/>
  <c r="F95" i="11"/>
  <c r="C95" i="11"/>
  <c r="C96" i="11"/>
  <c r="C97" i="11"/>
  <c r="C86" i="11"/>
  <c r="E90" i="21"/>
  <c r="C62" i="11"/>
  <c r="C61" i="11" s="1"/>
  <c r="C78" i="14"/>
  <c r="C77" i="14"/>
  <c r="C75" i="14" s="1"/>
  <c r="C83" i="14"/>
  <c r="C85" i="14"/>
  <c r="C32" i="13"/>
  <c r="C41" i="11"/>
  <c r="C81" i="11"/>
  <c r="C82" i="11" s="1"/>
  <c r="C80" i="11"/>
  <c r="C42" i="11"/>
  <c r="S33" i="11"/>
  <c r="S15" i="11"/>
  <c r="S29" i="11"/>
  <c r="S22" i="11"/>
  <c r="S40" i="11"/>
  <c r="S13" i="11"/>
  <c r="S47" i="11"/>
  <c r="S24" i="11"/>
  <c r="S17" i="11"/>
  <c r="S25" i="11"/>
  <c r="S32" i="11"/>
  <c r="S48" i="11"/>
  <c r="S30" i="11"/>
  <c r="S44" i="11"/>
  <c r="S26" i="11"/>
  <c r="S16" i="11"/>
  <c r="S37" i="11"/>
  <c r="S12" i="11"/>
  <c r="S34" i="11"/>
  <c r="S38" i="11"/>
  <c r="S14" i="11"/>
  <c r="S21" i="11"/>
  <c r="S46" i="11"/>
  <c r="S36" i="11"/>
  <c r="S28" i="11"/>
  <c r="S19" i="11"/>
  <c r="S45" i="11"/>
  <c r="S27" i="11"/>
  <c r="S41" i="11"/>
  <c r="S23" i="11"/>
  <c r="S20" i="11"/>
  <c r="S31" i="11"/>
  <c r="S35" i="11"/>
  <c r="S18" i="11"/>
  <c r="S43" i="11"/>
  <c r="S42" i="11"/>
  <c r="S39" i="11"/>
  <c r="C55" i="21"/>
  <c r="C56" i="21" s="1"/>
  <c r="E56" i="21" s="1"/>
  <c r="C86" i="20"/>
  <c r="C129" i="20"/>
  <c r="E129" i="20" s="1"/>
  <c r="C125" i="20"/>
  <c r="C126" i="20" s="1"/>
  <c r="C99" i="20"/>
  <c r="E99" i="20" s="1"/>
  <c r="C130" i="20"/>
  <c r="E130" i="20" s="1"/>
  <c r="C72" i="20"/>
  <c r="E72" i="20" s="1"/>
  <c r="C132" i="20"/>
  <c r="E132" i="20" s="1"/>
  <c r="C58" i="20"/>
  <c r="C59" i="20" s="1"/>
  <c r="C114" i="20"/>
  <c r="C115" i="20" s="1"/>
  <c r="C116" i="20" s="1"/>
  <c r="C117" i="20" s="1"/>
  <c r="E117" i="20" s="1"/>
  <c r="C60" i="20"/>
  <c r="C61" i="20" s="1"/>
  <c r="C77" i="21"/>
  <c r="C64" i="21"/>
  <c r="C94" i="21"/>
  <c r="E94" i="21" s="1"/>
  <c r="C95" i="21"/>
  <c r="E95" i="21" s="1"/>
  <c r="C81" i="15"/>
  <c r="C56" i="15"/>
  <c r="C57" i="15" s="1"/>
  <c r="C58" i="15" s="1"/>
  <c r="C59" i="15" s="1"/>
  <c r="E59" i="15" s="1"/>
  <c r="C65" i="15"/>
  <c r="C67" i="15"/>
  <c r="E67" i="15" s="1"/>
  <c r="C51" i="13" l="1"/>
  <c r="C50" i="13" s="1"/>
  <c r="C72" i="13"/>
  <c r="H98" i="11"/>
  <c r="H106" i="11" s="1"/>
  <c r="C52" i="14"/>
  <c r="G98" i="11"/>
  <c r="G106" i="11" s="1"/>
  <c r="D98" i="11"/>
  <c r="D106" i="11" s="1"/>
  <c r="D99" i="11"/>
  <c r="D107" i="11" s="1"/>
  <c r="F98" i="11"/>
  <c r="E98" i="11"/>
  <c r="E106" i="11" s="1"/>
  <c r="E99" i="11"/>
  <c r="E107" i="11" s="1"/>
  <c r="G99" i="11"/>
  <c r="G107" i="11" s="1"/>
  <c r="C71" i="13"/>
  <c r="C43" i="11"/>
  <c r="C87" i="14"/>
  <c r="C83" i="11"/>
  <c r="C87" i="11" s="1"/>
  <c r="C90" i="20"/>
  <c r="C91" i="20" s="1"/>
  <c r="E91" i="20" s="1"/>
  <c r="C87" i="20"/>
  <c r="C81" i="21"/>
  <c r="C82" i="21" s="1"/>
  <c r="C78" i="21"/>
  <c r="C85" i="15"/>
  <c r="C82" i="15"/>
  <c r="C62" i="20"/>
  <c r="C63" i="20" s="1"/>
  <c r="E63" i="20" s="1"/>
  <c r="E125" i="20"/>
  <c r="C96" i="21"/>
  <c r="E96" i="21" s="1"/>
  <c r="E64" i="21"/>
  <c r="C65" i="21"/>
  <c r="C62" i="21" s="1"/>
  <c r="C60" i="15"/>
  <c r="C64" i="15" s="1"/>
  <c r="C123" i="20"/>
  <c r="E126" i="20"/>
  <c r="C99" i="11"/>
  <c r="C107" i="11" s="1"/>
  <c r="C98" i="11"/>
  <c r="C106" i="11" s="1"/>
  <c r="C84" i="11" l="1"/>
  <c r="E108" i="11"/>
  <c r="D108" i="11"/>
  <c r="F99" i="11"/>
  <c r="F107" i="11" s="1"/>
  <c r="J42" i="11" s="1"/>
  <c r="F106" i="11"/>
  <c r="J41" i="11" s="1"/>
  <c r="H99" i="11"/>
  <c r="H107" i="11" s="1"/>
  <c r="G108" i="11"/>
  <c r="C100" i="20"/>
  <c r="C97" i="20" s="1"/>
  <c r="E82" i="21"/>
  <c r="C91" i="21"/>
  <c r="C88" i="21" s="1"/>
  <c r="C86" i="15"/>
  <c r="C88" i="11"/>
  <c r="C73" i="20"/>
  <c r="C108" i="11"/>
  <c r="C74" i="20" a="1"/>
  <c r="C131" i="20" a="1"/>
  <c r="F108" i="11" l="1"/>
  <c r="J43" i="11" s="1"/>
  <c r="H108" i="11"/>
  <c r="E86" i="15"/>
  <c r="C87" i="15" a="1"/>
  <c r="C87" i="15" s="1"/>
  <c r="C131" i="20"/>
  <c r="C74" i="20"/>
  <c r="C70" i="20" s="1"/>
  <c r="E73" i="20"/>
  <c r="C92" i="15" a="1"/>
  <c r="C94" i="15" a="1"/>
  <c r="C134" i="20" l="1"/>
  <c r="E134" i="20" s="1"/>
  <c r="E131" i="20"/>
  <c r="C92" i="15"/>
  <c r="C94" i="15"/>
  <c r="E87" i="15"/>
  <c r="E74" i="20"/>
  <c r="C105" i="15" l="1"/>
  <c r="E94" i="15"/>
  <c r="E92" i="15"/>
  <c r="C91" i="15"/>
  <c r="C106" i="15" l="1"/>
  <c r="E106" i="15" s="1"/>
  <c r="E10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<sst xmlns="http://schemas.openxmlformats.org/spreadsheetml/2006/main" count="1181" uniqueCount="399">
  <si>
    <t>First issue</t>
  </si>
  <si>
    <t>Rev.</t>
  </si>
  <si>
    <t>Date</t>
  </si>
  <si>
    <t>Description</t>
  </si>
  <si>
    <t>Prepared</t>
  </si>
  <si>
    <t>Checked</t>
  </si>
  <si>
    <t>Approved</t>
  </si>
  <si>
    <t>Legend</t>
  </si>
  <si>
    <t>input data</t>
  </si>
  <si>
    <t>descriptor</t>
  </si>
  <si>
    <t>calculated</t>
  </si>
  <si>
    <t>annotation</t>
  </si>
  <si>
    <t>INPUT DATA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</si>
  <si>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[mm]</t>
    </r>
  </si>
  <si>
    <t>Impeller's diameter</t>
  </si>
  <si>
    <t>AXIAL THRUST FACTOR - HI 1.3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</si>
  <si>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sp</t>
    </r>
    <r>
      <rPr>
        <b/>
        <sz val="11"/>
        <color theme="0"/>
        <rFont val="Calibri"/>
        <family val="2"/>
        <scheme val="minor"/>
      </rPr>
      <t xml:space="preserve"> [mm]</t>
    </r>
  </si>
  <si>
    <t>Front wear ring's diameter</t>
  </si>
  <si>
    <t>Dx/D2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</si>
  <si>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D</t>
    </r>
    <r>
      <rPr>
        <b/>
        <sz val="11"/>
        <color theme="0"/>
        <rFont val="Calibri"/>
        <family val="2"/>
        <scheme val="minor"/>
      </rPr>
      <t xml:space="preserve"> [mm]</t>
    </r>
  </si>
  <si>
    <t>Back wear ring's diameter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</si>
  <si>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FH</t>
    </r>
    <r>
      <rPr>
        <b/>
        <sz val="11"/>
        <color theme="0"/>
        <rFont val="Calibri"/>
        <family val="2"/>
        <scheme val="minor"/>
      </rPr>
      <t xml:space="preserve"> [mm]</t>
    </r>
  </si>
  <si>
    <t>Front hub's diameter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</si>
  <si>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RH</t>
    </r>
    <r>
      <rPr>
        <b/>
        <sz val="11"/>
        <color theme="0"/>
        <rFont val="Calibri"/>
        <family val="2"/>
        <scheme val="minor"/>
      </rPr>
      <t xml:space="preserve"> [mm]</t>
    </r>
  </si>
  <si>
    <r>
      <t>s</t>
    </r>
    <r>
      <rPr>
        <b/>
        <vertAlign val="subscript"/>
        <sz val="11"/>
        <color theme="0"/>
        <rFont val="Calibri"/>
        <family val="2"/>
        <scheme val="minor"/>
      </rPr>
      <t>sp</t>
    </r>
    <r>
      <rPr>
        <b/>
        <sz val="11"/>
        <color theme="0"/>
        <rFont val="Calibri"/>
        <family val="2"/>
        <scheme val="minor"/>
      </rPr>
      <t xml:space="preserve"> [mm]</t>
    </r>
  </si>
  <si>
    <t>Front wear ring's radial clearance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</si>
  <si>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D</t>
    </r>
    <r>
      <rPr>
        <b/>
        <sz val="11"/>
        <color theme="0"/>
        <rFont val="Calibri"/>
        <family val="2"/>
        <scheme val="minor"/>
      </rPr>
      <t xml:space="preserve"> [mm]</t>
    </r>
  </si>
  <si>
    <t>Back wear ring's radial clearance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</si>
  <si>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>sp</t>
    </r>
    <r>
      <rPr>
        <b/>
        <sz val="11"/>
        <color theme="0"/>
        <rFont val="Calibri"/>
        <family val="2"/>
        <scheme val="minor"/>
      </rPr>
      <t xml:space="preserve"> [mm]</t>
    </r>
  </si>
  <si>
    <t>Front wear ring's length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</si>
  <si>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>D</t>
    </r>
    <r>
      <rPr>
        <b/>
        <sz val="11"/>
        <color theme="0"/>
        <rFont val="Calibri"/>
        <family val="2"/>
        <scheme val="minor"/>
      </rPr>
      <t xml:space="preserve"> [mm]</t>
    </r>
  </si>
  <si>
    <t>Back wear ring's length</t>
  </si>
  <si>
    <r>
      <t>R</t>
    </r>
    <r>
      <rPr>
        <b/>
        <vertAlign val="subscript"/>
        <sz val="11"/>
        <color theme="0"/>
        <rFont val="Calibri"/>
        <family val="2"/>
        <scheme val="minor"/>
      </rPr>
      <t>G</t>
    </r>
  </si>
  <si>
    <t>Reaction factor (usually 0.6 - 0.8)</t>
  </si>
  <si>
    <t>OPERATING INPUT DATA</t>
  </si>
  <si>
    <t>n [rpm]</t>
  </si>
  <si>
    <t>Rotational speed</t>
  </si>
  <si>
    <r>
      <t>ρ [kg/m</t>
    </r>
    <r>
      <rPr>
        <b/>
        <vertAlign val="superscript"/>
        <sz val="11"/>
        <color theme="0"/>
        <rFont val="Aptos Narrow"/>
        <family val="2"/>
      </rPr>
      <t>3</t>
    </r>
    <r>
      <rPr>
        <b/>
        <sz val="11"/>
        <color theme="0"/>
        <rFont val="Aptos Narrow"/>
        <family val="2"/>
      </rPr>
      <t>]</t>
    </r>
  </si>
  <si>
    <t>Fluid density</t>
  </si>
  <si>
    <t>Fluid viscosity</t>
  </si>
  <si>
    <r>
      <t>Q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</si>
  <si>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t>Operating flowrate</t>
  </si>
  <si>
    <t>H [m]</t>
  </si>
  <si>
    <t>Impeller's head at rated point</t>
  </si>
  <si>
    <r>
      <t>H</t>
    </r>
    <r>
      <rPr>
        <b/>
        <vertAlign val="subscript"/>
        <sz val="11"/>
        <color theme="0"/>
        <rFont val="Calibri"/>
        <family val="2"/>
        <scheme val="minor"/>
      </rPr>
      <t>BEP</t>
    </r>
    <r>
      <rPr>
        <b/>
        <sz val="11"/>
        <color theme="0"/>
        <rFont val="Calibri"/>
        <family val="2"/>
        <scheme val="minor"/>
      </rPr>
      <t xml:space="preserve"> [m]</t>
    </r>
  </si>
  <si>
    <t>Impeller's head at BEP</t>
  </si>
  <si>
    <t>Balance holes</t>
  </si>
  <si>
    <t>no</t>
  </si>
  <si>
    <t>Balancing holes applicable</t>
  </si>
  <si>
    <t>Last stage</t>
  </si>
  <si>
    <t>yes</t>
  </si>
  <si>
    <t>Last stage impeller applicable</t>
  </si>
  <si>
    <t>Overpressure in chamber downstream the impeller on rear hub</t>
  </si>
  <si>
    <t>Overpressure due to balance holes (usually, 0.6-1.0 bar if 20&lt;H&lt;200m; 20%H if H&gt;200m)</t>
  </si>
  <si>
    <t>GULICH METHOD</t>
  </si>
  <si>
    <r>
      <t>leak</t>
    </r>
    <r>
      <rPr>
        <b/>
        <vertAlign val="subscript"/>
        <sz val="11"/>
        <color theme="0"/>
        <rFont val="Calibri"/>
        <family val="2"/>
        <scheme val="minor"/>
      </rPr>
      <t>D</t>
    </r>
  </si>
  <si>
    <t>Leakage direction in rear shroud</t>
  </si>
  <si>
    <t>Total differential pressure across the impeller</t>
  </si>
  <si>
    <t>Static differential pressure across the impeller</t>
  </si>
  <si>
    <r>
      <t>u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[m/s]</t>
    </r>
  </si>
  <si>
    <r>
      <t>Impeller's rotational speed at D</t>
    </r>
    <r>
      <rPr>
        <vertAlign val="subscript"/>
        <sz val="11"/>
        <color theme="0" tint="-0.499984740745262"/>
        <rFont val="Calibri"/>
        <family val="2"/>
        <scheme val="minor"/>
      </rPr>
      <t>2</t>
    </r>
  </si>
  <si>
    <t>Re</t>
  </si>
  <si>
    <t>Reynolds number</t>
  </si>
  <si>
    <r>
      <t>y</t>
    </r>
    <r>
      <rPr>
        <b/>
        <vertAlign val="subscript"/>
        <sz val="11"/>
        <color theme="0"/>
        <rFont val="Calibri"/>
        <family val="2"/>
        <scheme val="minor"/>
      </rPr>
      <t>FS</t>
    </r>
  </si>
  <si>
    <t>Factor for front shroud</t>
  </si>
  <si>
    <r>
      <t>y</t>
    </r>
    <r>
      <rPr>
        <b/>
        <vertAlign val="subscript"/>
        <sz val="11"/>
        <color theme="0"/>
        <rFont val="Calibri"/>
        <family val="2"/>
        <scheme val="minor"/>
      </rPr>
      <t>RS</t>
    </r>
  </si>
  <si>
    <t>Factor for rear shroud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</si>
  <si>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FS</t>
    </r>
  </si>
  <si>
    <t>Rotation factor in front shroud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</si>
  <si>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RS</t>
    </r>
  </si>
  <si>
    <t>Rotation factor in rear shroud</t>
  </si>
  <si>
    <r>
      <t>x</t>
    </r>
    <r>
      <rPr>
        <b/>
        <vertAlign val="subscript"/>
        <sz val="11"/>
        <color theme="0"/>
        <rFont val="Calibri"/>
        <family val="2"/>
        <scheme val="minor"/>
      </rPr>
      <t>sp</t>
    </r>
  </si>
  <si>
    <t>Ratio between front wear ring diameter and impeller diameter</t>
  </si>
  <si>
    <r>
      <t>x</t>
    </r>
    <r>
      <rPr>
        <b/>
        <vertAlign val="subscript"/>
        <sz val="11"/>
        <color theme="0"/>
        <rFont val="Calibri"/>
        <family val="2"/>
        <scheme val="minor"/>
      </rPr>
      <t>D</t>
    </r>
  </si>
  <si>
    <t>Ratio between back wear ring diameter and impeller diameter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</si>
  <si>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BAL</t>
    </r>
    <r>
      <rPr>
        <b/>
        <sz val="11"/>
        <color theme="0"/>
        <rFont val="Calibri"/>
        <family val="2"/>
        <scheme val="minor"/>
      </rPr>
      <t xml:space="preserve"> [N]</t>
    </r>
  </si>
  <si>
    <t>Axial thrust due to balancing holes (&gt; 0 directed towards the suction)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</si>
  <si>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HUB</t>
    </r>
    <r>
      <rPr>
        <b/>
        <sz val="11"/>
        <color theme="0"/>
        <rFont val="Calibri"/>
        <family val="2"/>
        <scheme val="minor"/>
      </rPr>
      <t xml:space="preserve"> [N]</t>
    </r>
  </si>
  <si>
    <t>Axial thrust on hubs (&gt; 0 directed towards the suction)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</si>
  <si>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FS</t>
    </r>
    <r>
      <rPr>
        <b/>
        <sz val="11"/>
        <color theme="0"/>
        <rFont val="Calibri"/>
        <family val="2"/>
        <scheme val="minor"/>
      </rPr>
      <t xml:space="preserve"> [N]</t>
    </r>
  </si>
  <si>
    <t>Axial thrust on front shroud due to pressure distribution (&gt; 0 directed towards the suction)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</si>
  <si>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RS</t>
    </r>
    <r>
      <rPr>
        <b/>
        <sz val="11"/>
        <color theme="0"/>
        <rFont val="Calibri"/>
        <family val="2"/>
        <scheme val="minor"/>
      </rPr>
      <t xml:space="preserve"> [N]</t>
    </r>
  </si>
  <si>
    <t>Axial thrust on rear shroud due to pressure distribution (&gt; 0 directed towards the suction)</t>
  </si>
  <si>
    <t>F[N]</t>
  </si>
  <si>
    <t>Resultant axial thrust (&gt; 0 directed towards the suction)</t>
  </si>
  <si>
    <t>ANS/HI-1.3 METHOD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</si>
  <si>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S</t>
    </r>
  </si>
  <si>
    <t>Specific speed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</si>
  <si>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A2</t>
    </r>
  </si>
  <si>
    <r>
      <t>Axial thrust factor at D</t>
    </r>
    <r>
      <rPr>
        <vertAlign val="subscript"/>
        <sz val="11"/>
        <color theme="0" tint="-0.499984740745262"/>
        <rFont val="Calibri"/>
        <family val="2"/>
        <scheme val="minor"/>
      </rPr>
      <t>2</t>
    </r>
  </si>
  <si>
    <r>
      <t>K</t>
    </r>
    <r>
      <rPr>
        <b/>
        <vertAlign val="subscript"/>
        <sz val="11"/>
        <color theme="0"/>
        <rFont val="Calibri"/>
        <family val="2"/>
        <scheme val="minor"/>
      </rPr>
      <t>Asp</t>
    </r>
  </si>
  <si>
    <r>
      <t>K</t>
    </r>
    <r>
      <rPr>
        <b/>
        <vertAlign val="subscript"/>
        <sz val="11"/>
        <color theme="0"/>
        <rFont val="Calibri"/>
        <family val="2"/>
        <scheme val="minor"/>
      </rPr>
      <t>AD</t>
    </r>
  </si>
  <si>
    <r>
      <t>Axial thrust factor at D</t>
    </r>
    <r>
      <rPr>
        <vertAlign val="subscript"/>
        <sz val="11"/>
        <color theme="0" tint="-0.499984740745262"/>
        <rFont val="Calibri"/>
        <family val="2"/>
        <scheme val="minor"/>
      </rPr>
      <t>sp</t>
    </r>
  </si>
  <si>
    <r>
      <t>K</t>
    </r>
    <r>
      <rPr>
        <b/>
        <vertAlign val="subscript"/>
        <sz val="11"/>
        <color theme="0"/>
        <rFont val="Calibri"/>
        <family val="2"/>
        <scheme val="minor"/>
      </rPr>
      <t>F</t>
    </r>
  </si>
  <si>
    <t>Average axial thrust factor in front shroud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</si>
  <si>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B</t>
    </r>
  </si>
  <si>
    <t>Average axial thrust factor in back shroud</t>
  </si>
  <si>
    <r>
      <t>A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</si>
  <si>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t>Front shorud area</t>
  </si>
  <si>
    <r>
      <t>A</t>
    </r>
    <r>
      <rPr>
        <b/>
        <vertAlign val="subscript"/>
        <sz val="11"/>
        <color theme="0"/>
        <rFont val="Calibri"/>
        <family val="2"/>
        <scheme val="minor"/>
      </rPr>
      <t>B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</si>
  <si>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t>Back shorud area</t>
  </si>
  <si>
    <r>
      <t>A</t>
    </r>
    <r>
      <rPr>
        <b/>
        <vertAlign val="subscript"/>
        <sz val="11"/>
        <color theme="0"/>
        <rFont val="Calibri"/>
        <family val="2"/>
        <scheme val="minor"/>
      </rPr>
      <t>BAL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</si>
  <si>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t>Balancing chamber area</t>
  </si>
  <si>
    <r>
      <t>A</t>
    </r>
    <r>
      <rPr>
        <b/>
        <vertAlign val="subscript"/>
        <sz val="11"/>
        <color theme="0"/>
        <rFont val="Calibri"/>
        <family val="2"/>
        <scheme val="minor"/>
      </rPr>
      <t>H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</si>
  <si>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t>Hub area</t>
  </si>
  <si>
    <t>Axial thrust due to balancing holes (&gt; 0, directed towards the suction)</t>
  </si>
  <si>
    <t>Axial thrust on hubs (&gt; 0, directed towards the suction)</t>
  </si>
  <si>
    <t>DESIGN INPUT DATA</t>
  </si>
  <si>
    <t>Table 1 Axial thrust factor for steady and unsteady forces at different flowrates.</t>
  </si>
  <si>
    <t>Operating point</t>
  </si>
  <si>
    <r>
      <t>f</t>
    </r>
    <r>
      <rPr>
        <b/>
        <vertAlign val="subscript"/>
        <sz val="10"/>
        <color theme="1"/>
        <rFont val="Arial"/>
        <family val="2"/>
      </rPr>
      <t>ax</t>
    </r>
    <r>
      <rPr>
        <b/>
        <sz val="10"/>
        <color theme="1"/>
        <rFont val="Arial"/>
        <family val="2"/>
      </rPr>
      <t xml:space="preserve"> steady forces</t>
    </r>
  </si>
  <si>
    <r>
      <t>f</t>
    </r>
    <r>
      <rPr>
        <b/>
        <vertAlign val="subscript"/>
        <sz val="10"/>
        <color theme="1"/>
        <rFont val="Arial"/>
        <family val="2"/>
      </rPr>
      <t>ax</t>
    </r>
    <r>
      <rPr>
        <b/>
        <sz val="10"/>
        <color theme="1"/>
        <rFont val="Arial"/>
        <family val="2"/>
      </rPr>
      <t xml:space="preserve"> unsteady forces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</si>
  <si>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sp1</t>
    </r>
    <r>
      <rPr>
        <b/>
        <sz val="11"/>
        <color theme="0"/>
        <rFont val="Calibri"/>
        <family val="2"/>
        <scheme val="minor"/>
      </rPr>
      <t xml:space="preserve"> [mm]</t>
    </r>
  </si>
  <si>
    <t>Front wear ring (1)'s diameter</t>
  </si>
  <si>
    <t>Rated</t>
  </si>
  <si>
    <t>A</t>
  </si>
  <si>
    <t>B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</si>
  <si>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sp2</t>
    </r>
    <r>
      <rPr>
        <b/>
        <sz val="11"/>
        <color theme="0"/>
        <rFont val="Calibri"/>
        <family val="2"/>
        <scheme val="minor"/>
      </rPr>
      <t xml:space="preserve"> [mm]</t>
    </r>
  </si>
  <si>
    <t>Front wear ring (2)'s diameter</t>
  </si>
  <si>
    <t>MCF (part load operation)</t>
  </si>
  <si>
    <t>1,5 x A</t>
  </si>
  <si>
    <t>1,5 x B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</si>
  <si>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sp1</t>
    </r>
    <r>
      <rPr>
        <b/>
        <sz val="11"/>
        <color theme="0"/>
        <rFont val="Calibri"/>
        <family val="2"/>
        <scheme val="minor"/>
      </rPr>
      <t xml:space="preserve"> [mm]</t>
    </r>
  </si>
  <si>
    <t>Front wear ring (1)'s radial clearance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</si>
  <si>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sp2</t>
    </r>
    <r>
      <rPr>
        <b/>
        <sz val="11"/>
        <color theme="0"/>
        <rFont val="Calibri"/>
        <family val="2"/>
        <scheme val="minor"/>
      </rPr>
      <t xml:space="preserve"> [mm]</t>
    </r>
  </si>
  <si>
    <t>Front wear ring (2)'s radial clearance</t>
  </si>
  <si>
    <t>Table 2 Axial thrust factor at different design and manufacturing conditions.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</si>
  <si>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>sp1</t>
    </r>
    <r>
      <rPr>
        <b/>
        <sz val="11"/>
        <color theme="0"/>
        <rFont val="Calibri"/>
        <family val="2"/>
        <scheme val="minor"/>
      </rPr>
      <t xml:space="preserve"> [mm]</t>
    </r>
  </si>
  <si>
    <t>Front wear ring (1)'s length</t>
  </si>
  <si>
    <t>Design &amp; Manufacturing Controls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</si>
  <si>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>sp2</t>
    </r>
    <r>
      <rPr>
        <b/>
        <sz val="11"/>
        <color theme="0"/>
        <rFont val="Calibri"/>
        <family val="2"/>
        <scheme val="minor"/>
      </rPr>
      <t xml:space="preserve"> [mm]</t>
    </r>
  </si>
  <si>
    <t>Front wear ring (2)'s length</t>
  </si>
  <si>
    <t>“As cast” sandcast impeller with no machining cleanup of shrouds</t>
  </si>
  <si>
    <t>“As cast” sandcast casing with no machining cleanup of sidewalls/volute</t>
  </si>
  <si>
    <t>No special attention to impeller centring</t>
  </si>
  <si>
    <t>Impeller precision (investment) cast or with machined shrouds</t>
  </si>
  <si>
    <t>Casing sidewalls cleanup/skim cut to prevent high points</t>
  </si>
  <si>
    <t>Machining tolerances to support cantering to within ± 5% of volute width</t>
  </si>
  <si>
    <t>Impeller with machined shrouds</t>
  </si>
  <si>
    <t>Casing sidewalls machined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</si>
  <si>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ax</t>
    </r>
  </si>
  <si>
    <t>Axial thrust factor (refer to Table 1)</t>
  </si>
  <si>
    <t>Machining tolerances to support centring to within ± 2% of volute width</t>
  </si>
  <si>
    <t>GENERAL DATA</t>
  </si>
  <si>
    <t>FRONT SHROUDS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</si>
  <si>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in</t>
    </r>
  </si>
  <si>
    <t>Rotation factor for inwards flow</t>
  </si>
  <si>
    <r>
      <t>x</t>
    </r>
    <r>
      <rPr>
        <b/>
        <vertAlign val="subscript"/>
        <sz val="11"/>
        <color theme="0"/>
        <rFont val="Calibri"/>
        <family val="2"/>
        <scheme val="minor"/>
      </rPr>
      <t>sp1</t>
    </r>
  </si>
  <si>
    <r>
      <t>x</t>
    </r>
    <r>
      <rPr>
        <b/>
        <vertAlign val="subscript"/>
        <sz val="11"/>
        <color theme="0"/>
        <rFont val="Calibri"/>
        <family val="2"/>
        <scheme val="minor"/>
      </rPr>
      <t>sp2</t>
    </r>
  </si>
  <si>
    <t>AXIAL TRHUST</t>
  </si>
  <si>
    <t>Resultant axial thrust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</si>
  <si>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cb</t>
    </r>
    <r>
      <rPr>
        <b/>
        <sz val="11"/>
        <color theme="0"/>
        <rFont val="Calibri"/>
        <family val="2"/>
        <scheme val="minor"/>
      </rPr>
      <t xml:space="preserve"> [mm]</t>
    </r>
  </si>
  <si>
    <t>Central bush's diameter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</si>
  <si>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h</t>
    </r>
    <r>
      <rPr>
        <b/>
        <sz val="11"/>
        <color theme="0"/>
        <rFont val="Calibri"/>
        <family val="2"/>
        <scheme val="minor"/>
      </rPr>
      <t xml:space="preserve"> [mm]</t>
    </r>
  </si>
  <si>
    <t>Hub diameter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</si>
  <si>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cb</t>
    </r>
    <r>
      <rPr>
        <b/>
        <sz val="11"/>
        <color theme="0"/>
        <rFont val="Calibri"/>
        <family val="2"/>
        <scheme val="minor"/>
      </rPr>
      <t xml:space="preserve"> [mm]</t>
    </r>
  </si>
  <si>
    <t>Central bush's radial clearance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</si>
  <si>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>cb</t>
    </r>
    <r>
      <rPr>
        <b/>
        <sz val="11"/>
        <color theme="0"/>
        <rFont val="Calibri"/>
        <family val="2"/>
        <scheme val="minor"/>
      </rPr>
      <t xml:space="preserve"> [mm]</t>
    </r>
  </si>
  <si>
    <t>Central bush's length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</si>
  <si>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stage</t>
    </r>
  </si>
  <si>
    <t>Number of back-to-back stages</t>
  </si>
  <si>
    <t>Static differential pressure across intermediate stage impeller</t>
  </si>
  <si>
    <t>Suction pressure of last stage impeller</t>
  </si>
  <si>
    <t>REAR SHROUDS</t>
  </si>
  <si>
    <r>
      <t>y</t>
    </r>
    <r>
      <rPr>
        <b/>
        <vertAlign val="subscript"/>
        <sz val="11"/>
        <color theme="0"/>
        <rFont val="Calibri"/>
        <family val="2"/>
        <scheme val="minor"/>
      </rPr>
      <t>sp</t>
    </r>
  </si>
  <si>
    <t>Rotation factor for inwards flow at central bush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</si>
  <si>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out</t>
    </r>
  </si>
  <si>
    <t>Rotation factor for outwards flow at central bush</t>
  </si>
  <si>
    <r>
      <t>x</t>
    </r>
    <r>
      <rPr>
        <b/>
        <vertAlign val="subscript"/>
        <sz val="11"/>
        <color theme="0"/>
        <rFont val="Calibri"/>
        <family val="2"/>
        <scheme val="minor"/>
      </rPr>
      <t>cb</t>
    </r>
  </si>
  <si>
    <t>Ratio between central bush diameter and impeller diameter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</si>
  <si>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 xml:space="preserve">FS1 </t>
    </r>
    <r>
      <rPr>
        <b/>
        <sz val="11"/>
        <color theme="0"/>
        <rFont val="Calibri"/>
        <family val="2"/>
        <scheme val="minor"/>
      </rPr>
      <t>[N]</t>
    </r>
  </si>
  <si>
    <t>Axial thrust on front shroud (1) (&gt; 0 directed from last to intermediate stage)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</si>
  <si>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 xml:space="preserve">FS2 </t>
    </r>
    <r>
      <rPr>
        <b/>
        <sz val="11"/>
        <color theme="0"/>
        <rFont val="Calibri"/>
        <family val="2"/>
        <scheme val="minor"/>
      </rPr>
      <t>[N]</t>
    </r>
  </si>
  <si>
    <t>Resultant axial thrust on front shrouds (&gt; 0 directed from last to intermediate stage)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</si>
  <si>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 xml:space="preserve">RS1 </t>
    </r>
    <r>
      <rPr>
        <b/>
        <sz val="11"/>
        <color theme="0"/>
        <rFont val="Calibri"/>
        <family val="2"/>
        <scheme val="minor"/>
      </rPr>
      <t>[N]</t>
    </r>
  </si>
  <si>
    <t>Axial thrust on rear shroud (1) (&gt; 0 directed from last to intermediate stage)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</si>
  <si>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 xml:space="preserve">RS2 </t>
    </r>
    <r>
      <rPr>
        <b/>
        <sz val="11"/>
        <color theme="0"/>
        <rFont val="Calibri"/>
        <family val="2"/>
        <scheme val="minor"/>
      </rPr>
      <t>[N]</t>
    </r>
  </si>
  <si>
    <t>Resultant axial thrust on rear shrouds (&gt; 0 directed from last to intermediate stage)</t>
  </si>
  <si>
    <t>Axial thrust on hub (&gt; 0 directed from last to intermediate stage)</t>
  </si>
  <si>
    <t>Resultant axial thrust (&gt; 0 directed from last to intermediate stage)</t>
  </si>
  <si>
    <t>FWR</t>
  </si>
  <si>
    <t>BWR</t>
  </si>
  <si>
    <t>D [mm]</t>
  </si>
  <si>
    <t>Pressure [bar]</t>
  </si>
  <si>
    <t>GEOMETRY INPUT DATA</t>
  </si>
  <si>
    <t>Back hub's diameter</t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</si>
  <si>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Calibri"/>
        <family val="2"/>
        <scheme val="minor"/>
      </rPr>
      <t>FW</t>
    </r>
    <r>
      <rPr>
        <b/>
        <sz val="11"/>
        <color theme="0"/>
        <rFont val="Calibri"/>
        <family val="2"/>
        <scheme val="minor"/>
      </rPr>
      <t xml:space="preserve"> [°]</t>
    </r>
  </si>
  <si>
    <t>Front shroud angle (casing)</t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</si>
  <si>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Calibri"/>
        <family val="2"/>
        <scheme val="minor"/>
      </rPr>
      <t>FR</t>
    </r>
    <r>
      <rPr>
        <b/>
        <sz val="11"/>
        <color theme="0"/>
        <rFont val="Calibri"/>
        <family val="2"/>
        <scheme val="minor"/>
      </rPr>
      <t xml:space="preserve"> [°]</t>
    </r>
  </si>
  <si>
    <t>Front shroud angle (impeller)</t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</si>
  <si>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Calibri"/>
        <family val="2"/>
        <scheme val="minor"/>
      </rPr>
      <t>RW</t>
    </r>
    <r>
      <rPr>
        <b/>
        <sz val="11"/>
        <color theme="0"/>
        <rFont val="Calibri"/>
        <family val="2"/>
        <scheme val="minor"/>
      </rPr>
      <t xml:space="preserve"> [°]</t>
    </r>
  </si>
  <si>
    <t>Rear shroud angle (casing)</t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</si>
  <si>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Calibri"/>
        <family val="2"/>
        <scheme val="minor"/>
      </rPr>
      <t>RR</t>
    </r>
    <r>
      <rPr>
        <b/>
        <sz val="11"/>
        <color theme="0"/>
        <rFont val="Calibri"/>
        <family val="2"/>
        <scheme val="minor"/>
      </rPr>
      <t xml:space="preserve"> [°]</t>
    </r>
  </si>
  <si>
    <t>Rear shroud angle (impeller)</t>
  </si>
  <si>
    <r>
      <rPr>
        <b/>
        <sz val="11"/>
        <color theme="0"/>
        <rFont val="Aptos Narrow"/>
        <family val="2"/>
      </rPr>
      <t>t</t>
    </r>
    <r>
      <rPr>
        <b/>
        <vertAlign val="subscript"/>
        <sz val="11"/>
        <color theme="0"/>
        <rFont val="Calibri"/>
        <family val="2"/>
        <scheme val="minor"/>
      </rPr>
      <t>ax</t>
    </r>
    <r>
      <rPr>
        <b/>
        <sz val="11"/>
        <color theme="0"/>
        <rFont val="Calibri"/>
        <family val="2"/>
        <scheme val="minor"/>
      </rPr>
      <t xml:space="preserve">  [mm]</t>
    </r>
  </si>
  <si>
    <t>Axial casing part in impeller sidewall gap</t>
  </si>
  <si>
    <r>
      <rPr>
        <b/>
        <sz val="11"/>
        <color theme="0"/>
        <rFont val="Aptos Narrow"/>
        <family val="2"/>
      </rPr>
      <t>r</t>
    </r>
    <r>
      <rPr>
        <b/>
        <vertAlign val="subscript"/>
        <sz val="11"/>
        <color theme="0"/>
        <rFont val="Calibri"/>
        <family val="2"/>
        <scheme val="minor"/>
      </rPr>
      <t>w</t>
    </r>
    <r>
      <rPr>
        <b/>
        <sz val="11"/>
        <color theme="0"/>
        <rFont val="Calibri"/>
        <family val="2"/>
        <scheme val="minor"/>
      </rPr>
      <t xml:space="preserve">  [mm]</t>
    </r>
  </si>
  <si>
    <t>Radius of casing part in impeller sidewall gap</t>
  </si>
  <si>
    <r>
      <t>α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[°]</t>
    </r>
  </si>
  <si>
    <t>Angle between u2 and c2</t>
  </si>
  <si>
    <r>
      <rPr>
        <b/>
        <sz val="11"/>
        <color theme="0"/>
        <rFont val="Aptos Narrow"/>
        <family val="2"/>
      </rPr>
      <t>β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[°]</t>
    </r>
  </si>
  <si>
    <t>Angle between u2 and w2</t>
  </si>
  <si>
    <r>
      <rPr>
        <b/>
        <sz val="11"/>
        <color theme="0"/>
        <rFont val="Aptos Narrow"/>
        <family val="2"/>
      </rPr>
      <t>c</t>
    </r>
    <r>
      <rPr>
        <b/>
        <vertAlign val="subscript"/>
        <sz val="11"/>
        <color theme="0"/>
        <rFont val="Calibri"/>
        <family val="2"/>
        <scheme val="minor"/>
      </rPr>
      <t>f,W</t>
    </r>
    <r>
      <rPr>
        <b/>
        <sz val="11"/>
        <color theme="0"/>
        <rFont val="Calibri"/>
        <family val="2"/>
        <scheme val="minor"/>
      </rPr>
      <t xml:space="preserve"> </t>
    </r>
  </si>
  <si>
    <t>Friction coefficient on shroud (casing)</t>
  </si>
  <si>
    <r>
      <rPr>
        <b/>
        <sz val="11"/>
        <color theme="0"/>
        <rFont val="Aptos Narrow"/>
        <family val="2"/>
      </rPr>
      <t>c</t>
    </r>
    <r>
      <rPr>
        <b/>
        <vertAlign val="subscript"/>
        <sz val="11"/>
        <color theme="0"/>
        <rFont val="Calibri"/>
        <family val="2"/>
        <scheme val="minor"/>
      </rPr>
      <t>f,R</t>
    </r>
    <r>
      <rPr>
        <b/>
        <sz val="11"/>
        <color theme="0"/>
        <rFont val="Calibri"/>
        <family val="2"/>
        <scheme val="minor"/>
      </rPr>
      <t xml:space="preserve"> </t>
    </r>
  </si>
  <si>
    <t>Friction coefficient on shroud (impeller)</t>
  </si>
  <si>
    <t>CALCULATION INPUT DATA</t>
  </si>
  <si>
    <r>
      <t>n</t>
    </r>
    <r>
      <rPr>
        <b/>
        <vertAlign val="subscript"/>
        <sz val="11"/>
        <color theme="0"/>
        <rFont val="Calibri"/>
        <family val="2"/>
        <scheme val="minor"/>
      </rPr>
      <t>steps</t>
    </r>
  </si>
  <si>
    <t>Calculation steps (max 2000)</t>
  </si>
  <si>
    <t>FRONT SHROUD</t>
  </si>
  <si>
    <r>
      <t>ζ</t>
    </r>
    <r>
      <rPr>
        <b/>
        <vertAlign val="subscript"/>
        <sz val="11"/>
        <color theme="0"/>
        <rFont val="Calibri"/>
        <family val="2"/>
        <scheme val="minor"/>
      </rPr>
      <t>EA</t>
    </r>
  </si>
  <si>
    <t>Inlet and outlet loss coefficient (from 1 to 1.2)</t>
  </si>
  <si>
    <r>
      <t>e</t>
    </r>
    <r>
      <rPr>
        <b/>
        <vertAlign val="subscript"/>
        <sz val="11"/>
        <color theme="0"/>
        <rFont val="Calibri"/>
        <family val="2"/>
        <scheme val="minor"/>
      </rPr>
      <t>x</t>
    </r>
    <r>
      <rPr>
        <b/>
        <sz val="11"/>
        <color theme="0"/>
        <rFont val="Calibri"/>
        <family val="2"/>
        <scheme val="minor"/>
      </rPr>
      <t xml:space="preserve"> [mm]</t>
    </r>
  </si>
  <si>
    <t>Eccentricity (typical 0)</t>
  </si>
  <si>
    <t>Sidewall gap</t>
  </si>
  <si>
    <t>open</t>
  </si>
  <si>
    <t>Sidewall gap type</t>
  </si>
  <si>
    <t>Seal type</t>
  </si>
  <si>
    <t>rough</t>
  </si>
  <si>
    <t>Wear ring's sealing surface type</t>
  </si>
  <si>
    <t>ε [mm]</t>
  </si>
  <si>
    <t>Surface roughness</t>
  </si>
  <si>
    <t>Seal surface coefficient</t>
  </si>
  <si>
    <r>
      <t>c</t>
    </r>
    <r>
      <rPr>
        <b/>
        <vertAlign val="subscript"/>
        <sz val="11"/>
        <color theme="0"/>
        <rFont val="Calibri"/>
        <family val="2"/>
        <scheme val="minor"/>
      </rPr>
      <t>ax</t>
    </r>
    <r>
      <rPr>
        <b/>
        <sz val="11"/>
        <color theme="0"/>
        <rFont val="Calibri"/>
        <family val="2"/>
        <scheme val="minor"/>
      </rPr>
      <t xml:space="preserve"> [m/s]</t>
    </r>
  </si>
  <si>
    <t>Fluid axial speed</t>
  </si>
  <si>
    <t>Reynolds number on axial speed</t>
  </si>
  <si>
    <r>
      <t>Re</t>
    </r>
    <r>
      <rPr>
        <b/>
        <vertAlign val="subscript"/>
        <sz val="11"/>
        <color theme="0"/>
        <rFont val="Calibri"/>
        <family val="2"/>
        <scheme val="minor"/>
      </rPr>
      <t>u</t>
    </r>
  </si>
  <si>
    <t>Reynolds number on tangential speed</t>
  </si>
  <si>
    <r>
      <t>λ</t>
    </r>
    <r>
      <rPr>
        <b/>
        <vertAlign val="subscript"/>
        <sz val="11"/>
        <color theme="0"/>
        <rFont val="Calibri"/>
        <family val="2"/>
      </rPr>
      <t>0</t>
    </r>
  </si>
  <si>
    <t>Friction coefficient for laminar flow (Re&lt;2000), ref. J. F. Gulich's Centrifugal Pumps 3.7.11</t>
  </si>
  <si>
    <r>
      <t>λ</t>
    </r>
    <r>
      <rPr>
        <b/>
        <vertAlign val="subscript"/>
        <sz val="11"/>
        <color theme="0"/>
        <rFont val="Calibri"/>
        <family val="2"/>
        <scheme val="minor"/>
      </rPr>
      <t>laminar</t>
    </r>
  </si>
  <si>
    <t>Friction coefficient for laminar flow (Re&lt;2000), ref. J. F. Gulich's Centrifugal Pumps 3.7.14</t>
  </si>
  <si>
    <t>Friction coefficient for turbulent flow (Re&gt;2000), ref. J. F. Gulich's Centrifugal Pumps 3.7.12</t>
  </si>
  <si>
    <r>
      <t>λ</t>
    </r>
    <r>
      <rPr>
        <b/>
        <vertAlign val="subscript"/>
        <sz val="11"/>
        <color theme="0"/>
        <rFont val="Calibri"/>
        <family val="2"/>
        <scheme val="minor"/>
      </rPr>
      <t>turbulent</t>
    </r>
  </si>
  <si>
    <t>Friction coefficient for turbulent flow (Re&gt;2000), ref. J. F. Gulich's Centrifugal Pumps 3.7.13</t>
  </si>
  <si>
    <t>λ</t>
  </si>
  <si>
    <t>Friction coefficient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</si>
  <si>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 xml:space="preserve">sp </t>
    </r>
    <r>
      <rPr>
        <b/>
        <sz val="11"/>
        <color theme="0"/>
        <rFont val="Calibri"/>
        <family val="2"/>
        <scheme val="minor"/>
      </rPr>
      <t>[bar]</t>
    </r>
  </si>
  <si>
    <t>Pressure drop across front wear ring, ref. J. F. Gulich's Centrifugal Pumps 3.7.6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</si>
  <si>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 xml:space="preserve">suction </t>
    </r>
    <r>
      <rPr>
        <b/>
        <sz val="11"/>
        <color theme="0"/>
        <rFont val="Calibri"/>
        <family val="2"/>
        <scheme val="minor"/>
      </rPr>
      <t>[barg]</t>
    </r>
  </si>
  <si>
    <t>Pressure upstream front wear ring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</si>
  <si>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o</t>
    </r>
    <r>
      <rPr>
        <b/>
        <sz val="11"/>
        <color theme="0"/>
        <rFont val="Calibri"/>
        <family val="2"/>
        <scheme val="minor"/>
      </rPr>
      <t xml:space="preserve"> </t>
    </r>
  </si>
  <si>
    <t>Rotation of fluid without flow through sidewall gap, ref. J. F. Gulich's Centrifugal Pumps 9.1.3</t>
  </si>
  <si>
    <r>
      <t>ϕ</t>
    </r>
    <r>
      <rPr>
        <b/>
        <vertAlign val="subscript"/>
        <sz val="11"/>
        <color theme="0"/>
        <rFont val="Calibri"/>
        <family val="2"/>
        <scheme val="minor"/>
      </rPr>
      <t>sp</t>
    </r>
    <r>
      <rPr>
        <b/>
        <sz val="11"/>
        <color theme="0"/>
        <rFont val="Calibri"/>
        <family val="2"/>
        <scheme val="minor"/>
      </rPr>
      <t xml:space="preserve"> </t>
    </r>
  </si>
  <si>
    <t>Flow coefficient of impeller sidewall gap, ref. J. F. Gulich's Centrifugal Pumps 9.1.1</t>
  </si>
  <si>
    <t>Reynolds number, ref. J. F. Gulich's Centrifugal Pumps 9.1.1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</si>
  <si>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 xml:space="preserve">check </t>
    </r>
    <r>
      <rPr>
        <b/>
        <sz val="11"/>
        <color theme="0"/>
        <rFont val="Calibri"/>
        <family val="2"/>
        <scheme val="minor"/>
      </rPr>
      <t>[bar]</t>
    </r>
  </si>
  <si>
    <t>Differrential pressure check (it shall be equal to 0)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</si>
  <si>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sp</t>
    </r>
    <r>
      <rPr>
        <b/>
        <sz val="11"/>
        <color theme="0"/>
        <rFont val="Calibri"/>
        <family val="2"/>
        <scheme val="minor"/>
      </rPr>
      <t xml:space="preserve">  [barg]</t>
    </r>
  </si>
  <si>
    <t>Pressure at front wear ring</t>
  </si>
  <si>
    <r>
      <t>Q</t>
    </r>
    <r>
      <rPr>
        <b/>
        <vertAlign val="subscript"/>
        <sz val="11"/>
        <color theme="0"/>
        <rFont val="Calibri"/>
        <family val="2"/>
      </rPr>
      <t>sp</t>
    </r>
    <r>
      <rPr>
        <b/>
        <sz val="11"/>
        <color theme="0"/>
        <rFont val="Calibri"/>
        <family val="2"/>
        <scheme val="minor"/>
      </rPr>
      <t xml:space="preserve">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</si>
  <si>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t>Leakage flow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</si>
  <si>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FS</t>
    </r>
    <r>
      <rPr>
        <b/>
        <sz val="11"/>
        <color theme="0"/>
        <rFont val="Calibri"/>
        <family val="2"/>
        <scheme val="minor"/>
      </rPr>
      <t xml:space="preserve">  [N]</t>
    </r>
  </si>
  <si>
    <t>Axial thrust on front shroud (&gt; 0, directed towards the suction)</t>
  </si>
  <si>
    <t>REAR SHROUD</t>
  </si>
  <si>
    <t>Leakage direction in back shroud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</si>
  <si>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in</t>
    </r>
    <r>
      <rPr>
        <b/>
        <sz val="11"/>
        <color theme="0"/>
        <rFont val="Calibri"/>
        <family val="2"/>
        <scheme val="minor"/>
      </rPr>
      <t xml:space="preserve"> [-]</t>
    </r>
  </si>
  <si>
    <t>Rotation factor at back wear ring inlet (outwards flow only). Recommended 0.3 - 0.5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</si>
  <si>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 xml:space="preserve">D </t>
    </r>
    <r>
      <rPr>
        <b/>
        <sz val="11"/>
        <color theme="0"/>
        <rFont val="Calibri"/>
        <family val="2"/>
        <scheme val="minor"/>
      </rPr>
      <t>[bar]</t>
    </r>
  </si>
  <si>
    <t>Pressure drop across back wear ring, ref. J. F. Gulich's Centrifugal Pumps 3.7.6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</si>
  <si>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 xml:space="preserve">D </t>
    </r>
    <r>
      <rPr>
        <b/>
        <sz val="11"/>
        <color theme="0"/>
        <rFont val="Calibri"/>
        <family val="2"/>
        <scheme val="minor"/>
      </rPr>
      <t>[barg]</t>
    </r>
  </si>
  <si>
    <t>Differential pressure check (it shall be equal to 0)</t>
  </si>
  <si>
    <r>
      <t>Q</t>
    </r>
    <r>
      <rPr>
        <b/>
        <vertAlign val="subscript"/>
        <sz val="11"/>
        <color theme="0"/>
        <rFont val="Calibri"/>
        <family val="2"/>
      </rPr>
      <t>D</t>
    </r>
    <r>
      <rPr>
        <b/>
        <sz val="11"/>
        <color theme="0"/>
        <rFont val="Calibri"/>
        <family val="2"/>
        <scheme val="minor"/>
      </rPr>
      <t xml:space="preserve">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</si>
  <si>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RS</t>
    </r>
    <r>
      <rPr>
        <b/>
        <sz val="11"/>
        <color theme="0"/>
        <rFont val="Calibri"/>
        <family val="2"/>
        <scheme val="minor"/>
      </rPr>
      <t xml:space="preserve">  [N]</t>
    </r>
  </si>
  <si>
    <t>Axial thrust on rear shroud (&gt; 0, directed towards the suction)</t>
  </si>
  <si>
    <t>AXIAL THRUST CALCULATION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</si>
  <si>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SHROUD</t>
    </r>
    <r>
      <rPr>
        <b/>
        <sz val="11"/>
        <color theme="0"/>
        <rFont val="Calibri"/>
        <family val="2"/>
        <scheme val="minor"/>
      </rPr>
      <t xml:space="preserve"> [N]</t>
    </r>
  </si>
  <si>
    <t>Axial thrust on shoruds due to pressure distribution (&gt; 0, directed towards the suction)</t>
  </si>
  <si>
    <t>Resultant axial thrust (&gt; 0, directed towards the suction)</t>
  </si>
  <si>
    <t>FWR 1</t>
  </si>
  <si>
    <t>FWR 2</t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</si>
  <si>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Calibri"/>
        <family val="2"/>
        <scheme val="minor"/>
      </rPr>
      <t>W</t>
    </r>
    <r>
      <rPr>
        <b/>
        <sz val="11"/>
        <color theme="0"/>
        <rFont val="Calibri"/>
        <family val="2"/>
        <scheme val="minor"/>
      </rPr>
      <t xml:space="preserve"> [°]</t>
    </r>
  </si>
  <si>
    <t>Shroud angle (casing)</t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</si>
  <si>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[°]</t>
    </r>
  </si>
  <si>
    <t>Shroud angle (impeller)</t>
  </si>
  <si>
    <t>FRONT WEAR RING (1)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</si>
  <si>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 xml:space="preserve">sp1 </t>
    </r>
    <r>
      <rPr>
        <b/>
        <sz val="11"/>
        <color theme="0"/>
        <rFont val="Calibri"/>
        <family val="2"/>
        <scheme val="minor"/>
      </rPr>
      <t>[bar]</t>
    </r>
  </si>
  <si>
    <t>Pressure drop across front wear ring (int. stage), ref. J. F. Gulich's Centrifugal Pumps 3.7.6</t>
  </si>
  <si>
    <t>FRONT SHROUD (1)</t>
  </si>
  <si>
    <r>
      <t>ϕ</t>
    </r>
    <r>
      <rPr>
        <b/>
        <vertAlign val="subscript"/>
        <sz val="11"/>
        <color theme="0"/>
        <rFont val="Calibri"/>
        <family val="2"/>
        <scheme val="minor"/>
      </rPr>
      <t>sp1</t>
    </r>
    <r>
      <rPr>
        <b/>
        <sz val="11"/>
        <color theme="0"/>
        <rFont val="Calibri"/>
        <family val="2"/>
        <scheme val="minor"/>
      </rPr>
      <t xml:space="preserve"> </t>
    </r>
  </si>
  <si>
    <r>
      <t>Q</t>
    </r>
    <r>
      <rPr>
        <b/>
        <vertAlign val="subscript"/>
        <sz val="11"/>
        <color theme="0"/>
        <rFont val="Calibri"/>
        <family val="2"/>
      </rPr>
      <t>sp1</t>
    </r>
    <r>
      <rPr>
        <b/>
        <sz val="11"/>
        <color theme="0"/>
        <rFont val="Calibri"/>
        <family val="2"/>
        <scheme val="minor"/>
      </rPr>
      <t xml:space="preserve">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</si>
  <si>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t>Leakage flow on intermediate stage impeller's front wear ring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</si>
  <si>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sp1</t>
    </r>
    <r>
      <rPr>
        <b/>
        <sz val="11"/>
        <color theme="0"/>
        <rFont val="Calibri"/>
        <family val="2"/>
        <scheme val="minor"/>
      </rPr>
      <t xml:space="preserve">  [barg]</t>
    </r>
  </si>
  <si>
    <t>Pressure upstream intermediate stage impeller's front wear ring</t>
  </si>
  <si>
    <r>
      <t>p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>sp1</t>
    </r>
    <r>
      <rPr>
        <b/>
        <sz val="11"/>
        <color theme="0"/>
        <rFont val="Calibri"/>
        <family val="2"/>
        <scheme val="minor"/>
      </rPr>
      <t xml:space="preserve">  [barg]</t>
    </r>
  </si>
  <si>
    <t>Pressure downstream intermediate stage impeller's front wear ring</t>
  </si>
  <si>
    <t>FRONT WEAR RING (2)</t>
  </si>
  <si>
    <t>FRONT SHROUD (2)</t>
  </si>
  <si>
    <r>
      <t>ϕ</t>
    </r>
    <r>
      <rPr>
        <b/>
        <vertAlign val="subscript"/>
        <sz val="11"/>
        <color theme="0"/>
        <rFont val="Calibri"/>
        <family val="2"/>
        <scheme val="minor"/>
      </rPr>
      <t>sp2</t>
    </r>
    <r>
      <rPr>
        <b/>
        <sz val="11"/>
        <color theme="0"/>
        <rFont val="Calibri"/>
        <family val="2"/>
        <scheme val="minor"/>
      </rPr>
      <t xml:space="preserve"> </t>
    </r>
  </si>
  <si>
    <r>
      <t>Q</t>
    </r>
    <r>
      <rPr>
        <b/>
        <vertAlign val="subscript"/>
        <sz val="11"/>
        <color theme="0"/>
        <rFont val="Calibri"/>
        <family val="2"/>
      </rPr>
      <t>sp2</t>
    </r>
    <r>
      <rPr>
        <b/>
        <sz val="11"/>
        <color theme="0"/>
        <rFont val="Calibri"/>
        <family val="2"/>
        <scheme val="minor"/>
      </rPr>
      <t xml:space="preserve">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</si>
  <si>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sp2</t>
    </r>
    <r>
      <rPr>
        <b/>
        <sz val="11"/>
        <color theme="0"/>
        <rFont val="Calibri"/>
        <family val="2"/>
        <scheme val="minor"/>
      </rPr>
      <t xml:space="preserve">  [barg]</t>
    </r>
  </si>
  <si>
    <r>
      <t>p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>sp2</t>
    </r>
    <r>
      <rPr>
        <b/>
        <sz val="11"/>
        <color theme="0"/>
        <rFont val="Calibri"/>
        <family val="2"/>
        <scheme val="minor"/>
      </rPr>
      <t xml:space="preserve">  [barg]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</si>
  <si>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FS1</t>
    </r>
    <r>
      <rPr>
        <b/>
        <sz val="11"/>
        <color theme="0"/>
        <rFont val="Calibri"/>
        <family val="2"/>
        <scheme val="minor"/>
      </rPr>
      <t xml:space="preserve"> [N]</t>
    </r>
  </si>
  <si>
    <t>Axial thrust on front shroud (1) (&gt; 0 directed from (2) to (1))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</si>
  <si>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FS2</t>
    </r>
    <r>
      <rPr>
        <b/>
        <sz val="11"/>
        <color theme="0"/>
        <rFont val="Calibri"/>
        <family val="2"/>
        <scheme val="minor"/>
      </rPr>
      <t xml:space="preserve"> [N]</t>
    </r>
  </si>
  <si>
    <t>Axial thrust on front shroud (2) (&gt; 0 directed from (2) to (1))</t>
  </si>
  <si>
    <t>BWR1</t>
  </si>
  <si>
    <t>BWR2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</si>
  <si>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hub</t>
    </r>
    <r>
      <rPr>
        <b/>
        <sz val="11"/>
        <color theme="0"/>
        <rFont val="Calibri"/>
        <family val="2"/>
        <scheme val="minor"/>
      </rPr>
      <t xml:space="preserve"> [mm]</t>
    </r>
  </si>
  <si>
    <t>Suction pressure on last stage impeller</t>
  </si>
  <si>
    <t>Static differential discharge pressure on intermediate impeller</t>
  </si>
  <si>
    <t>Static differential discharge pressure on last stage impeller</t>
  </si>
  <si>
    <t>CENTRAL BUSH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</si>
  <si>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 xml:space="preserve">cb </t>
    </r>
    <r>
      <rPr>
        <b/>
        <sz val="11"/>
        <color theme="0"/>
        <rFont val="Calibri"/>
        <family val="2"/>
        <scheme val="minor"/>
      </rPr>
      <t>[bar]</t>
    </r>
  </si>
  <si>
    <t>Pressure drop across central bush, ref. J. F. Gulich's Centrifugal Pumps 3.7.6</t>
  </si>
  <si>
    <r>
      <t>ϕ</t>
    </r>
    <r>
      <rPr>
        <b/>
        <vertAlign val="subscript"/>
        <sz val="11"/>
        <color theme="0"/>
        <rFont val="Calibri"/>
        <family val="2"/>
        <scheme val="minor"/>
      </rPr>
      <t>cb</t>
    </r>
    <r>
      <rPr>
        <b/>
        <sz val="11"/>
        <color theme="0"/>
        <rFont val="Calibri"/>
        <family val="2"/>
        <scheme val="minor"/>
      </rPr>
      <t xml:space="preserve"> </t>
    </r>
  </si>
  <si>
    <r>
      <t>Q</t>
    </r>
    <r>
      <rPr>
        <b/>
        <vertAlign val="subscript"/>
        <sz val="11"/>
        <color theme="0"/>
        <rFont val="Calibri"/>
        <family val="2"/>
      </rPr>
      <t>cb</t>
    </r>
    <r>
      <rPr>
        <b/>
        <sz val="11"/>
        <color theme="0"/>
        <rFont val="Calibri"/>
        <family val="2"/>
        <scheme val="minor"/>
      </rPr>
      <t xml:space="preserve">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</si>
  <si>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t>Leakage flow on central bush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</si>
  <si>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cb</t>
    </r>
    <r>
      <rPr>
        <b/>
        <sz val="11"/>
        <color theme="0"/>
        <rFont val="Calibri"/>
        <family val="2"/>
        <scheme val="minor"/>
      </rPr>
      <t xml:space="preserve">  [barg]</t>
    </r>
  </si>
  <si>
    <t>Pressure upstream central bush</t>
  </si>
  <si>
    <r>
      <t>p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>cb</t>
    </r>
    <r>
      <rPr>
        <b/>
        <sz val="11"/>
        <color theme="0"/>
        <rFont val="Calibri"/>
        <family val="2"/>
        <scheme val="minor"/>
      </rPr>
      <t xml:space="preserve">  [barg]</t>
    </r>
  </si>
  <si>
    <t>Pressure downstream central bush</t>
  </si>
  <si>
    <r>
      <t>p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 [barg]</t>
    </r>
  </si>
  <si>
    <t>Pressure at intermediate stage impeller's discharge</t>
  </si>
  <si>
    <t>INTERMEDIATE STAGE IMPELLER'S FRONT WEAR RING</t>
  </si>
  <si>
    <t>INTERMEDIATE STAGE IMPELLER'S FRONT SHROUD</t>
  </si>
  <si>
    <t>LAST STAGE IMPELLER'S FRONT WEAR RING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</si>
  <si>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 xml:space="preserve">sp2 </t>
    </r>
    <r>
      <rPr>
        <b/>
        <sz val="11"/>
        <color theme="0"/>
        <rFont val="Calibri"/>
        <family val="2"/>
        <scheme val="minor"/>
      </rPr>
      <t>[bar]</t>
    </r>
  </si>
  <si>
    <t>Pressure drop across front wear ring (last stage), ref. J. F. Gulich's Centrifugal Pumps 3.7.6</t>
  </si>
  <si>
    <t>LAST STAGE IMPELLER'S FRONT SHROUD</t>
  </si>
  <si>
    <t>Leakage flow on last stage impeller's front wear ring</t>
  </si>
  <si>
    <t>Axial thrust on intermediate stage impeller's rear shroud (&gt; 0 directed from last to intermediate stage)</t>
  </si>
  <si>
    <t>Axial thrust on last stage impeller's rear shroud (&gt; 0 directed from last to intermediate stage)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</si>
  <si>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RS1</t>
    </r>
    <r>
      <rPr>
        <b/>
        <sz val="11"/>
        <color theme="0"/>
        <rFont val="Calibri"/>
        <family val="2"/>
        <scheme val="minor"/>
      </rPr>
      <t xml:space="preserve"> [N]</t>
    </r>
  </si>
  <si>
    <t>Axial thrust on intermediate stage impeller's front shroud (&gt; 0 directed from last to intermediate stage)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</si>
  <si>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RS2</t>
    </r>
    <r>
      <rPr>
        <b/>
        <sz val="11"/>
        <color theme="0"/>
        <rFont val="Calibri"/>
        <family val="2"/>
        <scheme val="minor"/>
      </rPr>
      <t xml:space="preserve"> [N]</t>
    </r>
  </si>
  <si>
    <t>Axial thrust on last stage impeller's front shroud (&gt; 0 directed from last to intermediate stage)</t>
  </si>
  <si>
    <t>Axial thrust on hubs (&gt; 0 directed from last to intermediate stage)</t>
  </si>
  <si>
    <t>single_suction-1</t>
  </si>
  <si>
    <t>single_suction-2</t>
  </si>
  <si>
    <r>
      <t>ν [mm</t>
    </r>
    <r>
      <rPr>
        <b/>
        <vertAlign val="superscript"/>
        <sz val="11"/>
        <color theme="0"/>
        <rFont val="Aptos Narrow"/>
        <family val="2"/>
      </rPr>
      <t>2</t>
    </r>
    <r>
      <rPr>
        <b/>
        <sz val="11"/>
        <color theme="0"/>
        <rFont val="Aptos Narrow"/>
        <family val="2"/>
      </rPr>
      <t>/s]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</si>
  <si>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LA1</t>
    </r>
    <r>
      <rPr>
        <b/>
        <sz val="11"/>
        <color theme="0"/>
        <rFont val="Calibri"/>
        <family val="2"/>
        <scheme val="minor"/>
      </rPr>
      <t xml:space="preserve"> [bar]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</si>
  <si>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LA</t>
    </r>
    <r>
      <rPr>
        <b/>
        <sz val="11"/>
        <color theme="0"/>
        <rFont val="Calibri"/>
        <family val="2"/>
        <scheme val="minor"/>
      </rPr>
      <t xml:space="preserve"> [bar]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</si>
  <si>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[bar]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</si>
  <si>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BAL</t>
    </r>
    <r>
      <rPr>
        <b/>
        <sz val="11"/>
        <color theme="0"/>
        <rFont val="Calibri"/>
        <family val="2"/>
        <scheme val="minor"/>
      </rPr>
      <t xml:space="preserve"> [bar]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</si>
  <si>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STUFF</t>
    </r>
    <r>
      <rPr>
        <b/>
        <sz val="11"/>
        <color theme="0"/>
        <rFont val="Calibri"/>
        <family val="2"/>
        <scheme val="minor"/>
      </rPr>
      <t xml:space="preserve"> [bar]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</si>
  <si>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2s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</si>
  <si>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</si>
  <si>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[barg]</t>
    </r>
  </si>
  <si>
    <t>FRONT WEAR RING</t>
  </si>
  <si>
    <t>BACK WEAR RING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</si>
  <si>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D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[barg]</t>
    </r>
  </si>
  <si>
    <t>FRONT SHROUDS (1)</t>
  </si>
  <si>
    <t>FRONT SHROUDS (2)</t>
  </si>
  <si>
    <t>Ratio between front wear ring (2) diameter and impeller diameter</t>
  </si>
  <si>
    <t>Ratio between front wear ring (1) diameter and impeller diameter</t>
  </si>
  <si>
    <t>Pressure upstream front wear ring (1)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</si>
  <si>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LA2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</si>
  <si>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S2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</si>
  <si>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LA1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</si>
  <si>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LA2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[barg]</t>
    </r>
  </si>
  <si>
    <t>Pressure drop across fron wear ring, ref. J. F. Gulich's Centrifugal Pumps 3.7.6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</si>
  <si>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 xml:space="preserve">sp1 </t>
    </r>
    <r>
      <rPr>
        <b/>
        <sz val="11"/>
        <color theme="0"/>
        <rFont val="Calibri"/>
        <family val="2"/>
        <scheme val="minor"/>
      </rPr>
      <t>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</si>
  <si>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 xml:space="preserve">sp2 </t>
    </r>
    <r>
      <rPr>
        <b/>
        <sz val="11"/>
        <color theme="0"/>
        <rFont val="Calibri"/>
        <family val="2"/>
        <scheme val="minor"/>
      </rPr>
      <t>[barg]</t>
    </r>
  </si>
  <si>
    <t>Pressure upstream front wear ring (2)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</si>
  <si>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>D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[bar]</t>
    </r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</si>
  <si>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>sp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[bar]</t>
    </r>
  </si>
  <si>
    <t>Pressure drop across front wear ring, ref. J. F. Gulich's Centrifugal Pumps 3.7.3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</si>
  <si>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 xml:space="preserve">sp </t>
    </r>
    <r>
      <rPr>
        <b/>
        <sz val="11"/>
        <color theme="0"/>
        <rFont val="Calibri"/>
        <family val="2"/>
        <scheme val="minor"/>
      </rPr>
      <t>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</si>
  <si>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 xml:space="preserve">D </t>
    </r>
    <r>
      <rPr>
        <b/>
        <sz val="11"/>
        <color theme="0"/>
        <rFont val="Calibri"/>
        <family val="2"/>
        <scheme val="minor"/>
      </rPr>
      <t>[bar]</t>
    </r>
  </si>
  <si>
    <t>Pressure drop across back wear ring, ref. J. F. Gulich's Centrifugal Pumps 3.7.3-3.7.4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</si>
  <si>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>sp1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[bar]</t>
    </r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</si>
  <si>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>sp2</t>
    </r>
    <r>
      <rPr>
        <b/>
        <vertAlign val="superscript"/>
        <sz val="11"/>
        <color theme="0"/>
        <rFont val="Calibri"/>
        <family val="2"/>
        <scheme val="minor"/>
      </rPr>
      <t>*</t>
    </r>
    <r>
      <rPr>
        <b/>
        <vertAlign val="subscript"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[bar]</t>
    </r>
  </si>
  <si>
    <t>Pressure upstream impeller's front wear ring</t>
  </si>
  <si>
    <t>Pressure downstream impeller's front wear ring</t>
  </si>
  <si>
    <t>Leakage flow on impeller's front wear ring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</si>
  <si>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STUFF</t>
    </r>
    <r>
      <rPr>
        <b/>
        <sz val="11"/>
        <color theme="0"/>
        <rFont val="Calibri"/>
        <family val="2"/>
        <scheme val="minor"/>
      </rPr>
      <t xml:space="preserve"> [barg]</t>
    </r>
  </si>
  <si>
    <r>
      <t>p</t>
    </r>
    <r>
      <rPr>
        <b/>
        <vertAlign val="subscript"/>
        <sz val="11"/>
        <color theme="0"/>
        <rFont val="Calibri"/>
        <family val="2"/>
        <scheme val="minor"/>
      </rPr>
      <t>BAL</t>
    </r>
    <r>
      <rPr>
        <b/>
        <sz val="11"/>
        <color theme="0"/>
        <rFont val="Calibri"/>
        <family val="2"/>
        <scheme val="minor"/>
      </rPr>
      <t xml:space="preserve"> [barg]</t>
    </r>
  </si>
  <si>
    <t>Shaft's diameter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</si>
  <si>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 xml:space="preserve"> [mm]</t>
    </r>
  </si>
  <si>
    <t>Static differential pressure at last stage impeller's outlet</t>
  </si>
  <si>
    <t>serrated</t>
  </si>
  <si>
    <t>N/A</t>
  </si>
  <si>
    <t>Seal surface coefficient between 0.005 and 0.01</t>
  </si>
  <si>
    <t>Case</t>
  </si>
  <si>
    <t>Rear hub's diameter (equal to D_D if no balancing holes)</t>
  </si>
  <si>
    <t>F [N]</t>
  </si>
  <si>
    <t>Case to be shown in figure</t>
  </si>
  <si>
    <t>isotropic pattern</t>
  </si>
  <si>
    <t>Seal surface coefficient between 0.01 and 0.03</t>
  </si>
  <si>
    <r>
      <t>F</t>
    </r>
    <r>
      <rPr>
        <b/>
        <vertAlign val="subscript"/>
        <sz val="11"/>
        <color theme="0"/>
        <rFont val="Calibri"/>
        <family val="2"/>
        <scheme val="minor"/>
      </rPr>
      <t>sp1</t>
    </r>
    <r>
      <rPr>
        <b/>
        <sz val="11"/>
        <color theme="0"/>
        <rFont val="Calibri"/>
        <family val="2"/>
        <scheme val="minor"/>
      </rPr>
      <t xml:space="preserve"> [N]</t>
    </r>
  </si>
  <si>
    <r>
      <t>F</t>
    </r>
    <r>
      <rPr>
        <b/>
        <vertAlign val="subscript"/>
        <sz val="11"/>
        <color theme="0"/>
        <rFont val="Calibri"/>
        <family val="2"/>
        <scheme val="minor"/>
      </rPr>
      <t>sp2</t>
    </r>
    <r>
      <rPr>
        <b/>
        <sz val="11"/>
        <color theme="0"/>
        <rFont val="Calibri"/>
        <family val="2"/>
        <scheme val="minor"/>
      </rPr>
      <t xml:space="preserve"> [N]</t>
    </r>
  </si>
  <si>
    <r>
      <t>Axial thrust factor at D</t>
    </r>
    <r>
      <rPr>
        <vertAlign val="subscript"/>
        <sz val="11"/>
        <color theme="0" tint="-0.499984740745262"/>
        <rFont val="Calibri"/>
        <family val="2"/>
        <scheme val="minor"/>
      </rPr>
      <t>D</t>
    </r>
  </si>
  <si>
    <t>Factor for shroud (side 1)</t>
  </si>
  <si>
    <r>
      <t>y</t>
    </r>
    <r>
      <rPr>
        <b/>
        <vertAlign val="subscript"/>
        <sz val="11"/>
        <color theme="0"/>
        <rFont val="Calibri"/>
        <family val="2"/>
        <scheme val="minor"/>
      </rPr>
      <t>FS1</t>
    </r>
  </si>
  <si>
    <r>
      <t>y</t>
    </r>
    <r>
      <rPr>
        <b/>
        <vertAlign val="subscript"/>
        <sz val="11"/>
        <color theme="0"/>
        <rFont val="Calibri"/>
        <family val="2"/>
        <scheme val="minor"/>
      </rPr>
      <t>FS2</t>
    </r>
  </si>
  <si>
    <r>
      <t>k</t>
    </r>
    <r>
      <rPr>
        <b/>
        <vertAlign val="subscript"/>
        <sz val="11"/>
        <color theme="0"/>
        <rFont val="Calibri"/>
        <family val="2"/>
        <scheme val="minor"/>
      </rPr>
      <t>1</t>
    </r>
  </si>
  <si>
    <t>Factor for shroud (side 2)</t>
  </si>
  <si>
    <t>Rotation factor for inwards flow (side 1)</t>
  </si>
  <si>
    <r>
      <t>k</t>
    </r>
    <r>
      <rPr>
        <b/>
        <vertAlign val="subscript"/>
        <sz val="11"/>
        <color theme="0"/>
        <rFont val="Calibri"/>
        <family val="2"/>
        <scheme val="minor"/>
      </rPr>
      <t>2</t>
    </r>
  </si>
  <si>
    <t>Rotation factor for inwards flow (side 2)</t>
  </si>
  <si>
    <t>Axial thrust on shroud (side 1) (&gt; 0 directed from (2) to (1))</t>
  </si>
  <si>
    <t>Axial thrust on shroud (side 2) (&gt; 0 directed from (2) to (1))</t>
  </si>
  <si>
    <t>Resultant axial thrust (&gt; 0 directed from (2) to (1))</t>
  </si>
  <si>
    <t>Advance Mechanical Eng/ M. Di Somma</t>
  </si>
  <si>
    <t>QA/HSE N.Legato/T.Morelli Stefani</t>
  </si>
  <si>
    <t>R&amp;D &amp; Prod.Eng. Manager/M.Borghetti</t>
  </si>
  <si>
    <t xml:space="preserve">Impeller's hydraulic axial thrust
(linked to SOP-435)
</t>
  </si>
  <si>
    <t>Mod.530-0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</si>
</sst>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General_)"/>
    <numFmt numFmtId="166" formatCode="&quot;$&quot;#,##0.00;[Red]\-&quot;$&quot;#,##0.00"/>
    <numFmt numFmtId="167" formatCode="0.0"/>
    <numFmt numFmtId="168" formatCode="0.00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u/>
      <sz val="11"/>
      <name val="Calibri"/>
      <family val="2"/>
      <scheme val="minor"/>
    </font>
    <font>
      <b/>
      <sz val="11"/>
      <color theme="0"/>
      <name val="Aptos Narrow"/>
      <family val="2"/>
    </font>
    <font>
      <b/>
      <vertAlign val="superscript"/>
      <sz val="11"/>
      <color theme="0"/>
      <name val="Aptos Narrow"/>
      <family val="2"/>
    </font>
    <font>
      <vertAlign val="subscript"/>
      <sz val="11"/>
      <color theme="0" tint="-0.499984740745262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vertAlign val="subscript"/>
      <sz val="11"/>
      <color theme="0"/>
      <name val="Calibri"/>
      <family val="2"/>
    </font>
    <font>
      <b/>
      <sz val="11"/>
      <name val="Calibri"/>
      <family val="2"/>
      <scheme val="minor"/>
    </font>
    <font>
      <b/>
      <u/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0" fontId="8" fillId="0" borderId="0"/>
    <xf numFmtId="165" fontId="9" fillId="0" borderId="0"/>
    <xf numFmtId="166" fontId="15" fillId="0" borderId="0" applyFont="0" applyFill="0" applyBorder="0" applyAlignment="0" applyProtection="0"/>
  </cellStyleXfs>
  <cellXfs count="113">
    <xf numFmtId="0" fontId="0" fillId="0" borderId="0" xfId="0"/>
    <xf numFmtId="0" fontId="8" fillId="0" borderId="7" xfId="2" applyBorder="1" applyAlignment="1">
      <alignment horizontal="center" vertical="center"/>
    </xf>
    <xf numFmtId="0" fontId="8" fillId="0" borderId="8" xfId="2" applyBorder="1" applyAlignment="1">
      <alignment horizontal="center" vertical="center"/>
    </xf>
    <xf numFmtId="0" fontId="8" fillId="0" borderId="9" xfId="2" applyBorder="1" applyAlignment="1">
      <alignment horizontal="center" vertical="center"/>
    </xf>
    <xf numFmtId="0" fontId="8" fillId="0" borderId="10" xfId="2" applyBorder="1" applyAlignment="1">
      <alignment horizontal="center" vertical="center"/>
    </xf>
    <xf numFmtId="0" fontId="8" fillId="0" borderId="0" xfId="2" applyAlignment="1">
      <alignment horizontal="center" vertical="center"/>
    </xf>
    <xf numFmtId="0" fontId="8" fillId="0" borderId="11" xfId="2" applyBorder="1" applyAlignment="1">
      <alignment horizontal="center" vertical="center"/>
    </xf>
    <xf numFmtId="0" fontId="10" fillId="0" borderId="0" xfId="2" applyFont="1" applyAlignment="1">
      <alignment horizontal="center" vertical="top"/>
    </xf>
    <xf numFmtId="0" fontId="8" fillId="0" borderId="0" xfId="2" applyAlignment="1">
      <alignment horizontal="center"/>
    </xf>
    <xf numFmtId="0" fontId="11" fillId="0" borderId="0" xfId="2" applyFont="1" applyAlignment="1">
      <alignment horizontal="center" vertical="top"/>
    </xf>
    <xf numFmtId="0" fontId="12" fillId="0" borderId="11" xfId="2" applyFont="1" applyBorder="1" applyAlignment="1">
      <alignment horizontal="center" vertical="top"/>
    </xf>
    <xf numFmtId="0" fontId="13" fillId="0" borderId="10" xfId="2" applyFont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3" fillId="0" borderId="11" xfId="2" applyFont="1" applyBorder="1" applyAlignment="1">
      <alignment horizontal="center" vertical="center"/>
    </xf>
    <xf numFmtId="165" fontId="9" fillId="0" borderId="0" xfId="3"/>
    <xf numFmtId="0" fontId="0" fillId="0" borderId="0" xfId="0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7" fontId="2" fillId="2" borderId="4" xfId="0" applyNumberFormat="1" applyFont="1" applyFill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168" fontId="3" fillId="0" borderId="4" xfId="0" applyNumberFormat="1" applyFont="1" applyBorder="1" applyAlignment="1">
      <alignment horizontal="center" vertical="center"/>
    </xf>
    <xf numFmtId="11" fontId="3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7" fontId="3" fillId="0" borderId="4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0" fontId="22" fillId="0" borderId="28" xfId="0" applyFont="1" applyBorder="1" applyAlignment="1">
      <alignment vertical="center" wrapText="1"/>
    </xf>
    <xf numFmtId="0" fontId="22" fillId="0" borderId="29" xfId="0" applyFont="1" applyBorder="1" applyAlignment="1">
      <alignment horizontal="center" vertical="center" wrapText="1"/>
    </xf>
    <xf numFmtId="0" fontId="23" fillId="0" borderId="30" xfId="0" applyFont="1" applyBorder="1" applyAlignment="1">
      <alignment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31" xfId="0" applyFont="1" applyBorder="1" applyAlignment="1">
      <alignment vertical="center" wrapText="1"/>
    </xf>
    <xf numFmtId="0" fontId="1" fillId="0" borderId="0" xfId="0" applyFont="1" applyAlignment="1">
      <alignment horizontal="left" vertical="center"/>
    </xf>
    <xf numFmtId="2" fontId="2" fillId="2" borderId="4" xfId="0" applyNumberFormat="1" applyFont="1" applyFill="1" applyBorder="1" applyAlignment="1" applyProtection="1">
      <alignment horizontal="center" vertical="center"/>
      <protection locked="0"/>
    </xf>
    <xf numFmtId="164" fontId="2" fillId="2" borderId="4" xfId="0" applyNumberFormat="1" applyFont="1" applyFill="1" applyBorder="1" applyAlignment="1" applyProtection="1">
      <alignment horizontal="center" vertical="center"/>
      <protection locked="0"/>
    </xf>
    <xf numFmtId="1" fontId="2" fillId="2" borderId="4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167" fontId="2" fillId="2" borderId="4" xfId="0" applyNumberFormat="1" applyFont="1" applyFill="1" applyBorder="1" applyAlignment="1" applyProtection="1">
      <alignment horizontal="center" vertical="center"/>
      <protection locked="0"/>
    </xf>
    <xf numFmtId="167" fontId="1" fillId="0" borderId="0" xfId="0" applyNumberFormat="1" applyFont="1" applyAlignment="1">
      <alignment horizontal="left" vertical="center"/>
    </xf>
    <xf numFmtId="0" fontId="23" fillId="0" borderId="32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30" xfId="0" applyFont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" fillId="4" borderId="3" xfId="0" applyFont="1" applyFill="1" applyBorder="1" applyAlignment="1">
      <alignment horizontal="center" vertical="center" wrapText="1"/>
    </xf>
    <xf numFmtId="1" fontId="2" fillId="2" borderId="3" xfId="0" applyNumberFormat="1" applyFont="1" applyFill="1" applyBorder="1" applyAlignment="1" applyProtection="1">
      <alignment horizontal="center" vertical="center"/>
      <protection locked="0"/>
    </xf>
    <xf numFmtId="2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" fontId="0" fillId="0" borderId="0" xfId="0" applyNumberFormat="1"/>
    <xf numFmtId="166" fontId="8" fillId="0" borderId="12" xfId="4" applyFont="1" applyBorder="1" applyAlignment="1">
      <alignment horizontal="right" vertical="center"/>
    </xf>
    <xf numFmtId="166" fontId="9" fillId="0" borderId="13" xfId="4" applyFont="1" applyBorder="1" applyAlignment="1">
      <alignment horizontal="right" vertical="center"/>
    </xf>
    <xf numFmtId="166" fontId="9" fillId="0" borderId="14" xfId="4" applyFont="1" applyBorder="1" applyAlignment="1">
      <alignment horizontal="right" vertical="center"/>
    </xf>
    <xf numFmtId="166" fontId="8" fillId="0" borderId="22" xfId="4" applyFont="1" applyBorder="1" applyAlignment="1">
      <alignment horizontal="center" vertical="center"/>
    </xf>
    <xf numFmtId="166" fontId="8" fillId="0" borderId="23" xfId="4" applyFont="1" applyBorder="1" applyAlignment="1">
      <alignment horizontal="center" vertical="center"/>
    </xf>
    <xf numFmtId="0" fontId="16" fillId="0" borderId="24" xfId="2" applyFont="1" applyBorder="1" applyAlignment="1">
      <alignment horizontal="center" vertical="center"/>
    </xf>
    <xf numFmtId="0" fontId="16" fillId="0" borderId="25" xfId="2" applyFont="1" applyBorder="1" applyAlignment="1">
      <alignment horizontal="center" vertical="center"/>
    </xf>
    <xf numFmtId="0" fontId="16" fillId="0" borderId="23" xfId="2" applyFont="1" applyBorder="1" applyAlignment="1">
      <alignment horizontal="center" vertical="center"/>
    </xf>
    <xf numFmtId="0" fontId="16" fillId="0" borderId="26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21" xfId="2" applyFont="1" applyBorder="1" applyAlignment="1">
      <alignment horizontal="center" vertical="center" wrapText="1"/>
    </xf>
    <xf numFmtId="0" fontId="8" fillId="0" borderId="20" xfId="2" applyBorder="1" applyAlignment="1">
      <alignment horizontal="center" vertical="center"/>
    </xf>
    <xf numFmtId="0" fontId="8" fillId="0" borderId="2" xfId="2" applyBorder="1" applyAlignment="1">
      <alignment horizontal="center" vertical="center"/>
    </xf>
    <xf numFmtId="0" fontId="8" fillId="0" borderId="1" xfId="2" applyBorder="1" applyAlignment="1">
      <alignment horizontal="center" vertical="center"/>
    </xf>
    <xf numFmtId="0" fontId="8" fillId="0" borderId="5" xfId="2" applyBorder="1" applyAlignment="1">
      <alignment horizontal="center" vertical="center"/>
    </xf>
    <xf numFmtId="0" fontId="8" fillId="0" borderId="21" xfId="2" applyBorder="1" applyAlignment="1">
      <alignment horizontal="center" vertical="center"/>
    </xf>
    <xf numFmtId="0" fontId="15" fillId="0" borderId="20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14" fontId="15" fillId="0" borderId="1" xfId="2" applyNumberFormat="1" applyFont="1" applyBorder="1" applyAlignment="1">
      <alignment horizontal="center" vertical="center"/>
    </xf>
    <xf numFmtId="14" fontId="15" fillId="0" borderId="5" xfId="2" applyNumberFormat="1" applyFont="1" applyBorder="1" applyAlignment="1">
      <alignment horizontal="center" vertical="center"/>
    </xf>
    <xf numFmtId="14" fontId="15" fillId="0" borderId="2" xfId="2" applyNumberFormat="1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 wrapText="1"/>
    </xf>
    <xf numFmtId="0" fontId="13" fillId="0" borderId="7" xfId="2" applyFont="1" applyBorder="1" applyAlignment="1">
      <alignment horizontal="center" vertical="center" wrapText="1"/>
    </xf>
    <xf numFmtId="0" fontId="13" fillId="0" borderId="8" xfId="2" applyFont="1" applyBorder="1" applyAlignment="1">
      <alignment horizontal="center" vertical="center" wrapText="1"/>
    </xf>
    <xf numFmtId="0" fontId="13" fillId="0" borderId="9" xfId="2" applyFont="1" applyBorder="1" applyAlignment="1">
      <alignment horizontal="center" vertical="center" wrapText="1"/>
    </xf>
    <xf numFmtId="0" fontId="13" fillId="0" borderId="10" xfId="2" applyFont="1" applyBorder="1" applyAlignment="1">
      <alignment horizontal="center" vertical="center" wrapText="1"/>
    </xf>
    <xf numFmtId="0" fontId="13" fillId="0" borderId="0" xfId="2" applyFont="1" applyAlignment="1">
      <alignment horizontal="center" vertical="center" wrapText="1"/>
    </xf>
    <xf numFmtId="0" fontId="13" fillId="0" borderId="11" xfId="2" applyFont="1" applyBorder="1" applyAlignment="1">
      <alignment horizontal="center" vertical="center" wrapText="1"/>
    </xf>
    <xf numFmtId="0" fontId="13" fillId="0" borderId="12" xfId="2" applyFont="1" applyBorder="1" applyAlignment="1">
      <alignment horizontal="center" vertical="center" wrapText="1"/>
    </xf>
    <xf numFmtId="0" fontId="13" fillId="0" borderId="13" xfId="2" applyFont="1" applyBorder="1" applyAlignment="1">
      <alignment horizontal="center" vertical="center" wrapText="1"/>
    </xf>
    <xf numFmtId="0" fontId="13" fillId="0" borderId="14" xfId="2" applyFont="1" applyBorder="1" applyAlignment="1">
      <alignment horizontal="center" vertical="center" wrapText="1"/>
    </xf>
    <xf numFmtId="0" fontId="8" fillId="0" borderId="15" xfId="2" applyBorder="1" applyAlignment="1">
      <alignment horizontal="center" vertical="center"/>
    </xf>
    <xf numFmtId="0" fontId="8" fillId="0" borderId="16" xfId="2" applyBorder="1" applyAlignment="1">
      <alignment horizontal="center" vertical="center"/>
    </xf>
    <xf numFmtId="0" fontId="8" fillId="0" borderId="17" xfId="2" applyBorder="1" applyAlignment="1">
      <alignment horizontal="center" vertical="center"/>
    </xf>
    <xf numFmtId="0" fontId="8" fillId="0" borderId="18" xfId="2" applyBorder="1" applyAlignment="1">
      <alignment horizontal="center" vertical="center"/>
    </xf>
    <xf numFmtId="0" fontId="8" fillId="0" borderId="19" xfId="2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28" fillId="4" borderId="5" xfId="0" applyFont="1" applyFill="1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0" fontId="25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34" xfId="0" applyFont="1" applyBorder="1" applyAlignment="1">
      <alignment horizontal="center"/>
    </xf>
    <xf numFmtId="0" fontId="27" fillId="0" borderId="35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5">
    <cellStyle name="Normale" xfId="0" builtinId="0"/>
    <cellStyle name="Normale 2 2" xfId="1" xr:uid="{79E78FE6-6785-4F03-BE1C-DEFA1DD98CB4}"/>
    <cellStyle name="Normale 3" xfId="3" xr:uid="{C94E8FEC-2BF8-4E54-99EC-CB44CE5E9CC2}"/>
    <cellStyle name="Normale 4" xfId="2" xr:uid="{2BE62D9E-FAE4-4F5C-B253-36CFDAF8412A}"/>
    <cellStyle name="Valuta 2" xfId="4" xr:uid="{1A194BAC-DB65-4116-81AF-65FC861C00B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ANSI/HI-1.3 -</a:t>
            </a:r>
            <a:r>
              <a:rPr lang="it-IT" baseline="0"/>
              <a:t> Pressure distribution factor on impeller shrouds for various specific speeds (only for inward flow in rear shroud)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v>7.5-23</c:v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'single_suction-1'!$M$12:$M$48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0.19999999999999998</c:v>
                </c:pt>
                <c:pt idx="5">
                  <c:v>0.22499999999999998</c:v>
                </c:pt>
                <c:pt idx="6">
                  <c:v>0.24999999999999997</c:v>
                </c:pt>
                <c:pt idx="7">
                  <c:v>0.27499999999999997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0.35000000000000003</c:v>
                </c:pt>
                <c:pt idx="11">
                  <c:v>0.37500000000000006</c:v>
                </c:pt>
                <c:pt idx="12">
                  <c:v>0.40000000000000008</c:v>
                </c:pt>
                <c:pt idx="13">
                  <c:v>0.4250000000000001</c:v>
                </c:pt>
                <c:pt idx="14">
                  <c:v>0.45000000000000012</c:v>
                </c:pt>
                <c:pt idx="15">
                  <c:v>0.47500000000000014</c:v>
                </c:pt>
                <c:pt idx="16">
                  <c:v>0.50000000000000011</c:v>
                </c:pt>
                <c:pt idx="17">
                  <c:v>0.52500000000000013</c:v>
                </c:pt>
                <c:pt idx="18">
                  <c:v>0.55000000000000016</c:v>
                </c:pt>
                <c:pt idx="19">
                  <c:v>0.57500000000000018</c:v>
                </c:pt>
                <c:pt idx="20">
                  <c:v>0.6000000000000002</c:v>
                </c:pt>
                <c:pt idx="21">
                  <c:v>0.62500000000000022</c:v>
                </c:pt>
                <c:pt idx="22">
                  <c:v>0.65000000000000024</c:v>
                </c:pt>
                <c:pt idx="23">
                  <c:v>0.67500000000000027</c:v>
                </c:pt>
                <c:pt idx="24">
                  <c:v>0.70000000000000029</c:v>
                </c:pt>
                <c:pt idx="25">
                  <c:v>0.72500000000000031</c:v>
                </c:pt>
                <c:pt idx="26">
                  <c:v>0.75000000000000033</c:v>
                </c:pt>
                <c:pt idx="27">
                  <c:v>0.77500000000000036</c:v>
                </c:pt>
                <c:pt idx="28">
                  <c:v>0.80000000000000038</c:v>
                </c:pt>
                <c:pt idx="29">
                  <c:v>0.8250000000000004</c:v>
                </c:pt>
                <c:pt idx="30">
                  <c:v>0.85000000000000042</c:v>
                </c:pt>
                <c:pt idx="31">
                  <c:v>0.87500000000000044</c:v>
                </c:pt>
                <c:pt idx="32">
                  <c:v>0.90000000000000047</c:v>
                </c:pt>
                <c:pt idx="33">
                  <c:v>0.92500000000000049</c:v>
                </c:pt>
                <c:pt idx="34">
                  <c:v>0.95000000000000051</c:v>
                </c:pt>
                <c:pt idx="35">
                  <c:v>0.97500000000000053</c:v>
                </c:pt>
                <c:pt idx="36">
                  <c:v>1.0000000000000004</c:v>
                </c:pt>
              </c:numCache>
            </c:numRef>
          </c:xVal>
          <c:yVal>
            <c:numRef>
              <c:f>'single_suction-1'!$O$12:$O$48</c:f>
              <c:numCache>
                <c:formatCode>0.000</c:formatCode>
                <c:ptCount val="37"/>
                <c:pt idx="0">
                  <c:v>0.59993264267084612</c:v>
                </c:pt>
                <c:pt idx="1">
                  <c:v>0.60109360616076046</c:v>
                </c:pt>
                <c:pt idx="2">
                  <c:v>0.6029575252316195</c:v>
                </c:pt>
                <c:pt idx="3">
                  <c:v>0.60315283773161932</c:v>
                </c:pt>
                <c:pt idx="4">
                  <c:v>0.60649565223179724</c:v>
                </c:pt>
                <c:pt idx="5">
                  <c:v>0.60873667740298809</c:v>
                </c:pt>
                <c:pt idx="6">
                  <c:v>0.60909591808876196</c:v>
                </c:pt>
                <c:pt idx="7">
                  <c:v>0.61143781462318081</c:v>
                </c:pt>
                <c:pt idx="8">
                  <c:v>0.61461472730250366</c:v>
                </c:pt>
                <c:pt idx="9">
                  <c:v>0.61681839045422715</c:v>
                </c:pt>
                <c:pt idx="10">
                  <c:v>0.61925903572920671</c:v>
                </c:pt>
                <c:pt idx="11">
                  <c:v>0.62194615079304383</c:v>
                </c:pt>
                <c:pt idx="12">
                  <c:v>0.62350632219605728</c:v>
                </c:pt>
                <c:pt idx="13">
                  <c:v>0.62807661091992628</c:v>
                </c:pt>
                <c:pt idx="14">
                  <c:v>0.63080954499238784</c:v>
                </c:pt>
                <c:pt idx="15">
                  <c:v>0.63587145585777627</c:v>
                </c:pt>
                <c:pt idx="16">
                  <c:v>0.63962057957659235</c:v>
                </c:pt>
                <c:pt idx="17">
                  <c:v>0.64457883067540189</c:v>
                </c:pt>
                <c:pt idx="18">
                  <c:v>0.65047402072199567</c:v>
                </c:pt>
                <c:pt idx="19">
                  <c:v>0.65481664936112882</c:v>
                </c:pt>
                <c:pt idx="20">
                  <c:v>0.65922129896005532</c:v>
                </c:pt>
                <c:pt idx="21">
                  <c:v>0.66413757343151691</c:v>
                </c:pt>
                <c:pt idx="22">
                  <c:v>0.66974882956259663</c:v>
                </c:pt>
                <c:pt idx="23">
                  <c:v>0.67511245158301847</c:v>
                </c:pt>
                <c:pt idx="24">
                  <c:v>0.67832976010546508</c:v>
                </c:pt>
                <c:pt idx="25">
                  <c:v>0.68404507128155811</c:v>
                </c:pt>
                <c:pt idx="26">
                  <c:v>0.68922063101237896</c:v>
                </c:pt>
                <c:pt idx="27">
                  <c:v>0.69501951333998302</c:v>
                </c:pt>
                <c:pt idx="28">
                  <c:v>0.70120514873029149</c:v>
                </c:pt>
                <c:pt idx="29">
                  <c:v>0.70654501761949706</c:v>
                </c:pt>
                <c:pt idx="30">
                  <c:v>0.71281848780954715</c:v>
                </c:pt>
                <c:pt idx="31">
                  <c:v>0.71868028852171784</c:v>
                </c:pt>
                <c:pt idx="32">
                  <c:v>0.72469728542873135</c:v>
                </c:pt>
                <c:pt idx="33">
                  <c:v>0.73178386393642503</c:v>
                </c:pt>
                <c:pt idx="34">
                  <c:v>0.7374340650635024</c:v>
                </c:pt>
                <c:pt idx="35">
                  <c:v>0.74468530716578263</c:v>
                </c:pt>
                <c:pt idx="36">
                  <c:v>0.75213633238844746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F3F-46AF-94E2-86F1CDCB8BCC}"/>
            </c:ext>
          </c:extLst>
        </c:ser>
        <c:ser>
          <c:idx val="2"/>
          <c:order val="1"/>
          <c:tx>
            <c:strRef>
              <c:f>'single_suction-1'!$P$11</c:f>
              <c:strCache>
                <c:ptCount val="1"/>
                <c:pt idx="0">
                  <c:v>29</c:v>
                </c:pt>
              </c:strCache>
            </c:strRef>
          </c:tx>
          <c:spPr>
            <a:ln w="190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'single_suction-1'!$M$12:$M$48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0.19999999999999998</c:v>
                </c:pt>
                <c:pt idx="5">
                  <c:v>0.22499999999999998</c:v>
                </c:pt>
                <c:pt idx="6">
                  <c:v>0.24999999999999997</c:v>
                </c:pt>
                <c:pt idx="7">
                  <c:v>0.27499999999999997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0.35000000000000003</c:v>
                </c:pt>
                <c:pt idx="11">
                  <c:v>0.37500000000000006</c:v>
                </c:pt>
                <c:pt idx="12">
                  <c:v>0.40000000000000008</c:v>
                </c:pt>
                <c:pt idx="13">
                  <c:v>0.4250000000000001</c:v>
                </c:pt>
                <c:pt idx="14">
                  <c:v>0.45000000000000012</c:v>
                </c:pt>
                <c:pt idx="15">
                  <c:v>0.47500000000000014</c:v>
                </c:pt>
                <c:pt idx="16">
                  <c:v>0.50000000000000011</c:v>
                </c:pt>
                <c:pt idx="17">
                  <c:v>0.52500000000000013</c:v>
                </c:pt>
                <c:pt idx="18">
                  <c:v>0.55000000000000016</c:v>
                </c:pt>
                <c:pt idx="19">
                  <c:v>0.57500000000000018</c:v>
                </c:pt>
                <c:pt idx="20">
                  <c:v>0.6000000000000002</c:v>
                </c:pt>
                <c:pt idx="21">
                  <c:v>0.62500000000000022</c:v>
                </c:pt>
                <c:pt idx="22">
                  <c:v>0.65000000000000024</c:v>
                </c:pt>
                <c:pt idx="23">
                  <c:v>0.67500000000000027</c:v>
                </c:pt>
                <c:pt idx="24">
                  <c:v>0.70000000000000029</c:v>
                </c:pt>
                <c:pt idx="25">
                  <c:v>0.72500000000000031</c:v>
                </c:pt>
                <c:pt idx="26">
                  <c:v>0.75000000000000033</c:v>
                </c:pt>
                <c:pt idx="27">
                  <c:v>0.77500000000000036</c:v>
                </c:pt>
                <c:pt idx="28">
                  <c:v>0.80000000000000038</c:v>
                </c:pt>
                <c:pt idx="29">
                  <c:v>0.8250000000000004</c:v>
                </c:pt>
                <c:pt idx="30">
                  <c:v>0.85000000000000042</c:v>
                </c:pt>
                <c:pt idx="31">
                  <c:v>0.87500000000000044</c:v>
                </c:pt>
                <c:pt idx="32">
                  <c:v>0.90000000000000047</c:v>
                </c:pt>
                <c:pt idx="33">
                  <c:v>0.92500000000000049</c:v>
                </c:pt>
                <c:pt idx="34">
                  <c:v>0.95000000000000051</c:v>
                </c:pt>
                <c:pt idx="35">
                  <c:v>0.97500000000000053</c:v>
                </c:pt>
                <c:pt idx="36">
                  <c:v>1.0000000000000004</c:v>
                </c:pt>
              </c:numCache>
            </c:numRef>
          </c:xVal>
          <c:yVal>
            <c:numRef>
              <c:f>'single_suction-1'!$P$12:$P$48</c:f>
              <c:numCache>
                <c:formatCode>0.000</c:formatCode>
                <c:ptCount val="37"/>
                <c:pt idx="0">
                  <c:v>0.62134547872645829</c:v>
                </c:pt>
                <c:pt idx="1">
                  <c:v>0.62471358417373024</c:v>
                </c:pt>
                <c:pt idx="2">
                  <c:v>0.62878516438015208</c:v>
                </c:pt>
                <c:pt idx="3">
                  <c:v>0.63103801265518822</c:v>
                </c:pt>
                <c:pt idx="4">
                  <c:v>0.63575102496911839</c:v>
                </c:pt>
                <c:pt idx="5">
                  <c:v>0.63834755734984894</c:v>
                </c:pt>
                <c:pt idx="6">
                  <c:v>0.64161631112175854</c:v>
                </c:pt>
                <c:pt idx="7">
                  <c:v>0.64689986916345255</c:v>
                </c:pt>
                <c:pt idx="8">
                  <c:v>0.65145227466979694</c:v>
                </c:pt>
                <c:pt idx="9">
                  <c:v>0.65549311419767775</c:v>
                </c:pt>
                <c:pt idx="10">
                  <c:v>0.66071729077669483</c:v>
                </c:pt>
                <c:pt idx="11">
                  <c:v>0.66577498702712401</c:v>
                </c:pt>
                <c:pt idx="12">
                  <c:v>0.66853979057508106</c:v>
                </c:pt>
                <c:pt idx="13">
                  <c:v>0.67411204503268596</c:v>
                </c:pt>
                <c:pt idx="14">
                  <c:v>0.67674478084332368</c:v>
                </c:pt>
                <c:pt idx="15">
                  <c:v>0.68018629680781773</c:v>
                </c:pt>
                <c:pt idx="16">
                  <c:v>0.68465758882452199</c:v>
                </c:pt>
                <c:pt idx="17">
                  <c:v>0.68923771588250371</c:v>
                </c:pt>
                <c:pt idx="18">
                  <c:v>0.69454827173053246</c:v>
                </c:pt>
                <c:pt idx="19">
                  <c:v>0.69860886725475968</c:v>
                </c:pt>
                <c:pt idx="20">
                  <c:v>0.70289681221463807</c:v>
                </c:pt>
                <c:pt idx="21">
                  <c:v>0.70984212543101255</c:v>
                </c:pt>
                <c:pt idx="22">
                  <c:v>0.71609038846213868</c:v>
                </c:pt>
                <c:pt idx="23">
                  <c:v>0.72226608023468664</c:v>
                </c:pt>
                <c:pt idx="24">
                  <c:v>0.72684620729266813</c:v>
                </c:pt>
                <c:pt idx="25">
                  <c:v>0.73274715043058436</c:v>
                </c:pt>
                <c:pt idx="26">
                  <c:v>0.73863010075556135</c:v>
                </c:pt>
                <c:pt idx="27">
                  <c:v>0.74373652888260233</c:v>
                </c:pt>
                <c:pt idx="28">
                  <c:v>0.75010979376050391</c:v>
                </c:pt>
                <c:pt idx="29">
                  <c:v>0.75728115566212872</c:v>
                </c:pt>
                <c:pt idx="30">
                  <c:v>0.76231843566189439</c:v>
                </c:pt>
                <c:pt idx="31">
                  <c:v>0.76824800807552007</c:v>
                </c:pt>
                <c:pt idx="32">
                  <c:v>0.77483475280509462</c:v>
                </c:pt>
                <c:pt idx="33">
                  <c:v>0.78099185115461112</c:v>
                </c:pt>
                <c:pt idx="34">
                  <c:v>0.78709418963098543</c:v>
                </c:pt>
                <c:pt idx="35">
                  <c:v>0.79319652810735963</c:v>
                </c:pt>
                <c:pt idx="36">
                  <c:v>0.79929886658373384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3F-46AF-94E2-86F1CDCB8BCC}"/>
            </c:ext>
          </c:extLst>
        </c:ser>
        <c:ser>
          <c:idx val="1"/>
          <c:order val="2"/>
          <c:tx>
            <c:strRef>
              <c:f>'single_suction-1'!$Q$11</c:f>
              <c:strCache>
                <c:ptCount val="1"/>
                <c:pt idx="0">
                  <c:v>38</c:v>
                </c:pt>
              </c:strCache>
            </c:strRef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'single_suction-1'!$M$12:$M$48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0.19999999999999998</c:v>
                </c:pt>
                <c:pt idx="5">
                  <c:v>0.22499999999999998</c:v>
                </c:pt>
                <c:pt idx="6">
                  <c:v>0.24999999999999997</c:v>
                </c:pt>
                <c:pt idx="7">
                  <c:v>0.27499999999999997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0.35000000000000003</c:v>
                </c:pt>
                <c:pt idx="11">
                  <c:v>0.37500000000000006</c:v>
                </c:pt>
                <c:pt idx="12">
                  <c:v>0.40000000000000008</c:v>
                </c:pt>
                <c:pt idx="13">
                  <c:v>0.4250000000000001</c:v>
                </c:pt>
                <c:pt idx="14">
                  <c:v>0.45000000000000012</c:v>
                </c:pt>
                <c:pt idx="15">
                  <c:v>0.47500000000000014</c:v>
                </c:pt>
                <c:pt idx="16">
                  <c:v>0.50000000000000011</c:v>
                </c:pt>
                <c:pt idx="17">
                  <c:v>0.52500000000000013</c:v>
                </c:pt>
                <c:pt idx="18">
                  <c:v>0.55000000000000016</c:v>
                </c:pt>
                <c:pt idx="19">
                  <c:v>0.57500000000000018</c:v>
                </c:pt>
                <c:pt idx="20">
                  <c:v>0.6000000000000002</c:v>
                </c:pt>
                <c:pt idx="21">
                  <c:v>0.62500000000000022</c:v>
                </c:pt>
                <c:pt idx="22">
                  <c:v>0.65000000000000024</c:v>
                </c:pt>
                <c:pt idx="23">
                  <c:v>0.67500000000000027</c:v>
                </c:pt>
                <c:pt idx="24">
                  <c:v>0.70000000000000029</c:v>
                </c:pt>
                <c:pt idx="25">
                  <c:v>0.72500000000000031</c:v>
                </c:pt>
                <c:pt idx="26">
                  <c:v>0.75000000000000033</c:v>
                </c:pt>
                <c:pt idx="27">
                  <c:v>0.77500000000000036</c:v>
                </c:pt>
                <c:pt idx="28">
                  <c:v>0.80000000000000038</c:v>
                </c:pt>
                <c:pt idx="29">
                  <c:v>0.8250000000000004</c:v>
                </c:pt>
                <c:pt idx="30">
                  <c:v>0.85000000000000042</c:v>
                </c:pt>
                <c:pt idx="31">
                  <c:v>0.87500000000000044</c:v>
                </c:pt>
                <c:pt idx="32">
                  <c:v>0.90000000000000047</c:v>
                </c:pt>
                <c:pt idx="33">
                  <c:v>0.92500000000000049</c:v>
                </c:pt>
                <c:pt idx="34">
                  <c:v>0.95000000000000051</c:v>
                </c:pt>
                <c:pt idx="35">
                  <c:v>0.97500000000000053</c:v>
                </c:pt>
                <c:pt idx="36">
                  <c:v>1.0000000000000004</c:v>
                </c:pt>
              </c:numCache>
            </c:numRef>
          </c:xVal>
          <c:yVal>
            <c:numRef>
              <c:f>'single_suction-1'!$Q$12:$Q$48</c:f>
              <c:numCache>
                <c:formatCode>0.000</c:formatCode>
                <c:ptCount val="37"/>
                <c:pt idx="0">
                  <c:v>0.62408588437953616</c:v>
                </c:pt>
                <c:pt idx="1">
                  <c:v>0.62904633711506863</c:v>
                </c:pt>
                <c:pt idx="2">
                  <c:v>0.63385010951264853</c:v>
                </c:pt>
                <c:pt idx="3">
                  <c:v>0.63783562873798572</c:v>
                </c:pt>
                <c:pt idx="4">
                  <c:v>0.64265593856434333</c:v>
                </c:pt>
                <c:pt idx="5">
                  <c:v>0.64876723105483924</c:v>
                </c:pt>
                <c:pt idx="6">
                  <c:v>0.65401831421160816</c:v>
                </c:pt>
                <c:pt idx="7">
                  <c:v>0.65743016651236363</c:v>
                </c:pt>
                <c:pt idx="8">
                  <c:v>0.66370946207153048</c:v>
                </c:pt>
                <c:pt idx="9">
                  <c:v>0.67013498525851711</c:v>
                </c:pt>
                <c:pt idx="10">
                  <c:v>0.6794480898230375</c:v>
                </c:pt>
                <c:pt idx="11">
                  <c:v>0.6873761946931316</c:v>
                </c:pt>
                <c:pt idx="12">
                  <c:v>0.6950994304717748</c:v>
                </c:pt>
                <c:pt idx="13">
                  <c:v>0.70228903860987113</c:v>
                </c:pt>
                <c:pt idx="14">
                  <c:v>0.71080837710730327</c:v>
                </c:pt>
                <c:pt idx="15">
                  <c:v>0.71862619469313127</c:v>
                </c:pt>
                <c:pt idx="16">
                  <c:v>0.72737779257636204</c:v>
                </c:pt>
                <c:pt idx="17">
                  <c:v>0.73398124363291428</c:v>
                </c:pt>
                <c:pt idx="18">
                  <c:v>0.74253043048538336</c:v>
                </c:pt>
                <c:pt idx="19">
                  <c:v>0.75173553303448148</c:v>
                </c:pt>
                <c:pt idx="20">
                  <c:v>0.75947554895230129</c:v>
                </c:pt>
                <c:pt idx="21">
                  <c:v>0.76949251417109144</c:v>
                </c:pt>
                <c:pt idx="22">
                  <c:v>0.77864328938210103</c:v>
                </c:pt>
                <c:pt idx="23">
                  <c:v>0.78802474402686562</c:v>
                </c:pt>
                <c:pt idx="24">
                  <c:v>0.79855905678020966</c:v>
                </c:pt>
                <c:pt idx="25">
                  <c:v>0.80874716852572337</c:v>
                </c:pt>
                <c:pt idx="26">
                  <c:v>0.82060738149012846</c:v>
                </c:pt>
                <c:pt idx="27">
                  <c:v>0.83123987884292039</c:v>
                </c:pt>
                <c:pt idx="28">
                  <c:v>0.84391096790221587</c:v>
                </c:pt>
                <c:pt idx="29">
                  <c:v>0.85427295005322756</c:v>
                </c:pt>
                <c:pt idx="30">
                  <c:v>0.86593014513446587</c:v>
                </c:pt>
                <c:pt idx="31">
                  <c:v>0.87611303997629131</c:v>
                </c:pt>
                <c:pt idx="32">
                  <c:v>0.88988306194911559</c:v>
                </c:pt>
                <c:pt idx="33">
                  <c:v>0.90156163445834403</c:v>
                </c:pt>
                <c:pt idx="34">
                  <c:v>0.91319952788960124</c:v>
                </c:pt>
                <c:pt idx="35">
                  <c:v>0.92613233359921132</c:v>
                </c:pt>
                <c:pt idx="36">
                  <c:v>0.93962828616391336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3F-46AF-94E2-86F1CDCB8BCC}"/>
            </c:ext>
          </c:extLst>
        </c:ser>
        <c:ser>
          <c:idx val="0"/>
          <c:order val="3"/>
          <c:tx>
            <c:strRef>
              <c:f>'single_suction-1'!$R$11</c:f>
              <c:strCache>
                <c:ptCount val="1"/>
                <c:pt idx="0">
                  <c:v>67</c:v>
                </c:pt>
              </c:strCache>
            </c:strRef>
          </c:tx>
          <c:spPr>
            <a:ln w="19050" cap="rnd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'single_suction-1'!$M$12:$M$48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0.19999999999999998</c:v>
                </c:pt>
                <c:pt idx="5">
                  <c:v>0.22499999999999998</c:v>
                </c:pt>
                <c:pt idx="6">
                  <c:v>0.24999999999999997</c:v>
                </c:pt>
                <c:pt idx="7">
                  <c:v>0.27499999999999997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0.35000000000000003</c:v>
                </c:pt>
                <c:pt idx="11">
                  <c:v>0.37500000000000006</c:v>
                </c:pt>
                <c:pt idx="12">
                  <c:v>0.40000000000000008</c:v>
                </c:pt>
                <c:pt idx="13">
                  <c:v>0.4250000000000001</c:v>
                </c:pt>
                <c:pt idx="14">
                  <c:v>0.45000000000000012</c:v>
                </c:pt>
                <c:pt idx="15">
                  <c:v>0.47500000000000014</c:v>
                </c:pt>
                <c:pt idx="16">
                  <c:v>0.50000000000000011</c:v>
                </c:pt>
                <c:pt idx="17">
                  <c:v>0.52500000000000013</c:v>
                </c:pt>
                <c:pt idx="18">
                  <c:v>0.55000000000000016</c:v>
                </c:pt>
                <c:pt idx="19">
                  <c:v>0.57500000000000018</c:v>
                </c:pt>
                <c:pt idx="20">
                  <c:v>0.6000000000000002</c:v>
                </c:pt>
                <c:pt idx="21">
                  <c:v>0.62500000000000022</c:v>
                </c:pt>
                <c:pt idx="22">
                  <c:v>0.65000000000000024</c:v>
                </c:pt>
                <c:pt idx="23">
                  <c:v>0.67500000000000027</c:v>
                </c:pt>
                <c:pt idx="24">
                  <c:v>0.70000000000000029</c:v>
                </c:pt>
                <c:pt idx="25">
                  <c:v>0.72500000000000031</c:v>
                </c:pt>
                <c:pt idx="26">
                  <c:v>0.75000000000000033</c:v>
                </c:pt>
                <c:pt idx="27">
                  <c:v>0.77500000000000036</c:v>
                </c:pt>
                <c:pt idx="28">
                  <c:v>0.80000000000000038</c:v>
                </c:pt>
                <c:pt idx="29">
                  <c:v>0.8250000000000004</c:v>
                </c:pt>
                <c:pt idx="30">
                  <c:v>0.85000000000000042</c:v>
                </c:pt>
                <c:pt idx="31">
                  <c:v>0.87500000000000044</c:v>
                </c:pt>
                <c:pt idx="32">
                  <c:v>0.90000000000000047</c:v>
                </c:pt>
                <c:pt idx="33">
                  <c:v>0.92500000000000049</c:v>
                </c:pt>
                <c:pt idx="34">
                  <c:v>0.95000000000000051</c:v>
                </c:pt>
                <c:pt idx="35">
                  <c:v>0.97500000000000053</c:v>
                </c:pt>
                <c:pt idx="36">
                  <c:v>1.0000000000000004</c:v>
                </c:pt>
              </c:numCache>
            </c:numRef>
          </c:xVal>
          <c:yVal>
            <c:numRef>
              <c:f>'single_suction-1'!$R$12:$R$48</c:f>
              <c:numCache>
                <c:formatCode>0.000</c:formatCode>
                <c:ptCount val="37"/>
                <c:pt idx="0">
                  <c:v>0.63194692566064548</c:v>
                </c:pt>
                <c:pt idx="1">
                  <c:v>0.63654433494026119</c:v>
                </c:pt>
                <c:pt idx="2">
                  <c:v>0.64069361726458596</c:v>
                </c:pt>
                <c:pt idx="3">
                  <c:v>0.64621310993145242</c:v>
                </c:pt>
                <c:pt idx="4">
                  <c:v>0.65139421648420748</c:v>
                </c:pt>
                <c:pt idx="5">
                  <c:v>0.6565932810703512</c:v>
                </c:pt>
                <c:pt idx="6">
                  <c:v>0.66362227255012396</c:v>
                </c:pt>
                <c:pt idx="7">
                  <c:v>0.67122336776757641</c:v>
                </c:pt>
                <c:pt idx="8">
                  <c:v>0.67753582758194686</c:v>
                </c:pt>
                <c:pt idx="9">
                  <c:v>0.68630926897398803</c:v>
                </c:pt>
                <c:pt idx="10">
                  <c:v>0.69660976890347848</c:v>
                </c:pt>
                <c:pt idx="11">
                  <c:v>0.70545621673408243</c:v>
                </c:pt>
                <c:pt idx="12">
                  <c:v>0.71428852548493249</c:v>
                </c:pt>
                <c:pt idx="13">
                  <c:v>0.72347295806278999</c:v>
                </c:pt>
                <c:pt idx="14">
                  <c:v>0.73269044290939944</c:v>
                </c:pt>
                <c:pt idx="15">
                  <c:v>0.74017489166141959</c:v>
                </c:pt>
                <c:pt idx="16">
                  <c:v>0.74846380640885091</c:v>
                </c:pt>
                <c:pt idx="17">
                  <c:v>0.75840954052319787</c:v>
                </c:pt>
                <c:pt idx="18">
                  <c:v>0.76610236967952161</c:v>
                </c:pt>
                <c:pt idx="19">
                  <c:v>0.77540371408896158</c:v>
                </c:pt>
                <c:pt idx="20">
                  <c:v>0.7844583528060024</c:v>
                </c:pt>
                <c:pt idx="21">
                  <c:v>0.79193416587665688</c:v>
                </c:pt>
                <c:pt idx="22">
                  <c:v>0.80312693966480786</c:v>
                </c:pt>
                <c:pt idx="23">
                  <c:v>0.8134964616482363</c:v>
                </c:pt>
                <c:pt idx="24">
                  <c:v>0.82371715510466403</c:v>
                </c:pt>
                <c:pt idx="25">
                  <c:v>0.83623015994339867</c:v>
                </c:pt>
                <c:pt idx="26">
                  <c:v>0.84735497206147459</c:v>
                </c:pt>
                <c:pt idx="27">
                  <c:v>0.85865343168486075</c:v>
                </c:pt>
                <c:pt idx="28">
                  <c:v>0.87118124846193445</c:v>
                </c:pt>
                <c:pt idx="29">
                  <c:v>0.88437561222474836</c:v>
                </c:pt>
                <c:pt idx="30">
                  <c:v>0.89867344084723744</c:v>
                </c:pt>
                <c:pt idx="31">
                  <c:v>0.91081675025878506</c:v>
                </c:pt>
                <c:pt idx="32">
                  <c:v>0.92521048693175312</c:v>
                </c:pt>
                <c:pt idx="33">
                  <c:v>0.93600527516737342</c:v>
                </c:pt>
                <c:pt idx="34">
                  <c:v>0.95007701393278887</c:v>
                </c:pt>
                <c:pt idx="35">
                  <c:v>0.96128523051245018</c:v>
                </c:pt>
                <c:pt idx="36">
                  <c:v>0.97581633131204304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3F-46AF-94E2-86F1CDCB8BCC}"/>
            </c:ext>
          </c:extLst>
        </c:ser>
        <c:ser>
          <c:idx val="6"/>
          <c:order val="4"/>
          <c:tx>
            <c:strRef>
              <c:f>'single_suction-1'!$S$11</c:f>
              <c:strCache>
                <c:ptCount val="1"/>
                <c:pt idx="0">
                  <c:v>8.5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'single_suction-1'!$M$12:$M$48</c:f>
              <c:numCache>
                <c:formatCode>General</c:formatCode>
                <c:ptCount val="37"/>
                <c:pt idx="0">
                  <c:v>0.1</c:v>
                </c:pt>
                <c:pt idx="1">
                  <c:v>0.125</c:v>
                </c:pt>
                <c:pt idx="2">
                  <c:v>0.15</c:v>
                </c:pt>
                <c:pt idx="3">
                  <c:v>0.17499999999999999</c:v>
                </c:pt>
                <c:pt idx="4">
                  <c:v>0.19999999999999998</c:v>
                </c:pt>
                <c:pt idx="5">
                  <c:v>0.22499999999999998</c:v>
                </c:pt>
                <c:pt idx="6">
                  <c:v>0.24999999999999997</c:v>
                </c:pt>
                <c:pt idx="7">
                  <c:v>0.27499999999999997</c:v>
                </c:pt>
                <c:pt idx="8">
                  <c:v>0.3</c:v>
                </c:pt>
                <c:pt idx="9">
                  <c:v>0.32500000000000001</c:v>
                </c:pt>
                <c:pt idx="10">
                  <c:v>0.35000000000000003</c:v>
                </c:pt>
                <c:pt idx="11">
                  <c:v>0.37500000000000006</c:v>
                </c:pt>
                <c:pt idx="12">
                  <c:v>0.40000000000000008</c:v>
                </c:pt>
                <c:pt idx="13">
                  <c:v>0.4250000000000001</c:v>
                </c:pt>
                <c:pt idx="14">
                  <c:v>0.45000000000000012</c:v>
                </c:pt>
                <c:pt idx="15">
                  <c:v>0.47500000000000014</c:v>
                </c:pt>
                <c:pt idx="16">
                  <c:v>0.50000000000000011</c:v>
                </c:pt>
                <c:pt idx="17">
                  <c:v>0.52500000000000013</c:v>
                </c:pt>
                <c:pt idx="18">
                  <c:v>0.55000000000000016</c:v>
                </c:pt>
                <c:pt idx="19">
                  <c:v>0.57500000000000018</c:v>
                </c:pt>
                <c:pt idx="20">
                  <c:v>0.6000000000000002</c:v>
                </c:pt>
                <c:pt idx="21">
                  <c:v>0.62500000000000022</c:v>
                </c:pt>
                <c:pt idx="22">
                  <c:v>0.65000000000000024</c:v>
                </c:pt>
                <c:pt idx="23">
                  <c:v>0.67500000000000027</c:v>
                </c:pt>
                <c:pt idx="24">
                  <c:v>0.70000000000000029</c:v>
                </c:pt>
                <c:pt idx="25">
                  <c:v>0.72500000000000031</c:v>
                </c:pt>
                <c:pt idx="26">
                  <c:v>0.75000000000000033</c:v>
                </c:pt>
                <c:pt idx="27">
                  <c:v>0.77500000000000036</c:v>
                </c:pt>
                <c:pt idx="28">
                  <c:v>0.80000000000000038</c:v>
                </c:pt>
                <c:pt idx="29">
                  <c:v>0.8250000000000004</c:v>
                </c:pt>
                <c:pt idx="30">
                  <c:v>0.85000000000000042</c:v>
                </c:pt>
                <c:pt idx="31">
                  <c:v>0.87500000000000044</c:v>
                </c:pt>
                <c:pt idx="32">
                  <c:v>0.90000000000000047</c:v>
                </c:pt>
                <c:pt idx="33">
                  <c:v>0.92500000000000049</c:v>
                </c:pt>
                <c:pt idx="34">
                  <c:v>0.95000000000000051</c:v>
                </c:pt>
                <c:pt idx="35">
                  <c:v>0.97500000000000053</c:v>
                </c:pt>
                <c:pt idx="36">
                  <c:v>1.0000000000000004</c:v>
                </c:pt>
              </c:numCache>
            </c:numRef>
          </c:xVal>
          <c:yVal>
            <c:numRef>
              <c:f>'single_suction-1'!$S$12:$S$48</c:f>
              <c:numCache>
                <c:formatCode>0.000</c:formatCode>
                <c:ptCount val="37"/>
                <c:pt idx="0">
                  <c:v>0.59993264267084612</c:v>
                </c:pt>
                <c:pt idx="1">
                  <c:v>0.60109360616076046</c:v>
                </c:pt>
                <c:pt idx="2">
                  <c:v>0.6029575252316195</c:v>
                </c:pt>
                <c:pt idx="3">
                  <c:v>0.60315283773161932</c:v>
                </c:pt>
                <c:pt idx="4">
                  <c:v>0.60649565223179724</c:v>
                </c:pt>
                <c:pt idx="5">
                  <c:v>0.60873667740298809</c:v>
                </c:pt>
                <c:pt idx="6">
                  <c:v>0.60909591808876196</c:v>
                </c:pt>
                <c:pt idx="7">
                  <c:v>0.61143781462318081</c:v>
                </c:pt>
                <c:pt idx="8">
                  <c:v>0.61461472730250366</c:v>
                </c:pt>
                <c:pt idx="9">
                  <c:v>0.61681839045422715</c:v>
                </c:pt>
                <c:pt idx="10">
                  <c:v>0.61925903572920671</c:v>
                </c:pt>
                <c:pt idx="11">
                  <c:v>0.62194615079304383</c:v>
                </c:pt>
                <c:pt idx="12">
                  <c:v>0.62350632219605728</c:v>
                </c:pt>
                <c:pt idx="13">
                  <c:v>0.62807661091992628</c:v>
                </c:pt>
                <c:pt idx="14">
                  <c:v>0.63080954499238784</c:v>
                </c:pt>
                <c:pt idx="15">
                  <c:v>0.63587145585777627</c:v>
                </c:pt>
                <c:pt idx="16">
                  <c:v>0.63962057957659235</c:v>
                </c:pt>
                <c:pt idx="17">
                  <c:v>0.64457883067540189</c:v>
                </c:pt>
                <c:pt idx="18">
                  <c:v>0.65047402072199567</c:v>
                </c:pt>
                <c:pt idx="19">
                  <c:v>0.65481664936112882</c:v>
                </c:pt>
                <c:pt idx="20">
                  <c:v>0.65922129896005532</c:v>
                </c:pt>
                <c:pt idx="21">
                  <c:v>0.66413757343151691</c:v>
                </c:pt>
                <c:pt idx="22">
                  <c:v>0.66974882956259663</c:v>
                </c:pt>
                <c:pt idx="23">
                  <c:v>0.67511245158301847</c:v>
                </c:pt>
                <c:pt idx="24">
                  <c:v>0.67832976010546508</c:v>
                </c:pt>
                <c:pt idx="25">
                  <c:v>0.68404507128155811</c:v>
                </c:pt>
                <c:pt idx="26">
                  <c:v>0.68922063101237896</c:v>
                </c:pt>
                <c:pt idx="27">
                  <c:v>0.69501951333998302</c:v>
                </c:pt>
                <c:pt idx="28">
                  <c:v>0.70120514873029149</c:v>
                </c:pt>
                <c:pt idx="29">
                  <c:v>0.70654501761949706</c:v>
                </c:pt>
                <c:pt idx="30">
                  <c:v>0.71281848780954715</c:v>
                </c:pt>
                <c:pt idx="31">
                  <c:v>0.71868028852171784</c:v>
                </c:pt>
                <c:pt idx="32">
                  <c:v>0.72469728542873135</c:v>
                </c:pt>
                <c:pt idx="33">
                  <c:v>0.73178386393642503</c:v>
                </c:pt>
                <c:pt idx="34">
                  <c:v>0.7374340650635024</c:v>
                </c:pt>
                <c:pt idx="35">
                  <c:v>0.74468530716578263</c:v>
                </c:pt>
                <c:pt idx="36">
                  <c:v>0.75213633238844746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F3F-46AF-94E2-86F1CDCB8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306831"/>
        <c:axId val="1108308751"/>
      </c:scatterChart>
      <c:scatterChart>
        <c:scatterStyle val="lineMarker"/>
        <c:varyColors val="0"/>
        <c:ser>
          <c:idx val="5"/>
          <c:order val="5"/>
          <c:tx>
            <c:strRef>
              <c:f>'single_suction-1'!$B$95</c:f>
              <c:strCache>
                <c:ptCount val="1"/>
                <c:pt idx="0">
                  <c:v>KA2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5E83-402C-941D-015F1282E4B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'single_suction-1'!$C$95</c:f>
              <c:numCache>
                <c:formatCode>0.000</c:formatCode>
                <c:ptCount val="1"/>
                <c:pt idx="0">
                  <c:v>0.75213633238844735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3F-46AF-94E2-86F1CDCB8BCC}"/>
            </c:ext>
          </c:extLst>
        </c:ser>
        <c:ser>
          <c:idx val="4"/>
          <c:order val="6"/>
          <c:tx>
            <c:strRef>
              <c:f>'single_suction-1'!$B$96</c:f>
              <c:strCache>
                <c:ptCount val="1"/>
                <c:pt idx="0">
                  <c:v>KAsp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'single_suction-1'!$C$93</c:f>
              <c:numCache>
                <c:formatCode>0.000</c:formatCode>
                <c:ptCount val="1"/>
                <c:pt idx="0">
                  <c:v>0.3725</c:v>
                </c:pt>
              </c:numCache>
            </c:numRef>
          </c:xVal>
          <c:yVal>
            <c:numRef>
              <c:f>'single_suction-1'!$C$96</c:f>
              <c:numCache>
                <c:formatCode>0.000</c:formatCode>
                <c:ptCount val="1"/>
                <c:pt idx="0">
                  <c:v>0.62167743928666008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EB-4046-881B-4206360F4EF0}"/>
            </c:ext>
          </c:extLst>
        </c:ser>
        <c:ser>
          <c:idx val="7"/>
          <c:order val="7"/>
          <c:tx>
            <c:strRef>
              <c:f>'single_suction-1'!$B$97</c:f>
              <c:strCache>
                <c:ptCount val="1"/>
                <c:pt idx="0">
                  <c:v>KAD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'single_suction-1'!$C$94</c:f>
              <c:numCache>
                <c:formatCode>0.000</c:formatCode>
                <c:ptCount val="1"/>
                <c:pt idx="0">
                  <c:v>0.22500000000000001</c:v>
                </c:pt>
              </c:numCache>
            </c:numRef>
          </c:xVal>
          <c:yVal>
            <c:numRef>
              <c:f>'single_suction-1'!$C$97</c:f>
              <c:numCache>
                <c:formatCode>0.000</c:formatCode>
                <c:ptCount val="1"/>
                <c:pt idx="0">
                  <c:v>0.60873667740298809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EB-4046-881B-4206360F4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306831"/>
        <c:axId val="1108308751"/>
      </c:scatterChart>
      <c:valAx>
        <c:axId val="1108306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Dx/D2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8308751"/>
        <c:crosses val="autoZero"/>
        <c:crossBetween val="midCat"/>
      </c:valAx>
      <c:valAx>
        <c:axId val="110830875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Axial thrust factor K</a:t>
                </a:r>
                <a:r>
                  <a:rPr lang="it-IT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8306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 shroud pFS [barg]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'single_suction-2'!$T$3:$T$1999</c:f>
              <c:numCache>
                <c:formatCode>General</c:formatCode>
                <c:ptCount val="1997"/>
                <c:pt idx="0">
                  <c:v>430</c:v>
                </c:pt>
                <c:pt idx="1">
                  <c:v>428.49494949494954</c:v>
                </c:pt>
                <c:pt idx="2">
                  <c:v>426.98989898989902</c:v>
                </c:pt>
                <c:pt idx="3">
                  <c:v>425.48484848484856</c:v>
                </c:pt>
                <c:pt idx="4">
                  <c:v>423.97979797979804</c:v>
                </c:pt>
                <c:pt idx="5">
                  <c:v>422.47474747474757</c:v>
                </c:pt>
                <c:pt idx="6">
                  <c:v>420.96969696969705</c:v>
                </c:pt>
                <c:pt idx="7">
                  <c:v>419.46464646464659</c:v>
                </c:pt>
                <c:pt idx="8">
                  <c:v>417.95959595959607</c:v>
                </c:pt>
                <c:pt idx="9">
                  <c:v>416.45454545454561</c:v>
                </c:pt>
                <c:pt idx="10">
                  <c:v>414.94949494949509</c:v>
                </c:pt>
                <c:pt idx="11">
                  <c:v>413.44444444444463</c:v>
                </c:pt>
                <c:pt idx="12">
                  <c:v>411.93939393939411</c:v>
                </c:pt>
                <c:pt idx="13">
                  <c:v>410.43434343434365</c:v>
                </c:pt>
                <c:pt idx="14">
                  <c:v>408.92929292929313</c:v>
                </c:pt>
                <c:pt idx="15">
                  <c:v>407.42424242424266</c:v>
                </c:pt>
                <c:pt idx="16">
                  <c:v>405.91919191919214</c:v>
                </c:pt>
                <c:pt idx="17">
                  <c:v>404.41414141414168</c:v>
                </c:pt>
                <c:pt idx="18">
                  <c:v>402.90909090909122</c:v>
                </c:pt>
                <c:pt idx="19">
                  <c:v>401.4040404040407</c:v>
                </c:pt>
                <c:pt idx="20">
                  <c:v>399.89898989899024</c:v>
                </c:pt>
                <c:pt idx="21">
                  <c:v>398.39393939393972</c:v>
                </c:pt>
                <c:pt idx="22">
                  <c:v>396.88888888888926</c:v>
                </c:pt>
                <c:pt idx="23">
                  <c:v>395.38383838383874</c:v>
                </c:pt>
                <c:pt idx="24">
                  <c:v>393.87878787878827</c:v>
                </c:pt>
                <c:pt idx="25">
                  <c:v>392.37373737373775</c:v>
                </c:pt>
                <c:pt idx="26">
                  <c:v>390.86868686868729</c:v>
                </c:pt>
                <c:pt idx="27">
                  <c:v>389.36363636363677</c:v>
                </c:pt>
                <c:pt idx="28">
                  <c:v>387.85858585858631</c:v>
                </c:pt>
                <c:pt idx="29">
                  <c:v>386.35353535353579</c:v>
                </c:pt>
                <c:pt idx="30">
                  <c:v>384.84848484848533</c:v>
                </c:pt>
                <c:pt idx="31">
                  <c:v>383.34343434343481</c:v>
                </c:pt>
                <c:pt idx="32">
                  <c:v>381.83838383838435</c:v>
                </c:pt>
                <c:pt idx="33">
                  <c:v>380.33333333333388</c:v>
                </c:pt>
                <c:pt idx="34">
                  <c:v>378.82828282828336</c:v>
                </c:pt>
                <c:pt idx="35">
                  <c:v>377.3232323232329</c:v>
                </c:pt>
                <c:pt idx="36">
                  <c:v>375.81818181818238</c:v>
                </c:pt>
                <c:pt idx="37">
                  <c:v>374.31313131313192</c:v>
                </c:pt>
                <c:pt idx="38">
                  <c:v>372.8080808080814</c:v>
                </c:pt>
                <c:pt idx="39">
                  <c:v>371.30303030303094</c:v>
                </c:pt>
                <c:pt idx="40">
                  <c:v>369.79797979798042</c:v>
                </c:pt>
                <c:pt idx="41">
                  <c:v>368.29292929292995</c:v>
                </c:pt>
                <c:pt idx="42">
                  <c:v>366.78787878787944</c:v>
                </c:pt>
                <c:pt idx="43">
                  <c:v>365.28282828282897</c:v>
                </c:pt>
                <c:pt idx="44">
                  <c:v>363.77777777777845</c:v>
                </c:pt>
                <c:pt idx="45">
                  <c:v>362.27272727272799</c:v>
                </c:pt>
                <c:pt idx="46">
                  <c:v>360.76767676767747</c:v>
                </c:pt>
                <c:pt idx="47">
                  <c:v>359.26262626262701</c:v>
                </c:pt>
                <c:pt idx="48">
                  <c:v>357.75757575757655</c:v>
                </c:pt>
                <c:pt idx="49">
                  <c:v>356.25252525252603</c:v>
                </c:pt>
                <c:pt idx="50">
                  <c:v>354.74747474747556</c:v>
                </c:pt>
                <c:pt idx="51">
                  <c:v>353.24242424242505</c:v>
                </c:pt>
                <c:pt idx="52">
                  <c:v>351.73737373737458</c:v>
                </c:pt>
                <c:pt idx="53">
                  <c:v>350.23232323232406</c:v>
                </c:pt>
                <c:pt idx="54">
                  <c:v>348.7272727272736</c:v>
                </c:pt>
                <c:pt idx="55">
                  <c:v>347.22222222222308</c:v>
                </c:pt>
                <c:pt idx="56">
                  <c:v>345.71717171717262</c:v>
                </c:pt>
                <c:pt idx="57">
                  <c:v>344.2121212121221</c:v>
                </c:pt>
                <c:pt idx="58">
                  <c:v>342.70707070707164</c:v>
                </c:pt>
                <c:pt idx="59">
                  <c:v>341.20202020202112</c:v>
                </c:pt>
                <c:pt idx="60">
                  <c:v>339.69696969697065</c:v>
                </c:pt>
                <c:pt idx="61">
                  <c:v>338.19191919192014</c:v>
                </c:pt>
                <c:pt idx="62">
                  <c:v>336.68686868686967</c:v>
                </c:pt>
                <c:pt idx="63">
                  <c:v>335.18181818181915</c:v>
                </c:pt>
                <c:pt idx="64">
                  <c:v>333.67676767676869</c:v>
                </c:pt>
                <c:pt idx="65">
                  <c:v>332.17171717171823</c:v>
                </c:pt>
                <c:pt idx="66">
                  <c:v>330.66666666666771</c:v>
                </c:pt>
                <c:pt idx="67">
                  <c:v>329.16161616161725</c:v>
                </c:pt>
                <c:pt idx="68">
                  <c:v>327.65656565656673</c:v>
                </c:pt>
                <c:pt idx="69">
                  <c:v>326.15151515151626</c:v>
                </c:pt>
                <c:pt idx="70">
                  <c:v>324.64646464646574</c:v>
                </c:pt>
                <c:pt idx="71">
                  <c:v>323.14141414141528</c:v>
                </c:pt>
                <c:pt idx="72">
                  <c:v>321.63636363636476</c:v>
                </c:pt>
                <c:pt idx="73">
                  <c:v>320.1313131313143</c:v>
                </c:pt>
                <c:pt idx="74">
                  <c:v>318.62626262626378</c:v>
                </c:pt>
                <c:pt idx="75">
                  <c:v>317.12121212121332</c:v>
                </c:pt>
                <c:pt idx="76">
                  <c:v>315.6161616161628</c:v>
                </c:pt>
                <c:pt idx="77">
                  <c:v>314.11111111111234</c:v>
                </c:pt>
                <c:pt idx="78">
                  <c:v>312.60606060606182</c:v>
                </c:pt>
                <c:pt idx="79">
                  <c:v>311.10101010101135</c:v>
                </c:pt>
                <c:pt idx="80">
                  <c:v>309.59595959596084</c:v>
                </c:pt>
                <c:pt idx="81">
                  <c:v>308.09090909091037</c:v>
                </c:pt>
                <c:pt idx="82">
                  <c:v>306.58585858585991</c:v>
                </c:pt>
                <c:pt idx="83">
                  <c:v>305.08080808080939</c:v>
                </c:pt>
                <c:pt idx="84">
                  <c:v>303.57575757575893</c:v>
                </c:pt>
                <c:pt idx="85">
                  <c:v>302.07070707070841</c:v>
                </c:pt>
                <c:pt idx="86">
                  <c:v>300.56565656565795</c:v>
                </c:pt>
                <c:pt idx="87">
                  <c:v>299.06060606060743</c:v>
                </c:pt>
                <c:pt idx="88">
                  <c:v>297.55555555555696</c:v>
                </c:pt>
                <c:pt idx="89">
                  <c:v>296.05050505050644</c:v>
                </c:pt>
                <c:pt idx="90">
                  <c:v>294.54545454545598</c:v>
                </c:pt>
                <c:pt idx="91">
                  <c:v>293.04040404040546</c:v>
                </c:pt>
                <c:pt idx="92">
                  <c:v>291.535353535355</c:v>
                </c:pt>
                <c:pt idx="93">
                  <c:v>290.03030303030448</c:v>
                </c:pt>
                <c:pt idx="94">
                  <c:v>288.52525252525402</c:v>
                </c:pt>
                <c:pt idx="95">
                  <c:v>287.0202020202035</c:v>
                </c:pt>
                <c:pt idx="96">
                  <c:v>285.51515151515304</c:v>
                </c:pt>
                <c:pt idx="97">
                  <c:v>284.01010101010257</c:v>
                </c:pt>
                <c:pt idx="98">
                  <c:v>282.50505050505205</c:v>
                </c:pt>
                <c:pt idx="99">
                  <c:v>281.00000000000159</c:v>
                </c:pt>
              </c:numCache>
            </c:numRef>
          </c:xVal>
          <c:yVal>
            <c:numRef>
              <c:f>'single_suction-2'!$U$3:$U$1999</c:f>
              <c:numCache>
                <c:formatCode>General</c:formatCode>
                <c:ptCount val="1997"/>
                <c:pt idx="0">
                  <c:v>13.832099999999999</c:v>
                </c:pt>
                <c:pt idx="1">
                  <c:v>13.79579121282589</c:v>
                </c:pt>
                <c:pt idx="2">
                  <c:v>13.759609733467643</c:v>
                </c:pt>
                <c:pt idx="3">
                  <c:v>13.723555561925258</c:v>
                </c:pt>
                <c:pt idx="4">
                  <c:v>13.687628698198733</c:v>
                </c:pt>
                <c:pt idx="5">
                  <c:v>13.65182914228807</c:v>
                </c:pt>
                <c:pt idx="6">
                  <c:v>13.616156894193269</c:v>
                </c:pt>
                <c:pt idx="7">
                  <c:v>13.58061195391433</c:v>
                </c:pt>
                <c:pt idx="8">
                  <c:v>13.545194321451252</c:v>
                </c:pt>
                <c:pt idx="9">
                  <c:v>13.509903996804034</c:v>
                </c:pt>
                <c:pt idx="10">
                  <c:v>13.47474097997268</c:v>
                </c:pt>
                <c:pt idx="11">
                  <c:v>13.439705270957186</c:v>
                </c:pt>
                <c:pt idx="12">
                  <c:v>13.404796869757552</c:v>
                </c:pt>
                <c:pt idx="13">
                  <c:v>13.370015776373782</c:v>
                </c:pt>
                <c:pt idx="14">
                  <c:v>13.335361990805874</c:v>
                </c:pt>
                <c:pt idx="15">
                  <c:v>13.300835513053824</c:v>
                </c:pt>
                <c:pt idx="16">
                  <c:v>13.26643634311764</c:v>
                </c:pt>
                <c:pt idx="17">
                  <c:v>13.232164480997314</c:v>
                </c:pt>
                <c:pt idx="18">
                  <c:v>13.198019926692851</c:v>
                </c:pt>
                <c:pt idx="19">
                  <c:v>13.164002680204248</c:v>
                </c:pt>
                <c:pt idx="20">
                  <c:v>13.130112741531509</c:v>
                </c:pt>
                <c:pt idx="21">
                  <c:v>13.09635011067463</c:v>
                </c:pt>
                <c:pt idx="22">
                  <c:v>13.062714787633613</c:v>
                </c:pt>
                <c:pt idx="23">
                  <c:v>13.029206772408457</c:v>
                </c:pt>
                <c:pt idx="24">
                  <c:v>12.995826064999163</c:v>
                </c:pt>
                <c:pt idx="25">
                  <c:v>12.96257266540573</c:v>
                </c:pt>
                <c:pt idx="26">
                  <c:v>12.929446573628159</c:v>
                </c:pt>
                <c:pt idx="27">
                  <c:v>12.896447789666448</c:v>
                </c:pt>
                <c:pt idx="28">
                  <c:v>12.8635763135206</c:v>
                </c:pt>
                <c:pt idx="29">
                  <c:v>12.830832145190612</c:v>
                </c:pt>
                <c:pt idx="30">
                  <c:v>12.798215284676488</c:v>
                </c:pt>
                <c:pt idx="31">
                  <c:v>12.765725731978224</c:v>
                </c:pt>
                <c:pt idx="32">
                  <c:v>12.733363487095822</c:v>
                </c:pt>
                <c:pt idx="33">
                  <c:v>12.701128550029281</c:v>
                </c:pt>
                <c:pt idx="34">
                  <c:v>12.669020920778602</c:v>
                </c:pt>
                <c:pt idx="35">
                  <c:v>12.637040599343784</c:v>
                </c:pt>
                <c:pt idx="36">
                  <c:v>12.605187585724828</c:v>
                </c:pt>
                <c:pt idx="37">
                  <c:v>12.573461879921732</c:v>
                </c:pt>
                <c:pt idx="38">
                  <c:v>12.541863481934499</c:v>
                </c:pt>
                <c:pt idx="39">
                  <c:v>12.510392391763126</c:v>
                </c:pt>
                <c:pt idx="40">
                  <c:v>12.479048609407617</c:v>
                </c:pt>
                <c:pt idx="41">
                  <c:v>12.447832134867967</c:v>
                </c:pt>
                <c:pt idx="42">
                  <c:v>12.416742968144181</c:v>
                </c:pt>
                <c:pt idx="43">
                  <c:v>12.385781109236254</c:v>
                </c:pt>
                <c:pt idx="44">
                  <c:v>12.354946558144189</c:v>
                </c:pt>
                <c:pt idx="45">
                  <c:v>12.324239314867986</c:v>
                </c:pt>
                <c:pt idx="46">
                  <c:v>12.293659379407645</c:v>
                </c:pt>
                <c:pt idx="47">
                  <c:v>12.263206751763166</c:v>
                </c:pt>
                <c:pt idx="48">
                  <c:v>12.232881431934548</c:v>
                </c:pt>
                <c:pt idx="49">
                  <c:v>12.20268341992179</c:v>
                </c:pt>
                <c:pt idx="50">
                  <c:v>12.172612715724895</c:v>
                </c:pt>
                <c:pt idx="51">
                  <c:v>12.142669319343861</c:v>
                </c:pt>
                <c:pt idx="52">
                  <c:v>12.112853230778688</c:v>
                </c:pt>
                <c:pt idx="53">
                  <c:v>12.083164450029377</c:v>
                </c:pt>
                <c:pt idx="54">
                  <c:v>12.053602977095927</c:v>
                </c:pt>
                <c:pt idx="55">
                  <c:v>12.02416881197834</c:v>
                </c:pt>
                <c:pt idx="56">
                  <c:v>11.994861954676614</c:v>
                </c:pt>
                <c:pt idx="57">
                  <c:v>11.965682405190748</c:v>
                </c:pt>
                <c:pt idx="58">
                  <c:v>11.936630163520745</c:v>
                </c:pt>
                <c:pt idx="59">
                  <c:v>11.907705229666602</c:v>
                </c:pt>
                <c:pt idx="60">
                  <c:v>11.878907603628322</c:v>
                </c:pt>
                <c:pt idx="61">
                  <c:v>11.850237285405903</c:v>
                </c:pt>
                <c:pt idx="62">
                  <c:v>11.821694274999345</c:v>
                </c:pt>
                <c:pt idx="63">
                  <c:v>11.793278572408649</c:v>
                </c:pt>
                <c:pt idx="64">
                  <c:v>11.764990177633814</c:v>
                </c:pt>
                <c:pt idx="65">
                  <c:v>11.736829090674842</c:v>
                </c:pt>
                <c:pt idx="66">
                  <c:v>11.70879531153173</c:v>
                </c:pt>
                <c:pt idx="67">
                  <c:v>11.68088884020448</c:v>
                </c:pt>
                <c:pt idx="68">
                  <c:v>11.653109676693092</c:v>
                </c:pt>
                <c:pt idx="69">
                  <c:v>11.625457820997564</c:v>
                </c:pt>
                <c:pt idx="70">
                  <c:v>11.597933273117899</c:v>
                </c:pt>
                <c:pt idx="71">
                  <c:v>11.570536033054095</c:v>
                </c:pt>
                <c:pt idx="72">
                  <c:v>11.543266100806152</c:v>
                </c:pt>
                <c:pt idx="73">
                  <c:v>11.516123476374071</c:v>
                </c:pt>
                <c:pt idx="74">
                  <c:v>11.489108159757851</c:v>
                </c:pt>
                <c:pt idx="75">
                  <c:v>11.462220150957494</c:v>
                </c:pt>
                <c:pt idx="76">
                  <c:v>11.435459449972997</c:v>
                </c:pt>
                <c:pt idx="77">
                  <c:v>11.408826056804362</c:v>
                </c:pt>
                <c:pt idx="78">
                  <c:v>11.382319971451588</c:v>
                </c:pt>
                <c:pt idx="79">
                  <c:v>11.355941193914676</c:v>
                </c:pt>
                <c:pt idx="80">
                  <c:v>11.329689724193626</c:v>
                </c:pt>
                <c:pt idx="81">
                  <c:v>11.303565562288437</c:v>
                </c:pt>
                <c:pt idx="82">
                  <c:v>11.277568708199109</c:v>
                </c:pt>
                <c:pt idx="83">
                  <c:v>11.251699161925643</c:v>
                </c:pt>
                <c:pt idx="84">
                  <c:v>11.225956923468038</c:v>
                </c:pt>
                <c:pt idx="85">
                  <c:v>11.200341992826294</c:v>
                </c:pt>
                <c:pt idx="86">
                  <c:v>11.174854370000412</c:v>
                </c:pt>
                <c:pt idx="87">
                  <c:v>11.149494054990393</c:v>
                </c:pt>
                <c:pt idx="88">
                  <c:v>11.124261047796235</c:v>
                </c:pt>
                <c:pt idx="89">
                  <c:v>11.099155348417938</c:v>
                </c:pt>
                <c:pt idx="90">
                  <c:v>11.074176956855501</c:v>
                </c:pt>
                <c:pt idx="91">
                  <c:v>11.049325873108927</c:v>
                </c:pt>
                <c:pt idx="92">
                  <c:v>11.024602097178214</c:v>
                </c:pt>
                <c:pt idx="93">
                  <c:v>11.000005629063363</c:v>
                </c:pt>
                <c:pt idx="94">
                  <c:v>10.975536468764373</c:v>
                </c:pt>
                <c:pt idx="95">
                  <c:v>10.951194616281246</c:v>
                </c:pt>
                <c:pt idx="96">
                  <c:v>10.926980071613979</c:v>
                </c:pt>
                <c:pt idx="97">
                  <c:v>10.902892834762573</c:v>
                </c:pt>
                <c:pt idx="98">
                  <c:v>10.87893290572703</c:v>
                </c:pt>
                <c:pt idx="99">
                  <c:v>10.855100284507348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06-40E7-839B-32E9863545FF}"/>
            </c:ext>
          </c:extLst>
        </c:ser>
        <c:ser>
          <c:idx val="1"/>
          <c:order val="1"/>
          <c:tx>
            <c:v>Rear shroud pRS [barg]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'single_suction-2'!$V$3:$V$2003</c:f>
              <c:numCache>
                <c:formatCode>General</c:formatCode>
                <c:ptCount val="2001"/>
                <c:pt idx="0">
                  <c:v>210</c:v>
                </c:pt>
                <c:pt idx="1">
                  <c:v>212.2222222222222</c:v>
                </c:pt>
                <c:pt idx="2">
                  <c:v>214.44444444444443</c:v>
                </c:pt>
                <c:pt idx="3">
                  <c:v>216.66666666666666</c:v>
                </c:pt>
                <c:pt idx="4">
                  <c:v>218.88888888888891</c:v>
                </c:pt>
                <c:pt idx="5">
                  <c:v>221.11111111111114</c:v>
                </c:pt>
                <c:pt idx="6">
                  <c:v>223.3333333333334</c:v>
                </c:pt>
                <c:pt idx="7">
                  <c:v>225.55555555555563</c:v>
                </c:pt>
                <c:pt idx="8">
                  <c:v>227.77777777777789</c:v>
                </c:pt>
                <c:pt idx="9">
                  <c:v>230.00000000000011</c:v>
                </c:pt>
                <c:pt idx="10">
                  <c:v>232.22222222222237</c:v>
                </c:pt>
                <c:pt idx="11">
                  <c:v>234.4444444444446</c:v>
                </c:pt>
                <c:pt idx="12">
                  <c:v>236.66666666666686</c:v>
                </c:pt>
                <c:pt idx="13">
                  <c:v>238.88888888888908</c:v>
                </c:pt>
                <c:pt idx="14">
                  <c:v>241.11111111111134</c:v>
                </c:pt>
                <c:pt idx="15">
                  <c:v>243.33333333333357</c:v>
                </c:pt>
                <c:pt idx="16">
                  <c:v>245.55555555555583</c:v>
                </c:pt>
                <c:pt idx="17">
                  <c:v>247.77777777777806</c:v>
                </c:pt>
                <c:pt idx="18">
                  <c:v>250.00000000000031</c:v>
                </c:pt>
                <c:pt idx="19">
                  <c:v>252.22222222222254</c:v>
                </c:pt>
                <c:pt idx="20">
                  <c:v>254.4444444444448</c:v>
                </c:pt>
                <c:pt idx="21">
                  <c:v>256.66666666666703</c:v>
                </c:pt>
                <c:pt idx="22">
                  <c:v>258.88888888888926</c:v>
                </c:pt>
                <c:pt idx="23">
                  <c:v>261.11111111111148</c:v>
                </c:pt>
                <c:pt idx="24">
                  <c:v>263.33333333333377</c:v>
                </c:pt>
                <c:pt idx="25">
                  <c:v>265.555555555556</c:v>
                </c:pt>
                <c:pt idx="26">
                  <c:v>267.77777777777823</c:v>
                </c:pt>
                <c:pt idx="27">
                  <c:v>270.00000000000045</c:v>
                </c:pt>
                <c:pt idx="28">
                  <c:v>272.22222222222274</c:v>
                </c:pt>
                <c:pt idx="29">
                  <c:v>274.44444444444497</c:v>
                </c:pt>
                <c:pt idx="30">
                  <c:v>276.6666666666672</c:v>
                </c:pt>
                <c:pt idx="31">
                  <c:v>278.88888888888943</c:v>
                </c:pt>
                <c:pt idx="32">
                  <c:v>281.11111111111171</c:v>
                </c:pt>
                <c:pt idx="33">
                  <c:v>283.33333333333394</c:v>
                </c:pt>
                <c:pt idx="34">
                  <c:v>285.55555555555617</c:v>
                </c:pt>
                <c:pt idx="35">
                  <c:v>287.7777777777784</c:v>
                </c:pt>
                <c:pt idx="36">
                  <c:v>290.00000000000068</c:v>
                </c:pt>
                <c:pt idx="37">
                  <c:v>292.22222222222291</c:v>
                </c:pt>
                <c:pt idx="38">
                  <c:v>294.44444444444514</c:v>
                </c:pt>
                <c:pt idx="39">
                  <c:v>296.66666666666737</c:v>
                </c:pt>
                <c:pt idx="40">
                  <c:v>298.88888888888965</c:v>
                </c:pt>
                <c:pt idx="41">
                  <c:v>301.11111111111188</c:v>
                </c:pt>
                <c:pt idx="42">
                  <c:v>303.33333333333411</c:v>
                </c:pt>
                <c:pt idx="43">
                  <c:v>305.55555555555634</c:v>
                </c:pt>
                <c:pt idx="44">
                  <c:v>307.77777777777857</c:v>
                </c:pt>
                <c:pt idx="45">
                  <c:v>310.00000000000085</c:v>
                </c:pt>
                <c:pt idx="46">
                  <c:v>312.22222222222308</c:v>
                </c:pt>
                <c:pt idx="47">
                  <c:v>314.44444444444531</c:v>
                </c:pt>
                <c:pt idx="48">
                  <c:v>316.66666666666754</c:v>
                </c:pt>
                <c:pt idx="49">
                  <c:v>318.88888888888982</c:v>
                </c:pt>
                <c:pt idx="50">
                  <c:v>321.11111111111205</c:v>
                </c:pt>
                <c:pt idx="51">
                  <c:v>323.33333333333428</c:v>
                </c:pt>
                <c:pt idx="52">
                  <c:v>325.55555555555651</c:v>
                </c:pt>
                <c:pt idx="53">
                  <c:v>327.77777777777879</c:v>
                </c:pt>
                <c:pt idx="54">
                  <c:v>330.00000000000102</c:v>
                </c:pt>
                <c:pt idx="55">
                  <c:v>332.22222222222325</c:v>
                </c:pt>
                <c:pt idx="56">
                  <c:v>334.44444444444548</c:v>
                </c:pt>
                <c:pt idx="57">
                  <c:v>336.66666666666777</c:v>
                </c:pt>
                <c:pt idx="58">
                  <c:v>338.88888888888999</c:v>
                </c:pt>
                <c:pt idx="59">
                  <c:v>341.11111111111222</c:v>
                </c:pt>
                <c:pt idx="60">
                  <c:v>343.33333333333445</c:v>
                </c:pt>
                <c:pt idx="61">
                  <c:v>345.55555555555674</c:v>
                </c:pt>
                <c:pt idx="62">
                  <c:v>347.77777777777897</c:v>
                </c:pt>
                <c:pt idx="63">
                  <c:v>350.00000000000119</c:v>
                </c:pt>
                <c:pt idx="64">
                  <c:v>352.22222222222342</c:v>
                </c:pt>
                <c:pt idx="65">
                  <c:v>354.44444444444565</c:v>
                </c:pt>
                <c:pt idx="66">
                  <c:v>356.66666666666794</c:v>
                </c:pt>
                <c:pt idx="67">
                  <c:v>358.88888888889016</c:v>
                </c:pt>
                <c:pt idx="68">
                  <c:v>361.11111111111239</c:v>
                </c:pt>
                <c:pt idx="69">
                  <c:v>363.33333333333462</c:v>
                </c:pt>
                <c:pt idx="70">
                  <c:v>365.55555555555691</c:v>
                </c:pt>
                <c:pt idx="71">
                  <c:v>367.77777777777914</c:v>
                </c:pt>
                <c:pt idx="72">
                  <c:v>370.00000000000136</c:v>
                </c:pt>
                <c:pt idx="73">
                  <c:v>372.22222222222359</c:v>
                </c:pt>
                <c:pt idx="74">
                  <c:v>374.44444444444588</c:v>
                </c:pt>
                <c:pt idx="75">
                  <c:v>376.66666666666811</c:v>
                </c:pt>
                <c:pt idx="76">
                  <c:v>378.88888888889034</c:v>
                </c:pt>
                <c:pt idx="77">
                  <c:v>381.11111111111256</c:v>
                </c:pt>
                <c:pt idx="78">
                  <c:v>383.33333333333485</c:v>
                </c:pt>
                <c:pt idx="79">
                  <c:v>385.55555555555708</c:v>
                </c:pt>
                <c:pt idx="80">
                  <c:v>387.77777777777931</c:v>
                </c:pt>
                <c:pt idx="81">
                  <c:v>390.00000000000153</c:v>
                </c:pt>
                <c:pt idx="82">
                  <c:v>392.22222222222382</c:v>
                </c:pt>
                <c:pt idx="83">
                  <c:v>394.44444444444605</c:v>
                </c:pt>
                <c:pt idx="84">
                  <c:v>396.66666666666828</c:v>
                </c:pt>
                <c:pt idx="85">
                  <c:v>398.88888888889051</c:v>
                </c:pt>
                <c:pt idx="86">
                  <c:v>401.11111111111273</c:v>
                </c:pt>
                <c:pt idx="87">
                  <c:v>403.33333333333502</c:v>
                </c:pt>
                <c:pt idx="88">
                  <c:v>405.55555555555725</c:v>
                </c:pt>
                <c:pt idx="89">
                  <c:v>407.77777777777948</c:v>
                </c:pt>
                <c:pt idx="90">
                  <c:v>410.00000000000171</c:v>
                </c:pt>
                <c:pt idx="91">
                  <c:v>412.22222222222399</c:v>
                </c:pt>
                <c:pt idx="92">
                  <c:v>414.44444444444622</c:v>
                </c:pt>
                <c:pt idx="93">
                  <c:v>416.66666666666845</c:v>
                </c:pt>
                <c:pt idx="94">
                  <c:v>418.88888888889068</c:v>
                </c:pt>
                <c:pt idx="95">
                  <c:v>421.11111111111296</c:v>
                </c:pt>
                <c:pt idx="96">
                  <c:v>423.33333333333519</c:v>
                </c:pt>
                <c:pt idx="97">
                  <c:v>425.55555555555742</c:v>
                </c:pt>
                <c:pt idx="98">
                  <c:v>427.77777777777965</c:v>
                </c:pt>
                <c:pt idx="99">
                  <c:v>430.00000000000193</c:v>
                </c:pt>
              </c:numCache>
            </c:numRef>
          </c:xVal>
          <c:yVal>
            <c:numRef>
              <c:f>'single_suction-2'!$W$3:$W$2003</c:f>
              <c:numCache>
                <c:formatCode>General</c:formatCode>
                <c:ptCount val="2001"/>
                <c:pt idx="0">
                  <c:v>9.8216266277363413</c:v>
                </c:pt>
                <c:pt idx="1">
                  <c:v>9.8479930678665681</c:v>
                </c:pt>
                <c:pt idx="2">
                  <c:v>9.8746370494718487</c:v>
                </c:pt>
                <c:pt idx="3">
                  <c:v>9.9015585725521866</c:v>
                </c:pt>
                <c:pt idx="4">
                  <c:v>9.9287576371075783</c:v>
                </c:pt>
                <c:pt idx="5">
                  <c:v>9.9562342431380255</c:v>
                </c:pt>
                <c:pt idx="6">
                  <c:v>9.9839883906435283</c:v>
                </c:pt>
                <c:pt idx="7">
                  <c:v>10.012020079624083</c:v>
                </c:pt>
                <c:pt idx="8">
                  <c:v>10.040329310079695</c:v>
                </c:pt>
                <c:pt idx="9">
                  <c:v>10.068916082010363</c:v>
                </c:pt>
                <c:pt idx="10">
                  <c:v>10.097780395416084</c:v>
                </c:pt>
                <c:pt idx="11">
                  <c:v>10.126922250296861</c:v>
                </c:pt>
                <c:pt idx="12">
                  <c:v>10.156341646652693</c:v>
                </c:pt>
                <c:pt idx="13">
                  <c:v>10.186038584483581</c:v>
                </c:pt>
                <c:pt idx="14">
                  <c:v>10.216013063789525</c:v>
                </c:pt>
                <c:pt idx="15">
                  <c:v>10.246265084570522</c:v>
                </c:pt>
                <c:pt idx="16">
                  <c:v>10.276794646826573</c:v>
                </c:pt>
                <c:pt idx="17">
                  <c:v>10.307601750557682</c:v>
                </c:pt>
                <c:pt idx="18">
                  <c:v>10.338686395763844</c:v>
                </c:pt>
                <c:pt idx="19">
                  <c:v>10.370048582445062</c:v>
                </c:pt>
                <c:pt idx="20">
                  <c:v>10.401688310601333</c:v>
                </c:pt>
                <c:pt idx="21">
                  <c:v>10.433605580232662</c:v>
                </c:pt>
                <c:pt idx="22">
                  <c:v>10.465800391339044</c:v>
                </c:pt>
                <c:pt idx="23">
                  <c:v>10.498272743920481</c:v>
                </c:pt>
                <c:pt idx="24">
                  <c:v>10.531022637976973</c:v>
                </c:pt>
                <c:pt idx="25">
                  <c:v>10.564050073508522</c:v>
                </c:pt>
                <c:pt idx="26">
                  <c:v>10.597355050515123</c:v>
                </c:pt>
                <c:pt idx="27">
                  <c:v>10.630937568996782</c:v>
                </c:pt>
                <c:pt idx="28">
                  <c:v>10.664797628953492</c:v>
                </c:pt>
                <c:pt idx="29">
                  <c:v>10.69893523038526</c:v>
                </c:pt>
                <c:pt idx="30">
                  <c:v>10.733350373292083</c:v>
                </c:pt>
                <c:pt idx="31">
                  <c:v>10.76804305767396</c:v>
                </c:pt>
                <c:pt idx="32">
                  <c:v>10.803013283530895</c:v>
                </c:pt>
                <c:pt idx="33">
                  <c:v>10.838261050862883</c:v>
                </c:pt>
                <c:pt idx="34">
                  <c:v>10.873786359669925</c:v>
                </c:pt>
                <c:pt idx="35">
                  <c:v>10.909589209952022</c:v>
                </c:pt>
                <c:pt idx="36">
                  <c:v>10.945669601709175</c:v>
                </c:pt>
                <c:pt idx="37">
                  <c:v>10.982027534941384</c:v>
                </c:pt>
                <c:pt idx="38">
                  <c:v>11.018663009648646</c:v>
                </c:pt>
                <c:pt idx="39">
                  <c:v>11.055576025830964</c:v>
                </c:pt>
                <c:pt idx="40">
                  <c:v>11.092766583488336</c:v>
                </c:pt>
                <c:pt idx="41">
                  <c:v>11.130234682620765</c:v>
                </c:pt>
                <c:pt idx="42">
                  <c:v>11.167980323228248</c:v>
                </c:pt>
                <c:pt idx="43">
                  <c:v>11.206003505310786</c:v>
                </c:pt>
                <c:pt idx="44">
                  <c:v>11.244304228868378</c:v>
                </c:pt>
                <c:pt idx="45">
                  <c:v>11.282882493901027</c:v>
                </c:pt>
                <c:pt idx="46">
                  <c:v>11.321738300408729</c:v>
                </c:pt>
                <c:pt idx="47">
                  <c:v>11.360871648391488</c:v>
                </c:pt>
                <c:pt idx="48">
                  <c:v>11.4002825378493</c:v>
                </c:pt>
                <c:pt idx="49">
                  <c:v>11.43997096878217</c:v>
                </c:pt>
                <c:pt idx="50">
                  <c:v>11.479936941190092</c:v>
                </c:pt>
                <c:pt idx="51">
                  <c:v>11.520180455073071</c:v>
                </c:pt>
                <c:pt idx="52">
                  <c:v>11.560701510431104</c:v>
                </c:pt>
                <c:pt idx="53">
                  <c:v>11.601500107264192</c:v>
                </c:pt>
                <c:pt idx="54">
                  <c:v>11.642576245572334</c:v>
                </c:pt>
                <c:pt idx="55">
                  <c:v>11.683929925355534</c:v>
                </c:pt>
                <c:pt idx="56">
                  <c:v>11.725561146613787</c:v>
                </c:pt>
                <c:pt idx="57">
                  <c:v>11.767469909347094</c:v>
                </c:pt>
                <c:pt idx="58">
                  <c:v>11.809656213555458</c:v>
                </c:pt>
                <c:pt idx="59">
                  <c:v>11.852120059238876</c:v>
                </c:pt>
                <c:pt idx="60">
                  <c:v>11.89486144639735</c:v>
                </c:pt>
                <c:pt idx="61">
                  <c:v>11.937880375030877</c:v>
                </c:pt>
                <c:pt idx="62">
                  <c:v>11.98117684513946</c:v>
                </c:pt>
                <c:pt idx="63">
                  <c:v>12.024750856723099</c:v>
                </c:pt>
                <c:pt idx="64">
                  <c:v>12.068602409781793</c:v>
                </c:pt>
                <c:pt idx="65">
                  <c:v>12.112731504315542</c:v>
                </c:pt>
                <c:pt idx="66">
                  <c:v>12.157138140324346</c:v>
                </c:pt>
                <c:pt idx="67">
                  <c:v>12.201822317808203</c:v>
                </c:pt>
                <c:pt idx="68">
                  <c:v>12.246784036767117</c:v>
                </c:pt>
                <c:pt idx="69">
                  <c:v>12.292023297201085</c:v>
                </c:pt>
                <c:pt idx="70">
                  <c:v>12.337540099110109</c:v>
                </c:pt>
                <c:pt idx="71">
                  <c:v>12.383334442494188</c:v>
                </c:pt>
                <c:pt idx="72">
                  <c:v>12.429406327353322</c:v>
                </c:pt>
                <c:pt idx="73">
                  <c:v>12.47575575368751</c:v>
                </c:pt>
                <c:pt idx="74">
                  <c:v>12.522382721496754</c:v>
                </c:pt>
                <c:pt idx="75">
                  <c:v>12.569287230781052</c:v>
                </c:pt>
                <c:pt idx="76">
                  <c:v>12.616469281540406</c:v>
                </c:pt>
                <c:pt idx="77">
                  <c:v>12.663928873774815</c:v>
                </c:pt>
                <c:pt idx="78">
                  <c:v>12.711666007484279</c:v>
                </c:pt>
                <c:pt idx="79">
                  <c:v>12.759680682668797</c:v>
                </c:pt>
                <c:pt idx="80">
                  <c:v>12.807972899328371</c:v>
                </c:pt>
                <c:pt idx="81">
                  <c:v>12.856542657463001</c:v>
                </c:pt>
                <c:pt idx="82">
                  <c:v>12.905389957072684</c:v>
                </c:pt>
                <c:pt idx="83">
                  <c:v>12.954514798157422</c:v>
                </c:pt>
                <c:pt idx="84">
                  <c:v>13.003917180717217</c:v>
                </c:pt>
                <c:pt idx="85">
                  <c:v>13.053597104752066</c:v>
                </c:pt>
                <c:pt idx="86">
                  <c:v>13.10355457026197</c:v>
                </c:pt>
                <c:pt idx="87">
                  <c:v>13.153789577246929</c:v>
                </c:pt>
                <c:pt idx="88">
                  <c:v>13.204302125706944</c:v>
                </c:pt>
                <c:pt idx="89">
                  <c:v>13.255092215642012</c:v>
                </c:pt>
                <c:pt idx="90">
                  <c:v>13.306159847052136</c:v>
                </c:pt>
                <c:pt idx="91">
                  <c:v>13.357505019937316</c:v>
                </c:pt>
                <c:pt idx="92">
                  <c:v>13.409127734297549</c:v>
                </c:pt>
                <c:pt idx="93">
                  <c:v>13.461027990132838</c:v>
                </c:pt>
                <c:pt idx="94">
                  <c:v>13.513205787443182</c:v>
                </c:pt>
                <c:pt idx="95">
                  <c:v>13.565661126228582</c:v>
                </c:pt>
                <c:pt idx="96">
                  <c:v>13.618394006489035</c:v>
                </c:pt>
                <c:pt idx="97">
                  <c:v>13.671404428224545</c:v>
                </c:pt>
                <c:pt idx="98">
                  <c:v>13.724692391435109</c:v>
                </c:pt>
                <c:pt idx="99">
                  <c:v>13.778257896120728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9-4079-8FDF-92E0A3EF1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421392"/>
        <c:axId val="1491421872"/>
      </c:scatterChart>
      <c:valAx>
        <c:axId val="149142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Diameter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872"/>
        <c:crosses val="autoZero"/>
        <c:crossBetween val="midCat"/>
      </c:valAx>
      <c:valAx>
        <c:axId val="14914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Pressure [barg]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FRONT SHROUD - PRESSURE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 shroud (1) [barg]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'double_suction-2'!$V$3:$V$2003</c:f>
              <c:numCache>
                <c:formatCode>General</c:formatCode>
                <c:ptCount val="2001"/>
                <c:pt idx="0">
                  <c:v>425.5</c:v>
                </c:pt>
                <c:pt idx="1">
                  <c:v>416.5</c:v>
                </c:pt>
                <c:pt idx="2">
                  <c:v>407.5</c:v>
                </c:pt>
                <c:pt idx="3">
                  <c:v>398.5</c:v>
                </c:pt>
                <c:pt idx="4">
                  <c:v>389.5</c:v>
                </c:pt>
                <c:pt idx="5">
                  <c:v>380.5</c:v>
                </c:pt>
                <c:pt idx="6">
                  <c:v>371.5</c:v>
                </c:pt>
                <c:pt idx="7">
                  <c:v>362.5</c:v>
                </c:pt>
                <c:pt idx="8">
                  <c:v>353.5</c:v>
                </c:pt>
                <c:pt idx="9">
                  <c:v>344.50000000000006</c:v>
                </c:pt>
                <c:pt idx="10">
                  <c:v>335.50000000000006</c:v>
                </c:pt>
                <c:pt idx="11">
                  <c:v>326.50000000000006</c:v>
                </c:pt>
                <c:pt idx="12">
                  <c:v>317.50000000000006</c:v>
                </c:pt>
                <c:pt idx="13">
                  <c:v>308.50000000000006</c:v>
                </c:pt>
                <c:pt idx="14">
                  <c:v>299.50000000000006</c:v>
                </c:pt>
                <c:pt idx="15">
                  <c:v>290.50000000000006</c:v>
                </c:pt>
                <c:pt idx="16">
                  <c:v>281.50000000000006</c:v>
                </c:pt>
                <c:pt idx="17">
                  <c:v>272.50000000000006</c:v>
                </c:pt>
                <c:pt idx="18">
                  <c:v>263.50000000000006</c:v>
                </c:pt>
                <c:pt idx="19">
                  <c:v>254.50000000000006</c:v>
                </c:pt>
              </c:numCache>
            </c:numRef>
          </c:xVal>
          <c:yVal>
            <c:numRef>
              <c:f>'double_suction-2'!$W$3:$W$2003</c:f>
              <c:numCache>
                <c:formatCode>General</c:formatCode>
                <c:ptCount val="2001"/>
                <c:pt idx="0">
                  <c:v>14.647272609902352</c:v>
                </c:pt>
                <c:pt idx="1">
                  <c:v>14.580977761545899</c:v>
                </c:pt>
                <c:pt idx="2">
                  <c:v>14.516115454930642</c:v>
                </c:pt>
                <c:pt idx="3">
                  <c:v>14.452685690056581</c:v>
                </c:pt>
                <c:pt idx="4">
                  <c:v>14.390688466923715</c:v>
                </c:pt>
                <c:pt idx="5">
                  <c:v>14.330123785532047</c:v>
                </c:pt>
                <c:pt idx="6">
                  <c:v>14.270991645881573</c:v>
                </c:pt>
                <c:pt idx="7">
                  <c:v>14.213292047972296</c:v>
                </c:pt>
                <c:pt idx="8">
                  <c:v>14.157024991804214</c:v>
                </c:pt>
                <c:pt idx="9">
                  <c:v>14.102190477377327</c:v>
                </c:pt>
                <c:pt idx="10">
                  <c:v>14.048788504691638</c:v>
                </c:pt>
                <c:pt idx="11">
                  <c:v>13.996819073747144</c:v>
                </c:pt>
                <c:pt idx="12">
                  <c:v>13.946282184543845</c:v>
                </c:pt>
                <c:pt idx="13">
                  <c:v>13.897177837081742</c:v>
                </c:pt>
                <c:pt idx="14">
                  <c:v>13.849506031360836</c:v>
                </c:pt>
                <c:pt idx="15">
                  <c:v>13.803266767381125</c:v>
                </c:pt>
                <c:pt idx="16">
                  <c:v>13.758460045142611</c:v>
                </c:pt>
                <c:pt idx="17">
                  <c:v>13.715085864645291</c:v>
                </c:pt>
                <c:pt idx="18">
                  <c:v>13.673144225889168</c:v>
                </c:pt>
                <c:pt idx="19">
                  <c:v>13.632635128874242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8-452C-8A34-CAAF1E36E835}"/>
            </c:ext>
          </c:extLst>
        </c:ser>
        <c:ser>
          <c:idx val="1"/>
          <c:order val="1"/>
          <c:tx>
            <c:v>Front shroud (2) [barg]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'double_suction-2'!$X$3:$X$2003</c:f>
              <c:numCache>
                <c:formatCode>General</c:formatCode>
                <c:ptCount val="2001"/>
                <c:pt idx="0">
                  <c:v>424.75</c:v>
                </c:pt>
                <c:pt idx="1">
                  <c:v>414.25000000000006</c:v>
                </c:pt>
                <c:pt idx="2">
                  <c:v>403.75000000000006</c:v>
                </c:pt>
                <c:pt idx="3">
                  <c:v>393.25000000000006</c:v>
                </c:pt>
                <c:pt idx="4">
                  <c:v>382.75000000000011</c:v>
                </c:pt>
                <c:pt idx="5">
                  <c:v>372.25000000000011</c:v>
                </c:pt>
                <c:pt idx="6">
                  <c:v>361.75000000000011</c:v>
                </c:pt>
                <c:pt idx="7">
                  <c:v>351.25000000000017</c:v>
                </c:pt>
                <c:pt idx="8">
                  <c:v>340.75000000000017</c:v>
                </c:pt>
                <c:pt idx="9">
                  <c:v>330.25000000000017</c:v>
                </c:pt>
                <c:pt idx="10">
                  <c:v>319.75000000000023</c:v>
                </c:pt>
                <c:pt idx="11">
                  <c:v>309.25000000000023</c:v>
                </c:pt>
                <c:pt idx="12">
                  <c:v>298.75000000000023</c:v>
                </c:pt>
                <c:pt idx="13">
                  <c:v>288.25000000000028</c:v>
                </c:pt>
                <c:pt idx="14">
                  <c:v>277.75000000000028</c:v>
                </c:pt>
                <c:pt idx="15">
                  <c:v>267.25000000000028</c:v>
                </c:pt>
                <c:pt idx="16">
                  <c:v>256.75000000000034</c:v>
                </c:pt>
                <c:pt idx="17">
                  <c:v>246.25000000000034</c:v>
                </c:pt>
                <c:pt idx="18">
                  <c:v>235.75000000000037</c:v>
                </c:pt>
                <c:pt idx="19">
                  <c:v>225.25000000000037</c:v>
                </c:pt>
              </c:numCache>
            </c:numRef>
          </c:xVal>
          <c:yVal>
            <c:numRef>
              <c:f>'double_suction-2'!$Y$3:$Y$2003</c:f>
              <c:numCache>
                <c:formatCode>General</c:formatCode>
                <c:ptCount val="2001"/>
                <c:pt idx="0">
                  <c:v>14.636123986444249</c:v>
                </c:pt>
                <c:pt idx="1">
                  <c:v>14.559197821369569</c:v>
                </c:pt>
                <c:pt idx="2">
                  <c:v>14.484221504775961</c:v>
                </c:pt>
                <c:pt idx="3">
                  <c:v>14.411195036663427</c:v>
                </c:pt>
                <c:pt idx="4">
                  <c:v>14.340118417031963</c:v>
                </c:pt>
                <c:pt idx="5">
                  <c:v>14.270991645881573</c:v>
                </c:pt>
                <c:pt idx="6">
                  <c:v>14.203814723212254</c:v>
                </c:pt>
                <c:pt idx="7">
                  <c:v>14.138587649024007</c:v>
                </c:pt>
                <c:pt idx="8">
                  <c:v>14.075310423316834</c:v>
                </c:pt>
                <c:pt idx="9">
                  <c:v>14.013983046090731</c:v>
                </c:pt>
                <c:pt idx="10">
                  <c:v>13.954605517345701</c:v>
                </c:pt>
                <c:pt idx="11">
                  <c:v>13.897177837081744</c:v>
                </c:pt>
                <c:pt idx="12">
                  <c:v>13.841700005298858</c:v>
                </c:pt>
                <c:pt idx="13">
                  <c:v>13.788172021997044</c:v>
                </c:pt>
                <c:pt idx="14">
                  <c:v>13.736593887176301</c:v>
                </c:pt>
                <c:pt idx="15">
                  <c:v>13.686965600836633</c:v>
                </c:pt>
                <c:pt idx="16">
                  <c:v>13.639287162978036</c:v>
                </c:pt>
                <c:pt idx="17">
                  <c:v>13.593558573600511</c:v>
                </c:pt>
                <c:pt idx="18">
                  <c:v>13.549779832704058</c:v>
                </c:pt>
                <c:pt idx="19">
                  <c:v>13.507950940288676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8-452C-8A34-CAAF1E36E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421392"/>
        <c:axId val="1491421872"/>
      </c:scatterChart>
      <c:valAx>
        <c:axId val="149142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Diameter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872"/>
        <c:crosses val="autoZero"/>
        <c:crossBetween val="midCat"/>
      </c:valAx>
      <c:valAx>
        <c:axId val="14914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Pressure [barg]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INTERMEDIATE STAGE IMPELLER - PRESSURE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 shroud pFS [barg]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'back_to_back-2'!$V$3:$V$2003</c:f>
              <c:numCache>
                <c:formatCode>General</c:formatCode>
                <c:ptCount val="2001"/>
                <c:pt idx="0">
                  <c:v>400</c:v>
                </c:pt>
                <c:pt idx="1">
                  <c:v>392.10526315789474</c:v>
                </c:pt>
                <c:pt idx="2">
                  <c:v>384.21052631578948</c:v>
                </c:pt>
                <c:pt idx="3">
                  <c:v>376.31578947368422</c:v>
                </c:pt>
                <c:pt idx="4">
                  <c:v>368.42105263157896</c:v>
                </c:pt>
                <c:pt idx="5">
                  <c:v>360.5263157894737</c:v>
                </c:pt>
                <c:pt idx="6">
                  <c:v>352.63157894736838</c:v>
                </c:pt>
                <c:pt idx="7">
                  <c:v>344.73684210526312</c:v>
                </c:pt>
                <c:pt idx="8">
                  <c:v>336.84210526315786</c:v>
                </c:pt>
                <c:pt idx="9">
                  <c:v>328.9473684210526</c:v>
                </c:pt>
                <c:pt idx="10">
                  <c:v>321.05263157894734</c:v>
                </c:pt>
                <c:pt idx="11">
                  <c:v>313.15789473684208</c:v>
                </c:pt>
                <c:pt idx="12">
                  <c:v>305.26315789473682</c:v>
                </c:pt>
                <c:pt idx="13">
                  <c:v>297.36842105263156</c:v>
                </c:pt>
                <c:pt idx="14">
                  <c:v>289.4736842105263</c:v>
                </c:pt>
                <c:pt idx="15">
                  <c:v>281.57894736842104</c:v>
                </c:pt>
                <c:pt idx="16">
                  <c:v>273.68421052631572</c:v>
                </c:pt>
                <c:pt idx="17">
                  <c:v>265.78947368421046</c:v>
                </c:pt>
                <c:pt idx="18">
                  <c:v>257.8947368421052</c:v>
                </c:pt>
                <c:pt idx="19">
                  <c:v>249.99999999999994</c:v>
                </c:pt>
              </c:numCache>
            </c:numRef>
          </c:xVal>
          <c:yVal>
            <c:numRef>
              <c:f>'back_to_back-2'!$W$3:$W$2003</c:f>
              <c:numCache>
                <c:formatCode>General</c:formatCode>
                <c:ptCount val="2001"/>
                <c:pt idx="0">
                  <c:v>10.9425645</c:v>
                </c:pt>
                <c:pt idx="1">
                  <c:v>10.798112417454925</c:v>
                </c:pt>
                <c:pt idx="2">
                  <c:v>10.656539778415732</c:v>
                </c:pt>
                <c:pt idx="3">
                  <c:v>10.51784658288242</c:v>
                </c:pt>
                <c:pt idx="4">
                  <c:v>10.382032830854991</c:v>
                </c:pt>
                <c:pt idx="5">
                  <c:v>10.249098522333444</c:v>
                </c:pt>
                <c:pt idx="6">
                  <c:v>10.119043657317778</c:v>
                </c:pt>
                <c:pt idx="7">
                  <c:v>9.9918682358079955</c:v>
                </c:pt>
                <c:pt idx="8">
                  <c:v>9.8675722578040936</c:v>
                </c:pt>
                <c:pt idx="9">
                  <c:v>9.7461557233060727</c:v>
                </c:pt>
                <c:pt idx="10">
                  <c:v>9.6276186323139346</c:v>
                </c:pt>
                <c:pt idx="11">
                  <c:v>9.5119609848276792</c:v>
                </c:pt>
                <c:pt idx="12">
                  <c:v>9.3991827808473047</c:v>
                </c:pt>
                <c:pt idx="13">
                  <c:v>9.2892840203728131</c:v>
                </c:pt>
                <c:pt idx="14">
                  <c:v>9.1822647034042024</c:v>
                </c:pt>
                <c:pt idx="15">
                  <c:v>9.0781248299414745</c:v>
                </c:pt>
                <c:pt idx="16">
                  <c:v>8.9768643999846276</c:v>
                </c:pt>
                <c:pt idx="17">
                  <c:v>8.8784834135336634</c:v>
                </c:pt>
                <c:pt idx="18">
                  <c:v>8.7829818705885803</c:v>
                </c:pt>
                <c:pt idx="19">
                  <c:v>8.6903597711493799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7-4E7E-9E14-7A6EF44E9C50}"/>
            </c:ext>
          </c:extLst>
        </c:ser>
        <c:ser>
          <c:idx val="1"/>
          <c:order val="1"/>
          <c:tx>
            <c:v>Rear shroud pRS [barg]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'back_to_back-2'!$Z$3:$Z$2003</c:f>
              <c:numCache>
                <c:formatCode>General</c:formatCode>
                <c:ptCount val="2001"/>
                <c:pt idx="0">
                  <c:v>120</c:v>
                </c:pt>
                <c:pt idx="1">
                  <c:v>134.73684210526315</c:v>
                </c:pt>
                <c:pt idx="2">
                  <c:v>149.4736842105263</c:v>
                </c:pt>
                <c:pt idx="3">
                  <c:v>164.21052631578948</c:v>
                </c:pt>
                <c:pt idx="4">
                  <c:v>178.94736842105263</c:v>
                </c:pt>
                <c:pt idx="5">
                  <c:v>193.68421052631578</c:v>
                </c:pt>
                <c:pt idx="6">
                  <c:v>208.42105263157893</c:v>
                </c:pt>
                <c:pt idx="7">
                  <c:v>223.15789473684208</c:v>
                </c:pt>
                <c:pt idx="8">
                  <c:v>237.89473684210526</c:v>
                </c:pt>
                <c:pt idx="9">
                  <c:v>252.63157894736841</c:v>
                </c:pt>
                <c:pt idx="10">
                  <c:v>267.36842105263156</c:v>
                </c:pt>
                <c:pt idx="11">
                  <c:v>282.10526315789474</c:v>
                </c:pt>
                <c:pt idx="12">
                  <c:v>296.84210526315786</c:v>
                </c:pt>
                <c:pt idx="13">
                  <c:v>311.57894736842104</c:v>
                </c:pt>
                <c:pt idx="14">
                  <c:v>326.31578947368422</c:v>
                </c:pt>
                <c:pt idx="15">
                  <c:v>341.05263157894734</c:v>
                </c:pt>
                <c:pt idx="16">
                  <c:v>355.78947368421052</c:v>
                </c:pt>
                <c:pt idx="17">
                  <c:v>370.5263157894737</c:v>
                </c:pt>
                <c:pt idx="18">
                  <c:v>385.26315789473682</c:v>
                </c:pt>
                <c:pt idx="19">
                  <c:v>400</c:v>
                </c:pt>
              </c:numCache>
            </c:numRef>
          </c:xVal>
          <c:yVal>
            <c:numRef>
              <c:f>'back_to_back-2'!$AA$3:$AA$2003</c:f>
              <c:numCache>
                <c:formatCode>General</c:formatCode>
                <c:ptCount val="2001"/>
                <c:pt idx="0">
                  <c:v>7.3019889651906738</c:v>
                </c:pt>
                <c:pt idx="1">
                  <c:v>7.3887050060611426</c:v>
                </c:pt>
                <c:pt idx="2">
                  <c:v>7.4854543078587739</c:v>
                </c:pt>
                <c:pt idx="3">
                  <c:v>7.5922368705835686</c:v>
                </c:pt>
                <c:pt idx="4">
                  <c:v>7.709052694235524</c:v>
                </c:pt>
                <c:pt idx="5">
                  <c:v>7.835901778814641</c:v>
                </c:pt>
                <c:pt idx="6">
                  <c:v>7.9727841243209188</c:v>
                </c:pt>
                <c:pt idx="7">
                  <c:v>8.119699730754359</c:v>
                </c:pt>
                <c:pt idx="8">
                  <c:v>8.27664859811496</c:v>
                </c:pt>
                <c:pt idx="9">
                  <c:v>8.4436307264027253</c:v>
                </c:pt>
                <c:pt idx="10">
                  <c:v>8.6206461156176513</c:v>
                </c:pt>
                <c:pt idx="11">
                  <c:v>8.807694765759738</c:v>
                </c:pt>
                <c:pt idx="12">
                  <c:v>9.004776676828989</c:v>
                </c:pt>
                <c:pt idx="13">
                  <c:v>9.2118918488253989</c:v>
                </c:pt>
                <c:pt idx="14">
                  <c:v>9.4290402817489731</c:v>
                </c:pt>
                <c:pt idx="15">
                  <c:v>9.6562219755997081</c:v>
                </c:pt>
                <c:pt idx="16">
                  <c:v>9.8934369303776037</c:v>
                </c:pt>
                <c:pt idx="17">
                  <c:v>10.140685146082664</c:v>
                </c:pt>
                <c:pt idx="18">
                  <c:v>10.397966622714883</c:v>
                </c:pt>
                <c:pt idx="19">
                  <c:v>10.665281360274266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E7-4E7E-9E14-7A6EF44E9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421392"/>
        <c:axId val="1491421872"/>
      </c:scatterChart>
      <c:valAx>
        <c:axId val="149142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Diameter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872"/>
        <c:crosses val="autoZero"/>
        <c:crossBetween val="midCat"/>
      </c:valAx>
      <c:valAx>
        <c:axId val="14914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Pressure [barg]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LAST STAGE IMPELLER - PRESSURE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 shroud pFS [barg]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'back_to_back-2'!$X$3:$X$5000</c:f>
              <c:numCache>
                <c:formatCode>General</c:formatCode>
                <c:ptCount val="4998"/>
                <c:pt idx="0">
                  <c:v>400</c:v>
                </c:pt>
                <c:pt idx="1">
                  <c:v>392.10526315789474</c:v>
                </c:pt>
                <c:pt idx="2">
                  <c:v>384.21052631578948</c:v>
                </c:pt>
                <c:pt idx="3">
                  <c:v>376.31578947368422</c:v>
                </c:pt>
                <c:pt idx="4">
                  <c:v>368.42105263157896</c:v>
                </c:pt>
                <c:pt idx="5">
                  <c:v>360.5263157894737</c:v>
                </c:pt>
                <c:pt idx="6">
                  <c:v>352.63157894736838</c:v>
                </c:pt>
                <c:pt idx="7">
                  <c:v>344.73684210526312</c:v>
                </c:pt>
                <c:pt idx="8">
                  <c:v>336.84210526315786</c:v>
                </c:pt>
                <c:pt idx="9">
                  <c:v>328.9473684210526</c:v>
                </c:pt>
                <c:pt idx="10">
                  <c:v>321.05263157894734</c:v>
                </c:pt>
                <c:pt idx="11">
                  <c:v>313.15789473684208</c:v>
                </c:pt>
                <c:pt idx="12">
                  <c:v>305.26315789473682</c:v>
                </c:pt>
                <c:pt idx="13">
                  <c:v>297.36842105263156</c:v>
                </c:pt>
                <c:pt idx="14">
                  <c:v>289.4736842105263</c:v>
                </c:pt>
                <c:pt idx="15">
                  <c:v>281.57894736842104</c:v>
                </c:pt>
                <c:pt idx="16">
                  <c:v>273.68421052631572</c:v>
                </c:pt>
                <c:pt idx="17">
                  <c:v>265.78947368421046</c:v>
                </c:pt>
                <c:pt idx="18">
                  <c:v>257.8947368421052</c:v>
                </c:pt>
                <c:pt idx="19">
                  <c:v>249.99999999999994</c:v>
                </c:pt>
              </c:numCache>
            </c:numRef>
          </c:xVal>
          <c:yVal>
            <c:numRef>
              <c:f>'back_to_back-2'!$Y$3:$Y$5000</c:f>
              <c:numCache>
                <c:formatCode>General</c:formatCode>
                <c:ptCount val="4998"/>
                <c:pt idx="0">
                  <c:v>42.207034499999999</c:v>
                </c:pt>
                <c:pt idx="1">
                  <c:v>42.062582417454927</c:v>
                </c:pt>
                <c:pt idx="2">
                  <c:v>41.92100977841573</c:v>
                </c:pt>
                <c:pt idx="3">
                  <c:v>41.782316582882423</c:v>
                </c:pt>
                <c:pt idx="4">
                  <c:v>41.646502830854992</c:v>
                </c:pt>
                <c:pt idx="5">
                  <c:v>41.513568522333443</c:v>
                </c:pt>
                <c:pt idx="6">
                  <c:v>41.383513657317778</c:v>
                </c:pt>
                <c:pt idx="7">
                  <c:v>41.256338235807995</c:v>
                </c:pt>
                <c:pt idx="8">
                  <c:v>41.132042257804095</c:v>
                </c:pt>
                <c:pt idx="9">
                  <c:v>41.01062572330607</c:v>
                </c:pt>
                <c:pt idx="10">
                  <c:v>40.892088632313936</c:v>
                </c:pt>
                <c:pt idx="11">
                  <c:v>40.776430984827677</c:v>
                </c:pt>
                <c:pt idx="12">
                  <c:v>40.663652780847308</c:v>
                </c:pt>
                <c:pt idx="13">
                  <c:v>40.553754020372814</c:v>
                </c:pt>
                <c:pt idx="14">
                  <c:v>40.446734703404204</c:v>
                </c:pt>
                <c:pt idx="15">
                  <c:v>40.342594829941476</c:v>
                </c:pt>
                <c:pt idx="16">
                  <c:v>40.24133439998463</c:v>
                </c:pt>
                <c:pt idx="17">
                  <c:v>40.142953413533661</c:v>
                </c:pt>
                <c:pt idx="18">
                  <c:v>40.047451870588581</c:v>
                </c:pt>
                <c:pt idx="19">
                  <c:v>39.954829771149377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3-4986-89F8-804A072FA648}"/>
            </c:ext>
          </c:extLst>
        </c:ser>
        <c:ser>
          <c:idx val="1"/>
          <c:order val="1"/>
          <c:tx>
            <c:v>Rear shroud pRS [barg]</c:v>
          </c:tx>
          <c:spPr>
            <a:ln w="127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'back_to_back-2'!$AB$3:$AB$5000</c:f>
              <c:numCache>
                <c:formatCode>General</c:formatCode>
                <c:ptCount val="4998"/>
                <c:pt idx="0">
                  <c:v>400</c:v>
                </c:pt>
                <c:pt idx="1">
                  <c:v>385.26315789473682</c:v>
                </c:pt>
                <c:pt idx="2">
                  <c:v>370.5263157894737</c:v>
                </c:pt>
                <c:pt idx="3">
                  <c:v>355.78947368421052</c:v>
                </c:pt>
                <c:pt idx="4">
                  <c:v>341.05263157894734</c:v>
                </c:pt>
                <c:pt idx="5">
                  <c:v>326.31578947368422</c:v>
                </c:pt>
                <c:pt idx="6">
                  <c:v>311.57894736842104</c:v>
                </c:pt>
                <c:pt idx="7">
                  <c:v>296.84210526315786</c:v>
                </c:pt>
                <c:pt idx="8">
                  <c:v>282.10526315789474</c:v>
                </c:pt>
                <c:pt idx="9">
                  <c:v>267.36842105263156</c:v>
                </c:pt>
                <c:pt idx="10">
                  <c:v>252.63157894736841</c:v>
                </c:pt>
                <c:pt idx="11">
                  <c:v>237.89473684210526</c:v>
                </c:pt>
                <c:pt idx="12">
                  <c:v>223.15789473684208</c:v>
                </c:pt>
                <c:pt idx="13">
                  <c:v>208.42105263157893</c:v>
                </c:pt>
                <c:pt idx="14">
                  <c:v>193.68421052631578</c:v>
                </c:pt>
                <c:pt idx="15">
                  <c:v>178.9473684210526</c:v>
                </c:pt>
                <c:pt idx="16">
                  <c:v>164.21052631578945</c:v>
                </c:pt>
                <c:pt idx="17">
                  <c:v>149.4736842105263</c:v>
                </c:pt>
                <c:pt idx="18">
                  <c:v>134.73684210526312</c:v>
                </c:pt>
                <c:pt idx="19">
                  <c:v>119.99999999999997</c:v>
                </c:pt>
              </c:numCache>
            </c:numRef>
          </c:xVal>
          <c:yVal>
            <c:numRef>
              <c:f>'back_to_back-2'!$AC$3:$AC$5000</c:f>
              <c:numCache>
                <c:formatCode>General</c:formatCode>
                <c:ptCount val="4998"/>
                <c:pt idx="0">
                  <c:v>42.207034499999999</c:v>
                </c:pt>
                <c:pt idx="1">
                  <c:v>41.939719762440618</c:v>
                </c:pt>
                <c:pt idx="2">
                  <c:v>41.682438285808395</c:v>
                </c:pt>
                <c:pt idx="3">
                  <c:v>41.435190070103339</c:v>
                </c:pt>
                <c:pt idx="4">
                  <c:v>41.197975115325441</c:v>
                </c:pt>
                <c:pt idx="5">
                  <c:v>40.97079342147471</c:v>
                </c:pt>
                <c:pt idx="6">
                  <c:v>40.75364498855113</c:v>
                </c:pt>
                <c:pt idx="7">
                  <c:v>40.546529816554724</c:v>
                </c:pt>
                <c:pt idx="8">
                  <c:v>40.349447905485469</c:v>
                </c:pt>
                <c:pt idx="9">
                  <c:v>40.162399255343388</c:v>
                </c:pt>
                <c:pt idx="10">
                  <c:v>39.985383866128458</c:v>
                </c:pt>
                <c:pt idx="11">
                  <c:v>39.818401737840695</c:v>
                </c:pt>
                <c:pt idx="12">
                  <c:v>39.66145287048009</c:v>
                </c:pt>
                <c:pt idx="13">
                  <c:v>39.514537264046652</c:v>
                </c:pt>
                <c:pt idx="14">
                  <c:v>39.377654918540372</c:v>
                </c:pt>
                <c:pt idx="15">
                  <c:v>39.250805833961259</c:v>
                </c:pt>
                <c:pt idx="16">
                  <c:v>39.133990010309304</c:v>
                </c:pt>
                <c:pt idx="17">
                  <c:v>39.027207447584509</c:v>
                </c:pt>
                <c:pt idx="18">
                  <c:v>38.930458145786879</c:v>
                </c:pt>
                <c:pt idx="19">
                  <c:v>38.843742104916409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F3-4986-89F8-804A072FA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421392"/>
        <c:axId val="1491421872"/>
      </c:scatterChart>
      <c:valAx>
        <c:axId val="149142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Diameter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872"/>
        <c:crosses val="autoZero"/>
        <c:crossBetween val="midCat"/>
      </c:valAx>
      <c:valAx>
        <c:axId val="14914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Pressure [barg]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9142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C0BE6DC7-3079-45A4-B42F-3D8B15245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19</xdr:row>
      <xdr:rowOff>28575</xdr:rowOff>
    </xdr:from>
    <xdr:to>
      <xdr:col>29</xdr:col>
      <xdr:colOff>19050</xdr:colOff>
      <xdr:row>38</xdr:row>
      <xdr:rowOff>28574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CFC0FDC-6DE3-478D-B9F3-9058FCD05377}"/>
            </a:ext>
          </a:extLst>
        </xdr:cNvPr>
        <xdr:cNvSpPr txBox="1"/>
      </xdr:nvSpPr>
      <xdr:spPr>
        <a:xfrm>
          <a:off x="95250" y="3648075"/>
          <a:ext cx="6276975" cy="3619499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This worksheet</a:t>
          </a:r>
          <a:r>
            <a:rPr lang="en-US" sz="1100" b="0" u="none" baseline="0"/>
            <a:t> allows to calculate the hydraulic axial thrust generated by an impller.</a:t>
          </a: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/>
            <a:t>Sheet "</a:t>
          </a:r>
          <a:r>
            <a:rPr lang="it-IT" sz="1100" b="1" u="none" baseline="0"/>
            <a:t>single_suction-1"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allows to calculate the hydraulic axial thrust on a single suction impeller with Gulich's simplified method or HI-1.3.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</a:t>
          </a:r>
          <a:r>
            <a:rPr lang="it-IT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double_suction-1"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allows to calculate the hydraulic axial thrust on a double suction impeller with Gulich's simplified method.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</a:t>
          </a:r>
          <a:r>
            <a:rPr lang="it-IT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back_to_back-1"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allows to calculate the residual hydraulic axial thrust of impellers in back-to-back arrangement with Gulich's simplified method.</a:t>
          </a: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</a:t>
          </a:r>
          <a:r>
            <a:rPr lang="it-IT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"single_suction-2"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allows to calculate the hydraulic axial thrust on a single suction impeller with Gulich's complete method.</a:t>
          </a: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</a:t>
          </a:r>
          <a:r>
            <a:rPr lang="it-IT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double_suction-2"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allows to calculate the hydraulic axial thrust on a double suction impeller with Gulich's simplified method.</a:t>
          </a: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</a:t>
          </a:r>
          <a:r>
            <a:rPr lang="it-IT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back_to_back-2" 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allows to calculate the residual hydraulic axial thrust of impellers in back-to-back arrangement with Gulich's complete method.</a:t>
          </a:r>
          <a:endParaRPr lang="it-IT">
            <a:effectLst/>
          </a:endParaRPr>
        </a:p>
        <a:p>
          <a:pPr eaLnBrk="1" fontAlgn="auto" latinLnBrk="0" hangingPunct="1"/>
          <a:endParaRPr lang="it-IT">
            <a:effectLst/>
          </a:endParaRPr>
        </a:p>
        <a:p>
          <a:pPr eaLnBrk="1" fontAlgn="auto" latinLnBrk="0" hangingPunct="1"/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20</xdr:col>
      <xdr:colOff>1</xdr:colOff>
      <xdr:row>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EB998D7-111C-467F-81E5-367C8DA1CF37}"/>
            </a:ext>
          </a:extLst>
        </xdr:cNvPr>
        <xdr:cNvSpPr txBox="1"/>
      </xdr:nvSpPr>
      <xdr:spPr>
        <a:xfrm>
          <a:off x="13249275" y="190500"/>
          <a:ext cx="5486401" cy="183832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INSTRUCTIONS: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Compile the input data.</a:t>
          </a:r>
          <a:endParaRPr lang="it-IT" sz="1200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Select the case study and run the calculation through the dedicated button.</a:t>
          </a:r>
          <a:endParaRPr lang="it-IT" sz="1200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Check the results.</a:t>
          </a:r>
          <a:endParaRPr lang="it-IT" sz="1200">
            <a:effectLst/>
          </a:endParaRPr>
        </a:p>
        <a:p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</a:t>
          </a:r>
          <a:r>
            <a:rPr lang="it-IT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OTES: If no balancing holes are foreseen, D_D = D_RH. </a:t>
          </a:r>
        </a:p>
        <a:p>
          <a:r>
            <a:rPr lang="it-IT" sz="1200" b="0" u="none">
              <a:solidFill>
                <a:schemeClr val="dk1"/>
              </a:solidFill>
              <a:latin typeface="+mn-lt"/>
              <a:ea typeface="+mn-ea"/>
              <a:cs typeface="+mn-cs"/>
            </a:rPr>
            <a:t>Gulich method</a:t>
          </a:r>
          <a:r>
            <a:rPr lang="it-IT" sz="12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 shall be considered as the reference approach.</a:t>
          </a:r>
          <a:endParaRPr lang="it-IT" sz="1200" b="0" u="none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0</xdr:colOff>
      <xdr:row>33</xdr:row>
      <xdr:rowOff>190499</xdr:rowOff>
    </xdr:from>
    <xdr:to>
      <xdr:col>25</xdr:col>
      <xdr:colOff>0</xdr:colOff>
      <xdr:row>67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5860425-1EA8-4946-8125-A5C751572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323" name="CommandButton1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25</xdr:col>
          <xdr:colOff>0</xdr:colOff>
          <xdr:row>34</xdr:row>
          <xdr:rowOff>0</xdr:rowOff>
        </xdr:to>
        <xdr:pic>
          <xdr:nvPicPr>
            <xdr:cNvPr id="2424" name="Immagine 2">
              <a:extLst>
                <a:ext uri="{FF2B5EF4-FFF2-40B4-BE49-F238E27FC236}">
                  <a16:creationId xmlns:a16="http://schemas.microsoft.com/office/drawing/2014/main" id="{85AFD0DA-F2B3-46D8-20BA-9D21A32E5ADA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myfig1" spid="_x0000_s255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3249275" y="2219325"/>
              <a:ext cx="8534400" cy="5372100"/>
            </a:xfrm>
            <a:prstGeom prst="rect">
              <a:avLst/>
            </a:prstGeom>
            <a:noFill/>
            <a:ln w="9525">
              <a:solidFill>
                <a:srgbClr val="558ED5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473" name="CommandButton2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1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474" name="CommandButton3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1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475" name="CommandButton4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1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2476" name="CommandButton5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1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2477" name="CommandButton6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1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190499</xdr:rowOff>
    </xdr:from>
    <xdr:to>
      <xdr:col>21</xdr:col>
      <xdr:colOff>1</xdr:colOff>
      <xdr:row>7</xdr:row>
      <xdr:rowOff>695324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B83C4725-9F3E-44A2-AC9C-E3A38F04A7B9}"/>
            </a:ext>
          </a:extLst>
        </xdr:cNvPr>
        <xdr:cNvSpPr txBox="1"/>
      </xdr:nvSpPr>
      <xdr:spPr>
        <a:xfrm>
          <a:off x="13392150" y="190499"/>
          <a:ext cx="6096000" cy="183832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INSTRUCTIONS:</a:t>
          </a:r>
        </a:p>
        <a:p>
          <a:r>
            <a:rPr lang="en-US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Compile the input data.</a:t>
          </a:r>
        </a:p>
        <a:p>
          <a:r>
            <a:rPr lang="en-US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Run the calculation through the dedicated button.</a:t>
          </a:r>
        </a:p>
        <a:p>
          <a:r>
            <a:rPr lang="en-US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Check the results.</a:t>
          </a:r>
        </a:p>
        <a:p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Axial thrust factor shall be selected from Tables 1&amp;2. For high energy pump as per SOP-489, data from Table 1 shall be multiplied by 8.</a:t>
          </a:r>
          <a:endParaRPr lang="it-IT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9</xdr:row>
      <xdr:rowOff>28756</xdr:rowOff>
    </xdr:from>
    <xdr:to>
      <xdr:col>20</xdr:col>
      <xdr:colOff>609599</xdr:colOff>
      <xdr:row>37</xdr:row>
      <xdr:rowOff>28575</xdr:rowOff>
    </xdr:to>
    <xdr:grpSp>
      <xdr:nvGrpSpPr>
        <xdr:cNvPr id="35" name="Gruppo 34">
          <a:extLst>
            <a:ext uri="{FF2B5EF4-FFF2-40B4-BE49-F238E27FC236}">
              <a16:creationId xmlns:a16="http://schemas.microsoft.com/office/drawing/2014/main" id="{1F90FF00-D8B8-590A-3EE4-CC4D7827559B}"/>
            </a:ext>
          </a:extLst>
        </xdr:cNvPr>
        <xdr:cNvGrpSpPr/>
      </xdr:nvGrpSpPr>
      <xdr:grpSpPr>
        <a:xfrm>
          <a:off x="13077825" y="2257606"/>
          <a:ext cx="6095999" cy="6095819"/>
          <a:chOff x="14077950" y="2257606"/>
          <a:chExt cx="6095999" cy="6095819"/>
        </a:xfrm>
      </xdr:grpSpPr>
      <xdr:grpSp>
        <xdr:nvGrpSpPr>
          <xdr:cNvPr id="34" name="Gruppo 33">
            <a:extLst>
              <a:ext uri="{FF2B5EF4-FFF2-40B4-BE49-F238E27FC236}">
                <a16:creationId xmlns:a16="http://schemas.microsoft.com/office/drawing/2014/main" id="{E63C39E0-A0C6-8A11-E5D2-0EB6FBE56DA3}"/>
              </a:ext>
            </a:extLst>
          </xdr:cNvPr>
          <xdr:cNvGrpSpPr/>
        </xdr:nvGrpSpPr>
        <xdr:grpSpPr>
          <a:xfrm>
            <a:off x="14077950" y="2257606"/>
            <a:ext cx="6095999" cy="6095819"/>
            <a:chOff x="14077950" y="2257606"/>
            <a:chExt cx="6095999" cy="6095819"/>
          </a:xfrm>
        </xdr:grpSpPr>
        <xdr:grpSp>
          <xdr:nvGrpSpPr>
            <xdr:cNvPr id="22" name="Gruppo 21">
              <a:extLst>
                <a:ext uri="{FF2B5EF4-FFF2-40B4-BE49-F238E27FC236}">
                  <a16:creationId xmlns:a16="http://schemas.microsoft.com/office/drawing/2014/main" id="{825AE2E1-1028-A685-752C-E50B4E26A77A}"/>
                </a:ext>
              </a:extLst>
            </xdr:cNvPr>
            <xdr:cNvGrpSpPr/>
          </xdr:nvGrpSpPr>
          <xdr:grpSpPr>
            <a:xfrm>
              <a:off x="14077950" y="2257606"/>
              <a:ext cx="6095999" cy="6095819"/>
              <a:chOff x="8724901" y="1533525"/>
              <a:chExt cx="6095999" cy="5981700"/>
            </a:xfrm>
          </xdr:grpSpPr>
          <xdr:grpSp>
            <xdr:nvGrpSpPr>
              <xdr:cNvPr id="8" name="Gruppo 7">
                <a:extLst>
                  <a:ext uri="{FF2B5EF4-FFF2-40B4-BE49-F238E27FC236}">
                    <a16:creationId xmlns:a16="http://schemas.microsoft.com/office/drawing/2014/main" id="{D74155FB-AC07-84A1-52F1-BB4B06CBC54D}"/>
                  </a:ext>
                </a:extLst>
              </xdr:cNvPr>
              <xdr:cNvGrpSpPr/>
            </xdr:nvGrpSpPr>
            <xdr:grpSpPr>
              <a:xfrm>
                <a:off x="8724901" y="1533525"/>
                <a:ext cx="6095999" cy="5981700"/>
                <a:chOff x="8724901" y="1533525"/>
                <a:chExt cx="6095999" cy="5981700"/>
              </a:xfrm>
            </xdr:grpSpPr>
            <xdr:grpSp>
              <xdr:nvGrpSpPr>
                <xdr:cNvPr id="28" name="Gruppo 27">
                  <a:extLst>
                    <a:ext uri="{FF2B5EF4-FFF2-40B4-BE49-F238E27FC236}">
                      <a16:creationId xmlns:a16="http://schemas.microsoft.com/office/drawing/2014/main" id="{AB3AC10E-8D2B-1A51-BD79-930CD60AE385}"/>
                    </a:ext>
                  </a:extLst>
                </xdr:cNvPr>
                <xdr:cNvGrpSpPr/>
              </xdr:nvGrpSpPr>
              <xdr:grpSpPr>
                <a:xfrm>
                  <a:off x="8724901" y="1533525"/>
                  <a:ext cx="6095999" cy="5981700"/>
                  <a:chOff x="8724901" y="1533525"/>
                  <a:chExt cx="6095999" cy="5981700"/>
                </a:xfrm>
              </xdr:grpSpPr>
              <xdr:grpSp>
                <xdr:nvGrpSpPr>
                  <xdr:cNvPr id="2" name="Gruppo 1">
                    <a:extLst>
                      <a:ext uri="{FF2B5EF4-FFF2-40B4-BE49-F238E27FC236}">
                        <a16:creationId xmlns:a16="http://schemas.microsoft.com/office/drawing/2014/main" id="{07CC7B2C-831B-49FB-AA92-CD042228A30B}"/>
                      </a:ext>
                    </a:extLst>
                  </xdr:cNvPr>
                  <xdr:cNvGrpSpPr/>
                </xdr:nvGrpSpPr>
                <xdr:grpSpPr>
                  <a:xfrm>
                    <a:off x="8724901" y="1533525"/>
                    <a:ext cx="6095999" cy="5981700"/>
                    <a:chOff x="8801100" y="1571625"/>
                    <a:chExt cx="5760000" cy="5965077"/>
                  </a:xfrm>
                </xdr:grpSpPr>
                <xdr:pic>
                  <xdr:nvPicPr>
                    <xdr:cNvPr id="10" name="Immagine 9">
                      <a:extLst>
                        <a:ext uri="{FF2B5EF4-FFF2-40B4-BE49-F238E27FC236}">
                          <a16:creationId xmlns:a16="http://schemas.microsoft.com/office/drawing/2014/main" id="{A229B77B-AFEF-8BD6-CA44-2A05EFD57562}"/>
                        </a:ext>
                      </a:extLst>
                    </xdr:cNvPr>
                    <xdr:cNvPicPr>
                      <a:picLocks noChangeAspect="1" noChangeArrowheads="1"/>
                    </xdr:cNvPicPr>
                  </xdr:nvPicPr>
                  <xdr:blipFill>
                    <a:blip xmlns:r="http://schemas.openxmlformats.org/officeDocument/2006/relationships" r:embed="rId1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rcRect/>
                    <a:stretch>
                      <a:fillRect/>
                    </a:stretch>
                  </xdr:blipFill>
                  <xdr:spPr bwMode="auto">
                    <a:xfrm>
                      <a:off x="8801100" y="1571625"/>
                      <a:ext cx="5760000" cy="5965077"/>
                    </a:xfrm>
                    <a:prstGeom prst="rect">
                      <a:avLst/>
                    </a:prstGeom>
                    <a:noFill/>
                    <a:ln>
                      <a:solidFill>
                        <a:schemeClr val="tx2">
                          <a:lumMod val="60000"/>
                          <a:lumOff val="40000"/>
                        </a:schemeClr>
                      </a:solidFill>
                    </a:ln>
                    <a:extLst>
                      <a:ext uri="{909E8E84-426E-40DD-AFC4-6F175D3DCCD1}">
                        <a14:hiddenFill xmlns:a14="http://schemas.microsoft.com/office/drawing/2010/main">
                          <a:solidFill>
                            <a:srgbClr val="FFFFFF"/>
                          </a:solidFill>
                        </a14:hiddenFill>
                      </a:ext>
                    </a:extLst>
                  </xdr:spPr>
                </xdr:pic>
                <xdr:sp macro="" textlink="'double_suction-1'!J15">
                  <xdr:nvSpPr>
                    <xdr:cNvPr id="11" name="CasellaDiTesto 10">
                      <a:extLst>
                        <a:ext uri="{FF2B5EF4-FFF2-40B4-BE49-F238E27FC236}">
                          <a16:creationId xmlns:a16="http://schemas.microsoft.com/office/drawing/2014/main" id="{C13E9FEA-9258-867F-B921-04BBD04CC54A}"/>
                        </a:ext>
                      </a:extLst>
                    </xdr:cNvPr>
                    <xdr:cNvSpPr txBox="1"/>
                  </xdr:nvSpPr>
                  <xdr:spPr>
                    <a:xfrm>
                      <a:off x="9286350" y="3533934"/>
                      <a:ext cx="1325105" cy="26890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l"/>
                      <a:fld id="{106ED314-6BCC-4B35-8527-7E3FBAE29249}" type="TxLink">
                        <a:rPr lang="en-US" sz="1100" b="0" i="0" u="none" strike="noStrike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l"/>
                        <a:t>Lsp1 [mm] = 25</a:t>
                      </a:fld>
                      <a:endParaRPr lang="it-IT" sz="1100">
                        <a:solidFill>
                          <a:schemeClr val="accent6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'double_suction-1'!J16">
                  <xdr:nvSpPr>
                    <xdr:cNvPr id="13" name="CasellaDiTesto 12">
                      <a:extLst>
                        <a:ext uri="{FF2B5EF4-FFF2-40B4-BE49-F238E27FC236}">
                          <a16:creationId xmlns:a16="http://schemas.microsoft.com/office/drawing/2014/main" id="{33A75C41-736F-9D5A-51E8-BC161723355A}"/>
                        </a:ext>
                      </a:extLst>
                    </xdr:cNvPr>
                    <xdr:cNvSpPr txBox="1"/>
                  </xdr:nvSpPr>
                  <xdr:spPr>
                    <a:xfrm>
                      <a:off x="13144500" y="3524250"/>
                      <a:ext cx="1325105" cy="30700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r"/>
                      <a:fld id="{E8675D0B-8589-47F0-A5BF-93F2A502E8C1}" type="TxLink">
                        <a:rPr lang="en-US" sz="1100" b="0" i="0" u="none" strike="noStrike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r"/>
                        <a:t>Lsp2 [mm] = 25</a:t>
                      </a:fld>
                      <a:endParaRPr lang="it-IT" sz="1100">
                        <a:solidFill>
                          <a:schemeClr val="accent6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'double_suction-1'!J13">
                  <xdr:nvSpPr>
                    <xdr:cNvPr id="14" name="CasellaDiTesto 13">
                      <a:extLst>
                        <a:ext uri="{FF2B5EF4-FFF2-40B4-BE49-F238E27FC236}">
                          <a16:creationId xmlns:a16="http://schemas.microsoft.com/office/drawing/2014/main" id="{3F1A31DF-EB9E-0461-20E3-ED29A70EC8B5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9124951" y="4524375"/>
                      <a:ext cx="1458455" cy="23080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r"/>
                      <a:fld id="{7AB0725F-EEA7-456C-8065-4D68D2C3F0E7}" type="TxLink">
                        <a:rPr lang="en-US" sz="1100" b="0" i="0" u="none" strike="noStrike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r"/>
                        <a:t>ssp1 [mm] = 0.1</a:t>
                      </a:fld>
                      <a:endParaRPr lang="it-IT" sz="1100">
                        <a:solidFill>
                          <a:schemeClr val="accent6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'double_suction-1'!J14">
                  <xdr:nvSpPr>
                    <xdr:cNvPr id="15" name="CasellaDiTesto 14">
                      <a:extLst>
                        <a:ext uri="{FF2B5EF4-FFF2-40B4-BE49-F238E27FC236}">
                          <a16:creationId xmlns:a16="http://schemas.microsoft.com/office/drawing/2014/main" id="{4B95FD71-99AA-B251-7B7C-218DD229BDA3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13293199" y="4415687"/>
                      <a:ext cx="1458455" cy="23080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r"/>
                      <a:fld id="{ECF3E254-51A4-4094-B9D4-9C66816DEFDD}" type="TxLink">
                        <a:rPr lang="en-US" sz="1100" b="0" i="0" u="none" strike="noStrike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r"/>
                        <a:t>ssp2 [mm] = 0.1</a:t>
                      </a:fld>
                      <a:endParaRPr lang="it-IT" sz="1100">
                        <a:solidFill>
                          <a:schemeClr val="accent6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'double_suction-1'!J12">
                  <xdr:nvSpPr>
                    <xdr:cNvPr id="16" name="CasellaDiTesto 15">
                      <a:extLst>
                        <a:ext uri="{FF2B5EF4-FFF2-40B4-BE49-F238E27FC236}">
                          <a16:creationId xmlns:a16="http://schemas.microsoft.com/office/drawing/2014/main" id="{C1213E2B-1A4F-402D-E9C7-C75457EB67D7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13321252" y="6614577"/>
                      <a:ext cx="1401305" cy="230804"/>
                    </a:xfrm>
                    <a:prstGeom prst="rect">
                      <a:avLst/>
                    </a:prstGeom>
                    <a:solidFill>
                      <a:sysClr val="window" lastClr="FFFFFF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l"/>
                      <a:fld id="{8DF21F39-ECF9-4188-9C3A-0FC05EC8A08F}" type="TxLink">
                        <a:rPr lang="en-US" sz="1100" b="0" i="0" u="none" strike="noStrike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l"/>
                        <a:t>Dsp2 [mm] = 320</a:t>
                      </a:fld>
                      <a:endParaRPr lang="it-IT" sz="1100">
                        <a:solidFill>
                          <a:schemeClr val="accent6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'double_suction-1'!J11">
                  <xdr:nvSpPr>
                    <xdr:cNvPr id="17" name="CasellaDiTesto 16">
                      <a:extLst>
                        <a:ext uri="{FF2B5EF4-FFF2-40B4-BE49-F238E27FC236}">
                          <a16:creationId xmlns:a16="http://schemas.microsoft.com/office/drawing/2014/main" id="{22498F1A-ED27-73EF-F14D-9CABA75FC207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9196927" y="6586002"/>
                      <a:ext cx="1401305" cy="230804"/>
                    </a:xfrm>
                    <a:prstGeom prst="rect">
                      <a:avLst/>
                    </a:prstGeom>
                    <a:solidFill>
                      <a:sysClr val="window" lastClr="FFFFFF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l"/>
                      <a:fld id="{3A75BE05-A79F-4D3E-B591-B0F083A445E1}" type="TxLink">
                        <a:rPr lang="en-US" sz="1100" b="0" i="0" u="none" strike="noStrike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l"/>
                        <a:t>Dsp1 [mm] = 320</a:t>
                      </a:fld>
                      <a:endParaRPr lang="it-IT" sz="1100">
                        <a:solidFill>
                          <a:schemeClr val="accent6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'double_suction-1'!J10">
                  <xdr:nvSpPr>
                    <xdr:cNvPr id="18" name="CasellaDiTesto 17">
                      <a:extLst>
                        <a:ext uri="{FF2B5EF4-FFF2-40B4-BE49-F238E27FC236}">
                          <a16:creationId xmlns:a16="http://schemas.microsoft.com/office/drawing/2014/main" id="{B2A9B797-A560-C4DB-F835-4E1EACD822AC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8377778" y="6576477"/>
                      <a:ext cx="1401305" cy="230804"/>
                    </a:xfrm>
                    <a:prstGeom prst="rect">
                      <a:avLst/>
                    </a:prstGeom>
                    <a:solidFill>
                      <a:sysClr val="window" lastClr="FFFFFF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l"/>
                      <a:fld id="{BB981192-AE7A-41F3-9A46-AE36DAD3BF2A}" type="TxLink">
                        <a:rPr lang="en-US" sz="1100" b="0" i="0" u="none" strike="noStrike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l"/>
                        <a:t>D2 [mm] = 390</a:t>
                      </a:fld>
                      <a:endParaRPr lang="it-IT" sz="1100">
                        <a:solidFill>
                          <a:schemeClr val="accent6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'double_suction-1'!J27">
                  <xdr:nvSpPr>
                    <xdr:cNvPr id="19" name="CasellaDiTesto 18">
                      <a:extLst>
                        <a:ext uri="{FF2B5EF4-FFF2-40B4-BE49-F238E27FC236}">
                          <a16:creationId xmlns:a16="http://schemas.microsoft.com/office/drawing/2014/main" id="{CD1B0081-A40B-663F-1B84-AEF43C72F0A1}"/>
                        </a:ext>
                      </a:extLst>
                    </xdr:cNvPr>
                    <xdr:cNvSpPr txBox="1"/>
                  </xdr:nvSpPr>
                  <xdr:spPr>
                    <a:xfrm>
                      <a:off x="11934825" y="1581150"/>
                      <a:ext cx="1325105" cy="23080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l"/>
                      <a:fld id="{1498318E-8F81-432B-9E0B-DD054FB7D954}" type="TxLink">
                        <a:rPr lang="en-US" sz="1100" b="0" i="0" u="none" strike="noStrike">
                          <a:solidFill>
                            <a:schemeClr val="accent3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l"/>
                        <a:t>pLA [bar] = 12.5</a:t>
                      </a:fld>
                      <a:endParaRPr lang="it-IT" sz="1100">
                        <a:solidFill>
                          <a:schemeClr val="accent3">
                            <a:lumMod val="75000"/>
                          </a:schemeClr>
                        </a:solidFill>
                      </a:endParaRPr>
                    </a:p>
                  </xdr:txBody>
                </xdr:sp>
              </xdr:grpSp>
              <xdr:sp macro="" textlink="">
                <xdr:nvSpPr>
                  <xdr:cNvPr id="26" name="CasellaDiTesto 25">
                    <a:extLst>
                      <a:ext uri="{FF2B5EF4-FFF2-40B4-BE49-F238E27FC236}">
                        <a16:creationId xmlns:a16="http://schemas.microsoft.com/office/drawing/2014/main" id="{6952DDAF-E6EA-4048-A222-FA73CB47D44B}"/>
                      </a:ext>
                    </a:extLst>
                  </xdr:cNvPr>
                  <xdr:cNvSpPr txBox="1"/>
                </xdr:nvSpPr>
                <xdr:spPr>
                  <a:xfrm>
                    <a:off x="8753475" y="1911945"/>
                    <a:ext cx="1402403" cy="23292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l"/>
                    <a:r>
                      <a:rPr lang="en-US" sz="1100" b="0" i="0" u="none" strike="noStrike">
                        <a:solidFill>
                          <a:schemeClr val="tx1"/>
                        </a:solidFill>
                        <a:latin typeface="Calibri"/>
                        <a:cs typeface="Calibri"/>
                      </a:rPr>
                      <a:t>Side (1)</a:t>
                    </a:r>
                  </a:p>
                </xdr:txBody>
              </xdr:sp>
              <xdr:sp macro="" textlink="">
                <xdr:nvSpPr>
                  <xdr:cNvPr id="27" name="CasellaDiTesto 26">
                    <a:extLst>
                      <a:ext uri="{FF2B5EF4-FFF2-40B4-BE49-F238E27FC236}">
                        <a16:creationId xmlns:a16="http://schemas.microsoft.com/office/drawing/2014/main" id="{629A30FD-6D9C-4727-90C7-BA88713EF773}"/>
                      </a:ext>
                    </a:extLst>
                  </xdr:cNvPr>
                  <xdr:cNvSpPr txBox="1"/>
                </xdr:nvSpPr>
                <xdr:spPr>
                  <a:xfrm>
                    <a:off x="13877925" y="1930995"/>
                    <a:ext cx="916628" cy="23292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r"/>
                    <a:r>
                      <a:rPr lang="en-US" sz="1100" b="0" i="0" u="none" strike="noStrike">
                        <a:solidFill>
                          <a:schemeClr val="tx1"/>
                        </a:solidFill>
                        <a:latin typeface="Calibri"/>
                        <a:cs typeface="Calibri"/>
                      </a:rPr>
                      <a:t>Side (2)</a:t>
                    </a:r>
                  </a:p>
                </xdr:txBody>
              </xdr:sp>
            </xdr:grpSp>
            <xdr:sp macro="" textlink="'double_suction-1'!J74">
              <xdr:nvSpPr>
                <xdr:cNvPr id="6" name="CasellaDiTesto 5">
                  <a:extLst>
                    <a:ext uri="{FF2B5EF4-FFF2-40B4-BE49-F238E27FC236}">
                      <a16:creationId xmlns:a16="http://schemas.microsoft.com/office/drawing/2014/main" id="{9F577151-9562-4261-BFEB-29C30BAAE2E5}"/>
                    </a:ext>
                  </a:extLst>
                </xdr:cNvPr>
                <xdr:cNvSpPr txBox="1"/>
              </xdr:nvSpPr>
              <xdr:spPr>
                <a:xfrm>
                  <a:off x="11582401" y="4810125"/>
                  <a:ext cx="1402403" cy="231447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93BA1F72-90E6-40C4-810F-2AE949C9CAB2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 algn="r"/>
                    <a:t>psp2  [barg] = 11.1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1'!J53">
              <xdr:nvSpPr>
                <xdr:cNvPr id="7" name="CasellaDiTesto 6">
                  <a:extLst>
                    <a:ext uri="{FF2B5EF4-FFF2-40B4-BE49-F238E27FC236}">
                      <a16:creationId xmlns:a16="http://schemas.microsoft.com/office/drawing/2014/main" id="{714CAF3F-FCD2-4EEA-953B-992E533BEF49}"/>
                    </a:ext>
                  </a:extLst>
                </xdr:cNvPr>
                <xdr:cNvSpPr txBox="1"/>
              </xdr:nvSpPr>
              <xdr:spPr>
                <a:xfrm>
                  <a:off x="11020426" y="4572000"/>
                  <a:ext cx="1402403" cy="231447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07CD2C24-F319-41F3-A3AA-DF0E6F8C4BF6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 algn="l"/>
                    <a:t>psp1  [barg] = 11.1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</xdr:grpSp>
          <xdr:sp macro="" textlink="'double_suction-1'!J52">
            <xdr:nvSpPr>
              <xdr:cNvPr id="9" name="CasellaDiTesto 8">
                <a:extLst>
                  <a:ext uri="{FF2B5EF4-FFF2-40B4-BE49-F238E27FC236}">
                    <a16:creationId xmlns:a16="http://schemas.microsoft.com/office/drawing/2014/main" id="{A4AE2DD9-B2EF-44E7-A109-D73A5A21678A}"/>
                  </a:ext>
                </a:extLst>
              </xdr:cNvPr>
              <xdr:cNvSpPr txBox="1"/>
            </xdr:nvSpPr>
            <xdr:spPr>
              <a:xfrm>
                <a:off x="10248901" y="4238625"/>
                <a:ext cx="1402403" cy="231447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A57DE2AA-A6E4-4B89-8335-9053B1668B5F}" type="TxLink">
                  <a:rPr lang="en-US" sz="1100" b="0" i="0" u="none" strike="noStrike">
                    <a:solidFill>
                      <a:schemeClr val="accent3">
                        <a:lumMod val="75000"/>
                      </a:schemeClr>
                    </a:solidFill>
                    <a:latin typeface="Calibri"/>
                    <a:ea typeface="Calibri"/>
                    <a:cs typeface="Calibri"/>
                  </a:rPr>
                  <a:pPr algn="l"/>
                  <a:t>∆psp1 [bar] = 11.1</a:t>
                </a:fld>
                <a:endParaRPr lang="it-IT" sz="1100">
                  <a:solidFill>
                    <a:schemeClr val="accent3">
                      <a:lumMod val="75000"/>
                    </a:schemeClr>
                  </a:solidFill>
                </a:endParaRPr>
              </a:p>
            </xdr:txBody>
          </xdr:sp>
          <xdr:sp macro="" textlink="'double_suction-1'!J73">
            <xdr:nvSpPr>
              <xdr:cNvPr id="12" name="CasellaDiTesto 11">
                <a:extLst>
                  <a:ext uri="{FF2B5EF4-FFF2-40B4-BE49-F238E27FC236}">
                    <a16:creationId xmlns:a16="http://schemas.microsoft.com/office/drawing/2014/main" id="{DDA94984-006C-4F2E-AB33-D4B4C9B6E1C1}"/>
                  </a:ext>
                </a:extLst>
              </xdr:cNvPr>
              <xdr:cNvSpPr txBox="1"/>
            </xdr:nvSpPr>
            <xdr:spPr>
              <a:xfrm>
                <a:off x="12449176" y="4257675"/>
                <a:ext cx="1402403" cy="231447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0133C831-F97D-4BE5-A6AC-D64E1C650C11}" type="TxLink">
                  <a:rPr lang="en-US" sz="1100" b="0" i="0" u="none" strike="noStrike">
                    <a:solidFill>
                      <a:schemeClr val="accent3">
                        <a:lumMod val="75000"/>
                      </a:schemeClr>
                    </a:solidFill>
                    <a:latin typeface="Calibri"/>
                    <a:ea typeface="Calibri"/>
                    <a:cs typeface="Calibri"/>
                  </a:rPr>
                  <a:pPr algn="r"/>
                  <a:t>∆psp2 [bar] = 11.1</a:t>
                </a:fld>
                <a:endParaRPr lang="it-IT" sz="1100">
                  <a:solidFill>
                    <a:schemeClr val="accent3">
                      <a:lumMod val="75000"/>
                    </a:schemeClr>
                  </a:solidFill>
                </a:endParaRPr>
              </a:p>
            </xdr:txBody>
          </xdr:sp>
          <xdr:sp macro="" textlink="'double_suction-1'!J54">
            <xdr:nvSpPr>
              <xdr:cNvPr id="20" name="CasellaDiTesto 19">
                <a:extLst>
                  <a:ext uri="{FF2B5EF4-FFF2-40B4-BE49-F238E27FC236}">
                    <a16:creationId xmlns:a16="http://schemas.microsoft.com/office/drawing/2014/main" id="{3EF0EA1B-C754-4B78-8EE0-E0D51B1EE884}"/>
                  </a:ext>
                </a:extLst>
              </xdr:cNvPr>
              <xdr:cNvSpPr txBox="1"/>
            </xdr:nvSpPr>
            <xdr:spPr>
              <a:xfrm>
                <a:off x="9782176" y="2314575"/>
                <a:ext cx="1402403" cy="231447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52B1421-9F4D-4175-A6FF-613C53ED7F16}" type="TxLink">
                  <a:rPr lang="en-US" sz="1100" b="0" i="0" u="none" strike="noStrike">
                    <a:solidFill>
                      <a:schemeClr val="tx2"/>
                    </a:solidFill>
                    <a:latin typeface="Calibri"/>
                    <a:ea typeface="Calibri"/>
                    <a:cs typeface="Calibri"/>
                  </a:rPr>
                  <a:pPr algn="r"/>
                  <a:t>Qsp1 [m3/h] = 2.4</a:t>
                </a:fld>
                <a:endParaRPr lang="it-IT" sz="1100">
                  <a:solidFill>
                    <a:schemeClr val="tx2"/>
                  </a:solidFill>
                </a:endParaRPr>
              </a:p>
            </xdr:txBody>
          </xdr:sp>
          <xdr:sp macro="" textlink="'double_suction-1'!J75">
            <xdr:nvSpPr>
              <xdr:cNvPr id="21" name="CasellaDiTesto 20">
                <a:extLst>
                  <a:ext uri="{FF2B5EF4-FFF2-40B4-BE49-F238E27FC236}">
                    <a16:creationId xmlns:a16="http://schemas.microsoft.com/office/drawing/2014/main" id="{F30F995B-BD17-412D-8E35-C5782714AD2F}"/>
                  </a:ext>
                </a:extLst>
              </xdr:cNvPr>
              <xdr:cNvSpPr txBox="1"/>
            </xdr:nvSpPr>
            <xdr:spPr>
              <a:xfrm>
                <a:off x="12763501" y="2286000"/>
                <a:ext cx="1402403" cy="231447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fld id="{22AA1E42-5323-4FA7-A516-73FA6AB2407B}" type="TxLink">
                  <a:rPr lang="en-US" sz="1100" b="0" i="0" u="none" strike="noStrike">
                    <a:solidFill>
                      <a:schemeClr val="tx2"/>
                    </a:solidFill>
                    <a:latin typeface="Calibri"/>
                    <a:ea typeface="Calibri"/>
                    <a:cs typeface="Calibri"/>
                  </a:rPr>
                  <a:pPr algn="l"/>
                  <a:t>Qsp2 [m3/h] = 2.4</a:t>
                </a:fld>
                <a:endParaRPr lang="it-IT" sz="1100">
                  <a:solidFill>
                    <a:schemeClr val="tx2"/>
                  </a:solidFill>
                </a:endParaRPr>
              </a:p>
            </xdr:txBody>
          </xdr:sp>
        </xdr:grpSp>
        <xdr:cxnSp macro="">
          <xdr:nvCxnSpPr>
            <xdr:cNvPr id="29" name="Connettore 2 28">
              <a:extLst>
                <a:ext uri="{FF2B5EF4-FFF2-40B4-BE49-F238E27FC236}">
                  <a16:creationId xmlns:a16="http://schemas.microsoft.com/office/drawing/2014/main" id="{58EAFC0E-9C62-4568-8A68-B76EE34C297A}"/>
                </a:ext>
              </a:extLst>
            </xdr:cNvPr>
            <xdr:cNvCxnSpPr/>
          </xdr:nvCxnSpPr>
          <xdr:spPr>
            <a:xfrm flipH="1">
              <a:off x="18107025" y="3916704"/>
              <a:ext cx="900000" cy="0"/>
            </a:xfrm>
            <a:prstGeom prst="straightConnector1">
              <a:avLst/>
            </a:prstGeom>
            <a:ln w="50800">
              <a:solidFill>
                <a:schemeClr val="accent2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$J$79">
          <xdr:nvSpPr>
            <xdr:cNvPr id="30" name="CasellaDiTesto 29">
              <a:extLst>
                <a:ext uri="{FF2B5EF4-FFF2-40B4-BE49-F238E27FC236}">
                  <a16:creationId xmlns:a16="http://schemas.microsoft.com/office/drawing/2014/main" id="{00788D6D-416C-4140-BC5B-D77E58191BA5}"/>
                </a:ext>
              </a:extLst>
            </xdr:cNvPr>
            <xdr:cNvSpPr txBox="1"/>
          </xdr:nvSpPr>
          <xdr:spPr>
            <a:xfrm>
              <a:off x="18059401" y="3590925"/>
              <a:ext cx="1276350" cy="2439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50EE937F-B27B-4AF8-99F8-BFCBC8E3BA98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 algn="l"/>
                <a:t>(Fsp2 [N] = 46126)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cxnSp macro="">
          <xdr:nvCxnSpPr>
            <xdr:cNvPr id="31" name="Connettore 2 30">
              <a:extLst>
                <a:ext uri="{FF2B5EF4-FFF2-40B4-BE49-F238E27FC236}">
                  <a16:creationId xmlns:a16="http://schemas.microsoft.com/office/drawing/2014/main" id="{0959FBA8-AAC7-4773-82F1-EAAC6C362A35}"/>
                </a:ext>
              </a:extLst>
            </xdr:cNvPr>
            <xdr:cNvCxnSpPr/>
          </xdr:nvCxnSpPr>
          <xdr:spPr>
            <a:xfrm>
              <a:off x="15759000" y="3907179"/>
              <a:ext cx="900000" cy="7596"/>
            </a:xfrm>
            <a:prstGeom prst="straightConnector1">
              <a:avLst/>
            </a:prstGeom>
            <a:ln w="50800">
              <a:solidFill>
                <a:schemeClr val="accent2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$J$78">
          <xdr:nvSpPr>
            <xdr:cNvPr id="32" name="CasellaDiTesto 31">
              <a:extLst>
                <a:ext uri="{FF2B5EF4-FFF2-40B4-BE49-F238E27FC236}">
                  <a16:creationId xmlns:a16="http://schemas.microsoft.com/office/drawing/2014/main" id="{8C8252C7-971A-48A3-A93F-5BF982D29E47}"/>
                </a:ext>
              </a:extLst>
            </xdr:cNvPr>
            <xdr:cNvSpPr txBox="1"/>
          </xdr:nvSpPr>
          <xdr:spPr>
            <a:xfrm>
              <a:off x="15363826" y="3571875"/>
              <a:ext cx="1276350" cy="2439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842C520C-D5C8-4F24-BBF8-0031B355D48D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 algn="r"/>
                <a:t>(Fsp1 [N] = 46126)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23" name="Connettore 2 22">
            <a:extLst>
              <a:ext uri="{FF2B5EF4-FFF2-40B4-BE49-F238E27FC236}">
                <a16:creationId xmlns:a16="http://schemas.microsoft.com/office/drawing/2014/main" id="{831443EF-95BB-4F2C-A138-C9C4C90F76B1}"/>
              </a:ext>
            </a:extLst>
          </xdr:cNvPr>
          <xdr:cNvCxnSpPr/>
        </xdr:nvCxnSpPr>
        <xdr:spPr>
          <a:xfrm flipH="1">
            <a:off x="16449675" y="7993404"/>
            <a:ext cx="1648999" cy="0"/>
          </a:xfrm>
          <a:prstGeom prst="straightConnector1">
            <a:avLst/>
          </a:prstGeom>
          <a:ln w="50800">
            <a:solidFill>
              <a:schemeClr val="accent2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J$80">
        <xdr:nvSpPr>
          <xdr:cNvPr id="24" name="CasellaDiTesto 23">
            <a:extLst>
              <a:ext uri="{FF2B5EF4-FFF2-40B4-BE49-F238E27FC236}">
                <a16:creationId xmlns:a16="http://schemas.microsoft.com/office/drawing/2014/main" id="{DD162BD3-E015-402B-BBD8-ECBA01E61A2C}"/>
              </a:ext>
            </a:extLst>
          </xdr:cNvPr>
          <xdr:cNvSpPr txBox="1"/>
        </xdr:nvSpPr>
        <xdr:spPr>
          <a:xfrm>
            <a:off x="16383000" y="7667625"/>
            <a:ext cx="1817829" cy="243903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B3F171A-8EC7-45DF-A444-9CAE8A6857FA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ctr"/>
              <a:t>F [N] = 2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</xdr:grpSp>
    <xdr:clientData/>
  </xdr:twoCellAnchor>
  <xdr:twoCellAnchor>
    <xdr:from>
      <xdr:col>11</xdr:col>
      <xdr:colOff>19050</xdr:colOff>
      <xdr:row>9</xdr:row>
      <xdr:rowOff>47806</xdr:rowOff>
    </xdr:from>
    <xdr:to>
      <xdr:col>13</xdr:col>
      <xdr:colOff>202253</xdr:colOff>
      <xdr:row>10</xdr:row>
      <xdr:rowOff>42595</xdr:rowOff>
    </xdr:to>
    <xdr:sp macro="" textlink="'double_suction-1'!J9">
      <xdr:nvSpPr>
        <xdr:cNvPr id="25" name="CasellaDiTesto 24">
          <a:extLst>
            <a:ext uri="{FF2B5EF4-FFF2-40B4-BE49-F238E27FC236}">
              <a16:creationId xmlns:a16="http://schemas.microsoft.com/office/drawing/2014/main" id="{DCB26D38-DA63-4CAF-AD23-41DC537B6ABB}"/>
            </a:ext>
          </a:extLst>
        </xdr:cNvPr>
        <xdr:cNvSpPr txBox="1"/>
      </xdr:nvSpPr>
      <xdr:spPr>
        <a:xfrm>
          <a:off x="13411200" y="2276656"/>
          <a:ext cx="1402403" cy="2329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6BAC7DB-748D-4E11-9238-C9CCDADDD4D4}" type="TxLink">
            <a:rPr lang="en-US" sz="1100" b="1" i="0" u="sng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CASE 1</a:t>
          </a:fld>
          <a:endParaRPr lang="it-IT" sz="1100" b="1" u="sng">
            <a:solidFill>
              <a:schemeClr val="tx2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0</xdr:rowOff>
        </xdr:from>
        <xdr:to>
          <xdr:col>3</xdr:col>
          <xdr:colOff>1047750</xdr:colOff>
          <xdr:row>8</xdr:row>
          <xdr:rowOff>0</xdr:rowOff>
        </xdr:to>
        <xdr:sp macro="" textlink="">
          <xdr:nvSpPr>
            <xdr:cNvPr id="3079" name="CommandButton2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3080" name="CommandButton3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3081" name="CommandButton4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3082" name="CommandButton5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3083" name="CommandButton6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19</xdr:col>
      <xdr:colOff>0</xdr:colOff>
      <xdr:row>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FE2AB47-D0AF-4E5E-879F-4CA328CE6A71}"/>
            </a:ext>
          </a:extLst>
        </xdr:cNvPr>
        <xdr:cNvSpPr txBox="1"/>
      </xdr:nvSpPr>
      <xdr:spPr>
        <a:xfrm>
          <a:off x="7724775" y="190500"/>
          <a:ext cx="4876800" cy="11430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INSTRUCTIONS:</a:t>
          </a:r>
        </a:p>
        <a:p>
          <a:r>
            <a:rPr lang="it-IT" sz="1200" b="0" u="none"/>
            <a:t>1) Compile the input</a:t>
          </a:r>
          <a:r>
            <a:rPr lang="it-IT" sz="1200" b="0" u="none" baseline="0"/>
            <a:t> data.</a:t>
          </a:r>
        </a:p>
        <a:p>
          <a:r>
            <a:rPr lang="it-IT" sz="1200" b="0" u="none" baseline="0"/>
            <a:t>2) Run the calculation through the dedicated button.</a:t>
          </a:r>
        </a:p>
        <a:p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Check the results.</a:t>
          </a:r>
          <a:endParaRPr lang="it-IT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409575</xdr:colOff>
      <xdr:row>19</xdr:row>
      <xdr:rowOff>114300</xdr:rowOff>
    </xdr:from>
    <xdr:to>
      <xdr:col>18</xdr:col>
      <xdr:colOff>323849</xdr:colOff>
      <xdr:row>20</xdr:row>
      <xdr:rowOff>173752</xdr:rowOff>
    </xdr:to>
    <xdr:sp macro="" textlink="'back_to_back-1'!J56">
      <xdr:nvSpPr>
        <xdr:cNvPr id="22" name="CasellaDiTesto 21">
          <a:extLst>
            <a:ext uri="{FF2B5EF4-FFF2-40B4-BE49-F238E27FC236}">
              <a16:creationId xmlns:a16="http://schemas.microsoft.com/office/drawing/2014/main" id="{5855B5F1-5571-4E29-B419-73840AF75526}"/>
            </a:ext>
          </a:extLst>
        </xdr:cNvPr>
        <xdr:cNvSpPr txBox="1"/>
      </xdr:nvSpPr>
      <xdr:spPr>
        <a:xfrm>
          <a:off x="11572875" y="4076700"/>
          <a:ext cx="1743074" cy="24995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5031D14-35C4-4162-9C96-343A05718EE8}" type="TxLink">
            <a:rPr lang="en-US" sz="1100" b="0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Qcb [m3/h] = 3.4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1047750</xdr:colOff>
          <xdr:row>7</xdr:row>
          <xdr:rowOff>0</xdr:rowOff>
        </xdr:from>
        <xdr:to>
          <xdr:col>4</xdr:col>
          <xdr:colOff>1047750</xdr:colOff>
          <xdr:row>8</xdr:row>
          <xdr:rowOff>0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4103" name="CommandButton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33618</xdr:colOff>
      <xdr:row>8</xdr:row>
      <xdr:rowOff>22411</xdr:rowOff>
    </xdr:from>
    <xdr:to>
      <xdr:col>13</xdr:col>
      <xdr:colOff>75067</xdr:colOff>
      <xdr:row>9</xdr:row>
      <xdr:rowOff>128434</xdr:rowOff>
    </xdr:to>
    <xdr:sp macro="" textlink="'back_to_back-1'!J9">
      <xdr:nvSpPr>
        <xdr:cNvPr id="37" name="CasellaDiTesto 36">
          <a:extLst>
            <a:ext uri="{FF2B5EF4-FFF2-40B4-BE49-F238E27FC236}">
              <a16:creationId xmlns:a16="http://schemas.microsoft.com/office/drawing/2014/main" id="{2085B6B1-D2E0-4B35-87F9-C57B73E31F00}"/>
            </a:ext>
          </a:extLst>
        </xdr:cNvPr>
        <xdr:cNvSpPr txBox="1"/>
      </xdr:nvSpPr>
      <xdr:spPr>
        <a:xfrm>
          <a:off x="14141824" y="2050676"/>
          <a:ext cx="1251684" cy="296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B6F43FB-9E9E-481B-A4E3-0ECDA45F7E9F}" type="TxLink">
            <a:rPr lang="en-US" sz="1100" b="1" i="0" u="sng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CASE 6</a:t>
          </a:fld>
          <a:endParaRPr lang="it-IT" sz="1100" b="1" u="sng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25</xdr:col>
      <xdr:colOff>0</xdr:colOff>
      <xdr:row>31</xdr:row>
      <xdr:rowOff>0</xdr:rowOff>
    </xdr:to>
    <xdr:grpSp>
      <xdr:nvGrpSpPr>
        <xdr:cNvPr id="53" name="Gruppo 52">
          <a:extLst>
            <a:ext uri="{FF2B5EF4-FFF2-40B4-BE49-F238E27FC236}">
              <a16:creationId xmlns:a16="http://schemas.microsoft.com/office/drawing/2014/main" id="{9E2A030D-C11A-F890-6DAA-768DAEF9BD15}"/>
            </a:ext>
          </a:extLst>
        </xdr:cNvPr>
        <xdr:cNvGrpSpPr/>
      </xdr:nvGrpSpPr>
      <xdr:grpSpPr>
        <a:xfrm>
          <a:off x="13077825" y="2028825"/>
          <a:ext cx="8534400" cy="4953000"/>
          <a:chOff x="14077950" y="2028825"/>
          <a:chExt cx="8534400" cy="4953000"/>
        </a:xfrm>
      </xdr:grpSpPr>
      <xdr:grpSp>
        <xdr:nvGrpSpPr>
          <xdr:cNvPr id="36" name="Gruppo 35">
            <a:extLst>
              <a:ext uri="{FF2B5EF4-FFF2-40B4-BE49-F238E27FC236}">
                <a16:creationId xmlns:a16="http://schemas.microsoft.com/office/drawing/2014/main" id="{CC3D2FCC-51EC-5514-A79E-388C0124C6CD}"/>
              </a:ext>
            </a:extLst>
          </xdr:cNvPr>
          <xdr:cNvGrpSpPr/>
        </xdr:nvGrpSpPr>
        <xdr:grpSpPr>
          <a:xfrm>
            <a:off x="14077950" y="2028825"/>
            <a:ext cx="8534400" cy="4953000"/>
            <a:chOff x="8718176" y="1524000"/>
            <a:chExt cx="8471648" cy="4820771"/>
          </a:xfrm>
        </xdr:grpSpPr>
        <xdr:grpSp>
          <xdr:nvGrpSpPr>
            <xdr:cNvPr id="34" name="Gruppo 33">
              <a:extLst>
                <a:ext uri="{FF2B5EF4-FFF2-40B4-BE49-F238E27FC236}">
                  <a16:creationId xmlns:a16="http://schemas.microsoft.com/office/drawing/2014/main" id="{F6CA496F-1E46-C03C-6547-4106AC6A015C}"/>
                </a:ext>
              </a:extLst>
            </xdr:cNvPr>
            <xdr:cNvGrpSpPr/>
          </xdr:nvGrpSpPr>
          <xdr:grpSpPr>
            <a:xfrm>
              <a:off x="8718176" y="1524000"/>
              <a:ext cx="8471648" cy="4820771"/>
              <a:chOff x="8724900" y="1524000"/>
              <a:chExt cx="8534400" cy="4876800"/>
            </a:xfrm>
          </xdr:grpSpPr>
          <xdr:grpSp>
            <xdr:nvGrpSpPr>
              <xdr:cNvPr id="19" name="Gruppo 18">
                <a:extLst>
                  <a:ext uri="{FF2B5EF4-FFF2-40B4-BE49-F238E27FC236}">
                    <a16:creationId xmlns:a16="http://schemas.microsoft.com/office/drawing/2014/main" id="{6D506846-E45C-F7FC-CDD9-EEC47542C95E}"/>
                  </a:ext>
                </a:extLst>
              </xdr:cNvPr>
              <xdr:cNvGrpSpPr/>
            </xdr:nvGrpSpPr>
            <xdr:grpSpPr>
              <a:xfrm>
                <a:off x="8724900" y="1524000"/>
                <a:ext cx="8534400" cy="4876800"/>
                <a:chOff x="8724900" y="1524000"/>
                <a:chExt cx="8534400" cy="4876800"/>
              </a:xfrm>
            </xdr:grpSpPr>
            <xdr:grpSp>
              <xdr:nvGrpSpPr>
                <xdr:cNvPr id="21" name="Gruppo 20">
                  <a:extLst>
                    <a:ext uri="{FF2B5EF4-FFF2-40B4-BE49-F238E27FC236}">
                      <a16:creationId xmlns:a16="http://schemas.microsoft.com/office/drawing/2014/main" id="{1497C2F7-1F6D-0E9B-85B0-2C3F66AE0FFD}"/>
                    </a:ext>
                  </a:extLst>
                </xdr:cNvPr>
                <xdr:cNvGrpSpPr/>
              </xdr:nvGrpSpPr>
              <xdr:grpSpPr>
                <a:xfrm>
                  <a:off x="8724900" y="1524000"/>
                  <a:ext cx="8534400" cy="4876800"/>
                  <a:chOff x="7727674" y="1333501"/>
                  <a:chExt cx="8580783" cy="4918213"/>
                </a:xfrm>
              </xdr:grpSpPr>
              <xdr:grpSp>
                <xdr:nvGrpSpPr>
                  <xdr:cNvPr id="41" name="Gruppo 40">
                    <a:extLst>
                      <a:ext uri="{FF2B5EF4-FFF2-40B4-BE49-F238E27FC236}">
                        <a16:creationId xmlns:a16="http://schemas.microsoft.com/office/drawing/2014/main" id="{C5166453-FFAF-9722-709D-EBF0EC7A862B}"/>
                      </a:ext>
                    </a:extLst>
                  </xdr:cNvPr>
                  <xdr:cNvGrpSpPr/>
                </xdr:nvGrpSpPr>
                <xdr:grpSpPr>
                  <a:xfrm>
                    <a:off x="7727674" y="1333501"/>
                    <a:ext cx="8580783" cy="4918213"/>
                    <a:chOff x="8724900" y="1333501"/>
                    <a:chExt cx="8534400" cy="4876800"/>
                  </a:xfrm>
                </xdr:grpSpPr>
                <xdr:grpSp>
                  <xdr:nvGrpSpPr>
                    <xdr:cNvPr id="3" name="Gruppo 2">
                      <a:extLst>
                        <a:ext uri="{FF2B5EF4-FFF2-40B4-BE49-F238E27FC236}">
                          <a16:creationId xmlns:a16="http://schemas.microsoft.com/office/drawing/2014/main" id="{9B2A78CA-F782-4EF3-BDB6-704991D1C522}"/>
                        </a:ext>
                      </a:extLst>
                    </xdr:cNvPr>
                    <xdr:cNvGrpSpPr/>
                  </xdr:nvGrpSpPr>
                  <xdr:grpSpPr>
                    <a:xfrm>
                      <a:off x="8724900" y="1333501"/>
                      <a:ext cx="8534400" cy="4876800"/>
                      <a:chOff x="8986631" y="1159565"/>
                      <a:chExt cx="8164913" cy="4680000"/>
                    </a:xfrm>
                  </xdr:grpSpPr>
                  <xdr:grpSp>
                    <xdr:nvGrpSpPr>
                      <xdr:cNvPr id="4" name="Gruppo 3">
                        <a:extLst>
                          <a:ext uri="{FF2B5EF4-FFF2-40B4-BE49-F238E27FC236}">
                            <a16:creationId xmlns:a16="http://schemas.microsoft.com/office/drawing/2014/main" id="{4B72B223-CC61-E85B-FD49-954E861EABA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986631" y="1159565"/>
                        <a:ext cx="8164913" cy="4680000"/>
                        <a:chOff x="8986631" y="1159565"/>
                        <a:chExt cx="8164913" cy="4680000"/>
                      </a:xfrm>
                    </xdr:grpSpPr>
                    <xdr:pic>
                      <xdr:nvPicPr>
                        <xdr:cNvPr id="7" name="Immagine 6">
                          <a:extLst>
                            <a:ext uri="{FF2B5EF4-FFF2-40B4-BE49-F238E27FC236}">
                              <a16:creationId xmlns:a16="http://schemas.microsoft.com/office/drawing/2014/main" id="{648D5B80-AA36-22E5-5C30-D65CC72BF64A}"/>
                            </a:ext>
                          </a:extLst>
                        </xdr:cNvPr>
                        <xdr:cNvPicPr>
                          <a:picLocks noChangeAspect="1" noChangeArrowheads="1"/>
                        </xdr:cNvPicPr>
                      </xdr:nvPicPr>
                      <xdr:blipFill>
                        <a:blip xmlns:r="http://schemas.openxmlformats.org/officeDocument/2006/relationships" r:embed="rId1" cstate="print">
                          <a:extLst>
                            <a:ext uri="{28A0092B-C50C-407E-A947-70E740481C1C}">
                              <a14:useLocalDpi xmlns:a14="http://schemas.microsoft.com/office/drawing/2010/main" val="0"/>
                            </a:ext>
                          </a:extLst>
                        </a:blip>
                        <a:srcRect/>
                        <a:stretch>
                          <a:fillRect/>
                        </a:stretch>
                      </xdr:blipFill>
                      <xdr:spPr bwMode="auto">
                        <a:xfrm>
                          <a:off x="8986631" y="1159565"/>
                          <a:ext cx="8164913" cy="4680000"/>
                        </a:xfrm>
                        <a:prstGeom prst="rect">
                          <a:avLst/>
                        </a:prstGeom>
                        <a:noFill/>
                        <a:ln>
                          <a:solidFill>
                            <a:schemeClr val="accent1"/>
                          </a:solidFill>
                        </a:ln>
                        <a:extLst>
                          <a:ext uri="{909E8E84-426E-40DD-AFC4-6F175D3DCCD1}">
                            <a14:hiddenFill xmlns:a14="http://schemas.microsoft.com/office/drawing/2010/main">
                              <a:solidFill>
                                <a:srgbClr val="FFFFFF"/>
                              </a:solidFill>
                            </a14:hiddenFill>
                          </a:ext>
                        </a:extLst>
                      </xdr:spPr>
                    </xdr:pic>
                    <xdr:grpSp>
                      <xdr:nvGrpSpPr>
                        <xdr:cNvPr id="8" name="Gruppo 7">
                          <a:extLst>
                            <a:ext uri="{FF2B5EF4-FFF2-40B4-BE49-F238E27FC236}">
                              <a16:creationId xmlns:a16="http://schemas.microsoft.com/office/drawing/2014/main" id="{115CF79C-1BA7-11F5-9201-77F2871C9B0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87982" y="1196245"/>
                          <a:ext cx="6692463" cy="4568451"/>
                          <a:chOff x="9977382" y="6039282"/>
                          <a:chExt cx="6611402" cy="4482526"/>
                        </a:xfrm>
                      </xdr:grpSpPr>
                      <xdr:grpSp>
                        <xdr:nvGrpSpPr>
                          <xdr:cNvPr id="10" name="Gruppo 9">
                            <a:extLst>
                              <a:ext uri="{FF2B5EF4-FFF2-40B4-BE49-F238E27FC236}">
                                <a16:creationId xmlns:a16="http://schemas.microsoft.com/office/drawing/2014/main" id="{8627DDB9-A10B-03A7-B09A-4E539F771BE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977382" y="6039282"/>
                            <a:ext cx="6611402" cy="4482526"/>
                            <a:chOff x="9882132" y="6000248"/>
                            <a:chExt cx="6611402" cy="4519319"/>
                          </a:xfrm>
                        </xdr:grpSpPr>
                        <xdr:sp macro="" textlink="">
                          <xdr:nvSpPr>
                            <xdr:cNvPr id="13" name="CasellaDiTesto 12">
                              <a:extLst>
                                <a:ext uri="{FF2B5EF4-FFF2-40B4-BE49-F238E27FC236}">
                                  <a16:creationId xmlns:a16="http://schemas.microsoft.com/office/drawing/2014/main" id="{0A169A3A-B117-834C-93B2-C88B423A5076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9882132" y="6000248"/>
                              <a:ext cx="1552575" cy="26121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algn="ctr"/>
                              <a:r>
                                <a:rPr lang="en-US" sz="1100" b="0" i="0" u="none" strike="noStrike">
                                  <a:solidFill>
                                    <a:schemeClr val="tx1"/>
                                  </a:solidFill>
                                  <a:latin typeface="Calibri"/>
                                  <a:cs typeface="Calibri"/>
                                </a:rPr>
                                <a:t>Intermediate stage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4" name="CasellaDiTesto 13">
                              <a:extLst>
                                <a:ext uri="{FF2B5EF4-FFF2-40B4-BE49-F238E27FC236}">
                                  <a16:creationId xmlns:a16="http://schemas.microsoft.com/office/drawing/2014/main" id="{8C163BF7-B643-B4EC-C519-53B91A9BA6FC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3604075" y="6010214"/>
                              <a:ext cx="996089" cy="26121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algn="ctr"/>
                              <a:r>
                                <a:rPr lang="en-US" sz="1100" b="0" i="0" u="none" strike="noStrike">
                                  <a:solidFill>
                                    <a:schemeClr val="tx1"/>
                                  </a:solidFill>
                                  <a:latin typeface="Calibri"/>
                                  <a:cs typeface="Calibri"/>
                                </a:rPr>
                                <a:t>Last stage</a:t>
                              </a:r>
                            </a:p>
                          </xdr:txBody>
                        </xdr:sp>
                        <xdr:sp macro="" textlink="'back_to_back-1'!J16">
                          <xdr:nvSpPr>
                            <xdr:cNvPr id="25" name="CasellaDiTesto 24">
                              <a:extLst>
                                <a:ext uri="{FF2B5EF4-FFF2-40B4-BE49-F238E27FC236}">
                                  <a16:creationId xmlns:a16="http://schemas.microsoft.com/office/drawing/2014/main" id="{A3487DBE-8B5C-39DE-54AB-EC1301FAC5B5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740975" y="7167095"/>
                              <a:ext cx="1256629" cy="235354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algn="ctr"/>
                              <a:fld id="{253AB9B7-7CE8-45B9-A4F2-224F75761315}" type="TxLink">
                                <a:rPr lang="en-US" sz="1100" b="0" i="0" u="none" strike="noStrike">
                                  <a:solidFill>
                                    <a:schemeClr val="accent6">
                                      <a:lumMod val="75000"/>
                                    </a:schemeClr>
                                  </a:solidFill>
                                  <a:latin typeface="Calibri"/>
                                  <a:cs typeface="Calibri"/>
                                </a:rPr>
                                <a:pPr algn="ctr"/>
                                <a:t>Lcb [mm] = 48</a:t>
                              </a:fld>
                              <a:endParaRPr lang="it-IT" sz="1100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'back_to_back-1'!J11">
                          <xdr:nvSpPr>
                            <xdr:cNvPr id="26" name="CasellaDiTesto 25">
                              <a:extLst>
                                <a:ext uri="{FF2B5EF4-FFF2-40B4-BE49-F238E27FC236}">
                                  <a16:creationId xmlns:a16="http://schemas.microsoft.com/office/drawing/2014/main" id="{7F88828A-69D7-1389-4CA5-429770737434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 rot="16200000">
                              <a:off x="15124539" y="9721462"/>
                              <a:ext cx="1256629" cy="235354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algn="l"/>
                              <a:fld id="{D5C8C181-98EF-44E9-9346-2A0E5BADFEC1}" type="TxLink">
                                <a:rPr lang="en-US" sz="1100" b="0" i="0" u="none" strike="noStrike">
                                  <a:solidFill>
                                    <a:schemeClr val="accent6">
                                      <a:lumMod val="75000"/>
                                    </a:schemeClr>
                                  </a:solidFill>
                                  <a:latin typeface="Calibri"/>
                                  <a:cs typeface="Calibri"/>
                                </a:rPr>
                                <a:pPr algn="l"/>
                                <a:t>Dcb [mm] = 120</a:t>
                              </a:fld>
                              <a:endParaRPr lang="it-IT" sz="1100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'back_to_back-1'!J13">
                          <xdr:nvSpPr>
                            <xdr:cNvPr id="27" name="CasellaDiTesto 26">
                              <a:extLst>
                                <a:ext uri="{FF2B5EF4-FFF2-40B4-BE49-F238E27FC236}">
                                  <a16:creationId xmlns:a16="http://schemas.microsoft.com/office/drawing/2014/main" id="{08F0EE39-DFEE-8ED3-002D-45799ADF5FEF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 rot="16200000">
                              <a:off x="14533490" y="9758017"/>
                              <a:ext cx="1256629" cy="235354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algn="l"/>
                              <a:fld id="{F4A58DF9-A61A-44B3-A40C-E7314BE939C0}" type="TxLink">
                                <a:rPr lang="en-US" sz="1100" b="0" i="0" u="none" strike="noStrike">
                                  <a:solidFill>
                                    <a:schemeClr val="accent6">
                                      <a:lumMod val="75000"/>
                                    </a:schemeClr>
                                  </a:solidFill>
                                  <a:latin typeface="Calibri"/>
                                  <a:cs typeface="Calibri"/>
                                </a:rPr>
                                <a:pPr algn="l"/>
                                <a:t>Dh [mm] = 80</a:t>
                              </a:fld>
                              <a:endParaRPr lang="it-IT" sz="1100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'back_to_back-1'!J10">
                          <xdr:nvSpPr>
                            <xdr:cNvPr id="28" name="CasellaDiTesto 27">
                              <a:extLst>
                                <a:ext uri="{FF2B5EF4-FFF2-40B4-BE49-F238E27FC236}">
                                  <a16:creationId xmlns:a16="http://schemas.microsoft.com/office/drawing/2014/main" id="{7F7ED2EB-5EC8-0740-75E2-DD1D1A812597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 rot="16200000">
                              <a:off x="15747542" y="9773576"/>
                              <a:ext cx="1256629" cy="235354"/>
                            </a:xfrm>
                            <a:prstGeom prst="rect">
                              <a:avLst/>
                            </a:prstGeom>
                            <a:solidFill>
                              <a:schemeClr val="bg1"/>
                            </a:solidFill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algn="l"/>
                              <a:fld id="{777B7993-E458-4C54-946C-B69FBADDF67D}" type="TxLink">
                                <a:rPr lang="en-US" sz="1100" b="0" i="0" u="none" strike="noStrike">
                                  <a:solidFill>
                                    <a:schemeClr val="accent6">
                                      <a:lumMod val="75000"/>
                                    </a:schemeClr>
                                  </a:solidFill>
                                  <a:latin typeface="Calibri"/>
                                  <a:cs typeface="Calibri"/>
                                </a:rPr>
                                <a:pPr algn="l"/>
                                <a:t>D2 [mm] = 460</a:t>
                              </a:fld>
                              <a:endParaRPr lang="it-IT" sz="1100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'back_to_back-1'!J14">
                          <xdr:nvSpPr>
                            <xdr:cNvPr id="29" name="CasellaDiTesto 28">
                              <a:extLst>
                                <a:ext uri="{FF2B5EF4-FFF2-40B4-BE49-F238E27FC236}">
                                  <a16:creationId xmlns:a16="http://schemas.microsoft.com/office/drawing/2014/main" id="{2506C65E-7C57-87EF-23D3-5245D072487B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 rot="16200000">
                              <a:off x="15145803" y="8136821"/>
                              <a:ext cx="1256629" cy="23535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algn="l"/>
                              <a:fld id="{4465B6FC-4871-46E4-801A-8ACF915D720B}" type="TxLink">
                                <a:rPr lang="en-US" sz="1100" b="0" i="0" u="none" strike="noStrike">
                                  <a:solidFill>
                                    <a:schemeClr val="accent6">
                                      <a:lumMod val="75000"/>
                                    </a:schemeClr>
                                  </a:solidFill>
                                  <a:latin typeface="Calibri"/>
                                  <a:cs typeface="Calibri"/>
                                </a:rPr>
                                <a:pPr algn="l"/>
                                <a:t>scb [mm] = 0.19</a:t>
                              </a:fld>
                              <a:endParaRPr lang="it-IT" sz="1100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sp macro="" textlink="'back_to_back-1'!J28">
                        <xdr:nvSpPr>
                          <xdr:cNvPr id="11" name="CasellaDiTesto 10">
                            <a:extLst>
                              <a:ext uri="{FF2B5EF4-FFF2-40B4-BE49-F238E27FC236}">
                                <a16:creationId xmlns:a16="http://schemas.microsoft.com/office/drawing/2014/main" id="{6F79FC12-6436-A7FD-104C-E98C8E42C8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0975899" y="6765129"/>
                            <a:ext cx="1256629" cy="235354"/>
                          </a:xfrm>
                          <a:prstGeom prst="rect">
                            <a:avLst/>
                          </a:prstGeom>
                          <a:solidFill>
                            <a:sysClr val="window" lastClr="FFFFFF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l"/>
                            <a:fld id="{D28F3793-2B23-4A98-A507-F10B783F51A6}" type="TxLink">
                              <a:rPr lang="en-US" sz="1100" b="0" i="0" u="none" strike="noStrike">
                                <a:solidFill>
                                  <a:schemeClr val="accent3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l"/>
                              <a:t>pLA1 [bar] = 10.9</a:t>
                            </a:fld>
                            <a:endParaRPr lang="it-IT" sz="1100">
                              <a:solidFill>
                                <a:schemeClr val="accent3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  <xdr:sp macro="" textlink="'back_to_back-1'!J29">
                        <xdr:nvSpPr>
                          <xdr:cNvPr id="12" name="CasellaDiTesto 11">
                            <a:extLst>
                              <a:ext uri="{FF2B5EF4-FFF2-40B4-BE49-F238E27FC236}">
                                <a16:creationId xmlns:a16="http://schemas.microsoft.com/office/drawing/2014/main" id="{34060728-B04E-EA86-128A-4D105A321253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3649200" y="6405969"/>
                            <a:ext cx="1256629" cy="235354"/>
                          </a:xfrm>
                          <a:prstGeom prst="rect">
                            <a:avLst/>
                          </a:prstGeom>
                          <a:solidFill>
                            <a:sysClr val="window" lastClr="FFFFFF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l"/>
                            <a:fld id="{DE9F13CF-A1B7-479C-8179-BF3A929AD765}" type="TxLink">
                              <a:rPr lang="en-US" sz="1100" b="0" i="0" u="none" strike="noStrike">
                                <a:solidFill>
                                  <a:schemeClr val="accent3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l"/>
                              <a:t>pLA2 [barg] = 73.5</a:t>
                            </a:fld>
                            <a:endParaRPr lang="it-IT" sz="1100">
                              <a:solidFill>
                                <a:schemeClr val="accent3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</xdr:grpSp>
                    <xdr:sp macro="" textlink="'back_to_back-1'!J12">
                      <xdr:nvSpPr>
                        <xdr:cNvPr id="9" name="CasellaDiTesto 8">
                          <a:extLst>
                            <a:ext uri="{FF2B5EF4-FFF2-40B4-BE49-F238E27FC236}">
                              <a16:creationId xmlns:a16="http://schemas.microsoft.com/office/drawing/2014/main" id="{696EA73C-38E7-A35F-E6E1-0A48407BF018}"/>
                            </a:ext>
                          </a:extLst>
                        </xdr:cNvPr>
                        <xdr:cNvSpPr txBox="1"/>
                      </xdr:nvSpPr>
                      <xdr:spPr>
                        <a:xfrm rot="16200000">
                          <a:off x="8664855" y="4957966"/>
                          <a:ext cx="1299126" cy="295277"/>
                        </a:xfrm>
                        <a:prstGeom prst="rect">
                          <a:avLst/>
                        </a:prstGeom>
                        <a:solidFill>
                          <a:schemeClr val="bg1"/>
                        </a:solidFill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l"/>
                          <a:fld id="{06797B4F-7D09-479E-A1A5-726492BB1D97}" type="TxLink">
                            <a:rPr lang="en-US" sz="1100" b="0" i="0" u="none" strike="noStrike">
                              <a:solidFill>
                                <a:schemeClr val="accent6">
                                  <a:lumMod val="75000"/>
                                </a:schemeClr>
                              </a:solidFill>
                              <a:latin typeface="Calibri"/>
                              <a:cs typeface="Calibri"/>
                            </a:rPr>
                            <a:pPr algn="l"/>
                            <a:t>Dsp [mm] = 250</a:t>
                          </a:fld>
                          <a:endParaRPr lang="it-IT" sz="1100">
                            <a:solidFill>
                              <a:schemeClr val="accent6">
                                <a:lumMod val="75000"/>
                              </a:schemeClr>
                            </a:solidFill>
                          </a:endParaRPr>
                        </a:p>
                      </xdr:txBody>
                    </xdr:sp>
                  </xdr:grpSp>
                  <xdr:sp macro="" textlink="'back_to_back-1'!J15">
                    <xdr:nvSpPr>
                      <xdr:cNvPr id="5" name="CasellaDiTesto 4">
                        <a:extLst>
                          <a:ext uri="{FF2B5EF4-FFF2-40B4-BE49-F238E27FC236}">
                            <a16:creationId xmlns:a16="http://schemas.microsoft.com/office/drawing/2014/main" id="{CF03E65E-AA56-D058-9E42-395A47BFCDA8}"/>
                          </a:ext>
                        </a:extLst>
                      </xdr:cNvPr>
                      <xdr:cNvSpPr txBox="1"/>
                    </xdr:nvSpPr>
                    <xdr:spPr>
                      <a:xfrm rot="16200000">
                        <a:off x="8650805" y="3072933"/>
                        <a:ext cx="1206364" cy="289886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9AAECB8-BB23-469E-8C04-FCBA7EB44E7F}" type="TxLink">
                          <a:rPr lang="en-US" sz="1100" b="0" i="0" u="none" strike="noStrike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/>
                            <a:cs typeface="Calibri"/>
                          </a:rPr>
                          <a:pPr algn="r"/>
                          <a:t>ssp [mm] = 0.19</a:t>
                        </a:fld>
                        <a:endParaRPr lang="it-IT" sz="1100">
                          <a:solidFill>
                            <a:schemeClr val="accent6">
                              <a:lumMod val="75000"/>
                            </a:schemeClr>
                          </a:solidFill>
                        </a:endParaRPr>
                      </a:p>
                    </xdr:txBody>
                  </xdr:sp>
                  <xdr:sp macro="" textlink="'back_to_back-1'!J17">
                    <xdr:nvSpPr>
                      <xdr:cNvPr id="6" name="CasellaDiTesto 5">
                        <a:extLst>
                          <a:ext uri="{FF2B5EF4-FFF2-40B4-BE49-F238E27FC236}">
                            <a16:creationId xmlns:a16="http://schemas.microsoft.com/office/drawing/2014/main" id="{8DE1A359-41A2-2475-7BCE-C8646CEE8318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9014441" y="1493200"/>
                        <a:ext cx="1206364" cy="2898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fld id="{6E147445-6643-4930-914B-FA8D4F5A8EE1}" type="TxLink">
                          <a:rPr lang="en-US" sz="1100" b="0" i="0" u="none" strike="noStrike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/>
                            <a:cs typeface="Calibri"/>
                          </a:rPr>
                          <a:pPr algn="l"/>
                          <a:t>Lsp [mm] = 48</a:t>
                        </a:fld>
                        <a:endParaRPr lang="it-IT" sz="1100">
                          <a:solidFill>
                            <a:schemeClr val="accent6">
                              <a:lumMod val="75000"/>
                            </a:schemeClr>
                          </a:solidFill>
                        </a:endParaRPr>
                      </a:p>
                    </xdr:txBody>
                  </xdr:sp>
                </xdr:grpSp>
                <xdr:sp macro="" textlink="'back_to_back-1'!J30">
                  <xdr:nvSpPr>
                    <xdr:cNvPr id="40" name="CasellaDiTesto 39">
                      <a:extLst>
                        <a:ext uri="{FF2B5EF4-FFF2-40B4-BE49-F238E27FC236}">
                          <a16:creationId xmlns:a16="http://schemas.microsoft.com/office/drawing/2014/main" id="{9B640478-E8D4-42A1-97A0-AA75D787FD62}"/>
                        </a:ext>
                      </a:extLst>
                    </xdr:cNvPr>
                    <xdr:cNvSpPr txBox="1"/>
                  </xdr:nvSpPr>
                  <xdr:spPr>
                    <a:xfrm>
                      <a:off x="14801850" y="4314826"/>
                      <a:ext cx="1329600" cy="249952"/>
                    </a:xfrm>
                    <a:prstGeom prst="rect">
                      <a:avLst/>
                    </a:prstGeom>
                    <a:solidFill>
                      <a:sysClr val="window" lastClr="FFFFFF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l"/>
                      <a:fld id="{67E5C74F-09CF-4670-8764-8022B5D92814}" type="TxLink">
                        <a:rPr lang="en-US" sz="1100" b="0" i="0" u="none" strike="noStrike">
                          <a:solidFill>
                            <a:schemeClr val="accent3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l"/>
                        <a:t>pS2 [barg] = 62.5</a:t>
                      </a:fld>
                      <a:endParaRPr lang="it-IT" sz="1100">
                        <a:solidFill>
                          <a:schemeClr val="accent3">
                            <a:lumMod val="75000"/>
                          </a:schemeClr>
                        </a:solidFill>
                      </a:endParaRPr>
                    </a:p>
                  </xdr:txBody>
                </xdr:sp>
              </xdr:grpSp>
              <xdr:cxnSp macro="">
                <xdr:nvCxnSpPr>
                  <xdr:cNvPr id="16" name="Connettore 2 15">
                    <a:extLst>
                      <a:ext uri="{FF2B5EF4-FFF2-40B4-BE49-F238E27FC236}">
                        <a16:creationId xmlns:a16="http://schemas.microsoft.com/office/drawing/2014/main" id="{F8383BFD-73F3-31F4-8B16-3D227632A9BC}"/>
                      </a:ext>
                    </a:extLst>
                  </xdr:cNvPr>
                  <xdr:cNvCxnSpPr/>
                </xdr:nvCxnSpPr>
                <xdr:spPr>
                  <a:xfrm flipH="1">
                    <a:off x="11114118" y="5806966"/>
                    <a:ext cx="1641670" cy="0"/>
                  </a:xfrm>
                  <a:prstGeom prst="straightConnector1">
                    <a:avLst/>
                  </a:prstGeom>
                  <a:ln w="50800">
                    <a:solidFill>
                      <a:schemeClr val="accent2">
                        <a:lumMod val="75000"/>
                      </a:schemeClr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'back_to_back-1'!J87">
                <xdr:nvSpPr>
                  <xdr:cNvPr id="20" name="CasellaDiTesto 19">
                    <a:extLst>
                      <a:ext uri="{FF2B5EF4-FFF2-40B4-BE49-F238E27FC236}">
                        <a16:creationId xmlns:a16="http://schemas.microsoft.com/office/drawing/2014/main" id="{CC27266C-F146-4B4B-BF3B-24CF21783673}"/>
                      </a:ext>
                    </a:extLst>
                  </xdr:cNvPr>
                  <xdr:cNvSpPr txBox="1"/>
                </xdr:nvSpPr>
                <xdr:spPr>
                  <a:xfrm>
                    <a:off x="11108274" y="5483087"/>
                    <a:ext cx="1695087" cy="25194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ctr"/>
                    <a:fld id="{2CCE2AB4-EE6D-4C63-B319-8BC50DEEC876}" type="TxLink">
                      <a:rPr lang="en-US" sz="1100" b="0" i="0" u="none" strike="noStrike">
                        <a:solidFill>
                          <a:schemeClr val="accent2">
                            <a:lumMod val="75000"/>
                          </a:schemeClr>
                        </a:solidFill>
                        <a:latin typeface="Calibri"/>
                        <a:cs typeface="Calibri"/>
                      </a:rPr>
                      <a:pPr algn="ctr"/>
                      <a:t>F[N] = 44186</a:t>
                    </a:fld>
                    <a:endParaRPr lang="it-IT" sz="1100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xdr:txBody>
              </xdr:sp>
            </xdr:grpSp>
            <xdr:sp macro="" textlink="'back_to_back-1'!J54">
              <xdr:nvSpPr>
                <xdr:cNvPr id="15" name="CasellaDiTesto 14">
                  <a:extLst>
                    <a:ext uri="{FF2B5EF4-FFF2-40B4-BE49-F238E27FC236}">
                      <a16:creationId xmlns:a16="http://schemas.microsoft.com/office/drawing/2014/main" id="{7EFC43E1-CA15-474A-8757-E5CB6BF0A1BE}"/>
                    </a:ext>
                  </a:extLst>
                </xdr:cNvPr>
                <xdr:cNvSpPr txBox="1"/>
              </xdr:nvSpPr>
              <xdr:spPr>
                <a:xfrm>
                  <a:off x="13392149" y="5095875"/>
                  <a:ext cx="1533525" cy="249952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361DD147-FD2D-47CF-87A1-FF2FB1963FAE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 algn="l"/>
                    <a:t>pLA2* [barg] = 67.6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  <xdr:sp macro="" textlink="'back_to_back-1'!J55">
              <xdr:nvSpPr>
                <xdr:cNvPr id="17" name="CasellaDiTesto 16">
                  <a:extLst>
                    <a:ext uri="{FF2B5EF4-FFF2-40B4-BE49-F238E27FC236}">
                      <a16:creationId xmlns:a16="http://schemas.microsoft.com/office/drawing/2014/main" id="{254E56D6-E56A-4842-9616-CEF69397C8BC}"/>
                    </a:ext>
                  </a:extLst>
                </xdr:cNvPr>
                <xdr:cNvSpPr txBox="1"/>
              </xdr:nvSpPr>
              <xdr:spPr>
                <a:xfrm>
                  <a:off x="10515600" y="5124450"/>
                  <a:ext cx="1491525" cy="249952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8B3015A3-9F73-4891-8F9D-E2A3DD088474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 algn="r"/>
                    <a:t>pLA1* [barg] = 5.7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  <xdr:sp macro="" textlink="'back_to_back-1'!J53">
              <xdr:nvSpPr>
                <xdr:cNvPr id="18" name="CasellaDiTesto 17">
                  <a:extLst>
                    <a:ext uri="{FF2B5EF4-FFF2-40B4-BE49-F238E27FC236}">
                      <a16:creationId xmlns:a16="http://schemas.microsoft.com/office/drawing/2014/main" id="{DA7B7EE3-F764-46C0-A0A8-1107CFD6C7A0}"/>
                    </a:ext>
                  </a:extLst>
                </xdr:cNvPr>
                <xdr:cNvSpPr txBox="1"/>
              </xdr:nvSpPr>
              <xdr:spPr>
                <a:xfrm>
                  <a:off x="11772900" y="4495800"/>
                  <a:ext cx="1809749" cy="249952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D161D0A5-B4EC-43BA-9F60-01C144364749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 algn="ctr"/>
                    <a:t>∆pcb [bar] = 5.7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</xdr:grpSp>
          <xdr:sp macro="" textlink="'back_to_back-1'!J79">
            <xdr:nvSpPr>
              <xdr:cNvPr id="23" name="CasellaDiTesto 22">
                <a:extLst>
                  <a:ext uri="{FF2B5EF4-FFF2-40B4-BE49-F238E27FC236}">
                    <a16:creationId xmlns:a16="http://schemas.microsoft.com/office/drawing/2014/main" id="{EFE74429-4F39-49A3-BA01-680ED2DD05FC}"/>
                  </a:ext>
                </a:extLst>
              </xdr:cNvPr>
              <xdr:cNvSpPr txBox="1"/>
            </xdr:nvSpPr>
            <xdr:spPr>
              <a:xfrm>
                <a:off x="15150042" y="2202912"/>
                <a:ext cx="1329600" cy="249952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E83AF49B-0E39-4951-AD56-4A52DE63B793}" type="TxLink">
                  <a:rPr lang="en-US" sz="1100" b="0" i="0" u="none" strike="noStrike">
                    <a:solidFill>
                      <a:schemeClr val="tx2"/>
                    </a:solidFill>
                    <a:latin typeface="Calibri"/>
                    <a:ea typeface="Calibri"/>
                    <a:cs typeface="Calibri"/>
                  </a:rPr>
                  <a:pPr algn="l"/>
                  <a:t>Qsp [m3/h] = 1.5</a:t>
                </a:fld>
                <a:endParaRPr lang="it-IT" sz="1100">
                  <a:solidFill>
                    <a:schemeClr val="tx2"/>
                  </a:solidFill>
                </a:endParaRPr>
              </a:p>
            </xdr:txBody>
          </xdr:sp>
          <xdr:sp macro="" textlink="'back_to_back-1'!J76">
            <xdr:nvSpPr>
              <xdr:cNvPr id="24" name="CasellaDiTesto 23">
                <a:extLst>
                  <a:ext uri="{FF2B5EF4-FFF2-40B4-BE49-F238E27FC236}">
                    <a16:creationId xmlns:a16="http://schemas.microsoft.com/office/drawing/2014/main" id="{65A05127-9913-497B-B1D0-3AA4406B47EA}"/>
                  </a:ext>
                </a:extLst>
              </xdr:cNvPr>
              <xdr:cNvSpPr txBox="1"/>
            </xdr:nvSpPr>
            <xdr:spPr>
              <a:xfrm>
                <a:off x="15306675" y="3219450"/>
                <a:ext cx="1329600" cy="249952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D809630A-3614-401C-B828-2BF52166BF18}" type="TxLink">
                  <a:rPr lang="en-US" sz="1100" b="0" i="0" u="none" strike="noStrike">
                    <a:solidFill>
                      <a:schemeClr val="accent3">
                        <a:lumMod val="75000"/>
                      </a:schemeClr>
                    </a:solidFill>
                    <a:latin typeface="Calibri"/>
                    <a:ea typeface="Calibri"/>
                    <a:cs typeface="Calibri"/>
                  </a:rPr>
                  <a:pPr algn="l"/>
                  <a:t>∆psp [bar] = 5.9</a:t>
                </a:fld>
                <a:endParaRPr lang="it-IT" sz="1100">
                  <a:solidFill>
                    <a:schemeClr val="accent3">
                      <a:lumMod val="75000"/>
                    </a:schemeClr>
                  </a:solidFill>
                </a:endParaRPr>
              </a:p>
            </xdr:txBody>
          </xdr:sp>
          <xdr:sp macro="" textlink="'back_to_back-1'!J76">
            <xdr:nvSpPr>
              <xdr:cNvPr id="30" name="CasellaDiTesto 29">
                <a:extLst>
                  <a:ext uri="{FF2B5EF4-FFF2-40B4-BE49-F238E27FC236}">
                    <a16:creationId xmlns:a16="http://schemas.microsoft.com/office/drawing/2014/main" id="{0F71519A-3558-476F-8D97-606439DC7869}"/>
                  </a:ext>
                </a:extLst>
              </xdr:cNvPr>
              <xdr:cNvSpPr txBox="1"/>
            </xdr:nvSpPr>
            <xdr:spPr>
              <a:xfrm>
                <a:off x="9610725" y="3248025"/>
                <a:ext cx="1329600" cy="249952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D809630A-3614-401C-B828-2BF52166BF18}" type="TxLink">
                  <a:rPr lang="en-US" sz="1100" b="0" i="0" u="none" strike="noStrike">
                    <a:solidFill>
                      <a:schemeClr val="accent3">
                        <a:lumMod val="75000"/>
                      </a:schemeClr>
                    </a:solidFill>
                    <a:latin typeface="Calibri"/>
                    <a:ea typeface="Calibri"/>
                    <a:cs typeface="Calibri"/>
                  </a:rPr>
                  <a:pPr algn="l"/>
                  <a:t>∆psp [bar] = 5.9</a:t>
                </a:fld>
                <a:endParaRPr lang="it-IT" sz="1100">
                  <a:solidFill>
                    <a:schemeClr val="accent3">
                      <a:lumMod val="75000"/>
                    </a:schemeClr>
                  </a:solidFill>
                </a:endParaRPr>
              </a:p>
            </xdr:txBody>
          </xdr:sp>
          <xdr:sp macro="" textlink="'back_to_back-1'!J77">
            <xdr:nvSpPr>
              <xdr:cNvPr id="31" name="CasellaDiTesto 30">
                <a:extLst>
                  <a:ext uri="{FF2B5EF4-FFF2-40B4-BE49-F238E27FC236}">
                    <a16:creationId xmlns:a16="http://schemas.microsoft.com/office/drawing/2014/main" id="{228FFDCC-6109-40AC-BD8F-BB40E649060A}"/>
                  </a:ext>
                </a:extLst>
              </xdr:cNvPr>
              <xdr:cNvSpPr txBox="1"/>
            </xdr:nvSpPr>
            <xdr:spPr>
              <a:xfrm>
                <a:off x="10201275" y="3781425"/>
                <a:ext cx="1329600" cy="249952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4EF11B55-E4CE-4101-8989-588A2127AF0D}" type="TxLink">
                  <a:rPr lang="en-US" sz="1100" b="0" i="0" u="none" strike="noStrike">
                    <a:solidFill>
                      <a:schemeClr val="accent3">
                        <a:lumMod val="75000"/>
                      </a:schemeClr>
                    </a:solidFill>
                    <a:latin typeface="Calibri"/>
                    <a:ea typeface="Calibri"/>
                    <a:cs typeface="Calibri"/>
                  </a:rPr>
                  <a:pPr algn="l"/>
                  <a:t>psp1 [barg] = 5.9</a:t>
                </a:fld>
                <a:endParaRPr lang="it-IT" sz="1100">
                  <a:solidFill>
                    <a:schemeClr val="accent3">
                      <a:lumMod val="75000"/>
                    </a:schemeClr>
                  </a:solidFill>
                </a:endParaRPr>
              </a:p>
            </xdr:txBody>
          </xdr:sp>
          <xdr:sp macro="" textlink="'back_to_back-1'!J78">
            <xdr:nvSpPr>
              <xdr:cNvPr id="32" name="CasellaDiTesto 31">
                <a:extLst>
                  <a:ext uri="{FF2B5EF4-FFF2-40B4-BE49-F238E27FC236}">
                    <a16:creationId xmlns:a16="http://schemas.microsoft.com/office/drawing/2014/main" id="{79E34135-CC88-4B32-A247-84F662C44086}"/>
                  </a:ext>
                </a:extLst>
              </xdr:cNvPr>
              <xdr:cNvSpPr txBox="1"/>
            </xdr:nvSpPr>
            <xdr:spPr>
              <a:xfrm>
                <a:off x="13830300" y="3848100"/>
                <a:ext cx="1329600" cy="249952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C5F89B78-487A-4C84-9AE9-65A0D448E1CD}" type="TxLink">
                  <a:rPr lang="en-US" sz="1100" b="0" i="0" u="none" strike="noStrike">
                    <a:solidFill>
                      <a:schemeClr val="accent3">
                        <a:lumMod val="75000"/>
                      </a:schemeClr>
                    </a:solidFill>
                    <a:latin typeface="Calibri"/>
                    <a:ea typeface="Calibri"/>
                    <a:cs typeface="Calibri"/>
                  </a:rPr>
                  <a:pPr algn="r"/>
                  <a:t>psp2 [barg] = 68.4</a:t>
                </a:fld>
                <a:endParaRPr lang="it-IT" sz="1100">
                  <a:solidFill>
                    <a:schemeClr val="accent3">
                      <a:lumMod val="75000"/>
                    </a:schemeClr>
                  </a:solidFill>
                </a:endParaRPr>
              </a:p>
            </xdr:txBody>
          </xdr:sp>
          <xdr:sp macro="" textlink="'back_to_back-1'!J79">
            <xdr:nvSpPr>
              <xdr:cNvPr id="33" name="CasellaDiTesto 32">
                <a:extLst>
                  <a:ext uri="{FF2B5EF4-FFF2-40B4-BE49-F238E27FC236}">
                    <a16:creationId xmlns:a16="http://schemas.microsoft.com/office/drawing/2014/main" id="{6B6303FF-005C-499D-ABE8-2F78C2ABF239}"/>
                  </a:ext>
                </a:extLst>
              </xdr:cNvPr>
              <xdr:cNvSpPr txBox="1"/>
            </xdr:nvSpPr>
            <xdr:spPr>
              <a:xfrm>
                <a:off x="10676193" y="1991354"/>
                <a:ext cx="1329600" cy="249952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E83AF49B-0E39-4951-AD56-4A52DE63B793}" type="TxLink">
                  <a:rPr lang="en-US" sz="1100" b="0" i="0" u="none" strike="noStrike">
                    <a:solidFill>
                      <a:schemeClr val="tx2"/>
                    </a:solidFill>
                    <a:latin typeface="Calibri"/>
                    <a:ea typeface="Calibri"/>
                    <a:cs typeface="Calibri"/>
                  </a:rPr>
                  <a:pPr algn="l"/>
                  <a:t>Qsp [m3/h] = 1.5</a:t>
                </a:fld>
                <a:endParaRPr lang="it-IT" sz="1100">
                  <a:solidFill>
                    <a:schemeClr val="tx2"/>
                  </a:solidFill>
                </a:endParaRPr>
              </a:p>
            </xdr:txBody>
          </xdr:sp>
        </xdr:grpSp>
        <xdr:sp macro="" textlink="'back_to_back-1'!J56">
          <xdr:nvSpPr>
            <xdr:cNvPr id="35" name="CasellaDiTesto 34">
              <a:extLst>
                <a:ext uri="{FF2B5EF4-FFF2-40B4-BE49-F238E27FC236}">
                  <a16:creationId xmlns:a16="http://schemas.microsoft.com/office/drawing/2014/main" id="{7E0BCA3D-ADE1-4BCE-A201-024B22A78B45}"/>
                </a:ext>
              </a:extLst>
            </xdr:cNvPr>
            <xdr:cNvSpPr txBox="1"/>
          </xdr:nvSpPr>
          <xdr:spPr>
            <a:xfrm>
              <a:off x="12573000" y="2218765"/>
              <a:ext cx="1319825" cy="247080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DDB6EAFE-8408-441B-A8B2-B8CF6CCD3F91}" type="TxLink">
                <a:rPr lang="en-US" sz="1100" b="0" i="0" u="none" strike="noStrike">
                  <a:solidFill>
                    <a:schemeClr val="tx2"/>
                  </a:solidFill>
                  <a:latin typeface="Calibri"/>
                  <a:ea typeface="Calibri"/>
                  <a:cs typeface="Calibri"/>
                </a:rPr>
                <a:pPr algn="r"/>
                <a:t>Qcb [m3/h] = 3.4</a:t>
              </a:fld>
              <a:endParaRPr lang="it-IT" sz="1100">
                <a:solidFill>
                  <a:schemeClr val="tx2"/>
                </a:solidFill>
              </a:endParaRPr>
            </a:p>
          </xdr:txBody>
        </xdr:sp>
      </xdr:grpSp>
      <xdr:cxnSp macro="">
        <xdr:nvCxnSpPr>
          <xdr:cNvPr id="38" name="Connettore 2 37">
            <a:extLst>
              <a:ext uri="{FF2B5EF4-FFF2-40B4-BE49-F238E27FC236}">
                <a16:creationId xmlns:a16="http://schemas.microsoft.com/office/drawing/2014/main" id="{7E3A9585-4AB0-4618-8E8F-E7E318378AD0}"/>
              </a:ext>
            </a:extLst>
          </xdr:cNvPr>
          <xdr:cNvCxnSpPr/>
        </xdr:nvCxnSpPr>
        <xdr:spPr>
          <a:xfrm flipH="1">
            <a:off x="20605543" y="5739964"/>
            <a:ext cx="908965" cy="0"/>
          </a:xfrm>
          <a:prstGeom prst="straightConnector1">
            <a:avLst/>
          </a:prstGeom>
          <a:ln w="50800">
            <a:solidFill>
              <a:schemeClr val="accent2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'back_to_back-1'!J86">
        <xdr:nvSpPr>
          <xdr:cNvPr id="39" name="CasellaDiTesto 38">
            <a:extLst>
              <a:ext uri="{FF2B5EF4-FFF2-40B4-BE49-F238E27FC236}">
                <a16:creationId xmlns:a16="http://schemas.microsoft.com/office/drawing/2014/main" id="{09D174C8-2E2F-491A-8222-9EE2A8A05882}"/>
              </a:ext>
            </a:extLst>
          </xdr:cNvPr>
          <xdr:cNvSpPr txBox="1"/>
        </xdr:nvSpPr>
        <xdr:spPr>
          <a:xfrm>
            <a:off x="20521332" y="5413002"/>
            <a:ext cx="1686975" cy="2508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DDBB4C5E-8EA0-488E-8C7F-215D03DFA078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l"/>
              <a:t>(FHUB [N] = 275508)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  <xdr:cxnSp macro="">
        <xdr:nvCxnSpPr>
          <xdr:cNvPr id="42" name="Connettore 2 41">
            <a:extLst>
              <a:ext uri="{FF2B5EF4-FFF2-40B4-BE49-F238E27FC236}">
                <a16:creationId xmlns:a16="http://schemas.microsoft.com/office/drawing/2014/main" id="{B02C47EA-A578-4E10-A375-0D6BF3C3207C}"/>
              </a:ext>
            </a:extLst>
          </xdr:cNvPr>
          <xdr:cNvCxnSpPr/>
        </xdr:nvCxnSpPr>
        <xdr:spPr>
          <a:xfrm flipH="1">
            <a:off x="20527103" y="3460688"/>
            <a:ext cx="908965" cy="0"/>
          </a:xfrm>
          <a:prstGeom prst="straightConnector1">
            <a:avLst/>
          </a:prstGeom>
          <a:ln w="50800">
            <a:solidFill>
              <a:schemeClr val="accent2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'back_to_back-1'!J83">
        <xdr:nvSpPr>
          <xdr:cNvPr id="43" name="CasellaDiTesto 42">
            <a:extLst>
              <a:ext uri="{FF2B5EF4-FFF2-40B4-BE49-F238E27FC236}">
                <a16:creationId xmlns:a16="http://schemas.microsoft.com/office/drawing/2014/main" id="{FCAD444E-5195-4E32-949C-97E5F218FAB6}"/>
              </a:ext>
            </a:extLst>
          </xdr:cNvPr>
          <xdr:cNvSpPr txBox="1"/>
        </xdr:nvSpPr>
        <xdr:spPr>
          <a:xfrm>
            <a:off x="20442892" y="3133726"/>
            <a:ext cx="1686975" cy="255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014965C5-D9D4-4C3F-BAC7-D2B6D99F2A54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l"/>
              <a:t>(FFS2 [N] = 830607)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  <xdr:cxnSp macro="">
        <xdr:nvCxnSpPr>
          <xdr:cNvPr id="46" name="Connettore 2 45">
            <a:extLst>
              <a:ext uri="{FF2B5EF4-FFF2-40B4-BE49-F238E27FC236}">
                <a16:creationId xmlns:a16="http://schemas.microsoft.com/office/drawing/2014/main" id="{5D6DE2DF-7A20-4FBB-BAB0-F5EE5D176DC4}"/>
              </a:ext>
            </a:extLst>
          </xdr:cNvPr>
          <xdr:cNvCxnSpPr/>
        </xdr:nvCxnSpPr>
        <xdr:spPr>
          <a:xfrm flipH="1">
            <a:off x="16656591" y="4079252"/>
            <a:ext cx="904483" cy="0"/>
          </a:xfrm>
          <a:prstGeom prst="straightConnector1">
            <a:avLst/>
          </a:prstGeom>
          <a:ln w="50800">
            <a:solidFill>
              <a:schemeClr val="accent2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'back_to_back-1'!J84">
        <xdr:nvSpPr>
          <xdr:cNvPr id="47" name="CasellaDiTesto 46">
            <a:extLst>
              <a:ext uri="{FF2B5EF4-FFF2-40B4-BE49-F238E27FC236}">
                <a16:creationId xmlns:a16="http://schemas.microsoft.com/office/drawing/2014/main" id="{2619F3D0-652F-4234-8F59-B72A823D4239}"/>
              </a:ext>
            </a:extLst>
          </xdr:cNvPr>
          <xdr:cNvSpPr txBox="1"/>
        </xdr:nvSpPr>
        <xdr:spPr>
          <a:xfrm>
            <a:off x="16572380" y="3747807"/>
            <a:ext cx="1347101" cy="255344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1A65CAD-0314-4090-BDE7-830940876B8C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l"/>
              <a:t>(FRS1 [N] = 128552)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  <xdr:cxnSp macro="">
        <xdr:nvCxnSpPr>
          <xdr:cNvPr id="48" name="Connettore 2 47">
            <a:extLst>
              <a:ext uri="{FF2B5EF4-FFF2-40B4-BE49-F238E27FC236}">
                <a16:creationId xmlns:a16="http://schemas.microsoft.com/office/drawing/2014/main" id="{F28E5641-165C-47C2-84FC-D1F70C66E48F}"/>
              </a:ext>
            </a:extLst>
          </xdr:cNvPr>
          <xdr:cNvCxnSpPr/>
        </xdr:nvCxnSpPr>
        <xdr:spPr>
          <a:xfrm>
            <a:off x="18506852" y="4074769"/>
            <a:ext cx="904482" cy="6974"/>
          </a:xfrm>
          <a:prstGeom prst="straightConnector1">
            <a:avLst/>
          </a:prstGeom>
          <a:ln w="50800">
            <a:solidFill>
              <a:schemeClr val="accent2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'back_to_back-1'!J85">
        <xdr:nvSpPr>
          <xdr:cNvPr id="49" name="CasellaDiTesto 48">
            <a:extLst>
              <a:ext uri="{FF2B5EF4-FFF2-40B4-BE49-F238E27FC236}">
                <a16:creationId xmlns:a16="http://schemas.microsoft.com/office/drawing/2014/main" id="{6F427F61-1EFB-48FC-B0D9-2F7461B453BC}"/>
              </a:ext>
            </a:extLst>
          </xdr:cNvPr>
          <xdr:cNvSpPr txBox="1"/>
        </xdr:nvSpPr>
        <xdr:spPr>
          <a:xfrm>
            <a:off x="18057429" y="3743324"/>
            <a:ext cx="1434573" cy="255344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8BD7536D-ADEE-4E38-BFB9-A3463A86834D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r"/>
              <a:t>(FRS2 [N] = 1092105)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  <xdr:cxnSp macro="">
        <xdr:nvCxnSpPr>
          <xdr:cNvPr id="51" name="Connettore 2 50">
            <a:extLst>
              <a:ext uri="{FF2B5EF4-FFF2-40B4-BE49-F238E27FC236}">
                <a16:creationId xmlns:a16="http://schemas.microsoft.com/office/drawing/2014/main" id="{7A9D031D-044C-4E7F-86EC-0533F2D0C30D}"/>
              </a:ext>
            </a:extLst>
          </xdr:cNvPr>
          <xdr:cNvCxnSpPr/>
        </xdr:nvCxnSpPr>
        <xdr:spPr>
          <a:xfrm>
            <a:off x="14600946" y="3336418"/>
            <a:ext cx="903167" cy="6974"/>
          </a:xfrm>
          <a:prstGeom prst="straightConnector1">
            <a:avLst/>
          </a:prstGeom>
          <a:ln w="50800">
            <a:solidFill>
              <a:schemeClr val="accent2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'back_to_back-1'!J82">
        <xdr:nvSpPr>
          <xdr:cNvPr id="52" name="CasellaDiTesto 51">
            <a:extLst>
              <a:ext uri="{FF2B5EF4-FFF2-40B4-BE49-F238E27FC236}">
                <a16:creationId xmlns:a16="http://schemas.microsoft.com/office/drawing/2014/main" id="{4CA968F0-920A-4795-87A7-1B579F110D90}"/>
              </a:ext>
            </a:extLst>
          </xdr:cNvPr>
          <xdr:cNvSpPr txBox="1"/>
        </xdr:nvSpPr>
        <xdr:spPr>
          <a:xfrm>
            <a:off x="14150209" y="3003659"/>
            <a:ext cx="1434572" cy="255344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FB6768A6-4007-4EDF-812A-D2FE113FBAD1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r"/>
              <a:t>(FFS1 [N] = 98375)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1</xdr:row>
      <xdr:rowOff>1</xdr:rowOff>
    </xdr:from>
    <xdr:to>
      <xdr:col>13</xdr:col>
      <xdr:colOff>0</xdr:colOff>
      <xdr:row>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099425F-EE54-4A6E-98A1-EEFEC4A59377}"/>
            </a:ext>
          </a:extLst>
        </xdr:cNvPr>
        <xdr:cNvSpPr txBox="1"/>
      </xdr:nvSpPr>
      <xdr:spPr>
        <a:xfrm>
          <a:off x="9816354" y="190501"/>
          <a:ext cx="4885764" cy="1142999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INSTRUCTIONS:</a:t>
          </a:r>
          <a:endParaRPr lang="it-IT" sz="1200">
            <a:effectLst/>
          </a:endParaRPr>
        </a:p>
        <a:p>
          <a:r>
            <a:rPr lang="it-IT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Compile the input</a:t>
          </a:r>
          <a:r>
            <a:rPr lang="it-IT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data.</a:t>
          </a:r>
          <a:endParaRPr lang="it-IT" sz="1200">
            <a:effectLst/>
          </a:endParaRPr>
        </a:p>
        <a:p>
          <a:r>
            <a:rPr lang="it-IT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Run the calculation through the dedicated button.</a:t>
          </a:r>
          <a:endParaRPr lang="it-IT" sz="1200">
            <a:effectLst/>
          </a:endParaRPr>
        </a:p>
        <a:p>
          <a:r>
            <a:rPr lang="it-IT" sz="12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Check the results.</a:t>
          </a:r>
          <a:endParaRPr lang="it-IT" sz="1200">
            <a:effectLst/>
          </a:endParaRPr>
        </a:p>
        <a:p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no back wear ring is foreseen, D</a:t>
          </a:r>
          <a:r>
            <a:rPr lang="it-IT" sz="1200" b="0" u="non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D</a:t>
          </a:r>
          <a:r>
            <a:rPr lang="it-IT" sz="1200" b="0" u="non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RH.</a:t>
          </a:r>
          <a:endParaRPr lang="it-IT" sz="1200" b="0" baseline="-25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5</xdr:col>
      <xdr:colOff>247649</xdr:colOff>
      <xdr:row>34</xdr:row>
      <xdr:rowOff>231912</xdr:rowOff>
    </xdr:from>
    <xdr:to>
      <xdr:col>18</xdr:col>
      <xdr:colOff>0</xdr:colOff>
      <xdr:row>73</xdr:row>
      <xdr:rowOff>190499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461ADE3-1850-B40D-AF13-FC6E2C6483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</xdr:rowOff>
        </xdr:from>
        <xdr:to>
          <xdr:col>18</xdr:col>
          <xdr:colOff>1</xdr:colOff>
          <xdr:row>35</xdr:row>
          <xdr:rowOff>0</xdr:rowOff>
        </xdr:to>
        <xdr:pic>
          <xdr:nvPicPr>
            <xdr:cNvPr id="5177" name="Immagine 5176">
              <a:extLst>
                <a:ext uri="{FF2B5EF4-FFF2-40B4-BE49-F238E27FC236}">
                  <a16:creationId xmlns:a16="http://schemas.microsoft.com/office/drawing/2014/main" id="{BDE0829C-60D2-E498-D3AF-B0BD144AA25A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myfig2" spid="_x0000_s590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820978" y="1524001"/>
              <a:ext cx="7984436" cy="6029738"/>
            </a:xfrm>
            <a:prstGeom prst="rect">
              <a:avLst/>
            </a:prstGeom>
            <a:noFill/>
            <a:ln w="9525">
              <a:solidFill>
                <a:schemeClr val="tx2">
                  <a:lumMod val="60000"/>
                  <a:lumOff val="40000"/>
                </a:schemeClr>
              </a:solidFill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5424" name="CommandButton1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4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37</xdr:row>
      <xdr:rowOff>9526</xdr:rowOff>
    </xdr:from>
    <xdr:to>
      <xdr:col>16</xdr:col>
      <xdr:colOff>1</xdr:colOff>
      <xdr:row>84</xdr:row>
      <xdr:rowOff>6964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76E3BA76-0762-4EB8-ACD9-CCB242D01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</xdr:colOff>
      <xdr:row>1</xdr:row>
      <xdr:rowOff>0</xdr:rowOff>
    </xdr:from>
    <xdr:to>
      <xdr:col>16</xdr:col>
      <xdr:colOff>0</xdr:colOff>
      <xdr:row>8</xdr:row>
      <xdr:rowOff>0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BE9D9FB4-4CAC-4E68-A174-D753FE792B88}"/>
            </a:ext>
          </a:extLst>
        </xdr:cNvPr>
        <xdr:cNvSpPr txBox="1"/>
      </xdr:nvSpPr>
      <xdr:spPr>
        <a:xfrm>
          <a:off x="7810501" y="190500"/>
          <a:ext cx="6051175" cy="1333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INSTRUCTIONS:</a:t>
          </a:r>
        </a:p>
        <a:p>
          <a:r>
            <a:rPr lang="it-IT" sz="1200" b="0" u="none"/>
            <a:t>1) Compile the input</a:t>
          </a:r>
          <a:r>
            <a:rPr lang="it-IT" sz="1200" b="0" u="none" baseline="0"/>
            <a:t> data.</a:t>
          </a:r>
        </a:p>
        <a:p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Run the calculation through the dedicated button.</a:t>
          </a:r>
        </a:p>
        <a:p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Check the results.</a:t>
          </a:r>
        </a:p>
        <a:p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this spreadsheet shall be used if wear rings are installed at different diameters. Otherwise, double_suction-1 shall be used.</a:t>
          </a:r>
          <a:endParaRPr lang="it-IT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609600</xdr:colOff>
          <xdr:row>1</xdr:row>
          <xdr:rowOff>0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9</xdr:row>
      <xdr:rowOff>0</xdr:rowOff>
    </xdr:from>
    <xdr:to>
      <xdr:col>16</xdr:col>
      <xdr:colOff>0</xdr:colOff>
      <xdr:row>37</xdr:row>
      <xdr:rowOff>9525</xdr:rowOff>
    </xdr:to>
    <xdr:grpSp>
      <xdr:nvGrpSpPr>
        <xdr:cNvPr id="30" name="Gruppo 29">
          <a:extLst>
            <a:ext uri="{FF2B5EF4-FFF2-40B4-BE49-F238E27FC236}">
              <a16:creationId xmlns:a16="http://schemas.microsoft.com/office/drawing/2014/main" id="{069270AC-FAFC-814E-7910-F65E3453AF08}"/>
            </a:ext>
          </a:extLst>
        </xdr:cNvPr>
        <xdr:cNvGrpSpPr/>
      </xdr:nvGrpSpPr>
      <xdr:grpSpPr>
        <a:xfrm>
          <a:off x="7820025" y="1752600"/>
          <a:ext cx="6096000" cy="6029325"/>
          <a:chOff x="7820025" y="1752600"/>
          <a:chExt cx="6096000" cy="6029325"/>
        </a:xfrm>
      </xdr:grpSpPr>
      <xdr:grpSp>
        <xdr:nvGrpSpPr>
          <xdr:cNvPr id="9" name="Gruppo 8">
            <a:extLst>
              <a:ext uri="{FF2B5EF4-FFF2-40B4-BE49-F238E27FC236}">
                <a16:creationId xmlns:a16="http://schemas.microsoft.com/office/drawing/2014/main" id="{DCA20D84-937F-86EF-A8F4-832C0DDDCFC5}"/>
              </a:ext>
            </a:extLst>
          </xdr:cNvPr>
          <xdr:cNvGrpSpPr/>
        </xdr:nvGrpSpPr>
        <xdr:grpSpPr>
          <a:xfrm>
            <a:off x="7820025" y="1752600"/>
            <a:ext cx="6096000" cy="6029325"/>
            <a:chOff x="7724775" y="1514475"/>
            <a:chExt cx="6096000" cy="6029324"/>
          </a:xfrm>
        </xdr:grpSpPr>
        <xdr:grpSp>
          <xdr:nvGrpSpPr>
            <xdr:cNvPr id="6" name="Gruppo 5">
              <a:extLst>
                <a:ext uri="{FF2B5EF4-FFF2-40B4-BE49-F238E27FC236}">
                  <a16:creationId xmlns:a16="http://schemas.microsoft.com/office/drawing/2014/main" id="{029D257F-4557-2CE8-3FC6-2BA4F6B09085}"/>
                </a:ext>
              </a:extLst>
            </xdr:cNvPr>
            <xdr:cNvGrpSpPr/>
          </xdr:nvGrpSpPr>
          <xdr:grpSpPr>
            <a:xfrm>
              <a:off x="7724775" y="1514475"/>
              <a:ext cx="6096000" cy="6029324"/>
              <a:chOff x="7724775" y="1514475"/>
              <a:chExt cx="6096000" cy="6029324"/>
            </a:xfrm>
          </xdr:grpSpPr>
          <xdr:grpSp>
            <xdr:nvGrpSpPr>
              <xdr:cNvPr id="26" name="Gruppo 25">
                <a:extLst>
                  <a:ext uri="{FF2B5EF4-FFF2-40B4-BE49-F238E27FC236}">
                    <a16:creationId xmlns:a16="http://schemas.microsoft.com/office/drawing/2014/main" id="{E2D511D3-604E-6CF8-4BD9-0EE105244C41}"/>
                  </a:ext>
                </a:extLst>
              </xdr:cNvPr>
              <xdr:cNvGrpSpPr/>
            </xdr:nvGrpSpPr>
            <xdr:grpSpPr>
              <a:xfrm>
                <a:off x="7724775" y="1524000"/>
                <a:ext cx="6096000" cy="6019799"/>
                <a:chOff x="8801100" y="1571625"/>
                <a:chExt cx="5760000" cy="5965077"/>
              </a:xfrm>
            </xdr:grpSpPr>
            <xdr:pic>
              <xdr:nvPicPr>
                <xdr:cNvPr id="11" name="Immagine 10">
                  <a:extLst>
                    <a:ext uri="{FF2B5EF4-FFF2-40B4-BE49-F238E27FC236}">
                      <a16:creationId xmlns:a16="http://schemas.microsoft.com/office/drawing/2014/main" id="{27651509-324C-AD74-A5E1-4BBBC7A64B9E}"/>
                    </a:ext>
                  </a:extLst>
                </xdr:cNvPr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2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8801100" y="1571625"/>
                  <a:ext cx="5760000" cy="5965077"/>
                </a:xfrm>
                <a:prstGeom prst="rect">
                  <a:avLst/>
                </a:prstGeom>
                <a:noFill/>
                <a:ln>
                  <a:solidFill>
                    <a:schemeClr val="tx2">
                      <a:lumMod val="60000"/>
                      <a:lumOff val="40000"/>
                    </a:schemeClr>
                  </a:solidFill>
                </a:ln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xdr:sp macro="" textlink="'double_suction-2'!E14">
              <xdr:nvSpPr>
                <xdr:cNvPr id="12" name="CasellaDiTesto 11">
                  <a:extLst>
                    <a:ext uri="{FF2B5EF4-FFF2-40B4-BE49-F238E27FC236}">
                      <a16:creationId xmlns:a16="http://schemas.microsoft.com/office/drawing/2014/main" id="{91A86E5D-D676-4125-8C31-5C6F42776918}"/>
                    </a:ext>
                  </a:extLst>
                </xdr:cNvPr>
                <xdr:cNvSpPr txBox="1"/>
              </xdr:nvSpPr>
              <xdr:spPr>
                <a:xfrm>
                  <a:off x="9277350" y="3590925"/>
                  <a:ext cx="1325105" cy="26890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F5ED24B4-BCA4-4531-8F1E-E38AC2DDF833}" type="TxLink">
                    <a:rPr lang="en-US" sz="1100" b="0" i="0" u="none" strike="noStrike">
                      <a:solidFill>
                        <a:schemeClr val="accent6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l"/>
                    <a:t>Lsp1 [mm] = 25</a:t>
                  </a:fld>
                  <a:endParaRPr lang="it-IT" sz="1100">
                    <a:solidFill>
                      <a:schemeClr val="accent6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15">
              <xdr:nvSpPr>
                <xdr:cNvPr id="13" name="CasellaDiTesto 12">
                  <a:extLst>
                    <a:ext uri="{FF2B5EF4-FFF2-40B4-BE49-F238E27FC236}">
                      <a16:creationId xmlns:a16="http://schemas.microsoft.com/office/drawing/2014/main" id="{6557DB62-D05F-437E-AE09-B4413EB40908}"/>
                    </a:ext>
                  </a:extLst>
                </xdr:cNvPr>
                <xdr:cNvSpPr txBox="1"/>
              </xdr:nvSpPr>
              <xdr:spPr>
                <a:xfrm>
                  <a:off x="13144500" y="3524250"/>
                  <a:ext cx="1325105" cy="30700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fld id="{834D3BBD-DBED-463A-BDF7-5DE9A0336235}" type="TxLink">
                    <a:rPr lang="en-US" sz="1100" b="0" i="0" u="none" strike="noStrike">
                      <a:solidFill>
                        <a:schemeClr val="accent6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r"/>
                    <a:t>Lsp2 [mm] = 25</a:t>
                  </a:fld>
                  <a:endParaRPr lang="it-IT" sz="1100">
                    <a:solidFill>
                      <a:schemeClr val="accent6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12">
              <xdr:nvSpPr>
                <xdr:cNvPr id="14" name="CasellaDiTesto 13">
                  <a:extLst>
                    <a:ext uri="{FF2B5EF4-FFF2-40B4-BE49-F238E27FC236}">
                      <a16:creationId xmlns:a16="http://schemas.microsoft.com/office/drawing/2014/main" id="{AA30DA2D-5012-482D-BFC9-42293EE3404A}"/>
                    </a:ext>
                  </a:extLst>
                </xdr:cNvPr>
                <xdr:cNvSpPr txBox="1"/>
              </xdr:nvSpPr>
              <xdr:spPr>
                <a:xfrm rot="16200000">
                  <a:off x="9124951" y="4524375"/>
                  <a:ext cx="1458455" cy="23080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fld id="{7756A6C4-7D8F-4F2D-BA7C-74BBE9DECE27}" type="TxLink">
                    <a:rPr lang="en-US" sz="1100" b="0" i="0" u="none" strike="noStrike">
                      <a:solidFill>
                        <a:schemeClr val="accent6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r"/>
                    <a:t>ssp1 [mm] = 0.15</a:t>
                  </a:fld>
                  <a:endParaRPr lang="it-IT" sz="1100">
                    <a:solidFill>
                      <a:schemeClr val="accent6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13">
              <xdr:nvSpPr>
                <xdr:cNvPr id="15" name="CasellaDiTesto 14">
                  <a:extLst>
                    <a:ext uri="{FF2B5EF4-FFF2-40B4-BE49-F238E27FC236}">
                      <a16:creationId xmlns:a16="http://schemas.microsoft.com/office/drawing/2014/main" id="{54457297-928A-46B3-BB30-1CA7536DFA5D}"/>
                    </a:ext>
                  </a:extLst>
                </xdr:cNvPr>
                <xdr:cNvSpPr txBox="1"/>
              </xdr:nvSpPr>
              <xdr:spPr>
                <a:xfrm rot="16200000">
                  <a:off x="13293199" y="4415687"/>
                  <a:ext cx="1458455" cy="23080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fld id="{808E59E2-2BB3-470E-B461-E8B2D9DBA4EC}" type="TxLink">
                    <a:rPr lang="en-US" sz="1100" b="0" i="0" u="none" strike="noStrike">
                      <a:solidFill>
                        <a:schemeClr val="accent6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r"/>
                    <a:t>ssp2 [mm] = 0.15</a:t>
                  </a:fld>
                  <a:endParaRPr lang="it-IT" sz="1100">
                    <a:solidFill>
                      <a:schemeClr val="accent6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11">
              <xdr:nvSpPr>
                <xdr:cNvPr id="16" name="CasellaDiTesto 15">
                  <a:extLst>
                    <a:ext uri="{FF2B5EF4-FFF2-40B4-BE49-F238E27FC236}">
                      <a16:creationId xmlns:a16="http://schemas.microsoft.com/office/drawing/2014/main" id="{02D0F5A5-E18D-4A6A-81EE-C3B572798536}"/>
                    </a:ext>
                  </a:extLst>
                </xdr:cNvPr>
                <xdr:cNvSpPr txBox="1"/>
              </xdr:nvSpPr>
              <xdr:spPr>
                <a:xfrm rot="16200000">
                  <a:off x="13321252" y="6614577"/>
                  <a:ext cx="1401305" cy="230804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050616EE-1828-496F-A13F-BA9271828D93}" type="TxLink">
                    <a:rPr lang="en-US" sz="1100" b="0" i="0" u="none" strike="noStrike">
                      <a:solidFill>
                        <a:schemeClr val="accent6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l"/>
                    <a:t>Dsp2 [mm] = 220</a:t>
                  </a:fld>
                  <a:endParaRPr lang="it-IT" sz="1100">
                    <a:solidFill>
                      <a:schemeClr val="accent6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10">
              <xdr:nvSpPr>
                <xdr:cNvPr id="17" name="CasellaDiTesto 16">
                  <a:extLst>
                    <a:ext uri="{FF2B5EF4-FFF2-40B4-BE49-F238E27FC236}">
                      <a16:creationId xmlns:a16="http://schemas.microsoft.com/office/drawing/2014/main" id="{995283BE-7F0B-462A-8584-C81068EBAA4F}"/>
                    </a:ext>
                  </a:extLst>
                </xdr:cNvPr>
                <xdr:cNvSpPr txBox="1"/>
              </xdr:nvSpPr>
              <xdr:spPr>
                <a:xfrm rot="16200000">
                  <a:off x="9196927" y="6586002"/>
                  <a:ext cx="1401305" cy="230804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4933C8D5-BF36-4071-A741-1FFF59822166}" type="TxLink">
                    <a:rPr lang="en-US" sz="1100" b="0" i="0" u="none" strike="noStrike">
                      <a:solidFill>
                        <a:schemeClr val="accent6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l"/>
                    <a:t>Dsp1 [mm] = 250</a:t>
                  </a:fld>
                  <a:endParaRPr lang="it-IT" sz="1100">
                    <a:solidFill>
                      <a:schemeClr val="accent6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9">
              <xdr:nvSpPr>
                <xdr:cNvPr id="18" name="CasellaDiTesto 17">
                  <a:extLst>
                    <a:ext uri="{FF2B5EF4-FFF2-40B4-BE49-F238E27FC236}">
                      <a16:creationId xmlns:a16="http://schemas.microsoft.com/office/drawing/2014/main" id="{DE1675C0-3848-4349-B3E1-5962DDC6A8CF}"/>
                    </a:ext>
                  </a:extLst>
                </xdr:cNvPr>
                <xdr:cNvSpPr txBox="1"/>
              </xdr:nvSpPr>
              <xdr:spPr>
                <a:xfrm rot="16200000">
                  <a:off x="8377778" y="6576477"/>
                  <a:ext cx="1401305" cy="230804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F7B06C71-C5EF-447A-B981-B659222670E7}" type="TxLink">
                    <a:rPr lang="en-US" sz="1100" b="0" i="0" u="none" strike="noStrike">
                      <a:solidFill>
                        <a:schemeClr val="accent6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l"/>
                    <a:t>D2 [mm] = 430</a:t>
                  </a:fld>
                  <a:endParaRPr lang="it-IT" sz="1100">
                    <a:solidFill>
                      <a:schemeClr val="accent6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37">
              <xdr:nvSpPr>
                <xdr:cNvPr id="19" name="CasellaDiTesto 18">
                  <a:extLst>
                    <a:ext uri="{FF2B5EF4-FFF2-40B4-BE49-F238E27FC236}">
                      <a16:creationId xmlns:a16="http://schemas.microsoft.com/office/drawing/2014/main" id="{7CB96CC9-8E46-4AF4-AA2B-2B4582F9C632}"/>
                    </a:ext>
                  </a:extLst>
                </xdr:cNvPr>
                <xdr:cNvSpPr txBox="1"/>
              </xdr:nvSpPr>
              <xdr:spPr>
                <a:xfrm>
                  <a:off x="11934825" y="1581150"/>
                  <a:ext cx="1325105" cy="23080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B52843C1-7C64-40D8-BBF6-56E19A1D44C2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l"/>
                    <a:t>pLA [bar] = 14.7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63">
              <xdr:nvSpPr>
                <xdr:cNvPr id="20" name="CasellaDiTesto 19">
                  <a:extLst>
                    <a:ext uri="{FF2B5EF4-FFF2-40B4-BE49-F238E27FC236}">
                      <a16:creationId xmlns:a16="http://schemas.microsoft.com/office/drawing/2014/main" id="{35B1FCC7-E9DF-4BD2-9399-9E7731567DA3}"/>
                    </a:ext>
                  </a:extLst>
                </xdr:cNvPr>
                <xdr:cNvSpPr txBox="1"/>
              </xdr:nvSpPr>
              <xdr:spPr>
                <a:xfrm>
                  <a:off x="9829800" y="2324100"/>
                  <a:ext cx="1325105" cy="307004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fld id="{64F928B0-BE85-4040-852F-82D6B3D8D079}" type="TxLink">
                    <a:rPr lang="en-US" sz="1100" b="0" i="0" u="none" strike="noStrike">
                      <a:solidFill>
                        <a:schemeClr val="accent1"/>
                      </a:solidFill>
                      <a:latin typeface="Calibri"/>
                      <a:cs typeface="Calibri"/>
                    </a:rPr>
                    <a:pPr algn="r"/>
                    <a:t>Qsp1 [m3/h] = 7.4</a:t>
                  </a:fld>
                  <a:endParaRPr lang="it-IT" sz="1100">
                    <a:solidFill>
                      <a:schemeClr val="accent1"/>
                    </a:solidFill>
                  </a:endParaRPr>
                </a:p>
              </xdr:txBody>
            </xdr:sp>
            <xdr:sp macro="" textlink="'double_suction-2'!E64">
              <xdr:nvSpPr>
                <xdr:cNvPr id="21" name="CasellaDiTesto 20">
                  <a:extLst>
                    <a:ext uri="{FF2B5EF4-FFF2-40B4-BE49-F238E27FC236}">
                      <a16:creationId xmlns:a16="http://schemas.microsoft.com/office/drawing/2014/main" id="{F648EE3D-7FB1-4432-A4AB-5F24DA85C6A0}"/>
                    </a:ext>
                  </a:extLst>
                </xdr:cNvPr>
                <xdr:cNvSpPr txBox="1"/>
              </xdr:nvSpPr>
              <xdr:spPr>
                <a:xfrm>
                  <a:off x="10220325" y="4210050"/>
                  <a:ext cx="1325105" cy="307004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fld id="{6E2A9882-DFA7-4B0A-AC64-60968AA98DF5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r"/>
                    <a:t>psp1  [barg] = 13.6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90">
              <xdr:nvSpPr>
                <xdr:cNvPr id="22" name="CasellaDiTesto 21">
                  <a:extLst>
                    <a:ext uri="{FF2B5EF4-FFF2-40B4-BE49-F238E27FC236}">
                      <a16:creationId xmlns:a16="http://schemas.microsoft.com/office/drawing/2014/main" id="{F013C897-B01E-4418-A005-8F8A0898A9F2}"/>
                    </a:ext>
                  </a:extLst>
                </xdr:cNvPr>
                <xdr:cNvSpPr txBox="1"/>
              </xdr:nvSpPr>
              <xdr:spPr>
                <a:xfrm>
                  <a:off x="12392025" y="4191000"/>
                  <a:ext cx="1325105" cy="307004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788E5524-EC7D-4A4C-947F-0E5E7623A58B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l"/>
                    <a:t>psp2  [barg] = 13.5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89">
              <xdr:nvSpPr>
                <xdr:cNvPr id="23" name="CasellaDiTesto 22">
                  <a:extLst>
                    <a:ext uri="{FF2B5EF4-FFF2-40B4-BE49-F238E27FC236}">
                      <a16:creationId xmlns:a16="http://schemas.microsoft.com/office/drawing/2014/main" id="{E288F821-F87B-4DB0-A753-59AF4375DBF6}"/>
                    </a:ext>
                  </a:extLst>
                </xdr:cNvPr>
                <xdr:cNvSpPr txBox="1"/>
              </xdr:nvSpPr>
              <xdr:spPr>
                <a:xfrm>
                  <a:off x="12715875" y="2305050"/>
                  <a:ext cx="1325105" cy="307004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836BF7EA-5AE3-4DF5-9CA8-D5CB80179759}" type="TxLink">
                    <a:rPr lang="en-US" sz="1100" b="0" i="0" u="none" strike="noStrike">
                      <a:solidFill>
                        <a:schemeClr val="accent1"/>
                      </a:solidFill>
                      <a:latin typeface="Calibri"/>
                      <a:cs typeface="Calibri"/>
                    </a:rPr>
                    <a:pPr algn="l"/>
                    <a:t>Qsp2 [m3/h] = 6.5</a:t>
                  </a:fld>
                  <a:endParaRPr lang="it-IT" sz="1100">
                    <a:solidFill>
                      <a:schemeClr val="accent1"/>
                    </a:solidFill>
                  </a:endParaRPr>
                </a:p>
              </xdr:txBody>
            </xdr:sp>
            <xdr:sp macro="" textlink="'double_suction-2'!E82">
              <xdr:nvSpPr>
                <xdr:cNvPr id="24" name="CasellaDiTesto 23">
                  <a:extLst>
                    <a:ext uri="{FF2B5EF4-FFF2-40B4-BE49-F238E27FC236}">
                      <a16:creationId xmlns:a16="http://schemas.microsoft.com/office/drawing/2014/main" id="{D3203551-ACE3-419C-B7D9-BDDAC3CBE134}"/>
                    </a:ext>
                  </a:extLst>
                </xdr:cNvPr>
                <xdr:cNvSpPr txBox="1"/>
              </xdr:nvSpPr>
              <xdr:spPr>
                <a:xfrm>
                  <a:off x="12696825" y="5210175"/>
                  <a:ext cx="1325105" cy="307004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fld id="{EE18F4AB-6091-4634-BDC8-408F9DE61786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ctr"/>
                    <a:t>∆psp2 [bar] = 13.5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  <xdr:sp macro="" textlink="'double_suction-2'!E56">
              <xdr:nvSpPr>
                <xdr:cNvPr id="25" name="CasellaDiTesto 24">
                  <a:extLst>
                    <a:ext uri="{FF2B5EF4-FFF2-40B4-BE49-F238E27FC236}">
                      <a16:creationId xmlns:a16="http://schemas.microsoft.com/office/drawing/2014/main" id="{CDEE1F57-A4B9-4955-B24A-1161F35AD81E}"/>
                    </a:ext>
                  </a:extLst>
                </xdr:cNvPr>
                <xdr:cNvSpPr txBox="1"/>
              </xdr:nvSpPr>
              <xdr:spPr>
                <a:xfrm>
                  <a:off x="10106025" y="5114925"/>
                  <a:ext cx="1325105" cy="307004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fld id="{C0E00CFD-7176-4A0E-9217-89B6D4812E1F}" type="TxLink">
                    <a:rPr lang="en-US" sz="1100" b="0" i="0" u="none" strike="noStrike">
                      <a:solidFill>
                        <a:schemeClr val="accent3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ctr"/>
                    <a:t>∆psp1 [bar] = 13.6</a:t>
                  </a:fld>
                  <a:endParaRPr lang="it-IT" sz="1100">
                    <a:solidFill>
                      <a:schemeClr val="accent3">
                        <a:lumMod val="75000"/>
                      </a:schemeClr>
                    </a:solidFill>
                  </a:endParaRPr>
                </a:p>
              </xdr:txBody>
            </xdr:sp>
          </xdr:grpSp>
          <xdr:sp macro="" textlink="">
            <xdr:nvSpPr>
              <xdr:cNvPr id="3" name="CasellaDiTesto 2">
                <a:extLst>
                  <a:ext uri="{FF2B5EF4-FFF2-40B4-BE49-F238E27FC236}">
                    <a16:creationId xmlns:a16="http://schemas.microsoft.com/office/drawing/2014/main" id="{6587BA1A-A309-4E28-A3EC-17474EC7A24A}"/>
                  </a:ext>
                </a:extLst>
              </xdr:cNvPr>
              <xdr:cNvSpPr txBox="1"/>
            </xdr:nvSpPr>
            <xdr:spPr>
              <a:xfrm>
                <a:off x="7734300" y="1514475"/>
                <a:ext cx="1402403" cy="23292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r>
                  <a:rPr lang="en-US" sz="1100" b="0" i="0" u="none" strike="noStrike">
                    <a:solidFill>
                      <a:schemeClr val="tx1"/>
                    </a:solidFill>
                    <a:latin typeface="Calibri"/>
                    <a:cs typeface="Calibri"/>
                  </a:rPr>
                  <a:t>Side (1)</a:t>
                </a:r>
              </a:p>
            </xdr:txBody>
          </xdr:sp>
          <xdr:sp macro="" textlink="">
            <xdr:nvSpPr>
              <xdr:cNvPr id="4" name="CasellaDiTesto 3">
                <a:extLst>
                  <a:ext uri="{FF2B5EF4-FFF2-40B4-BE49-F238E27FC236}">
                    <a16:creationId xmlns:a16="http://schemas.microsoft.com/office/drawing/2014/main" id="{EE0799F0-DBEB-41A7-98CC-45FA39192292}"/>
                  </a:ext>
                </a:extLst>
              </xdr:cNvPr>
              <xdr:cNvSpPr txBox="1"/>
            </xdr:nvSpPr>
            <xdr:spPr>
              <a:xfrm>
                <a:off x="12858750" y="1533525"/>
                <a:ext cx="916628" cy="23292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r>
                  <a:rPr lang="en-US" sz="1100" b="0" i="0" u="none" strike="noStrike">
                    <a:solidFill>
                      <a:schemeClr val="tx1"/>
                    </a:solidFill>
                    <a:latin typeface="Calibri"/>
                    <a:cs typeface="Calibri"/>
                  </a:rPr>
                  <a:t>Side (2)</a:t>
                </a:r>
              </a:p>
            </xdr:txBody>
          </xdr:sp>
        </xdr:grpSp>
        <xdr:cxnSp macro="">
          <xdr:nvCxnSpPr>
            <xdr:cNvPr id="7" name="Connettore 2 6">
              <a:extLst>
                <a:ext uri="{FF2B5EF4-FFF2-40B4-BE49-F238E27FC236}">
                  <a16:creationId xmlns:a16="http://schemas.microsoft.com/office/drawing/2014/main" id="{50975A51-564A-439B-B7EF-EBBB6CA7C807}"/>
                </a:ext>
              </a:extLst>
            </xdr:cNvPr>
            <xdr:cNvCxnSpPr/>
          </xdr:nvCxnSpPr>
          <xdr:spPr>
            <a:xfrm flipH="1">
              <a:off x="10163175" y="7181879"/>
              <a:ext cx="1641670" cy="0"/>
            </a:xfrm>
            <a:prstGeom prst="straightConnector1">
              <a:avLst/>
            </a:prstGeom>
            <a:ln w="50800">
              <a:solidFill>
                <a:schemeClr val="accent2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'double_suction-2'!E96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806DCDF6-B144-4DE6-8D6B-F320C094697C}"/>
                </a:ext>
              </a:extLst>
            </xdr:cNvPr>
            <xdr:cNvSpPr txBox="1"/>
          </xdr:nvSpPr>
          <xdr:spPr>
            <a:xfrm>
              <a:off x="10163175" y="6858000"/>
              <a:ext cx="1809750" cy="251950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8AF439B-0463-46E5-A815-DF20E6A737CC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cs typeface="Calibri"/>
                </a:rPr>
                <a:pPr algn="ctr"/>
                <a:t>F[N] = 15009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2" name="Connettore 2 1">
            <a:extLst>
              <a:ext uri="{FF2B5EF4-FFF2-40B4-BE49-F238E27FC236}">
                <a16:creationId xmlns:a16="http://schemas.microsoft.com/office/drawing/2014/main" id="{3C0B7AE3-299D-4B52-85BD-21B86CD6FB63}"/>
              </a:ext>
            </a:extLst>
          </xdr:cNvPr>
          <xdr:cNvCxnSpPr/>
        </xdr:nvCxnSpPr>
        <xdr:spPr>
          <a:xfrm flipH="1">
            <a:off x="11845178" y="3563159"/>
            <a:ext cx="908965" cy="0"/>
          </a:xfrm>
          <a:prstGeom prst="straightConnector1">
            <a:avLst/>
          </a:prstGeom>
          <a:ln w="50800">
            <a:solidFill>
              <a:schemeClr val="accent2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E$95">
        <xdr:nvSpPr>
          <xdr:cNvPr id="27" name="CasellaDiTesto 26">
            <a:extLst>
              <a:ext uri="{FF2B5EF4-FFF2-40B4-BE49-F238E27FC236}">
                <a16:creationId xmlns:a16="http://schemas.microsoft.com/office/drawing/2014/main" id="{AA08499B-D65E-4FE6-B102-934499BB8B09}"/>
              </a:ext>
            </a:extLst>
          </xdr:cNvPr>
          <xdr:cNvSpPr txBox="1"/>
        </xdr:nvSpPr>
        <xdr:spPr>
          <a:xfrm>
            <a:off x="11819966" y="3180229"/>
            <a:ext cx="1576107" cy="289848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5914AB62-3799-4DA8-B7AF-9C52ED3238A9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l"/>
              <a:t>(FFS2 [N] = 155947)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  <xdr:cxnSp macro="">
        <xdr:nvCxnSpPr>
          <xdr:cNvPr id="28" name="Connettore 2 27">
            <a:extLst>
              <a:ext uri="{FF2B5EF4-FFF2-40B4-BE49-F238E27FC236}">
                <a16:creationId xmlns:a16="http://schemas.microsoft.com/office/drawing/2014/main" id="{F3B054BA-83F6-4AEE-958B-1116AAA96932}"/>
              </a:ext>
            </a:extLst>
          </xdr:cNvPr>
          <xdr:cNvCxnSpPr/>
        </xdr:nvCxnSpPr>
        <xdr:spPr>
          <a:xfrm>
            <a:off x="9462975" y="3553634"/>
            <a:ext cx="908964" cy="7596"/>
          </a:xfrm>
          <a:prstGeom prst="straightConnector1">
            <a:avLst/>
          </a:prstGeom>
          <a:ln w="50800">
            <a:solidFill>
              <a:schemeClr val="accent2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E$94">
        <xdr:nvSpPr>
          <xdr:cNvPr id="29" name="CasellaDiTesto 28">
            <a:extLst>
              <a:ext uri="{FF2B5EF4-FFF2-40B4-BE49-F238E27FC236}">
                <a16:creationId xmlns:a16="http://schemas.microsoft.com/office/drawing/2014/main" id="{F37B409E-CDBA-4E63-B894-0B4EAC4B2130}"/>
              </a:ext>
            </a:extLst>
          </xdr:cNvPr>
          <xdr:cNvSpPr txBox="1"/>
        </xdr:nvSpPr>
        <xdr:spPr>
          <a:xfrm>
            <a:off x="8896350" y="3213847"/>
            <a:ext cx="1456765" cy="248386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83995D8-1B05-4DD2-9EFC-90FEDC3FEB9B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r"/>
              <a:t>(FFS1 [N] = 140937)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0</xdr:rowOff>
    </xdr:from>
    <xdr:to>
      <xdr:col>15</xdr:col>
      <xdr:colOff>0</xdr:colOff>
      <xdr:row>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FC32C31-7EFA-4F6A-A0A9-11C329354E65}"/>
            </a:ext>
          </a:extLst>
        </xdr:cNvPr>
        <xdr:cNvSpPr txBox="1"/>
      </xdr:nvSpPr>
      <xdr:spPr>
        <a:xfrm>
          <a:off x="8496300" y="190500"/>
          <a:ext cx="5486400" cy="11430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u="sng"/>
            <a:t>INSTRUCTIONS:</a:t>
          </a:r>
        </a:p>
        <a:p>
          <a:r>
            <a:rPr lang="it-IT" sz="1200" b="0" u="none"/>
            <a:t>1) Compile the input</a:t>
          </a:r>
          <a:r>
            <a:rPr lang="it-IT" sz="1200" b="0" u="none" baseline="0"/>
            <a:t> data.</a:t>
          </a:r>
        </a:p>
        <a:p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Run the calculation through the dedicated button.</a:t>
          </a:r>
        </a:p>
        <a:p>
          <a:r>
            <a:rPr lang="it-IT" sz="12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Check the results.</a:t>
          </a:r>
          <a:endParaRPr lang="it-IT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590825</xdr:colOff>
      <xdr:row>22</xdr:row>
      <xdr:rowOff>19051</xdr:rowOff>
    </xdr:from>
    <xdr:to>
      <xdr:col>9</xdr:col>
      <xdr:colOff>232546</xdr:colOff>
      <xdr:row>23</xdr:row>
      <xdr:rowOff>36431</xdr:rowOff>
    </xdr:to>
    <xdr:sp macro="" textlink="'back_to_back-2'!#REF!">
      <xdr:nvSpPr>
        <xdr:cNvPr id="3" name="CasellaDiTesto 2">
          <a:extLst>
            <a:ext uri="{FF2B5EF4-FFF2-40B4-BE49-F238E27FC236}">
              <a16:creationId xmlns:a16="http://schemas.microsoft.com/office/drawing/2014/main" id="{8AD52A5A-530D-409E-9A4D-EA3B01C903A3}"/>
            </a:ext>
          </a:extLst>
        </xdr:cNvPr>
        <xdr:cNvSpPr txBox="1"/>
      </xdr:nvSpPr>
      <xdr:spPr>
        <a:xfrm>
          <a:off x="9772925" y="4705351"/>
          <a:ext cx="1470521" cy="24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BE0BEAF-9E30-4CDF-9260-C6E55A57F67A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#RIF!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16</xdr:col>
      <xdr:colOff>333650</xdr:colOff>
      <xdr:row>21</xdr:row>
      <xdr:rowOff>104776</xdr:rowOff>
    </xdr:from>
    <xdr:to>
      <xdr:col>18</xdr:col>
      <xdr:colOff>584971</xdr:colOff>
      <xdr:row>22</xdr:row>
      <xdr:rowOff>122156</xdr:rowOff>
    </xdr:to>
    <xdr:sp macro="" textlink="'back_to_back-2'!E42">
      <xdr:nvSpPr>
        <xdr:cNvPr id="4" name="CasellaDiTesto 3">
          <a:extLst>
            <a:ext uri="{FF2B5EF4-FFF2-40B4-BE49-F238E27FC236}">
              <a16:creationId xmlns:a16="http://schemas.microsoft.com/office/drawing/2014/main" id="{B75BD2F3-E93B-4081-B49F-94820E305627}"/>
            </a:ext>
          </a:extLst>
        </xdr:cNvPr>
        <xdr:cNvSpPr txBox="1"/>
      </xdr:nvSpPr>
      <xdr:spPr>
        <a:xfrm>
          <a:off x="15611750" y="4562476"/>
          <a:ext cx="1470521" cy="24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DAE4278-60BF-4364-8180-889867A9B9FC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p2s [barg] = 39.2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286025</xdr:colOff>
      <xdr:row>17</xdr:row>
      <xdr:rowOff>38101</xdr:rowOff>
    </xdr:from>
    <xdr:to>
      <xdr:col>10</xdr:col>
      <xdr:colOff>391930</xdr:colOff>
      <xdr:row>18</xdr:row>
      <xdr:rowOff>61406</xdr:rowOff>
    </xdr:to>
    <xdr:sp macro="" textlink="'back_to_back-2'!E99">
      <xdr:nvSpPr>
        <xdr:cNvPr id="7" name="CasellaDiTesto 6">
          <a:extLst>
            <a:ext uri="{FF2B5EF4-FFF2-40B4-BE49-F238E27FC236}">
              <a16:creationId xmlns:a16="http://schemas.microsoft.com/office/drawing/2014/main" id="{3F5E2CD2-5DAC-4845-8982-D085891597E1}"/>
            </a:ext>
          </a:extLst>
        </xdr:cNvPr>
        <xdr:cNvSpPr txBox="1"/>
      </xdr:nvSpPr>
      <xdr:spPr>
        <a:xfrm>
          <a:off x="11001650" y="3581401"/>
          <a:ext cx="1325105" cy="251905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4411BF2-2C1C-4DD4-B6A8-03865666BD91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psp1  [barg] = 9.8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14</xdr:col>
      <xdr:colOff>133625</xdr:colOff>
      <xdr:row>17</xdr:row>
      <xdr:rowOff>171451</xdr:rowOff>
    </xdr:from>
    <xdr:to>
      <xdr:col>16</xdr:col>
      <xdr:colOff>239530</xdr:colOff>
      <xdr:row>18</xdr:row>
      <xdr:rowOff>194756</xdr:rowOff>
    </xdr:to>
    <xdr:sp macro="" textlink="'back_to_back-2'!E125">
      <xdr:nvSpPr>
        <xdr:cNvPr id="8" name="CasellaDiTesto 7">
          <a:extLst>
            <a:ext uri="{FF2B5EF4-FFF2-40B4-BE49-F238E27FC236}">
              <a16:creationId xmlns:a16="http://schemas.microsoft.com/office/drawing/2014/main" id="{6D7DAF8C-5989-4BA4-ADD1-C8F9142ED960}"/>
            </a:ext>
          </a:extLst>
        </xdr:cNvPr>
        <xdr:cNvSpPr txBox="1"/>
      </xdr:nvSpPr>
      <xdr:spPr>
        <a:xfrm>
          <a:off x="14506850" y="3714751"/>
          <a:ext cx="1325105" cy="251905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D5AED2AD-3118-4D1B-A339-1A14229CA14C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r"/>
            <a:t>psp2  [barg] = 41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6</xdr:col>
      <xdr:colOff>1</xdr:colOff>
      <xdr:row>29</xdr:row>
      <xdr:rowOff>190499</xdr:rowOff>
    </xdr:from>
    <xdr:to>
      <xdr:col>20</xdr:col>
      <xdr:colOff>2</xdr:colOff>
      <xdr:row>65</xdr:row>
      <xdr:rowOff>190499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4BBCF676-1936-4094-9640-10143A4FC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66</xdr:row>
      <xdr:rowOff>0</xdr:rowOff>
    </xdr:from>
    <xdr:to>
      <xdr:col>20</xdr:col>
      <xdr:colOff>0</xdr:colOff>
      <xdr:row>117</xdr:row>
      <xdr:rowOff>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9F4107F-17D6-4F4F-ABFF-E8509EA609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257450</xdr:colOff>
      <xdr:row>21</xdr:row>
      <xdr:rowOff>95251</xdr:rowOff>
    </xdr:from>
    <xdr:to>
      <xdr:col>18</xdr:col>
      <xdr:colOff>363355</xdr:colOff>
      <xdr:row>22</xdr:row>
      <xdr:rowOff>118556</xdr:rowOff>
    </xdr:to>
    <xdr:sp macro="" textlink="'back_to_back-2'!E42">
      <xdr:nvSpPr>
        <xdr:cNvPr id="27" name="CasellaDiTesto 26">
          <a:extLst>
            <a:ext uri="{FF2B5EF4-FFF2-40B4-BE49-F238E27FC236}">
              <a16:creationId xmlns:a16="http://schemas.microsoft.com/office/drawing/2014/main" id="{A037F9D1-9084-4294-BF03-5BB7534647A1}"/>
            </a:ext>
          </a:extLst>
        </xdr:cNvPr>
        <xdr:cNvSpPr txBox="1"/>
      </xdr:nvSpPr>
      <xdr:spPr>
        <a:xfrm>
          <a:off x="14849750" y="4552951"/>
          <a:ext cx="1325105" cy="2519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D551787-C013-4890-8AF9-3CDE5AAF8DD7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p2s [barg] = 39.2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190500</xdr:rowOff>
        </xdr:from>
        <xdr:to>
          <xdr:col>20</xdr:col>
          <xdr:colOff>0</xdr:colOff>
          <xdr:row>5</xdr:row>
          <xdr:rowOff>0</xdr:rowOff>
        </xdr:to>
        <xdr:sp macro="" textlink="">
          <xdr:nvSpPr>
            <xdr:cNvPr id="6147" name="CommandButton1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</xdr:colOff>
      <xdr:row>8</xdr:row>
      <xdr:rowOff>0</xdr:rowOff>
    </xdr:from>
    <xdr:to>
      <xdr:col>20</xdr:col>
      <xdr:colOff>1</xdr:colOff>
      <xdr:row>30</xdr:row>
      <xdr:rowOff>0</xdr:rowOff>
    </xdr:to>
    <xdr:grpSp>
      <xdr:nvGrpSpPr>
        <xdr:cNvPr id="54" name="Gruppo 53">
          <a:extLst>
            <a:ext uri="{FF2B5EF4-FFF2-40B4-BE49-F238E27FC236}">
              <a16:creationId xmlns:a16="http://schemas.microsoft.com/office/drawing/2014/main" id="{EAA05C15-567E-5C4C-B152-C5203DABBE8D}"/>
            </a:ext>
          </a:extLst>
        </xdr:cNvPr>
        <xdr:cNvGrpSpPr/>
      </xdr:nvGrpSpPr>
      <xdr:grpSpPr>
        <a:xfrm>
          <a:off x="8867776" y="1524000"/>
          <a:ext cx="8534400" cy="4876800"/>
          <a:chOff x="10125076" y="1524000"/>
          <a:chExt cx="8534400" cy="4876800"/>
        </a:xfrm>
      </xdr:grpSpPr>
      <xdr:grpSp>
        <xdr:nvGrpSpPr>
          <xdr:cNvPr id="51" name="Gruppo 50">
            <a:extLst>
              <a:ext uri="{FF2B5EF4-FFF2-40B4-BE49-F238E27FC236}">
                <a16:creationId xmlns:a16="http://schemas.microsoft.com/office/drawing/2014/main" id="{7CFBAD34-513D-BFF5-C533-0BF7BDF6739C}"/>
              </a:ext>
            </a:extLst>
          </xdr:cNvPr>
          <xdr:cNvGrpSpPr/>
        </xdr:nvGrpSpPr>
        <xdr:grpSpPr>
          <a:xfrm>
            <a:off x="10125076" y="1524000"/>
            <a:ext cx="8534400" cy="4876800"/>
            <a:chOff x="10125076" y="1524000"/>
            <a:chExt cx="8534400" cy="4876800"/>
          </a:xfrm>
        </xdr:grpSpPr>
        <xdr:grpSp>
          <xdr:nvGrpSpPr>
            <xdr:cNvPr id="40" name="Gruppo 39">
              <a:extLst>
                <a:ext uri="{FF2B5EF4-FFF2-40B4-BE49-F238E27FC236}">
                  <a16:creationId xmlns:a16="http://schemas.microsoft.com/office/drawing/2014/main" id="{A1AEED8C-95DF-AD85-695E-DAA492C79435}"/>
                </a:ext>
              </a:extLst>
            </xdr:cNvPr>
            <xdr:cNvGrpSpPr/>
          </xdr:nvGrpSpPr>
          <xdr:grpSpPr>
            <a:xfrm>
              <a:off x="10125076" y="1524000"/>
              <a:ext cx="8534400" cy="4876800"/>
              <a:chOff x="10118913" y="1524000"/>
              <a:chExt cx="8471647" cy="4796118"/>
            </a:xfrm>
          </xdr:grpSpPr>
          <xdr:grpSp>
            <xdr:nvGrpSpPr>
              <xdr:cNvPr id="31" name="Gruppo 30">
                <a:extLst>
                  <a:ext uri="{FF2B5EF4-FFF2-40B4-BE49-F238E27FC236}">
                    <a16:creationId xmlns:a16="http://schemas.microsoft.com/office/drawing/2014/main" id="{FA4E7E53-2929-6612-C99B-E45EB7741779}"/>
                  </a:ext>
                </a:extLst>
              </xdr:cNvPr>
              <xdr:cNvGrpSpPr/>
            </xdr:nvGrpSpPr>
            <xdr:grpSpPr>
              <a:xfrm>
                <a:off x="10118913" y="1524000"/>
                <a:ext cx="8471647" cy="4796118"/>
                <a:chOff x="8482854" y="1524000"/>
                <a:chExt cx="8471647" cy="4796118"/>
              </a:xfrm>
            </xdr:grpSpPr>
            <xdr:grpSp>
              <xdr:nvGrpSpPr>
                <xdr:cNvPr id="18" name="Gruppo 17">
                  <a:extLst>
                    <a:ext uri="{FF2B5EF4-FFF2-40B4-BE49-F238E27FC236}">
                      <a16:creationId xmlns:a16="http://schemas.microsoft.com/office/drawing/2014/main" id="{AFCDED6C-4F37-F55D-3927-385FC3BE0B96}"/>
                    </a:ext>
                  </a:extLst>
                </xdr:cNvPr>
                <xdr:cNvGrpSpPr/>
              </xdr:nvGrpSpPr>
              <xdr:grpSpPr>
                <a:xfrm>
                  <a:off x="8482854" y="1524000"/>
                  <a:ext cx="8471647" cy="4796118"/>
                  <a:chOff x="8525150" y="1143001"/>
                  <a:chExt cx="8505550" cy="4914899"/>
                </a:xfrm>
              </xdr:grpSpPr>
              <xdr:grpSp>
                <xdr:nvGrpSpPr>
                  <xdr:cNvPr id="37" name="Gruppo 36">
                    <a:extLst>
                      <a:ext uri="{FF2B5EF4-FFF2-40B4-BE49-F238E27FC236}">
                        <a16:creationId xmlns:a16="http://schemas.microsoft.com/office/drawing/2014/main" id="{1E535457-EB2D-8911-A616-60AD2A9DC0A4}"/>
                      </a:ext>
                    </a:extLst>
                  </xdr:cNvPr>
                  <xdr:cNvGrpSpPr/>
                </xdr:nvGrpSpPr>
                <xdr:grpSpPr>
                  <a:xfrm>
                    <a:off x="8525150" y="1143001"/>
                    <a:ext cx="8505550" cy="4914899"/>
                    <a:chOff x="8986631" y="1159565"/>
                    <a:chExt cx="8164913" cy="4680000"/>
                  </a:xfrm>
                </xdr:grpSpPr>
                <xdr:grpSp>
                  <xdr:nvGrpSpPr>
                    <xdr:cNvPr id="33" name="Gruppo 32">
                      <a:extLst>
                        <a:ext uri="{FF2B5EF4-FFF2-40B4-BE49-F238E27FC236}">
                          <a16:creationId xmlns:a16="http://schemas.microsoft.com/office/drawing/2014/main" id="{81A1C96E-9B77-1072-4E64-FB5C98A5CD9F}"/>
                        </a:ext>
                      </a:extLst>
                    </xdr:cNvPr>
                    <xdr:cNvGrpSpPr/>
                  </xdr:nvGrpSpPr>
                  <xdr:grpSpPr>
                    <a:xfrm>
                      <a:off x="8986631" y="1159565"/>
                      <a:ext cx="8164913" cy="4680000"/>
                      <a:chOff x="8986631" y="1159565"/>
                      <a:chExt cx="8164913" cy="4680000"/>
                    </a:xfrm>
                  </xdr:grpSpPr>
                  <xdr:pic>
                    <xdr:nvPicPr>
                      <xdr:cNvPr id="32" name="Immagine 31">
                        <a:extLst>
                          <a:ext uri="{FF2B5EF4-FFF2-40B4-BE49-F238E27FC236}">
                            <a16:creationId xmlns:a16="http://schemas.microsoft.com/office/drawing/2014/main" id="{AE33E5EF-F826-2F8A-5C9C-BA60CF2D86F3}"/>
                          </a:ext>
                        </a:extLst>
                      </xdr:cNvPr>
                      <xdr:cNvPicPr>
                        <a:picLocks noChangeAspect="1" noChangeArrowheads="1"/>
                      </xdr:cNvPicPr>
                    </xdr:nvPicPr>
                    <xdr:blipFill>
                      <a:blip xmlns:r="http://schemas.openxmlformats.org/officeDocument/2006/relationships" r:embed="rId3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rcRect/>
                      <a:stretch>
                        <a:fillRect/>
                      </a:stretch>
                    </xdr:blipFill>
                    <xdr:spPr bwMode="auto">
                      <a:xfrm>
                        <a:off x="8986631" y="1159565"/>
                        <a:ext cx="8164913" cy="4680000"/>
                      </a:xfrm>
                      <a:prstGeom prst="rect">
                        <a:avLst/>
                      </a:prstGeom>
                      <a:noFill/>
                      <a:ln>
                        <a:solidFill>
                          <a:schemeClr val="accent1"/>
                        </a:solidFill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solidFill>
                              <a:srgbClr val="FFFFFF"/>
                            </a:solidFill>
                          </a14:hiddenFill>
                        </a:ext>
                      </a:extLst>
                    </xdr:spPr>
                  </xdr:pic>
                  <xdr:grpSp>
                    <xdr:nvGrpSpPr>
                      <xdr:cNvPr id="12" name="Gruppo 11">
                        <a:extLst>
                          <a:ext uri="{FF2B5EF4-FFF2-40B4-BE49-F238E27FC236}">
                            <a16:creationId xmlns:a16="http://schemas.microsoft.com/office/drawing/2014/main" id="{E16E7C04-870E-3ADA-A7A3-6E025245E54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0287982" y="1196245"/>
                        <a:ext cx="6692463" cy="4568451"/>
                        <a:chOff x="9977382" y="6039282"/>
                        <a:chExt cx="6611402" cy="4482526"/>
                      </a:xfrm>
                    </xdr:grpSpPr>
                    <xdr:grpSp>
                      <xdr:nvGrpSpPr>
                        <xdr:cNvPr id="24" name="Gruppo 23">
                          <a:extLst>
                            <a:ext uri="{FF2B5EF4-FFF2-40B4-BE49-F238E27FC236}">
                              <a16:creationId xmlns:a16="http://schemas.microsoft.com/office/drawing/2014/main" id="{1636FAEA-C8F5-C793-A47D-7B640AE253B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977382" y="6039282"/>
                          <a:ext cx="6611402" cy="4482526"/>
                          <a:chOff x="9882132" y="6000248"/>
                          <a:chExt cx="6611402" cy="4519319"/>
                        </a:xfrm>
                      </xdr:grpSpPr>
                      <xdr:sp macro="" textlink="">
                        <xdr:nvSpPr>
                          <xdr:cNvPr id="13" name="CasellaDiTesto 12">
                            <a:extLst>
                              <a:ext uri="{FF2B5EF4-FFF2-40B4-BE49-F238E27FC236}">
                                <a16:creationId xmlns:a16="http://schemas.microsoft.com/office/drawing/2014/main" id="{174497D8-8B41-430C-B691-1C209172F03F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9882132" y="6000248"/>
                            <a:ext cx="1552575" cy="26121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ctr"/>
                            <a:r>
                              <a:rPr lang="en-US" sz="1100" b="0" i="0" u="none" strike="noStrike">
                                <a:solidFill>
                                  <a:schemeClr val="tx1"/>
                                </a:solidFill>
                                <a:latin typeface="Calibri"/>
                                <a:cs typeface="Calibri"/>
                              </a:rPr>
                              <a:t>Intermediate stage</a:t>
                            </a:r>
                          </a:p>
                        </xdr:txBody>
                      </xdr:sp>
                      <xdr:sp macro="" textlink="">
                        <xdr:nvSpPr>
                          <xdr:cNvPr id="14" name="CasellaDiTesto 13">
                            <a:extLst>
                              <a:ext uri="{FF2B5EF4-FFF2-40B4-BE49-F238E27FC236}">
                                <a16:creationId xmlns:a16="http://schemas.microsoft.com/office/drawing/2014/main" id="{929DC781-863D-E83A-9C7E-83AF04447C85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3604075" y="6010214"/>
                            <a:ext cx="996089" cy="26121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ctr"/>
                            <a:r>
                              <a:rPr lang="en-US" sz="1100" b="0" i="0" u="none" strike="noStrike">
                                <a:solidFill>
                                  <a:schemeClr val="tx1"/>
                                </a:solidFill>
                                <a:latin typeface="Calibri"/>
                                <a:cs typeface="Calibri"/>
                              </a:rPr>
                              <a:t>Last stage</a:t>
                            </a:r>
                          </a:p>
                        </xdr:txBody>
                      </xdr:sp>
                      <xdr:sp macro="" textlink="'back_to_back-2'!E63">
                        <xdr:nvSpPr>
                          <xdr:cNvPr id="11" name="CasellaDiTesto 10">
                            <a:extLst>
                              <a:ext uri="{FF2B5EF4-FFF2-40B4-BE49-F238E27FC236}">
                                <a16:creationId xmlns:a16="http://schemas.microsoft.com/office/drawing/2014/main" id="{0E57B681-E6E8-47C9-BF88-A3EBAF484BF6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1816744" y="8798191"/>
                            <a:ext cx="1256629" cy="23535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l"/>
                            <a:fld id="{71741893-0D72-4919-A1F4-03A209151011}" type="TxLink">
                              <a:rPr lang="en-US" sz="1100" b="0" i="0" u="none" strike="noStrike">
                                <a:solidFill>
                                  <a:schemeClr val="accent3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l"/>
                              <a:t>∆pcb [bar] = 33.2</a:t>
                            </a:fld>
                            <a:endParaRPr lang="it-IT" sz="1100">
                              <a:solidFill>
                                <a:schemeClr val="accent3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  <xdr:sp macro="" textlink="'back_to_back-2'!E71">
                        <xdr:nvSpPr>
                          <xdr:cNvPr id="15" name="CasellaDiTesto 14">
                            <a:extLst>
                              <a:ext uri="{FF2B5EF4-FFF2-40B4-BE49-F238E27FC236}">
                                <a16:creationId xmlns:a16="http://schemas.microsoft.com/office/drawing/2014/main" id="{3C14EF29-8BEB-4D23-9313-423FC589FAFD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1857118" y="6626971"/>
                            <a:ext cx="1667710" cy="235354"/>
                          </a:xfrm>
                          <a:prstGeom prst="rect">
                            <a:avLst/>
                          </a:prstGeom>
                          <a:solidFill>
                            <a:sysClr val="window" lastClr="FFFFFF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FE9A7552-6C18-4381-8093-10A68CCD8C5B}" type="TxLink">
                              <a:rPr lang="en-US" sz="1100" b="0" i="0" u="none" strike="noStrike">
                                <a:solidFill>
                                  <a:schemeClr val="tx2"/>
                                </a:solidFill>
                                <a:latin typeface="Calibri"/>
                                <a:cs typeface="Calibri"/>
                              </a:rPr>
                              <a:pPr algn="r"/>
                              <a:t>Qcb [m3/h] = 13.1</a:t>
                            </a:fld>
                            <a:endParaRPr lang="it-IT" sz="1100">
                              <a:solidFill>
                                <a:schemeClr val="tx2"/>
                              </a:solidFill>
                            </a:endParaRPr>
                          </a:p>
                        </xdr:txBody>
                      </xdr:sp>
                      <xdr:sp macro="" textlink="'back_to_back-2'!E15">
                        <xdr:nvSpPr>
                          <xdr:cNvPr id="16" name="CasellaDiTesto 15">
                            <a:extLst>
                              <a:ext uri="{FF2B5EF4-FFF2-40B4-BE49-F238E27FC236}">
                                <a16:creationId xmlns:a16="http://schemas.microsoft.com/office/drawing/2014/main" id="{F79B0BBC-0586-4354-BE5B-381383FD0675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1740975" y="7167095"/>
                            <a:ext cx="1256629" cy="235354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ctr"/>
                            <a:fld id="{CFC32A9B-B551-4266-B1C5-4B3A0B8F897D}" type="TxLink">
                              <a:rPr lang="en-US" sz="1100" b="0" i="0" u="none" strike="noStrike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ctr"/>
                              <a:t>Lcb [mm] = 50</a:t>
                            </a:fld>
                            <a:endParaRPr lang="it-IT" sz="1100">
                              <a:solidFill>
                                <a:schemeClr val="accent6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  <xdr:sp macro="" textlink="'back_to_back-2'!E10">
                        <xdr:nvSpPr>
                          <xdr:cNvPr id="17" name="CasellaDiTesto 16">
                            <a:extLst>
                              <a:ext uri="{FF2B5EF4-FFF2-40B4-BE49-F238E27FC236}">
                                <a16:creationId xmlns:a16="http://schemas.microsoft.com/office/drawing/2014/main" id="{20671BAF-D41D-4C3D-BE12-DA8D1F32DEDD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6200000">
                            <a:off x="15124539" y="9721462"/>
                            <a:ext cx="1256629" cy="235354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l"/>
                            <a:fld id="{4742027E-5908-4040-B80F-6225983BA0EB}" type="TxLink">
                              <a:rPr lang="en-US" sz="1100" b="0" i="0" u="none" strike="noStrike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l"/>
                              <a:t>Dcb [mm] = 120</a:t>
                            </a:fld>
                            <a:endParaRPr lang="it-IT" sz="1100">
                              <a:solidFill>
                                <a:schemeClr val="accent6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  <xdr:sp macro="" textlink="'back_to_back-2'!E12">
                        <xdr:nvSpPr>
                          <xdr:cNvPr id="19" name="CasellaDiTesto 18">
                            <a:extLst>
                              <a:ext uri="{FF2B5EF4-FFF2-40B4-BE49-F238E27FC236}">
                                <a16:creationId xmlns:a16="http://schemas.microsoft.com/office/drawing/2014/main" id="{1050A2D4-F237-463E-92EA-A71DB22E520A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6200000">
                            <a:off x="14533490" y="9758017"/>
                            <a:ext cx="1256629" cy="235354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l"/>
                            <a:fld id="{02A89E98-4D79-46FA-89E8-31D524E6D39E}" type="TxLink">
                              <a:rPr lang="en-US" sz="1100" b="0" i="0" u="none" strike="noStrike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l"/>
                              <a:t>Dhub [mm] = 80</a:t>
                            </a:fld>
                            <a:endParaRPr lang="it-IT" sz="1100">
                              <a:solidFill>
                                <a:schemeClr val="accent6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  <xdr:sp macro="" textlink="'back_to_back-2'!E9">
                        <xdr:nvSpPr>
                          <xdr:cNvPr id="20" name="CasellaDiTesto 19">
                            <a:extLst>
                              <a:ext uri="{FF2B5EF4-FFF2-40B4-BE49-F238E27FC236}">
                                <a16:creationId xmlns:a16="http://schemas.microsoft.com/office/drawing/2014/main" id="{4411A059-6090-439E-83A3-2CE609256C9A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6200000">
                            <a:off x="15747542" y="9773576"/>
                            <a:ext cx="1256629" cy="235354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l"/>
                            <a:fld id="{DB5DA870-7BB9-4569-99E5-AF24FC7C8D30}" type="TxLink">
                              <a:rPr lang="en-US" sz="1100" b="0" i="0" u="none" strike="noStrike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l"/>
                              <a:t>D2 [mm] = 400</a:t>
                            </a:fld>
                            <a:endParaRPr lang="it-IT" sz="1100">
                              <a:solidFill>
                                <a:schemeClr val="accent6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  <xdr:sp macro="" textlink="'back_to_back-2'!E14">
                        <xdr:nvSpPr>
                          <xdr:cNvPr id="21" name="CasellaDiTesto 20">
                            <a:extLst>
                              <a:ext uri="{FF2B5EF4-FFF2-40B4-BE49-F238E27FC236}">
                                <a16:creationId xmlns:a16="http://schemas.microsoft.com/office/drawing/2014/main" id="{C8895ECE-F0D8-43A9-B562-C24BE6E65C7E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6200000">
                            <a:off x="15145803" y="8136821"/>
                            <a:ext cx="1256629" cy="23535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l"/>
                            <a:fld id="{EBB6587C-3C7C-4F60-B0F6-87C4BFE15B61}" type="TxLink">
                              <a:rPr lang="en-US" sz="1100" b="0" i="0" u="none" strike="noStrike">
                                <a:solidFill>
                                  <a:schemeClr val="accent6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l"/>
                              <a:t>ssp [mm] = 0.2</a:t>
                            </a:fld>
                            <a:endParaRPr lang="it-IT" sz="1100">
                              <a:solidFill>
                                <a:schemeClr val="accent6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  <xdr:sp macro="" textlink="'back_to_back-2'!E72">
                        <xdr:nvSpPr>
                          <xdr:cNvPr id="22" name="CasellaDiTesto 21">
                            <a:extLst>
                              <a:ext uri="{FF2B5EF4-FFF2-40B4-BE49-F238E27FC236}">
                                <a16:creationId xmlns:a16="http://schemas.microsoft.com/office/drawing/2014/main" id="{7B650A46-4526-4E30-B1CC-86E0BFB30209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228756" y="8563624"/>
                            <a:ext cx="1256629" cy="23535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D1B35919-E116-48E3-9213-DF8F719ED400}" type="TxLink">
                              <a:rPr lang="en-US" sz="1100" b="0" i="0" u="none" strike="noStrike">
                                <a:solidFill>
                                  <a:schemeClr val="accent3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r"/>
                              <a:t>pcb  [barg] = 40.5</a:t>
                            </a:fld>
                            <a:endParaRPr lang="it-IT" sz="1100">
                              <a:solidFill>
                                <a:schemeClr val="accent3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  <xdr:sp macro="" textlink="'back_to_back-2'!E73">
                        <xdr:nvSpPr>
                          <xdr:cNvPr id="23" name="CasellaDiTesto 22">
                            <a:extLst>
                              <a:ext uri="{FF2B5EF4-FFF2-40B4-BE49-F238E27FC236}">
                                <a16:creationId xmlns:a16="http://schemas.microsoft.com/office/drawing/2014/main" id="{3112B4DB-7F6D-4296-9FE0-FFF758B3A8EB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1223869" y="8419391"/>
                            <a:ext cx="1394530" cy="23535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l"/>
                            <a:fld id="{AB82D807-FE25-40A1-AE60-F6836478C4CF}" type="TxLink">
                              <a:rPr lang="en-US" sz="1100" b="0" i="0" u="none" strike="noStrike">
                                <a:solidFill>
                                  <a:schemeClr val="accent3">
                                    <a:lumMod val="75000"/>
                                  </a:schemeClr>
                                </a:solidFill>
                                <a:latin typeface="Calibri"/>
                                <a:cs typeface="Calibri"/>
                              </a:rPr>
                              <a:pPr algn="l"/>
                              <a:t>p*cb  [barg] = 7.3</a:t>
                            </a:fld>
                            <a:endParaRPr lang="it-IT" sz="1100">
                              <a:solidFill>
                                <a:schemeClr val="accent3">
                                  <a:lumMod val="75000"/>
                                </a:schemeClr>
                              </a:solidFill>
                            </a:endParaRPr>
                          </a:p>
                        </xdr:txBody>
                      </xdr:sp>
                    </xdr:grpSp>
                    <xdr:sp macro="" textlink="'back_to_back-2'!E43">
                      <xdr:nvSpPr>
                        <xdr:cNvPr id="25" name="CasellaDiTesto 24">
                          <a:extLst>
                            <a:ext uri="{FF2B5EF4-FFF2-40B4-BE49-F238E27FC236}">
                              <a16:creationId xmlns:a16="http://schemas.microsoft.com/office/drawing/2014/main" id="{86B70290-9934-4725-8A81-04FA6F9F6D15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0703314" y="6583148"/>
                          <a:ext cx="1256629" cy="235354"/>
                        </a:xfrm>
                        <a:prstGeom prst="rect">
                          <a:avLst/>
                        </a:prstGeom>
                        <a:solidFill>
                          <a:sysClr val="window" lastClr="FFFFFF"/>
                        </a:solidFill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l"/>
                          <a:fld id="{E33A1664-D071-4286-826F-4A19D016049A}" type="TxLink">
                            <a:rPr lang="en-US" sz="1100" b="0" i="0" u="none" strike="noStrike">
                              <a:solidFill>
                                <a:schemeClr val="accent3">
                                  <a:lumMod val="75000"/>
                                </a:schemeClr>
                              </a:solidFill>
                              <a:latin typeface="Calibri"/>
                              <a:cs typeface="Calibri"/>
                            </a:rPr>
                            <a:pPr algn="l"/>
                            <a:t>p1 [barg] = 10.9</a:t>
                          </a:fld>
                          <a:endParaRPr lang="it-IT" sz="1100">
                            <a:solidFill>
                              <a:schemeClr val="accent3">
                                <a:lumMod val="75000"/>
                              </a:schemeClr>
                            </a:solidFill>
                          </a:endParaRPr>
                        </a:p>
                      </xdr:txBody>
                    </xdr:sp>
                    <xdr:sp macro="" textlink="'back_to_back-2'!E44">
                      <xdr:nvSpPr>
                        <xdr:cNvPr id="26" name="CasellaDiTesto 25">
                          <a:extLst>
                            <a:ext uri="{FF2B5EF4-FFF2-40B4-BE49-F238E27FC236}">
                              <a16:creationId xmlns:a16="http://schemas.microsoft.com/office/drawing/2014/main" id="{79EFF33B-4C51-4F50-9A78-18FE4858E78C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133320" y="6426247"/>
                          <a:ext cx="1256629" cy="235354"/>
                        </a:xfrm>
                        <a:prstGeom prst="rect">
                          <a:avLst/>
                        </a:prstGeom>
                        <a:solidFill>
                          <a:sysClr val="window" lastClr="FFFFFF"/>
                        </a:solidFill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l"/>
                          <a:fld id="{11C9DF8B-C766-4C3A-8B72-DB3E2D941615}" type="TxLink">
                            <a:rPr lang="en-US" sz="1100" b="0" i="0" u="none" strike="noStrike">
                              <a:solidFill>
                                <a:schemeClr val="accent3">
                                  <a:lumMod val="75000"/>
                                </a:schemeClr>
                              </a:solidFill>
                              <a:latin typeface="Calibri"/>
                              <a:cs typeface="Calibri"/>
                            </a:rPr>
                            <a:pPr algn="l"/>
                            <a:t>p2 [barg] = 42.2</a:t>
                          </a:fld>
                          <a:endParaRPr lang="it-IT" sz="1100">
                            <a:solidFill>
                              <a:schemeClr val="accent3">
                                <a:lumMod val="75000"/>
                              </a:schemeClr>
                            </a:solidFill>
                          </a:endParaRPr>
                        </a:p>
                      </xdr:txBody>
                    </xdr:sp>
                  </xdr:grpSp>
                  <xdr:sp macro="" textlink="'back_to_back-2'!E11">
                    <xdr:nvSpPr>
                      <xdr:cNvPr id="30" name="CasellaDiTesto 29">
                        <a:extLst>
                          <a:ext uri="{FF2B5EF4-FFF2-40B4-BE49-F238E27FC236}">
                            <a16:creationId xmlns:a16="http://schemas.microsoft.com/office/drawing/2014/main" id="{16726BF1-1CFB-4937-AE3F-D39A84DCF299}"/>
                          </a:ext>
                        </a:extLst>
                      </xdr:cNvPr>
                      <xdr:cNvSpPr txBox="1"/>
                    </xdr:nvSpPr>
                    <xdr:spPr>
                      <a:xfrm rot="16200000">
                        <a:off x="8664855" y="4957966"/>
                        <a:ext cx="1299126" cy="295277"/>
                      </a:xfrm>
                      <a:prstGeom prst="rect">
                        <a:avLst/>
                      </a:prstGeom>
                      <a:solidFill>
                        <a:schemeClr val="bg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fld id="{50231407-E570-4FA7-8B16-7DFB45A67DB0}" type="TxLink">
                          <a:rPr lang="en-US" sz="1100" b="0" i="0" u="none" strike="noStrike">
                            <a:solidFill>
                              <a:schemeClr val="accent6">
                                <a:lumMod val="75000"/>
                              </a:schemeClr>
                            </a:solidFill>
                            <a:latin typeface="Calibri"/>
                            <a:cs typeface="Calibri"/>
                          </a:rPr>
                          <a:pPr algn="l"/>
                          <a:t>Dsp [mm] = 250</a:t>
                        </a:fld>
                        <a:endParaRPr lang="it-IT" sz="1100">
                          <a:solidFill>
                            <a:schemeClr val="accent6">
                              <a:lumMod val="75000"/>
                            </a:schemeClr>
                          </a:solidFill>
                        </a:endParaRPr>
                      </a:p>
                    </xdr:txBody>
                  </xdr:sp>
                </xdr:grpSp>
                <xdr:sp macro="" textlink="'back_to_back-2'!E14">
                  <xdr:nvSpPr>
                    <xdr:cNvPr id="35" name="CasellaDiTesto 34">
                      <a:extLst>
                        <a:ext uri="{FF2B5EF4-FFF2-40B4-BE49-F238E27FC236}">
                          <a16:creationId xmlns:a16="http://schemas.microsoft.com/office/drawing/2014/main" id="{0674BD0A-370A-484E-8A10-2E718709E001}"/>
                        </a:ext>
                      </a:extLst>
                    </xdr:cNvPr>
                    <xdr:cNvSpPr txBox="1"/>
                  </xdr:nvSpPr>
                  <xdr:spPr>
                    <a:xfrm rot="16200000">
                      <a:off x="8716944" y="3104751"/>
                      <a:ext cx="1206364" cy="289886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r"/>
                      <a:fld id="{6FF12BEF-4D99-46CA-9222-F3E958E07A7D}" type="TxLink">
                        <a:rPr lang="en-US" sz="1100" b="0" i="0" u="none" strike="noStrike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r"/>
                        <a:t>ssp [mm] = 0.2</a:t>
                      </a:fld>
                      <a:endParaRPr lang="it-IT" sz="1100">
                        <a:solidFill>
                          <a:schemeClr val="accent6">
                            <a:lumMod val="75000"/>
                          </a:schemeClr>
                        </a:solidFill>
                      </a:endParaRPr>
                    </a:p>
                  </xdr:txBody>
                </xdr:sp>
                <xdr:sp macro="" textlink="'back_to_back-2'!E16">
                  <xdr:nvSpPr>
                    <xdr:cNvPr id="36" name="CasellaDiTesto 35">
                      <a:extLst>
                        <a:ext uri="{FF2B5EF4-FFF2-40B4-BE49-F238E27FC236}">
                          <a16:creationId xmlns:a16="http://schemas.microsoft.com/office/drawing/2014/main" id="{9DEB879C-5212-4F84-9F3C-EEB6F40FDE95}"/>
                        </a:ext>
                      </a:extLst>
                    </xdr:cNvPr>
                    <xdr:cNvSpPr txBox="1"/>
                  </xdr:nvSpPr>
                  <xdr:spPr>
                    <a:xfrm>
                      <a:off x="9014441" y="1493200"/>
                      <a:ext cx="1206364" cy="28988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pPr algn="l"/>
                      <a:fld id="{EBE82597-CFE4-46A3-A17B-FE722F653BB2}" type="TxLink">
                        <a:rPr lang="en-US" sz="1100" b="0" i="0" u="none" strike="noStrike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Calibri"/>
                          <a:cs typeface="Calibri"/>
                        </a:rPr>
                        <a:pPr algn="l"/>
                        <a:t>Lsp [mm] = 25</a:t>
                      </a:fld>
                      <a:endParaRPr lang="it-IT" sz="1100">
                        <a:solidFill>
                          <a:schemeClr val="accent6">
                            <a:lumMod val="75000"/>
                          </a:schemeClr>
                        </a:solidFill>
                      </a:endParaRPr>
                    </a:p>
                  </xdr:txBody>
                </xdr:sp>
              </xdr:grpSp>
              <xdr:sp macro="" textlink="'back_to_back-2'!E98">
                <xdr:nvSpPr>
                  <xdr:cNvPr id="5" name="CasellaDiTesto 4">
                    <a:extLst>
                      <a:ext uri="{FF2B5EF4-FFF2-40B4-BE49-F238E27FC236}">
                        <a16:creationId xmlns:a16="http://schemas.microsoft.com/office/drawing/2014/main" id="{774C71B1-B4AF-4B3C-92DA-A3681A7D30BD}"/>
                      </a:ext>
                    </a:extLst>
                  </xdr:cNvPr>
                  <xdr:cNvSpPr txBox="1"/>
                </xdr:nvSpPr>
                <xdr:spPr>
                  <a:xfrm>
                    <a:off x="8839475" y="1971676"/>
                    <a:ext cx="1325105" cy="249854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r"/>
                    <a:fld id="{A5573F64-2CAD-4E02-9B1E-57A36E66D931}" type="TxLink">
                      <a:rPr lang="en-US" sz="1100" b="0" i="0" u="none" strike="noStrike">
                        <a:solidFill>
                          <a:schemeClr val="tx2"/>
                        </a:solidFill>
                        <a:latin typeface="Calibri"/>
                        <a:cs typeface="Calibri"/>
                      </a:rPr>
                      <a:pPr algn="r"/>
                      <a:t>Qsp1 [m3/h] = 10.8</a:t>
                    </a:fld>
                    <a:endParaRPr lang="it-IT" sz="1100">
                      <a:solidFill>
                        <a:schemeClr val="tx2"/>
                      </a:solidFill>
                    </a:endParaRPr>
                  </a:p>
                </xdr:txBody>
              </xdr:sp>
              <xdr:sp macro="" textlink="'back_to_back-2'!E124">
                <xdr:nvSpPr>
                  <xdr:cNvPr id="6" name="CasellaDiTesto 5">
                    <a:extLst>
                      <a:ext uri="{FF2B5EF4-FFF2-40B4-BE49-F238E27FC236}">
                        <a16:creationId xmlns:a16="http://schemas.microsoft.com/office/drawing/2014/main" id="{71B3BEE7-5E85-4DBA-ABB4-2D9272DF49B1}"/>
                      </a:ext>
                    </a:extLst>
                  </xdr:cNvPr>
                  <xdr:cNvSpPr txBox="1"/>
                </xdr:nvSpPr>
                <xdr:spPr>
                  <a:xfrm>
                    <a:off x="14735658" y="1921148"/>
                    <a:ext cx="1325105" cy="249854"/>
                  </a:xfrm>
                  <a:prstGeom prst="rect">
                    <a:avLst/>
                  </a:prstGeom>
                  <a:solidFill>
                    <a:sysClr val="window" lastClr="FFFFFF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l"/>
                    <a:fld id="{95EB4880-E348-43BB-951E-06E9645126BA}" type="TxLink">
                      <a:rPr lang="en-US" sz="1100" b="0" i="0" u="none" strike="noStrike">
                        <a:solidFill>
                          <a:schemeClr val="tx2"/>
                        </a:solidFill>
                        <a:latin typeface="Calibri"/>
                        <a:cs typeface="Calibri"/>
                      </a:rPr>
                      <a:pPr algn="l"/>
                      <a:t>Qsp2 [m3/h] = 1.8</a:t>
                    </a:fld>
                    <a:endParaRPr lang="it-IT" sz="1100">
                      <a:solidFill>
                        <a:schemeClr val="tx2"/>
                      </a:solidFill>
                    </a:endParaRPr>
                  </a:p>
                </xdr:txBody>
              </xdr:sp>
            </xdr:grpSp>
            <xdr:cxnSp macro="">
              <xdr:nvCxnSpPr>
                <xdr:cNvPr id="28" name="Connettore 2 27">
                  <a:extLst>
                    <a:ext uri="{FF2B5EF4-FFF2-40B4-BE49-F238E27FC236}">
                      <a16:creationId xmlns:a16="http://schemas.microsoft.com/office/drawing/2014/main" id="{5BCCFA91-E552-4B32-A387-530951A650AF}"/>
                    </a:ext>
                  </a:extLst>
                </xdr:cNvPr>
                <xdr:cNvCxnSpPr/>
              </xdr:nvCxnSpPr>
              <xdr:spPr>
                <a:xfrm flipH="1">
                  <a:off x="11659160" y="5823726"/>
                  <a:ext cx="1632705" cy="0"/>
                </a:xfrm>
                <a:prstGeom prst="straightConnector1">
                  <a:avLst/>
                </a:prstGeom>
                <a:ln w="50800">
                  <a:solidFill>
                    <a:schemeClr val="accent2">
                      <a:lumMod val="75000"/>
                    </a:schemeClr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'back_to_back-2'!E134">
              <xdr:nvSpPr>
                <xdr:cNvPr id="29" name="CasellaDiTesto 28">
                  <a:extLst>
                    <a:ext uri="{FF2B5EF4-FFF2-40B4-BE49-F238E27FC236}">
                      <a16:creationId xmlns:a16="http://schemas.microsoft.com/office/drawing/2014/main" id="{634892F9-2AAE-4422-BD0D-BECB3B42ED08}"/>
                    </a:ext>
                  </a:extLst>
                </xdr:cNvPr>
                <xdr:cNvSpPr txBox="1"/>
              </xdr:nvSpPr>
              <xdr:spPr>
                <a:xfrm>
                  <a:off x="11593537" y="5504330"/>
                  <a:ext cx="1786987" cy="247467"/>
                </a:xfrm>
                <a:prstGeom prst="rect">
                  <a:avLst/>
                </a:prstGeom>
                <a:solidFill>
                  <a:sysClr val="window" lastClr="FFFFFF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ctr"/>
                  <a:fld id="{DED779C5-E2F4-498D-B577-829EABB595BD}" type="TxLink">
                    <a:rPr lang="en-US" sz="1100" b="0" i="0" u="none" strike="noStrike">
                      <a:solidFill>
                        <a:schemeClr val="accent2">
                          <a:lumMod val="75000"/>
                        </a:schemeClr>
                      </a:solidFill>
                      <a:latin typeface="Calibri"/>
                      <a:cs typeface="Calibri"/>
                    </a:rPr>
                    <a:pPr algn="ctr"/>
                    <a:t>F[N] = 63612</a:t>
                  </a:fld>
                  <a:endParaRPr lang="it-IT" sz="1100">
                    <a:solidFill>
                      <a:schemeClr val="accent2">
                        <a:lumMod val="75000"/>
                      </a:schemeClr>
                    </a:solidFill>
                  </a:endParaRPr>
                </a:p>
              </xdr:txBody>
            </xdr:sp>
          </xdr:grpSp>
          <xdr:sp macro="" textlink="'back_to_back-2'!E99">
            <xdr:nvSpPr>
              <xdr:cNvPr id="34" name="CasellaDiTesto 33">
                <a:extLst>
                  <a:ext uri="{FF2B5EF4-FFF2-40B4-BE49-F238E27FC236}">
                    <a16:creationId xmlns:a16="http://schemas.microsoft.com/office/drawing/2014/main" id="{4EE74226-C1DE-4AD3-BFF7-B63018CC0FC7}"/>
                  </a:ext>
                </a:extLst>
              </xdr:cNvPr>
              <xdr:cNvSpPr txBox="1"/>
            </xdr:nvSpPr>
            <xdr:spPr>
              <a:xfrm>
                <a:off x="11676531" y="3709147"/>
                <a:ext cx="1319822" cy="245817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297E9299-B84B-4875-BADF-FB73A12EAF44}" type="TxLink">
                  <a:rPr lang="en-US" sz="1100" b="0" i="0" u="none" strike="noStrike">
                    <a:solidFill>
                      <a:schemeClr val="accent3">
                        <a:lumMod val="75000"/>
                      </a:schemeClr>
                    </a:solidFill>
                    <a:latin typeface="Calibri"/>
                    <a:cs typeface="Calibri"/>
                  </a:rPr>
                  <a:pPr algn="l"/>
                  <a:t>psp1  [barg] = 9.8</a:t>
                </a:fld>
                <a:endParaRPr lang="it-IT" sz="1100">
                  <a:solidFill>
                    <a:schemeClr val="accent3">
                      <a:lumMod val="75000"/>
                    </a:schemeClr>
                  </a:solidFill>
                </a:endParaRPr>
              </a:p>
            </xdr:txBody>
          </xdr:sp>
          <xdr:sp macro="" textlink="'back_to_back-2'!E125">
            <xdr:nvSpPr>
              <xdr:cNvPr id="38" name="CasellaDiTesto 37">
                <a:extLst>
                  <a:ext uri="{FF2B5EF4-FFF2-40B4-BE49-F238E27FC236}">
                    <a16:creationId xmlns:a16="http://schemas.microsoft.com/office/drawing/2014/main" id="{52E55712-2C83-474A-816B-C27FC8C5D96A}"/>
                  </a:ext>
                </a:extLst>
              </xdr:cNvPr>
              <xdr:cNvSpPr txBox="1"/>
            </xdr:nvSpPr>
            <xdr:spPr>
              <a:xfrm>
                <a:off x="15190275" y="3744603"/>
                <a:ext cx="1319822" cy="245817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9091BD78-ECBE-46CA-8944-62D9FF65CFFA}" type="TxLink">
                  <a:rPr lang="en-US" sz="1100" b="0" i="0" u="none" strike="noStrike">
                    <a:solidFill>
                      <a:schemeClr val="accent3">
                        <a:lumMod val="75000"/>
                      </a:schemeClr>
                    </a:solidFill>
                    <a:latin typeface="Calibri"/>
                    <a:cs typeface="Calibri"/>
                  </a:rPr>
                  <a:pPr algn="r"/>
                  <a:t>psp2  [barg] = 41</a:t>
                </a:fld>
                <a:endParaRPr lang="it-IT" sz="1100">
                  <a:solidFill>
                    <a:schemeClr val="accent3">
                      <a:lumMod val="75000"/>
                    </a:schemeClr>
                  </a:solidFill>
                </a:endParaRPr>
              </a:p>
            </xdr:txBody>
          </xdr:sp>
          <xdr:sp macro="" textlink="'back_to_back-2'!E42">
            <xdr:nvSpPr>
              <xdr:cNvPr id="39" name="CasellaDiTesto 38">
                <a:extLst>
                  <a:ext uri="{FF2B5EF4-FFF2-40B4-BE49-F238E27FC236}">
                    <a16:creationId xmlns:a16="http://schemas.microsoft.com/office/drawing/2014/main" id="{3EC7F8B5-CE33-4943-B524-AE84E0FF975C}"/>
                  </a:ext>
                </a:extLst>
              </xdr:cNvPr>
              <xdr:cNvSpPr txBox="1"/>
            </xdr:nvSpPr>
            <xdr:spPr>
              <a:xfrm>
                <a:off x="16326273" y="4447510"/>
                <a:ext cx="1319822" cy="245817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31B51547-995D-4B52-BF56-BA0D2FC3562B}" type="TxLink">
                  <a:rPr lang="en-US" sz="1100" b="0" i="0" u="none" strike="noStrike">
                    <a:solidFill>
                      <a:schemeClr val="accent3">
                        <a:lumMod val="75000"/>
                      </a:schemeClr>
                    </a:solidFill>
                    <a:latin typeface="Calibri"/>
                    <a:cs typeface="Calibri"/>
                  </a:rPr>
                  <a:pPr algn="l"/>
                  <a:t>p2s [barg] = 39.2</a:t>
                </a:fld>
                <a:endParaRPr lang="it-IT" sz="1100">
                  <a:solidFill>
                    <a:schemeClr val="accent3">
                      <a:lumMod val="75000"/>
                    </a:schemeClr>
                  </a:solidFill>
                </a:endParaRPr>
              </a:p>
            </xdr:txBody>
          </xdr:sp>
        </xdr:grpSp>
        <xdr:cxnSp macro="">
          <xdr:nvCxnSpPr>
            <xdr:cNvPr id="41" name="Connettore 2 40">
              <a:extLst>
                <a:ext uri="{FF2B5EF4-FFF2-40B4-BE49-F238E27FC236}">
                  <a16:creationId xmlns:a16="http://schemas.microsoft.com/office/drawing/2014/main" id="{D6EBCF4B-1ABA-46E7-B025-02EFD29A7B07}"/>
                </a:ext>
              </a:extLst>
            </xdr:cNvPr>
            <xdr:cNvCxnSpPr/>
          </xdr:nvCxnSpPr>
          <xdr:spPr>
            <a:xfrm flipH="1">
              <a:off x="16608984" y="5165180"/>
              <a:ext cx="908965" cy="0"/>
            </a:xfrm>
            <a:prstGeom prst="straightConnector1">
              <a:avLst/>
            </a:prstGeom>
            <a:ln w="50800">
              <a:solidFill>
                <a:schemeClr val="accent2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E133">
          <xdr:nvSpPr>
            <xdr:cNvPr id="42" name="CasellaDiTesto 41">
              <a:extLst>
                <a:ext uri="{FF2B5EF4-FFF2-40B4-BE49-F238E27FC236}">
                  <a16:creationId xmlns:a16="http://schemas.microsoft.com/office/drawing/2014/main" id="{8BC23A5E-1C6E-4732-8B55-90898F1E3451}"/>
                </a:ext>
              </a:extLst>
            </xdr:cNvPr>
            <xdr:cNvSpPr txBox="1"/>
          </xdr:nvSpPr>
          <xdr:spPr>
            <a:xfrm>
              <a:off x="16524773" y="4838218"/>
              <a:ext cx="1686975" cy="2508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132E8C91-367C-40A7-B621-847D442EB7BD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 algn="l"/>
                <a:t>(FHUB [N] = 172895)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cxnSp macro="">
          <xdr:nvCxnSpPr>
            <xdr:cNvPr id="43" name="Connettore 2 42">
              <a:extLst>
                <a:ext uri="{FF2B5EF4-FFF2-40B4-BE49-F238E27FC236}">
                  <a16:creationId xmlns:a16="http://schemas.microsoft.com/office/drawing/2014/main" id="{2EC5D25B-D7F8-4472-8759-6F7B12B30DB0}"/>
                </a:ext>
              </a:extLst>
            </xdr:cNvPr>
            <xdr:cNvCxnSpPr/>
          </xdr:nvCxnSpPr>
          <xdr:spPr>
            <a:xfrm flipH="1">
              <a:off x="16606744" y="3133554"/>
              <a:ext cx="908965" cy="0"/>
            </a:xfrm>
            <a:prstGeom prst="straightConnector1">
              <a:avLst/>
            </a:prstGeom>
            <a:ln w="50800">
              <a:solidFill>
                <a:schemeClr val="accent2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E130">
          <xdr:nvSpPr>
            <xdr:cNvPr id="44" name="CasellaDiTesto 43">
              <a:extLst>
                <a:ext uri="{FF2B5EF4-FFF2-40B4-BE49-F238E27FC236}">
                  <a16:creationId xmlns:a16="http://schemas.microsoft.com/office/drawing/2014/main" id="{9174A0A7-9B6D-42F2-9821-8F9B7C78FF60}"/>
                </a:ext>
              </a:extLst>
            </xdr:cNvPr>
            <xdr:cNvSpPr txBox="1"/>
          </xdr:nvSpPr>
          <xdr:spPr>
            <a:xfrm>
              <a:off x="16522533" y="2806592"/>
              <a:ext cx="1717842" cy="25534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E05EF6EA-E1EE-429C-AC3D-DFF8EF21E2CC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 algn="l"/>
                <a:t>(FFS2 [N] = 331185)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cxnSp macro="">
          <xdr:nvCxnSpPr>
            <xdr:cNvPr id="45" name="Connettore 2 44">
              <a:extLst>
                <a:ext uri="{FF2B5EF4-FFF2-40B4-BE49-F238E27FC236}">
                  <a16:creationId xmlns:a16="http://schemas.microsoft.com/office/drawing/2014/main" id="{193A2C65-5E50-4F0C-85B0-F15E76E93B29}"/>
                </a:ext>
              </a:extLst>
            </xdr:cNvPr>
            <xdr:cNvCxnSpPr/>
          </xdr:nvCxnSpPr>
          <xdr:spPr>
            <a:xfrm flipH="1">
              <a:off x="12698132" y="3628293"/>
              <a:ext cx="904483" cy="0"/>
            </a:xfrm>
            <a:prstGeom prst="straightConnector1">
              <a:avLst/>
            </a:prstGeom>
            <a:ln w="50800">
              <a:solidFill>
                <a:schemeClr val="accent2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E131">
          <xdr:nvSpPr>
            <xdr:cNvPr id="46" name="CasellaDiTesto 45">
              <a:extLst>
                <a:ext uri="{FF2B5EF4-FFF2-40B4-BE49-F238E27FC236}">
                  <a16:creationId xmlns:a16="http://schemas.microsoft.com/office/drawing/2014/main" id="{8FBEE233-1806-4553-AD63-DEB685A6929E}"/>
                </a:ext>
              </a:extLst>
            </xdr:cNvPr>
            <xdr:cNvSpPr txBox="1"/>
          </xdr:nvSpPr>
          <xdr:spPr>
            <a:xfrm>
              <a:off x="12613921" y="3296848"/>
              <a:ext cx="1347101" cy="255344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E540961F-E6E6-49D2-A896-4EA2794B1A21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 algn="l"/>
                <a:t>(FRS1 [N] = 124806)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cxnSp macro="">
          <xdr:nvCxnSpPr>
            <xdr:cNvPr id="47" name="Connettore 2 46">
              <a:extLst>
                <a:ext uri="{FF2B5EF4-FFF2-40B4-BE49-F238E27FC236}">
                  <a16:creationId xmlns:a16="http://schemas.microsoft.com/office/drawing/2014/main" id="{CEA6E201-F776-4BAE-82D2-CB5185670648}"/>
                </a:ext>
              </a:extLst>
            </xdr:cNvPr>
            <xdr:cNvCxnSpPr/>
          </xdr:nvCxnSpPr>
          <xdr:spPr>
            <a:xfrm>
              <a:off x="14548393" y="3623810"/>
              <a:ext cx="904482" cy="6974"/>
            </a:xfrm>
            <a:prstGeom prst="straightConnector1">
              <a:avLst/>
            </a:prstGeom>
            <a:ln w="50800">
              <a:solidFill>
                <a:schemeClr val="accent2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E132">
          <xdr:nvSpPr>
            <xdr:cNvPr id="48" name="CasellaDiTesto 47">
              <a:extLst>
                <a:ext uri="{FF2B5EF4-FFF2-40B4-BE49-F238E27FC236}">
                  <a16:creationId xmlns:a16="http://schemas.microsoft.com/office/drawing/2014/main" id="{893268A1-7BD4-4D72-B286-FAB696E6064F}"/>
                </a:ext>
              </a:extLst>
            </xdr:cNvPr>
            <xdr:cNvSpPr txBox="1"/>
          </xdr:nvSpPr>
          <xdr:spPr>
            <a:xfrm>
              <a:off x="14098970" y="3292365"/>
              <a:ext cx="1434573" cy="255344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24B827B5-CBC0-42AE-887A-17F3DE76D2B9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 algn="r"/>
                <a:t>(FRS2 [N] = 483040)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cxnSp macro="">
          <xdr:nvCxnSpPr>
            <xdr:cNvPr id="49" name="Connettore 2 48">
              <a:extLst>
                <a:ext uri="{FF2B5EF4-FFF2-40B4-BE49-F238E27FC236}">
                  <a16:creationId xmlns:a16="http://schemas.microsoft.com/office/drawing/2014/main" id="{7BB618FB-6934-4BC4-96C3-BED7BBABEDDB}"/>
                </a:ext>
              </a:extLst>
            </xdr:cNvPr>
            <xdr:cNvCxnSpPr/>
          </xdr:nvCxnSpPr>
          <xdr:spPr>
            <a:xfrm>
              <a:off x="10680587" y="3009284"/>
              <a:ext cx="903167" cy="6974"/>
            </a:xfrm>
            <a:prstGeom prst="straightConnector1">
              <a:avLst/>
            </a:prstGeom>
            <a:ln w="50800">
              <a:solidFill>
                <a:schemeClr val="accent2">
                  <a:lumMod val="75000"/>
                </a:schemeClr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E129">
          <xdr:nvSpPr>
            <xdr:cNvPr id="50" name="CasellaDiTesto 49">
              <a:extLst>
                <a:ext uri="{FF2B5EF4-FFF2-40B4-BE49-F238E27FC236}">
                  <a16:creationId xmlns:a16="http://schemas.microsoft.com/office/drawing/2014/main" id="{CD856159-9F24-4C53-9606-63BAF3479BCD}"/>
                </a:ext>
              </a:extLst>
            </xdr:cNvPr>
            <xdr:cNvSpPr txBox="1"/>
          </xdr:nvSpPr>
          <xdr:spPr>
            <a:xfrm>
              <a:off x="10229850" y="2676525"/>
              <a:ext cx="1434572" cy="255344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/>
              <a:fld id="{2581BEC0-9172-46D9-A4D9-545D3A54AC51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 algn="r"/>
                <a:t>(FFS1 [N] = 82233)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</xdr:grpSp>
      <xdr:sp macro="" textlink="'back_to_back-2'!E117">
        <xdr:nvSpPr>
          <xdr:cNvPr id="52" name="CasellaDiTesto 51">
            <a:extLst>
              <a:ext uri="{FF2B5EF4-FFF2-40B4-BE49-F238E27FC236}">
                <a16:creationId xmlns:a16="http://schemas.microsoft.com/office/drawing/2014/main" id="{0491F9B3-56C7-4D34-B9B5-4393FF79E4F2}"/>
              </a:ext>
            </a:extLst>
          </xdr:cNvPr>
          <xdr:cNvSpPr txBox="1"/>
        </xdr:nvSpPr>
        <xdr:spPr>
          <a:xfrm>
            <a:off x="17068801" y="3295650"/>
            <a:ext cx="1329600" cy="247917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3D59D289-8771-4453-A343-318EEE9D4D6D}" type="TxLink">
              <a:rPr lang="en-US" sz="1100" b="0" i="0" u="none" strike="noStrike">
                <a:solidFill>
                  <a:schemeClr val="accent3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l"/>
              <a:t>∆psp2 [bar] = 0.3</a:t>
            </a:fld>
            <a:endParaRPr lang="it-IT" sz="1100">
              <a:solidFill>
                <a:schemeClr val="accent3">
                  <a:lumMod val="75000"/>
                </a:schemeClr>
              </a:solidFill>
            </a:endParaRPr>
          </a:p>
        </xdr:txBody>
      </xdr:sp>
      <xdr:sp macro="" textlink="'back_to_back-2'!E91">
        <xdr:nvSpPr>
          <xdr:cNvPr id="53" name="CasellaDiTesto 52">
            <a:extLst>
              <a:ext uri="{FF2B5EF4-FFF2-40B4-BE49-F238E27FC236}">
                <a16:creationId xmlns:a16="http://schemas.microsoft.com/office/drawing/2014/main" id="{DD9776AF-8E5B-4CE3-81F4-BE5844DEC54F}"/>
              </a:ext>
            </a:extLst>
          </xdr:cNvPr>
          <xdr:cNvSpPr txBox="1"/>
        </xdr:nvSpPr>
        <xdr:spPr>
          <a:xfrm>
            <a:off x="10706101" y="4114800"/>
            <a:ext cx="1329600" cy="247917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AD248684-59BF-4293-A0C7-27BA41F7CA2E}" type="TxLink">
              <a:rPr lang="en-US" sz="1100" b="0" i="0" u="none" strike="noStrike">
                <a:solidFill>
                  <a:schemeClr val="accent3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l"/>
              <a:t>∆psp1 [bar] = 9.8</a:t>
            </a:fld>
            <a:endParaRPr lang="it-IT" sz="1100">
              <a:solidFill>
                <a:schemeClr val="accent3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56</xdr:row>
      <xdr:rowOff>1</xdr:rowOff>
    </xdr:from>
    <xdr:to>
      <xdr:col>12</xdr:col>
      <xdr:colOff>0</xdr:colOff>
      <xdr:row>83</xdr:row>
      <xdr:rowOff>1</xdr:rowOff>
    </xdr:to>
    <xdr:pic>
      <xdr:nvPicPr>
        <xdr:cNvPr id="158" name="Immagine 157">
          <a:extLst>
            <a:ext uri="{FF2B5EF4-FFF2-40B4-BE49-F238E27FC236}">
              <a16:creationId xmlns:a16="http://schemas.microsoft.com/office/drawing/2014/main" id="{A2D096AF-9382-F236-6B80-9E374FBA5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677526"/>
          <a:ext cx="7315200" cy="51435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56</xdr:row>
      <xdr:rowOff>0</xdr:rowOff>
    </xdr:from>
    <xdr:to>
      <xdr:col>25</xdr:col>
      <xdr:colOff>1</xdr:colOff>
      <xdr:row>83</xdr:row>
      <xdr:rowOff>0</xdr:rowOff>
    </xdr:to>
    <xdr:pic>
      <xdr:nvPicPr>
        <xdr:cNvPr id="145" name="Immagine 144">
          <a:extLst>
            <a:ext uri="{FF2B5EF4-FFF2-40B4-BE49-F238E27FC236}">
              <a16:creationId xmlns:a16="http://schemas.microsoft.com/office/drawing/2014/main" id="{E34FF9DB-4FAD-76C8-1F92-965931E29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0" y="10677525"/>
          <a:ext cx="7315201" cy="51435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29</xdr:row>
      <xdr:rowOff>0</xdr:rowOff>
    </xdr:from>
    <xdr:to>
      <xdr:col>13</xdr:col>
      <xdr:colOff>1</xdr:colOff>
      <xdr:row>56</xdr:row>
      <xdr:rowOff>0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id="{49CCD87A-94EC-4089-818E-123A2E5C1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9776" y="6153150"/>
          <a:ext cx="7315200" cy="5686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75</xdr:row>
      <xdr:rowOff>110276</xdr:rowOff>
    </xdr:from>
    <xdr:to>
      <xdr:col>13</xdr:col>
      <xdr:colOff>105634</xdr:colOff>
      <xdr:row>76</xdr:row>
      <xdr:rowOff>152756</xdr:rowOff>
    </xdr:to>
    <xdr:sp macro="" textlink="#REF!">
      <xdr:nvSpPr>
        <xdr:cNvPr id="41" name="CasellaDiTesto 40">
          <a:extLst>
            <a:ext uri="{FF2B5EF4-FFF2-40B4-BE49-F238E27FC236}">
              <a16:creationId xmlns:a16="http://schemas.microsoft.com/office/drawing/2014/main" id="{26C17704-B5E6-492F-ADDF-02FE433EDC04}"/>
            </a:ext>
          </a:extLst>
        </xdr:cNvPr>
        <xdr:cNvSpPr txBox="1"/>
      </xdr:nvSpPr>
      <xdr:spPr>
        <a:xfrm>
          <a:off x="23247804" y="16102751"/>
          <a:ext cx="1422805" cy="271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09416DD-64AB-4DE7-ACB8-55CBAB833FAA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 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1</xdr:colOff>
      <xdr:row>2</xdr:row>
      <xdr:rowOff>0</xdr:rowOff>
    </xdr:from>
    <xdr:to>
      <xdr:col>25</xdr:col>
      <xdr:colOff>0</xdr:colOff>
      <xdr:row>29</xdr:row>
      <xdr:rowOff>0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id="{5D8C0796-0822-4B2C-8DE3-73B4A44F1641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9901" y="381000"/>
          <a:ext cx="7315199" cy="5772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218456</xdr:colOff>
      <xdr:row>16</xdr:row>
      <xdr:rowOff>197319</xdr:rowOff>
    </xdr:from>
    <xdr:to>
      <xdr:col>16</xdr:col>
      <xdr:colOff>456260</xdr:colOff>
      <xdr:row>23</xdr:row>
      <xdr:rowOff>92980</xdr:rowOff>
    </xdr:to>
    <xdr:sp macro="" textlink="'single_suction-2'!E14">
      <xdr:nvSpPr>
        <xdr:cNvPr id="50" name="CasellaDiTesto 49">
          <a:extLst>
            <a:ext uri="{FF2B5EF4-FFF2-40B4-BE49-F238E27FC236}">
              <a16:creationId xmlns:a16="http://schemas.microsoft.com/office/drawing/2014/main" id="{1403FF5A-349C-4AA8-8179-41C63AF6D000}"/>
            </a:ext>
          </a:extLst>
        </xdr:cNvPr>
        <xdr:cNvSpPr txBox="1"/>
      </xdr:nvSpPr>
      <xdr:spPr>
        <a:xfrm rot="16200000">
          <a:off x="19668127" y="4141048"/>
          <a:ext cx="1495861" cy="2378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8B897082-9E22-4BF1-A062-681474FB6CAC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ssp [mm] = 0.29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14</xdr:col>
      <xdr:colOff>261359</xdr:colOff>
      <xdr:row>22</xdr:row>
      <xdr:rowOff>84102</xdr:rowOff>
    </xdr:from>
    <xdr:to>
      <xdr:col>14</xdr:col>
      <xdr:colOff>499646</xdr:colOff>
      <xdr:row>28</xdr:row>
      <xdr:rowOff>147314</xdr:rowOff>
    </xdr:to>
    <xdr:sp macro="" textlink="'single_suction-2'!E10">
      <xdr:nvSpPr>
        <xdr:cNvPr id="51" name="CasellaDiTesto 50">
          <a:extLst>
            <a:ext uri="{FF2B5EF4-FFF2-40B4-BE49-F238E27FC236}">
              <a16:creationId xmlns:a16="http://schemas.microsoft.com/office/drawing/2014/main" id="{CB33882C-699A-40D8-8136-08FD55AF829A}"/>
            </a:ext>
          </a:extLst>
        </xdr:cNvPr>
        <xdr:cNvSpPr txBox="1"/>
      </xdr:nvSpPr>
      <xdr:spPr>
        <a:xfrm rot="16200000">
          <a:off x="18579747" y="5311514"/>
          <a:ext cx="1320512" cy="23828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4061CE42-368D-4466-AD98-B2E08A51D699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Dsp [mm] = 281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328620</xdr:colOff>
      <xdr:row>22</xdr:row>
      <xdr:rowOff>78307</xdr:rowOff>
    </xdr:from>
    <xdr:to>
      <xdr:col>15</xdr:col>
      <xdr:colOff>564003</xdr:colOff>
      <xdr:row>28</xdr:row>
      <xdr:rowOff>141518</xdr:rowOff>
    </xdr:to>
    <xdr:sp macro="" textlink="'single_suction-2'!E12">
      <xdr:nvSpPr>
        <xdr:cNvPr id="52" name="CasellaDiTesto 51">
          <a:extLst>
            <a:ext uri="{FF2B5EF4-FFF2-40B4-BE49-F238E27FC236}">
              <a16:creationId xmlns:a16="http://schemas.microsoft.com/office/drawing/2014/main" id="{E85324CD-0259-4744-AC4F-6A047780FD65}"/>
            </a:ext>
          </a:extLst>
        </xdr:cNvPr>
        <xdr:cNvSpPr txBox="1"/>
      </xdr:nvSpPr>
      <xdr:spPr>
        <a:xfrm rot="16200000">
          <a:off x="19255156" y="5307171"/>
          <a:ext cx="1320511" cy="235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C2C34E7-145C-46FE-A789-F8B076BD947E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DFH [mm] = 100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105166</xdr:colOff>
      <xdr:row>22</xdr:row>
      <xdr:rowOff>88265</xdr:rowOff>
    </xdr:from>
    <xdr:to>
      <xdr:col>13</xdr:col>
      <xdr:colOff>343453</xdr:colOff>
      <xdr:row>28</xdr:row>
      <xdr:rowOff>151477</xdr:rowOff>
    </xdr:to>
    <xdr:sp macro="" textlink="'single_suction-2'!E9">
      <xdr:nvSpPr>
        <xdr:cNvPr id="53" name="CasellaDiTesto 52">
          <a:extLst>
            <a:ext uri="{FF2B5EF4-FFF2-40B4-BE49-F238E27FC236}">
              <a16:creationId xmlns:a16="http://schemas.microsoft.com/office/drawing/2014/main" id="{FB3E58D3-F40A-4CD4-918B-1C6A227AB9C7}"/>
            </a:ext>
          </a:extLst>
        </xdr:cNvPr>
        <xdr:cNvSpPr txBox="1"/>
      </xdr:nvSpPr>
      <xdr:spPr>
        <a:xfrm rot="16200000">
          <a:off x="17813954" y="5315677"/>
          <a:ext cx="1320512" cy="23828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4B85596E-79F3-4CD1-AB4B-F19E2C3759D4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D2 [mm] = 430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143530</xdr:colOff>
      <xdr:row>22</xdr:row>
      <xdr:rowOff>190499</xdr:rowOff>
    </xdr:from>
    <xdr:to>
      <xdr:col>24</xdr:col>
      <xdr:colOff>381817</xdr:colOff>
      <xdr:row>29</xdr:row>
      <xdr:rowOff>1852</xdr:rowOff>
    </xdr:to>
    <xdr:sp macro="" textlink="'single_suction-2'!E11">
      <xdr:nvSpPr>
        <xdr:cNvPr id="54" name="CasellaDiTesto 53">
          <a:extLst>
            <a:ext uri="{FF2B5EF4-FFF2-40B4-BE49-F238E27FC236}">
              <a16:creationId xmlns:a16="http://schemas.microsoft.com/office/drawing/2014/main" id="{44936401-BAEA-4D6A-8F36-CFFFC24A8890}"/>
            </a:ext>
          </a:extLst>
        </xdr:cNvPr>
        <xdr:cNvSpPr txBox="1"/>
      </xdr:nvSpPr>
      <xdr:spPr>
        <a:xfrm rot="16200000">
          <a:off x="6395847" y="4644282"/>
          <a:ext cx="1144853" cy="23828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58CAD2F0-E6DD-441C-8B69-5191395959F7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DD [mm] = 210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163413</xdr:colOff>
      <xdr:row>15</xdr:row>
      <xdr:rowOff>194079</xdr:rowOff>
    </xdr:from>
    <xdr:to>
      <xdr:col>24</xdr:col>
      <xdr:colOff>401700</xdr:colOff>
      <xdr:row>22</xdr:row>
      <xdr:rowOff>80675</xdr:rowOff>
    </xdr:to>
    <xdr:sp macro="" textlink="'single_suction-2'!E15">
      <xdr:nvSpPr>
        <xdr:cNvPr id="55" name="CasellaDiTesto 54">
          <a:extLst>
            <a:ext uri="{FF2B5EF4-FFF2-40B4-BE49-F238E27FC236}">
              <a16:creationId xmlns:a16="http://schemas.microsoft.com/office/drawing/2014/main" id="{81024E16-879D-4201-BFE4-6B151BB59F70}"/>
            </a:ext>
          </a:extLst>
        </xdr:cNvPr>
        <xdr:cNvSpPr txBox="1"/>
      </xdr:nvSpPr>
      <xdr:spPr>
        <a:xfrm rot="16200000">
          <a:off x="24494659" y="3904433"/>
          <a:ext cx="1486796" cy="238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8AFC11A-0EDE-4AF7-8460-FEB30385423C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sD [mm] = 0.29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581025</xdr:colOff>
      <xdr:row>6</xdr:row>
      <xdr:rowOff>176184</xdr:rowOff>
    </xdr:from>
    <xdr:to>
      <xdr:col>18</xdr:col>
      <xdr:colOff>112656</xdr:colOff>
      <xdr:row>8</xdr:row>
      <xdr:rowOff>57796</xdr:rowOff>
    </xdr:to>
    <xdr:sp macro="" textlink="'single_suction-2'!E66">
      <xdr:nvSpPr>
        <xdr:cNvPr id="56" name="CasellaDiTesto 55">
          <a:extLst>
            <a:ext uri="{FF2B5EF4-FFF2-40B4-BE49-F238E27FC236}">
              <a16:creationId xmlns:a16="http://schemas.microsoft.com/office/drawing/2014/main" id="{93649EA1-8652-4517-9349-17359AE2F268}"/>
            </a:ext>
          </a:extLst>
        </xdr:cNvPr>
        <xdr:cNvSpPr txBox="1"/>
      </xdr:nvSpPr>
      <xdr:spPr>
        <a:xfrm>
          <a:off x="1800225" y="1128684"/>
          <a:ext cx="1360431" cy="26261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F2AD53F3-BAD2-43A4-ACA6-DCC1DA306834}" type="TxLink">
            <a:rPr lang="en-US" sz="1100" b="0" i="0" u="none" strike="noStrike">
              <a:solidFill>
                <a:schemeClr val="tx2"/>
              </a:solidFill>
              <a:latin typeface="Calibri"/>
              <a:cs typeface="Calibri"/>
            </a:rPr>
            <a:pPr algn="r"/>
            <a:t>Qsp [m3/h] = 14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20</xdr:col>
      <xdr:colOff>373957</xdr:colOff>
      <xdr:row>7</xdr:row>
      <xdr:rowOff>43398</xdr:rowOff>
    </xdr:from>
    <xdr:to>
      <xdr:col>22</xdr:col>
      <xdr:colOff>386373</xdr:colOff>
      <xdr:row>8</xdr:row>
      <xdr:rowOff>116045</xdr:rowOff>
    </xdr:to>
    <xdr:sp macro="" textlink="'single_suction-2'!E93">
      <xdr:nvSpPr>
        <xdr:cNvPr id="57" name="CasellaDiTesto 56">
          <a:extLst>
            <a:ext uri="{FF2B5EF4-FFF2-40B4-BE49-F238E27FC236}">
              <a16:creationId xmlns:a16="http://schemas.microsoft.com/office/drawing/2014/main" id="{F43F2C39-AECE-451F-80A9-8EC65DBEE108}"/>
            </a:ext>
          </a:extLst>
        </xdr:cNvPr>
        <xdr:cNvSpPr txBox="1"/>
      </xdr:nvSpPr>
      <xdr:spPr>
        <a:xfrm>
          <a:off x="4641157" y="1186398"/>
          <a:ext cx="1231616" cy="26314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CA283BD-4405-4BE1-B491-1837A2D41206}" type="TxLink">
            <a:rPr lang="en-US" sz="1100" b="0" i="0" u="none" strike="noStrike">
              <a:solidFill>
                <a:schemeClr val="tx2"/>
              </a:solidFill>
              <a:latin typeface="Calibri"/>
              <a:cs typeface="Calibri"/>
            </a:rPr>
            <a:pPr algn="l"/>
            <a:t>QD [m3/h] = 7.5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22</xdr:col>
      <xdr:colOff>4451</xdr:colOff>
      <xdr:row>21</xdr:row>
      <xdr:rowOff>89533</xdr:rowOff>
    </xdr:from>
    <xdr:to>
      <xdr:col>24</xdr:col>
      <xdr:colOff>203001</xdr:colOff>
      <xdr:row>22</xdr:row>
      <xdr:rowOff>162181</xdr:rowOff>
    </xdr:to>
    <xdr:sp macro="" textlink="'single_suction-2'!E38">
      <xdr:nvSpPr>
        <xdr:cNvPr id="58" name="CasellaDiTesto 57">
          <a:extLst>
            <a:ext uri="{FF2B5EF4-FFF2-40B4-BE49-F238E27FC236}">
              <a16:creationId xmlns:a16="http://schemas.microsoft.com/office/drawing/2014/main" id="{FC19D24A-458B-42EE-9C73-23E6362DB945}"/>
            </a:ext>
          </a:extLst>
        </xdr:cNvPr>
        <xdr:cNvSpPr txBox="1"/>
      </xdr:nvSpPr>
      <xdr:spPr>
        <a:xfrm>
          <a:off x="23740751" y="4547233"/>
          <a:ext cx="1417750" cy="3012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7ACE05B-FBFF-462E-90CB-4949D721E1D9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pSTUFF [bar] = 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18</xdr:col>
      <xdr:colOff>220317</xdr:colOff>
      <xdr:row>3</xdr:row>
      <xdr:rowOff>89253</xdr:rowOff>
    </xdr:from>
    <xdr:to>
      <xdr:col>20</xdr:col>
      <xdr:colOff>405660</xdr:colOff>
      <xdr:row>4</xdr:row>
      <xdr:rowOff>161365</xdr:rowOff>
    </xdr:to>
    <xdr:sp macro="" textlink="'single_suction-2'!E98">
      <xdr:nvSpPr>
        <xdr:cNvPr id="59" name="CasellaDiTesto 58">
          <a:extLst>
            <a:ext uri="{FF2B5EF4-FFF2-40B4-BE49-F238E27FC236}">
              <a16:creationId xmlns:a16="http://schemas.microsoft.com/office/drawing/2014/main" id="{50FFAA72-1C2E-411D-B571-0DC3A3271046}"/>
            </a:ext>
          </a:extLst>
        </xdr:cNvPr>
        <xdr:cNvSpPr txBox="1"/>
      </xdr:nvSpPr>
      <xdr:spPr>
        <a:xfrm>
          <a:off x="21518217" y="660753"/>
          <a:ext cx="1404543" cy="262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A49CBCA-0D85-4F91-A99C-ABD861B51D10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pLA [bar] = 13.8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182780</xdr:colOff>
      <xdr:row>11</xdr:row>
      <xdr:rowOff>78441</xdr:rowOff>
    </xdr:from>
    <xdr:to>
      <xdr:col>21</xdr:col>
      <xdr:colOff>571500</xdr:colOff>
      <xdr:row>12</xdr:row>
      <xdr:rowOff>134342</xdr:rowOff>
    </xdr:to>
    <xdr:sp macro="" textlink="">
      <xdr:nvSpPr>
        <xdr:cNvPr id="60" name="CasellaDiTesto 59">
          <a:extLst>
            <a:ext uri="{FF2B5EF4-FFF2-40B4-BE49-F238E27FC236}">
              <a16:creationId xmlns:a16="http://schemas.microsoft.com/office/drawing/2014/main" id="{26493613-965F-41B2-8E3D-909ABB9C7A5C}"/>
            </a:ext>
          </a:extLst>
        </xdr:cNvPr>
        <xdr:cNvSpPr txBox="1"/>
      </xdr:nvSpPr>
      <xdr:spPr>
        <a:xfrm>
          <a:off x="22699880" y="2250141"/>
          <a:ext cx="998320" cy="284501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accent3">
                  <a:lumMod val="75000"/>
                </a:schemeClr>
              </a:solidFill>
            </a:rPr>
            <a:t>pRS [barg]</a:t>
          </a:r>
        </a:p>
      </xdr:txBody>
    </xdr:sp>
    <xdr:clientData/>
  </xdr:twoCellAnchor>
  <xdr:twoCellAnchor>
    <xdr:from>
      <xdr:col>16</xdr:col>
      <xdr:colOff>155134</xdr:colOff>
      <xdr:row>10</xdr:row>
      <xdr:rowOff>38813</xdr:rowOff>
    </xdr:from>
    <xdr:to>
      <xdr:col>18</xdr:col>
      <xdr:colOff>163379</xdr:colOff>
      <xdr:row>11</xdr:row>
      <xdr:rowOff>73935</xdr:rowOff>
    </xdr:to>
    <xdr:sp macro="" textlink="">
      <xdr:nvSpPr>
        <xdr:cNvPr id="61" name="CasellaDiTesto 60">
          <a:extLst>
            <a:ext uri="{FF2B5EF4-FFF2-40B4-BE49-F238E27FC236}">
              <a16:creationId xmlns:a16="http://schemas.microsoft.com/office/drawing/2014/main" id="{2519B426-1D19-45DD-BD7D-6E7C79267D01}"/>
            </a:ext>
          </a:extLst>
        </xdr:cNvPr>
        <xdr:cNvSpPr txBox="1"/>
      </xdr:nvSpPr>
      <xdr:spPr>
        <a:xfrm>
          <a:off x="20233834" y="1981913"/>
          <a:ext cx="1227445" cy="26372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accent3">
                  <a:lumMod val="75000"/>
                </a:schemeClr>
              </a:solidFill>
            </a:rPr>
            <a:t>pFS [barg]</a:t>
          </a:r>
        </a:p>
      </xdr:txBody>
    </xdr:sp>
    <xdr:clientData/>
  </xdr:twoCellAnchor>
  <xdr:twoCellAnchor>
    <xdr:from>
      <xdr:col>20</xdr:col>
      <xdr:colOff>480652</xdr:colOff>
      <xdr:row>19</xdr:row>
      <xdr:rowOff>56023</xdr:rowOff>
    </xdr:from>
    <xdr:to>
      <xdr:col>22</xdr:col>
      <xdr:colOff>518081</xdr:colOff>
      <xdr:row>20</xdr:row>
      <xdr:rowOff>100877</xdr:rowOff>
    </xdr:to>
    <xdr:sp macro="" textlink="'single_suction-2'!E86">
      <xdr:nvSpPr>
        <xdr:cNvPr id="62" name="CasellaDiTesto 61">
          <a:extLst>
            <a:ext uri="{FF2B5EF4-FFF2-40B4-BE49-F238E27FC236}">
              <a16:creationId xmlns:a16="http://schemas.microsoft.com/office/drawing/2014/main" id="{8E5F92F6-EF1B-4522-91C5-21F8EBD4372B}"/>
            </a:ext>
          </a:extLst>
        </xdr:cNvPr>
        <xdr:cNvSpPr txBox="1"/>
      </xdr:nvSpPr>
      <xdr:spPr>
        <a:xfrm>
          <a:off x="4747852" y="3685048"/>
          <a:ext cx="1256629" cy="23535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21E4A40-DC21-4068-B1D9-2D861BB366CC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∆pD [bar] = 8.6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196542</xdr:colOff>
      <xdr:row>11</xdr:row>
      <xdr:rowOff>166903</xdr:rowOff>
    </xdr:from>
    <xdr:to>
      <xdr:col>17</xdr:col>
      <xdr:colOff>226768</xdr:colOff>
      <xdr:row>12</xdr:row>
      <xdr:rowOff>170936</xdr:rowOff>
    </xdr:to>
    <xdr:sp macro="" textlink="'single_suction-2'!E59">
      <xdr:nvSpPr>
        <xdr:cNvPr id="63" name="CasellaDiTesto 62">
          <a:extLst>
            <a:ext uri="{FF2B5EF4-FFF2-40B4-BE49-F238E27FC236}">
              <a16:creationId xmlns:a16="http://schemas.microsoft.com/office/drawing/2014/main" id="{F8934771-1130-45EA-8532-98A637D71B11}"/>
            </a:ext>
          </a:extLst>
        </xdr:cNvPr>
        <xdr:cNvSpPr txBox="1"/>
      </xdr:nvSpPr>
      <xdr:spPr>
        <a:xfrm>
          <a:off x="1415742" y="2071903"/>
          <a:ext cx="1249426" cy="19453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1D85C7B0-B97B-4E8D-86BE-BD997695BB16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r"/>
            <a:t>∆psp [bar] = 12.3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1</xdr:colOff>
      <xdr:row>29</xdr:row>
      <xdr:rowOff>0</xdr:rowOff>
    </xdr:from>
    <xdr:to>
      <xdr:col>25</xdr:col>
      <xdr:colOff>1</xdr:colOff>
      <xdr:row>56</xdr:row>
      <xdr:rowOff>0</xdr:rowOff>
    </xdr:to>
    <xdr:pic>
      <xdr:nvPicPr>
        <xdr:cNvPr id="64" name="Immagine 63">
          <a:extLst>
            <a:ext uri="{FF2B5EF4-FFF2-40B4-BE49-F238E27FC236}">
              <a16:creationId xmlns:a16="http://schemas.microsoft.com/office/drawing/2014/main" id="{C2433FAB-6248-47AD-9C03-CA3466633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9901" y="6153150"/>
          <a:ext cx="7315200" cy="5686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236062</xdr:colOff>
      <xdr:row>44</xdr:row>
      <xdr:rowOff>26285</xdr:rowOff>
    </xdr:from>
    <xdr:to>
      <xdr:col>16</xdr:col>
      <xdr:colOff>473911</xdr:colOff>
      <xdr:row>50</xdr:row>
      <xdr:rowOff>25712</xdr:rowOff>
    </xdr:to>
    <xdr:sp macro="" textlink="'single_suction-2'!E14">
      <xdr:nvSpPr>
        <xdr:cNvPr id="65" name="CasellaDiTesto 64">
          <a:extLst>
            <a:ext uri="{FF2B5EF4-FFF2-40B4-BE49-F238E27FC236}">
              <a16:creationId xmlns:a16="http://schemas.microsoft.com/office/drawing/2014/main" id="{2F1EE674-D9B1-4ADA-B53A-D504C47D31EA}"/>
            </a:ext>
          </a:extLst>
        </xdr:cNvPr>
        <xdr:cNvSpPr txBox="1"/>
      </xdr:nvSpPr>
      <xdr:spPr>
        <a:xfrm rot="16200000">
          <a:off x="19805323" y="9822599"/>
          <a:ext cx="1256727" cy="2378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902BD58-9A32-4C19-A44A-52061BB79AB8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ssp [mm] = 0.29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14</xdr:col>
      <xdr:colOff>256345</xdr:colOff>
      <xdr:row>49</xdr:row>
      <xdr:rowOff>52154</xdr:rowOff>
    </xdr:from>
    <xdr:to>
      <xdr:col>14</xdr:col>
      <xdr:colOff>494677</xdr:colOff>
      <xdr:row>55</xdr:row>
      <xdr:rowOff>118282</xdr:rowOff>
    </xdr:to>
    <xdr:sp macro="" textlink="'single_suction-2'!E10">
      <xdr:nvSpPr>
        <xdr:cNvPr id="66" name="CasellaDiTesto 65">
          <a:extLst>
            <a:ext uri="{FF2B5EF4-FFF2-40B4-BE49-F238E27FC236}">
              <a16:creationId xmlns:a16="http://schemas.microsoft.com/office/drawing/2014/main" id="{39B1D904-F561-4D69-80DF-F9CCFA511CA1}"/>
            </a:ext>
          </a:extLst>
        </xdr:cNvPr>
        <xdr:cNvSpPr txBox="1"/>
      </xdr:nvSpPr>
      <xdr:spPr>
        <a:xfrm rot="16200000">
          <a:off x="18535197" y="10948377"/>
          <a:ext cx="1399628" cy="23833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5F4964D-5C03-40C3-B104-4576DB46C37E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Dsp [mm] = 281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301310</xdr:colOff>
      <xdr:row>49</xdr:row>
      <xdr:rowOff>90943</xdr:rowOff>
    </xdr:from>
    <xdr:to>
      <xdr:col>15</xdr:col>
      <xdr:colOff>536737</xdr:colOff>
      <xdr:row>55</xdr:row>
      <xdr:rowOff>157070</xdr:rowOff>
    </xdr:to>
    <xdr:sp macro="" textlink="'single_suction-2'!E12">
      <xdr:nvSpPr>
        <xdr:cNvPr id="67" name="CasellaDiTesto 66">
          <a:extLst>
            <a:ext uri="{FF2B5EF4-FFF2-40B4-BE49-F238E27FC236}">
              <a16:creationId xmlns:a16="http://schemas.microsoft.com/office/drawing/2014/main" id="{5D3CC62B-0068-4FCD-8A83-9A1FAC63D50C}"/>
            </a:ext>
          </a:extLst>
        </xdr:cNvPr>
        <xdr:cNvSpPr txBox="1"/>
      </xdr:nvSpPr>
      <xdr:spPr>
        <a:xfrm rot="16200000">
          <a:off x="19188310" y="10988618"/>
          <a:ext cx="1399627" cy="23542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B0A5645-A59D-4902-8F51-2D4B2787CA9B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DFH [mm] = 100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88809</xdr:colOff>
      <xdr:row>49</xdr:row>
      <xdr:rowOff>78634</xdr:rowOff>
    </xdr:from>
    <xdr:to>
      <xdr:col>13</xdr:col>
      <xdr:colOff>327141</xdr:colOff>
      <xdr:row>55</xdr:row>
      <xdr:rowOff>144762</xdr:rowOff>
    </xdr:to>
    <xdr:sp macro="" textlink="'single_suction-2'!E9">
      <xdr:nvSpPr>
        <xdr:cNvPr id="68" name="CasellaDiTesto 67">
          <a:extLst>
            <a:ext uri="{FF2B5EF4-FFF2-40B4-BE49-F238E27FC236}">
              <a16:creationId xmlns:a16="http://schemas.microsoft.com/office/drawing/2014/main" id="{A41170FA-70BB-4A9D-886F-7CA77C946273}"/>
            </a:ext>
          </a:extLst>
        </xdr:cNvPr>
        <xdr:cNvSpPr txBox="1"/>
      </xdr:nvSpPr>
      <xdr:spPr>
        <a:xfrm rot="16200000">
          <a:off x="17758061" y="10974857"/>
          <a:ext cx="1399628" cy="23833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96BE364-D0B2-4926-A678-9A0C623AE065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D2 [mm] = 430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139567</xdr:colOff>
      <xdr:row>50</xdr:row>
      <xdr:rowOff>66674</xdr:rowOff>
    </xdr:from>
    <xdr:to>
      <xdr:col>24</xdr:col>
      <xdr:colOff>377899</xdr:colOff>
      <xdr:row>55</xdr:row>
      <xdr:rowOff>183991</xdr:rowOff>
    </xdr:to>
    <xdr:sp macro="" textlink="'single_suction-2'!E11">
      <xdr:nvSpPr>
        <xdr:cNvPr id="69" name="CasellaDiTesto 68">
          <a:extLst>
            <a:ext uri="{FF2B5EF4-FFF2-40B4-BE49-F238E27FC236}">
              <a16:creationId xmlns:a16="http://schemas.microsoft.com/office/drawing/2014/main" id="{6840F72A-9FEF-4823-A1B9-3EC4DC8D47F5}"/>
            </a:ext>
          </a:extLst>
        </xdr:cNvPr>
        <xdr:cNvSpPr txBox="1"/>
      </xdr:nvSpPr>
      <xdr:spPr>
        <a:xfrm rot="16200000">
          <a:off x="6429424" y="9816917"/>
          <a:ext cx="1069817" cy="23833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2F1712D-595E-4B71-A0E7-6D7A04584728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DD [mm] = 210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159454</xdr:colOff>
      <xdr:row>43</xdr:row>
      <xdr:rowOff>125498</xdr:rowOff>
    </xdr:from>
    <xdr:to>
      <xdr:col>24</xdr:col>
      <xdr:colOff>397786</xdr:colOff>
      <xdr:row>49</xdr:row>
      <xdr:rowOff>127051</xdr:rowOff>
    </xdr:to>
    <xdr:sp macro="" textlink="'single_suction-2'!E15">
      <xdr:nvSpPr>
        <xdr:cNvPr id="70" name="CasellaDiTesto 69">
          <a:extLst>
            <a:ext uri="{FF2B5EF4-FFF2-40B4-BE49-F238E27FC236}">
              <a16:creationId xmlns:a16="http://schemas.microsoft.com/office/drawing/2014/main" id="{574E5AC8-10AF-4AA2-AB63-0D2AB9DA76F0}"/>
            </a:ext>
          </a:extLst>
        </xdr:cNvPr>
        <xdr:cNvSpPr txBox="1"/>
      </xdr:nvSpPr>
      <xdr:spPr>
        <a:xfrm rot="16200000">
          <a:off x="24604693" y="9694034"/>
          <a:ext cx="1258853" cy="238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B3FF087-7A8B-4D5D-A292-67EC62E449C9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sD [mm] = 0.29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16</xdr:col>
      <xdr:colOff>131428</xdr:colOff>
      <xdr:row>33</xdr:row>
      <xdr:rowOff>108055</xdr:rowOff>
    </xdr:from>
    <xdr:to>
      <xdr:col>18</xdr:col>
      <xdr:colOff>141655</xdr:colOff>
      <xdr:row>34</xdr:row>
      <xdr:rowOff>144939</xdr:rowOff>
    </xdr:to>
    <xdr:sp macro="" textlink="'single_suction-2'!E66">
      <xdr:nvSpPr>
        <xdr:cNvPr id="71" name="CasellaDiTesto 70">
          <a:extLst>
            <a:ext uri="{FF2B5EF4-FFF2-40B4-BE49-F238E27FC236}">
              <a16:creationId xmlns:a16="http://schemas.microsoft.com/office/drawing/2014/main" id="{6B28E1C0-53C4-4464-935A-EB5F0119D8F9}"/>
            </a:ext>
          </a:extLst>
        </xdr:cNvPr>
        <xdr:cNvSpPr txBox="1"/>
      </xdr:nvSpPr>
      <xdr:spPr>
        <a:xfrm>
          <a:off x="20210128" y="7108930"/>
          <a:ext cx="1229427" cy="26548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F9CFAA1-D453-4279-AE0D-02688B9649EC}" type="TxLink">
            <a:rPr lang="en-US" sz="1100" b="0" i="0" u="none" strike="noStrike">
              <a:solidFill>
                <a:schemeClr val="tx2"/>
              </a:solidFill>
              <a:latin typeface="Calibri"/>
              <a:cs typeface="Calibri"/>
            </a:rPr>
            <a:pPr algn="r"/>
            <a:t>Qsp [m3/h] = 14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20</xdr:col>
      <xdr:colOff>234185</xdr:colOff>
      <xdr:row>44</xdr:row>
      <xdr:rowOff>155623</xdr:rowOff>
    </xdr:from>
    <xdr:to>
      <xdr:col>22</xdr:col>
      <xdr:colOff>246833</xdr:colOff>
      <xdr:row>45</xdr:row>
      <xdr:rowOff>193039</xdr:rowOff>
    </xdr:to>
    <xdr:sp macro="" textlink="'single_suction-2'!E93">
      <xdr:nvSpPr>
        <xdr:cNvPr id="72" name="CasellaDiTesto 71">
          <a:extLst>
            <a:ext uri="{FF2B5EF4-FFF2-40B4-BE49-F238E27FC236}">
              <a16:creationId xmlns:a16="http://schemas.microsoft.com/office/drawing/2014/main" id="{3D2DAF3F-1555-46AF-A7B0-7DBC301F1D72}"/>
            </a:ext>
          </a:extLst>
        </xdr:cNvPr>
        <xdr:cNvSpPr txBox="1"/>
      </xdr:nvSpPr>
      <xdr:spPr>
        <a:xfrm>
          <a:off x="22751285" y="9442498"/>
          <a:ext cx="1231848" cy="227916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E2D8A03-1CCA-48BB-893A-AFA65DD16794}" type="TxLink">
            <a:rPr lang="en-US" sz="1100" b="0" i="0" u="none" strike="noStrike">
              <a:solidFill>
                <a:schemeClr val="tx2"/>
              </a:solidFill>
              <a:latin typeface="Calibri"/>
              <a:cs typeface="Calibri"/>
            </a:rPr>
            <a:pPr algn="l"/>
            <a:t>QD [m3/h] = 7.5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21</xdr:col>
      <xdr:colOff>538128</xdr:colOff>
      <xdr:row>48</xdr:row>
      <xdr:rowOff>67236</xdr:rowOff>
    </xdr:from>
    <xdr:to>
      <xdr:col>23</xdr:col>
      <xdr:colOff>571501</xdr:colOff>
      <xdr:row>49</xdr:row>
      <xdr:rowOff>84450</xdr:rowOff>
    </xdr:to>
    <xdr:sp macro="" textlink="'single_suction-2'!E97">
      <xdr:nvSpPr>
        <xdr:cNvPr id="73" name="CasellaDiTesto 72">
          <a:extLst>
            <a:ext uri="{FF2B5EF4-FFF2-40B4-BE49-F238E27FC236}">
              <a16:creationId xmlns:a16="http://schemas.microsoft.com/office/drawing/2014/main" id="{A8C21D0E-0C76-4F94-855E-8169CDD02620}"/>
            </a:ext>
          </a:extLst>
        </xdr:cNvPr>
        <xdr:cNvSpPr txBox="1"/>
      </xdr:nvSpPr>
      <xdr:spPr>
        <a:xfrm>
          <a:off x="23664828" y="10192311"/>
          <a:ext cx="1252573" cy="207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B5AE090-BF92-49F6-88A0-F6146BE97518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p2 [bar] = 18.4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18</xdr:col>
      <xdr:colOff>238129</xdr:colOff>
      <xdr:row>30</xdr:row>
      <xdr:rowOff>91779</xdr:rowOff>
    </xdr:from>
    <xdr:to>
      <xdr:col>20</xdr:col>
      <xdr:colOff>423737</xdr:colOff>
      <xdr:row>31</xdr:row>
      <xdr:rowOff>128663</xdr:rowOff>
    </xdr:to>
    <xdr:sp macro="" textlink="'single_suction-2'!E98">
      <xdr:nvSpPr>
        <xdr:cNvPr id="74" name="CasellaDiTesto 73">
          <a:extLst>
            <a:ext uri="{FF2B5EF4-FFF2-40B4-BE49-F238E27FC236}">
              <a16:creationId xmlns:a16="http://schemas.microsoft.com/office/drawing/2014/main" id="{E6D12DAE-4009-4FDE-B5FD-239FC0106334}"/>
            </a:ext>
          </a:extLst>
        </xdr:cNvPr>
        <xdr:cNvSpPr txBox="1"/>
      </xdr:nvSpPr>
      <xdr:spPr>
        <a:xfrm>
          <a:off x="21536029" y="6454479"/>
          <a:ext cx="1404808" cy="255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B68252C-D15B-45BF-B66D-127E7704B2C1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pLA [bar] = 13.8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144757</xdr:colOff>
      <xdr:row>37</xdr:row>
      <xdr:rowOff>24413</xdr:rowOff>
    </xdr:from>
    <xdr:to>
      <xdr:col>22</xdr:col>
      <xdr:colOff>11206</xdr:colOff>
      <xdr:row>38</xdr:row>
      <xdr:rowOff>91563</xdr:rowOff>
    </xdr:to>
    <xdr:sp macro="" textlink="$R$95">
      <xdr:nvSpPr>
        <xdr:cNvPr id="75" name="CasellaDiTesto 74">
          <a:extLst>
            <a:ext uri="{FF2B5EF4-FFF2-40B4-BE49-F238E27FC236}">
              <a16:creationId xmlns:a16="http://schemas.microsoft.com/office/drawing/2014/main" id="{FD5F235B-980A-48F4-B27D-E3B8210B17F0}"/>
            </a:ext>
          </a:extLst>
        </xdr:cNvPr>
        <xdr:cNvSpPr txBox="1"/>
      </xdr:nvSpPr>
      <xdr:spPr>
        <a:xfrm>
          <a:off x="22661857" y="7863488"/>
          <a:ext cx="1085649" cy="295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+mn-lt"/>
              <a:cs typeface="Calibri"/>
            </a:rPr>
            <a:t>pRS [barg]</a:t>
          </a:r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16</xdr:col>
      <xdr:colOff>485774</xdr:colOff>
      <xdr:row>34</xdr:row>
      <xdr:rowOff>161925</xdr:rowOff>
    </xdr:from>
    <xdr:to>
      <xdr:col>18</xdr:col>
      <xdr:colOff>49513</xdr:colOff>
      <xdr:row>35</xdr:row>
      <xdr:rowOff>182765</xdr:rowOff>
    </xdr:to>
    <xdr:sp macro="" textlink="">
      <xdr:nvSpPr>
        <xdr:cNvPr id="76" name="CasellaDiTesto 75">
          <a:extLst>
            <a:ext uri="{FF2B5EF4-FFF2-40B4-BE49-F238E27FC236}">
              <a16:creationId xmlns:a16="http://schemas.microsoft.com/office/drawing/2014/main" id="{1D9267E7-40A7-47AB-9175-9830874CD575}"/>
            </a:ext>
          </a:extLst>
        </xdr:cNvPr>
        <xdr:cNvSpPr txBox="1"/>
      </xdr:nvSpPr>
      <xdr:spPr>
        <a:xfrm>
          <a:off x="10239374" y="6648450"/>
          <a:ext cx="782939" cy="21134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accent3">
                  <a:lumMod val="75000"/>
                </a:schemeClr>
              </a:solidFill>
            </a:rPr>
            <a:t>pFS [barg]</a:t>
          </a:r>
        </a:p>
      </xdr:txBody>
    </xdr:sp>
    <xdr:clientData/>
  </xdr:twoCellAnchor>
  <xdr:twoCellAnchor>
    <xdr:from>
      <xdr:col>20</xdr:col>
      <xdr:colOff>547809</xdr:colOff>
      <xdr:row>46</xdr:row>
      <xdr:rowOff>173416</xdr:rowOff>
    </xdr:from>
    <xdr:to>
      <xdr:col>22</xdr:col>
      <xdr:colOff>584744</xdr:colOff>
      <xdr:row>47</xdr:row>
      <xdr:rowOff>180321</xdr:rowOff>
    </xdr:to>
    <xdr:sp macro="" textlink="'single_suction-2'!E86">
      <xdr:nvSpPr>
        <xdr:cNvPr id="77" name="CasellaDiTesto 76">
          <a:extLst>
            <a:ext uri="{FF2B5EF4-FFF2-40B4-BE49-F238E27FC236}">
              <a16:creationId xmlns:a16="http://schemas.microsoft.com/office/drawing/2014/main" id="{8C0D8078-E79F-4341-94BA-833B83FFBA7B}"/>
            </a:ext>
          </a:extLst>
        </xdr:cNvPr>
        <xdr:cNvSpPr txBox="1"/>
      </xdr:nvSpPr>
      <xdr:spPr>
        <a:xfrm>
          <a:off x="23064909" y="9879391"/>
          <a:ext cx="1256135" cy="19740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92DCEFC-9733-4119-AB66-4CA721A22A3E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∆pD [bar] = 8.6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193763</xdr:colOff>
      <xdr:row>38</xdr:row>
      <xdr:rowOff>174767</xdr:rowOff>
    </xdr:from>
    <xdr:to>
      <xdr:col>17</xdr:col>
      <xdr:colOff>230698</xdr:colOff>
      <xdr:row>40</xdr:row>
      <xdr:rowOff>24789</xdr:rowOff>
    </xdr:to>
    <xdr:sp macro="" textlink="'single_suction-2'!E59">
      <xdr:nvSpPr>
        <xdr:cNvPr id="78" name="CasellaDiTesto 77">
          <a:extLst>
            <a:ext uri="{FF2B5EF4-FFF2-40B4-BE49-F238E27FC236}">
              <a16:creationId xmlns:a16="http://schemas.microsoft.com/office/drawing/2014/main" id="{C54F752D-D208-474C-A9AE-F52FC09651AF}"/>
            </a:ext>
          </a:extLst>
        </xdr:cNvPr>
        <xdr:cNvSpPr txBox="1"/>
      </xdr:nvSpPr>
      <xdr:spPr>
        <a:xfrm>
          <a:off x="1412963" y="7223267"/>
          <a:ext cx="1256135" cy="23102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8FD705E8-56AF-456C-8C82-9EE5466705B4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r"/>
            <a:t>∆psp [bar] = 12.3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559861</xdr:colOff>
      <xdr:row>70</xdr:row>
      <xdr:rowOff>86324</xdr:rowOff>
    </xdr:from>
    <xdr:to>
      <xdr:col>16</xdr:col>
      <xdr:colOff>192643</xdr:colOff>
      <xdr:row>76</xdr:row>
      <xdr:rowOff>212627</xdr:rowOff>
    </xdr:to>
    <xdr:sp macro="" textlink="'single_suction-2'!E14">
      <xdr:nvSpPr>
        <xdr:cNvPr id="79" name="CasellaDiTesto 78">
          <a:extLst>
            <a:ext uri="{FF2B5EF4-FFF2-40B4-BE49-F238E27FC236}">
              <a16:creationId xmlns:a16="http://schemas.microsoft.com/office/drawing/2014/main" id="{355345C3-12B8-4EB4-90B8-652815AFC696}"/>
            </a:ext>
          </a:extLst>
        </xdr:cNvPr>
        <xdr:cNvSpPr txBox="1"/>
      </xdr:nvSpPr>
      <xdr:spPr>
        <a:xfrm rot="16200000">
          <a:off x="19467875" y="15611185"/>
          <a:ext cx="1364553" cy="242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ED5E5CE-BBD0-44D4-A1F4-AE90255EDBE9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ssp [mm] = 0.29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14</xdr:col>
      <xdr:colOff>131365</xdr:colOff>
      <xdr:row>76</xdr:row>
      <xdr:rowOff>88049</xdr:rowOff>
    </xdr:from>
    <xdr:to>
      <xdr:col>14</xdr:col>
      <xdr:colOff>369748</xdr:colOff>
      <xdr:row>82</xdr:row>
      <xdr:rowOff>112957</xdr:rowOff>
    </xdr:to>
    <xdr:sp macro="" textlink="'single_suction-2'!E10">
      <xdr:nvSpPr>
        <xdr:cNvPr id="80" name="CasellaDiTesto 79">
          <a:extLst>
            <a:ext uri="{FF2B5EF4-FFF2-40B4-BE49-F238E27FC236}">
              <a16:creationId xmlns:a16="http://schemas.microsoft.com/office/drawing/2014/main" id="{62C1B64B-7EFF-410B-8705-BF6925F71DF1}"/>
            </a:ext>
          </a:extLst>
        </xdr:cNvPr>
        <xdr:cNvSpPr txBox="1"/>
      </xdr:nvSpPr>
      <xdr:spPr>
        <a:xfrm rot="16200000">
          <a:off x="18449903" y="16850086"/>
          <a:ext cx="132030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36E493C-C87C-422E-A46F-CB19C3B45342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Dsp [mm] = 281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53503</xdr:colOff>
      <xdr:row>76</xdr:row>
      <xdr:rowOff>60354</xdr:rowOff>
    </xdr:from>
    <xdr:to>
      <xdr:col>15</xdr:col>
      <xdr:colOff>288982</xdr:colOff>
      <xdr:row>82</xdr:row>
      <xdr:rowOff>85260</xdr:rowOff>
    </xdr:to>
    <xdr:sp macro="" textlink="'single_suction-2'!E12">
      <xdr:nvSpPr>
        <xdr:cNvPr id="81" name="CasellaDiTesto 80">
          <a:extLst>
            <a:ext uri="{FF2B5EF4-FFF2-40B4-BE49-F238E27FC236}">
              <a16:creationId xmlns:a16="http://schemas.microsoft.com/office/drawing/2014/main" id="{F834108C-3CD0-4114-8142-747BA3C16898}"/>
            </a:ext>
          </a:extLst>
        </xdr:cNvPr>
        <xdr:cNvSpPr txBox="1"/>
      </xdr:nvSpPr>
      <xdr:spPr>
        <a:xfrm rot="16200000">
          <a:off x="18980190" y="16823842"/>
          <a:ext cx="1320306" cy="23547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61AAEB5-1CC8-4A46-8B09-FDC43D401AAC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DFH [mm] = 100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139879</xdr:colOff>
      <xdr:row>76</xdr:row>
      <xdr:rowOff>68252</xdr:rowOff>
    </xdr:from>
    <xdr:to>
      <xdr:col>13</xdr:col>
      <xdr:colOff>378262</xdr:colOff>
      <xdr:row>82</xdr:row>
      <xdr:rowOff>93160</xdr:rowOff>
    </xdr:to>
    <xdr:sp macro="" textlink="'single_suction-2'!E9">
      <xdr:nvSpPr>
        <xdr:cNvPr id="82" name="CasellaDiTesto 81">
          <a:extLst>
            <a:ext uri="{FF2B5EF4-FFF2-40B4-BE49-F238E27FC236}">
              <a16:creationId xmlns:a16="http://schemas.microsoft.com/office/drawing/2014/main" id="{E72604BE-4F02-4A48-A0E6-290DDC33DEAB}"/>
            </a:ext>
          </a:extLst>
        </xdr:cNvPr>
        <xdr:cNvSpPr txBox="1"/>
      </xdr:nvSpPr>
      <xdr:spPr>
        <a:xfrm rot="16200000">
          <a:off x="17848817" y="16830289"/>
          <a:ext cx="132030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5BEEB41-49A9-4B80-B5B1-F4B4CAE6EF5B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D2 [mm] = 430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23</xdr:col>
      <xdr:colOff>309502</xdr:colOff>
      <xdr:row>76</xdr:row>
      <xdr:rowOff>133350</xdr:rowOff>
    </xdr:from>
    <xdr:to>
      <xdr:col>23</xdr:col>
      <xdr:colOff>547885</xdr:colOff>
      <xdr:row>82</xdr:row>
      <xdr:rowOff>157493</xdr:rowOff>
    </xdr:to>
    <xdr:sp macro="" textlink="'single_suction-2'!E13">
      <xdr:nvSpPr>
        <xdr:cNvPr id="83" name="CasellaDiTesto 82">
          <a:extLst>
            <a:ext uri="{FF2B5EF4-FFF2-40B4-BE49-F238E27FC236}">
              <a16:creationId xmlns:a16="http://schemas.microsoft.com/office/drawing/2014/main" id="{6675BBC1-7209-45C2-9B19-668E0AAD00F5}"/>
            </a:ext>
          </a:extLst>
        </xdr:cNvPr>
        <xdr:cNvSpPr txBox="1"/>
      </xdr:nvSpPr>
      <xdr:spPr>
        <a:xfrm rot="16200000">
          <a:off x="5941122" y="14885230"/>
          <a:ext cx="1167143" cy="238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2E0C46B-7A81-47B8-BC41-16AE3102E865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DRH [mm] = 120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280818</xdr:colOff>
      <xdr:row>59</xdr:row>
      <xdr:rowOff>149936</xdr:rowOff>
    </xdr:from>
    <xdr:to>
      <xdr:col>17</xdr:col>
      <xdr:colOff>291310</xdr:colOff>
      <xdr:row>61</xdr:row>
      <xdr:rowOff>1374</xdr:rowOff>
    </xdr:to>
    <xdr:sp macro="" textlink="'single_suction-2'!E66">
      <xdr:nvSpPr>
        <xdr:cNvPr id="85" name="CasellaDiTesto 84">
          <a:extLst>
            <a:ext uri="{FF2B5EF4-FFF2-40B4-BE49-F238E27FC236}">
              <a16:creationId xmlns:a16="http://schemas.microsoft.com/office/drawing/2014/main" id="{FD2AD2B3-730B-42D9-B7EC-115F95DFC2EC}"/>
            </a:ext>
          </a:extLst>
        </xdr:cNvPr>
        <xdr:cNvSpPr txBox="1"/>
      </xdr:nvSpPr>
      <xdr:spPr>
        <a:xfrm>
          <a:off x="19749918" y="12675311"/>
          <a:ext cx="1229692" cy="30863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C0276CCF-CC6D-4266-AD66-3960A2FA036C}" type="TxLink">
            <a:rPr lang="en-US" sz="1100" b="0" i="0" u="none" strike="noStrike">
              <a:solidFill>
                <a:schemeClr val="tx2"/>
              </a:solidFill>
              <a:latin typeface="Calibri"/>
              <a:cs typeface="Calibri"/>
            </a:rPr>
            <a:pPr algn="r"/>
            <a:t>Qsp [m3/h] = 14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20</xdr:col>
      <xdr:colOff>7954</xdr:colOff>
      <xdr:row>59</xdr:row>
      <xdr:rowOff>105093</xdr:rowOff>
    </xdr:from>
    <xdr:to>
      <xdr:col>22</xdr:col>
      <xdr:colOff>20866</xdr:colOff>
      <xdr:row>60</xdr:row>
      <xdr:rowOff>147573</xdr:rowOff>
    </xdr:to>
    <xdr:sp macro="" textlink="'single_suction-2'!E93">
      <xdr:nvSpPr>
        <xdr:cNvPr id="86" name="CasellaDiTesto 85">
          <a:extLst>
            <a:ext uri="{FF2B5EF4-FFF2-40B4-BE49-F238E27FC236}">
              <a16:creationId xmlns:a16="http://schemas.microsoft.com/office/drawing/2014/main" id="{9B506B54-8955-431D-9259-DE8C8F4B4C5D}"/>
            </a:ext>
          </a:extLst>
        </xdr:cNvPr>
        <xdr:cNvSpPr txBox="1"/>
      </xdr:nvSpPr>
      <xdr:spPr>
        <a:xfrm>
          <a:off x="22525054" y="12630468"/>
          <a:ext cx="1232112" cy="27108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723C498-F4F9-4077-8012-503CFE4022DB}" type="TxLink">
            <a:rPr lang="en-US" sz="1100" b="0" i="0" u="none" strike="noStrike">
              <a:solidFill>
                <a:schemeClr val="tx2"/>
              </a:solidFill>
              <a:latin typeface="Calibri"/>
              <a:cs typeface="Calibri"/>
            </a:rPr>
            <a:pPr algn="l"/>
            <a:t>QD [m3/h] = 7.5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22</xdr:col>
      <xdr:colOff>511629</xdr:colOff>
      <xdr:row>75</xdr:row>
      <xdr:rowOff>110276</xdr:rowOff>
    </xdr:from>
    <xdr:to>
      <xdr:col>25</xdr:col>
      <xdr:colOff>105634</xdr:colOff>
      <xdr:row>76</xdr:row>
      <xdr:rowOff>152756</xdr:rowOff>
    </xdr:to>
    <xdr:sp macro="" textlink="'single_suction-2'!E38">
      <xdr:nvSpPr>
        <xdr:cNvPr id="87" name="CasellaDiTesto 86">
          <a:extLst>
            <a:ext uri="{FF2B5EF4-FFF2-40B4-BE49-F238E27FC236}">
              <a16:creationId xmlns:a16="http://schemas.microsoft.com/office/drawing/2014/main" id="{BDC81745-3E04-4881-A4C1-C221AF7FE28F}"/>
            </a:ext>
          </a:extLst>
        </xdr:cNvPr>
        <xdr:cNvSpPr txBox="1"/>
      </xdr:nvSpPr>
      <xdr:spPr>
        <a:xfrm>
          <a:off x="24247929" y="16102751"/>
          <a:ext cx="1422805" cy="271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4611D29C-D401-4EA7-9F46-32C3F4069913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pSTUFF [bar] = 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538313</xdr:colOff>
      <xdr:row>56</xdr:row>
      <xdr:rowOff>144621</xdr:rowOff>
    </xdr:from>
    <xdr:to>
      <xdr:col>20</xdr:col>
      <xdr:colOff>119104</xdr:colOff>
      <xdr:row>57</xdr:row>
      <xdr:rowOff>186558</xdr:rowOff>
    </xdr:to>
    <xdr:sp macro="" textlink="'single_suction-2'!E98">
      <xdr:nvSpPr>
        <xdr:cNvPr id="88" name="CasellaDiTesto 87">
          <a:extLst>
            <a:ext uri="{FF2B5EF4-FFF2-40B4-BE49-F238E27FC236}">
              <a16:creationId xmlns:a16="http://schemas.microsoft.com/office/drawing/2014/main" id="{C312BAE6-1353-4D9B-BB72-DE42B693CB87}"/>
            </a:ext>
          </a:extLst>
        </xdr:cNvPr>
        <xdr:cNvSpPr txBox="1"/>
      </xdr:nvSpPr>
      <xdr:spPr>
        <a:xfrm>
          <a:off x="21226613" y="11984196"/>
          <a:ext cx="1409591" cy="2705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E7548D1-F50A-4533-83F9-005E7B67B01D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pLA [bar] = 13.8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321005</xdr:colOff>
      <xdr:row>62</xdr:row>
      <xdr:rowOff>29695</xdr:rowOff>
    </xdr:from>
    <xdr:to>
      <xdr:col>21</xdr:col>
      <xdr:colOff>63874</xdr:colOff>
      <xdr:row>63</xdr:row>
      <xdr:rowOff>78227</xdr:rowOff>
    </xdr:to>
    <xdr:sp macro="" textlink="">
      <xdr:nvSpPr>
        <xdr:cNvPr id="89" name="CasellaDiTesto 88">
          <a:extLst>
            <a:ext uri="{FF2B5EF4-FFF2-40B4-BE49-F238E27FC236}">
              <a16:creationId xmlns:a16="http://schemas.microsoft.com/office/drawing/2014/main" id="{4BB49550-5074-4474-A914-236CCC8DF7BF}"/>
            </a:ext>
          </a:extLst>
        </xdr:cNvPr>
        <xdr:cNvSpPr txBox="1"/>
      </xdr:nvSpPr>
      <xdr:spPr>
        <a:xfrm>
          <a:off x="3978605" y="11850220"/>
          <a:ext cx="962069" cy="23903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accent3">
                  <a:lumMod val="75000"/>
                </a:schemeClr>
              </a:solidFill>
            </a:rPr>
            <a:t>pRS</a:t>
          </a:r>
          <a:r>
            <a:rPr lang="en-US" sz="1100" baseline="0">
              <a:solidFill>
                <a:schemeClr val="accent3">
                  <a:lumMod val="75000"/>
                </a:schemeClr>
              </a:solidFill>
            </a:rPr>
            <a:t> [barg]</a:t>
          </a:r>
          <a:endParaRPr lang="en-US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16</xdr:col>
      <xdr:colOff>85726</xdr:colOff>
      <xdr:row>61</xdr:row>
      <xdr:rowOff>78891</xdr:rowOff>
    </xdr:from>
    <xdr:to>
      <xdr:col>17</xdr:col>
      <xdr:colOff>267352</xdr:colOff>
      <xdr:row>62</xdr:row>
      <xdr:rowOff>117413</xdr:rowOff>
    </xdr:to>
    <xdr:sp macro="" textlink="">
      <xdr:nvSpPr>
        <xdr:cNvPr id="90" name="CasellaDiTesto 89">
          <a:extLst>
            <a:ext uri="{FF2B5EF4-FFF2-40B4-BE49-F238E27FC236}">
              <a16:creationId xmlns:a16="http://schemas.microsoft.com/office/drawing/2014/main" id="{852A11BB-973E-41A0-96D6-4532CBA67CBA}"/>
            </a:ext>
          </a:extLst>
        </xdr:cNvPr>
        <xdr:cNvSpPr txBox="1"/>
      </xdr:nvSpPr>
      <xdr:spPr>
        <a:xfrm>
          <a:off x="9839326" y="11708916"/>
          <a:ext cx="791226" cy="22902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>
              <a:solidFill>
                <a:schemeClr val="accent3">
                  <a:lumMod val="75000"/>
                </a:schemeClr>
              </a:solidFill>
              <a:effectLst/>
            </a:rPr>
            <a:t>pFS [barg]</a:t>
          </a:r>
        </a:p>
      </xdr:txBody>
    </xdr:sp>
    <xdr:clientData/>
  </xdr:twoCellAnchor>
  <xdr:twoCellAnchor>
    <xdr:from>
      <xdr:col>22</xdr:col>
      <xdr:colOff>190310</xdr:colOff>
      <xdr:row>67</xdr:row>
      <xdr:rowOff>90788</xdr:rowOff>
    </xdr:from>
    <xdr:to>
      <xdr:col>24</xdr:col>
      <xdr:colOff>227515</xdr:colOff>
      <xdr:row>68</xdr:row>
      <xdr:rowOff>102165</xdr:rowOff>
    </xdr:to>
    <xdr:sp macro="" textlink="'single_suction-2'!E86">
      <xdr:nvSpPr>
        <xdr:cNvPr id="91" name="CasellaDiTesto 90">
          <a:extLst>
            <a:ext uri="{FF2B5EF4-FFF2-40B4-BE49-F238E27FC236}">
              <a16:creationId xmlns:a16="http://schemas.microsoft.com/office/drawing/2014/main" id="{5790B03C-8084-49C9-B55A-E7B3773B02F4}"/>
            </a:ext>
          </a:extLst>
        </xdr:cNvPr>
        <xdr:cNvSpPr txBox="1"/>
      </xdr:nvSpPr>
      <xdr:spPr>
        <a:xfrm>
          <a:off x="5676710" y="12863813"/>
          <a:ext cx="1256405" cy="20187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91543EE-1A09-47AB-BCF4-7773832BE24A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∆pD [bar] = 8.6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14</xdr:col>
      <xdr:colOff>467128</xdr:colOff>
      <xdr:row>65</xdr:row>
      <xdr:rowOff>79682</xdr:rowOff>
    </xdr:from>
    <xdr:to>
      <xdr:col>16</xdr:col>
      <xdr:colOff>504333</xdr:colOff>
      <xdr:row>66</xdr:row>
      <xdr:rowOff>124677</xdr:rowOff>
    </xdr:to>
    <xdr:sp macro="" textlink="'single_suction-2'!E59">
      <xdr:nvSpPr>
        <xdr:cNvPr id="92" name="CasellaDiTesto 91">
          <a:extLst>
            <a:ext uri="{FF2B5EF4-FFF2-40B4-BE49-F238E27FC236}">
              <a16:creationId xmlns:a16="http://schemas.microsoft.com/office/drawing/2014/main" id="{25A755E9-C91F-4DDF-AC62-FAC951903AFE}"/>
            </a:ext>
          </a:extLst>
        </xdr:cNvPr>
        <xdr:cNvSpPr txBox="1"/>
      </xdr:nvSpPr>
      <xdr:spPr>
        <a:xfrm>
          <a:off x="19326628" y="13976657"/>
          <a:ext cx="1256405" cy="27359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16ED90C5-09A4-423F-AD7A-1188867AAF0E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r"/>
            <a:t>∆psp [bar] = 12.3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174731</xdr:colOff>
      <xdr:row>75</xdr:row>
      <xdr:rowOff>102614</xdr:rowOff>
    </xdr:from>
    <xdr:to>
      <xdr:col>21</xdr:col>
      <xdr:colOff>374849</xdr:colOff>
      <xdr:row>76</xdr:row>
      <xdr:rowOff>137999</xdr:rowOff>
    </xdr:to>
    <xdr:sp macro="" textlink="'single_suction-2'!E39">
      <xdr:nvSpPr>
        <xdr:cNvPr id="93" name="CasellaDiTesto 92">
          <a:extLst>
            <a:ext uri="{FF2B5EF4-FFF2-40B4-BE49-F238E27FC236}">
              <a16:creationId xmlns:a16="http://schemas.microsoft.com/office/drawing/2014/main" id="{4C61D657-BE5D-4D94-8AD9-199170CB1748}"/>
            </a:ext>
          </a:extLst>
        </xdr:cNvPr>
        <xdr:cNvSpPr txBox="1"/>
      </xdr:nvSpPr>
      <xdr:spPr>
        <a:xfrm>
          <a:off x="22082231" y="16095089"/>
          <a:ext cx="1419318" cy="2639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D62DE72-E3BA-4704-BDFA-1D2934AA8939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pBAL [bar] = 1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257176</xdr:colOff>
      <xdr:row>77</xdr:row>
      <xdr:rowOff>19050</xdr:rowOff>
    </xdr:from>
    <xdr:to>
      <xdr:col>24</xdr:col>
      <xdr:colOff>495559</xdr:colOff>
      <xdr:row>82</xdr:row>
      <xdr:rowOff>128918</xdr:rowOff>
    </xdr:to>
    <xdr:sp macro="" textlink="'single_suction-2'!E11">
      <xdr:nvSpPr>
        <xdr:cNvPr id="94" name="CasellaDiTesto 93">
          <a:extLst>
            <a:ext uri="{FF2B5EF4-FFF2-40B4-BE49-F238E27FC236}">
              <a16:creationId xmlns:a16="http://schemas.microsoft.com/office/drawing/2014/main" id="{B292AE66-17AE-4154-A2DF-12420CE9B277}"/>
            </a:ext>
          </a:extLst>
        </xdr:cNvPr>
        <xdr:cNvSpPr txBox="1"/>
      </xdr:nvSpPr>
      <xdr:spPr>
        <a:xfrm rot="16200000">
          <a:off x="6550784" y="14909042"/>
          <a:ext cx="106236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35D823F-05C1-48E6-9714-42605B635524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DD [mm] = 210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331767</xdr:colOff>
      <xdr:row>69</xdr:row>
      <xdr:rowOff>159224</xdr:rowOff>
    </xdr:from>
    <xdr:to>
      <xdr:col>20</xdr:col>
      <xdr:colOff>570150</xdr:colOff>
      <xdr:row>75</xdr:row>
      <xdr:rowOff>183367</xdr:rowOff>
    </xdr:to>
    <xdr:sp macro="" textlink="'single_suction-2'!E15">
      <xdr:nvSpPr>
        <xdr:cNvPr id="95" name="CasellaDiTesto 94">
          <a:extLst>
            <a:ext uri="{FF2B5EF4-FFF2-40B4-BE49-F238E27FC236}">
              <a16:creationId xmlns:a16="http://schemas.microsoft.com/office/drawing/2014/main" id="{705FEDDE-5A6E-4D1D-9888-DCCA5D5BD9A3}"/>
            </a:ext>
          </a:extLst>
        </xdr:cNvPr>
        <xdr:cNvSpPr txBox="1"/>
      </xdr:nvSpPr>
      <xdr:spPr>
        <a:xfrm rot="16200000">
          <a:off x="4134587" y="13577604"/>
          <a:ext cx="1167143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C19CA225-4F13-4D3C-BBDC-DD7F9EB23B91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sD [mm] = 0.29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18</xdr:col>
      <xdr:colOff>552449</xdr:colOff>
      <xdr:row>21</xdr:row>
      <xdr:rowOff>76200</xdr:rowOff>
    </xdr:from>
    <xdr:to>
      <xdr:col>21</xdr:col>
      <xdr:colOff>8050</xdr:colOff>
      <xdr:row>22</xdr:row>
      <xdr:rowOff>148848</xdr:rowOff>
    </xdr:to>
    <xdr:sp macro="" textlink="'single_suction-2'!E87">
      <xdr:nvSpPr>
        <xdr:cNvPr id="3" name="CasellaDiTesto 2">
          <a:extLst>
            <a:ext uri="{FF2B5EF4-FFF2-40B4-BE49-F238E27FC236}">
              <a16:creationId xmlns:a16="http://schemas.microsoft.com/office/drawing/2014/main" id="{9DC37C11-0F31-4397-B7B0-D4750ACD63F5}"/>
            </a:ext>
          </a:extLst>
        </xdr:cNvPr>
        <xdr:cNvSpPr txBox="1"/>
      </xdr:nvSpPr>
      <xdr:spPr>
        <a:xfrm>
          <a:off x="3600449" y="4086225"/>
          <a:ext cx="1284401" cy="26314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F4414E45-0586-4C2F-AFE2-25330C1274D9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pD [barg] = 9.8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18</xdr:col>
      <xdr:colOff>142876</xdr:colOff>
      <xdr:row>48</xdr:row>
      <xdr:rowOff>47625</xdr:rowOff>
    </xdr:from>
    <xdr:to>
      <xdr:col>20</xdr:col>
      <xdr:colOff>208077</xdr:colOff>
      <xdr:row>49</xdr:row>
      <xdr:rowOff>120273</xdr:rowOff>
    </xdr:to>
    <xdr:sp macro="" textlink="'single_suction-2'!E87">
      <xdr:nvSpPr>
        <xdr:cNvPr id="4" name="CasellaDiTesto 3">
          <a:extLst>
            <a:ext uri="{FF2B5EF4-FFF2-40B4-BE49-F238E27FC236}">
              <a16:creationId xmlns:a16="http://schemas.microsoft.com/office/drawing/2014/main" id="{AA72E65C-458A-499D-81C5-5F460F41E949}"/>
            </a:ext>
          </a:extLst>
        </xdr:cNvPr>
        <xdr:cNvSpPr txBox="1"/>
      </xdr:nvSpPr>
      <xdr:spPr>
        <a:xfrm>
          <a:off x="3190876" y="9201150"/>
          <a:ext cx="1284401" cy="26314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042F5201-31B4-4A96-B4C7-61146E565B1A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pD [barg] = 9.8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161925</xdr:colOff>
      <xdr:row>64</xdr:row>
      <xdr:rowOff>9525</xdr:rowOff>
    </xdr:from>
    <xdr:to>
      <xdr:col>22</xdr:col>
      <xdr:colOff>390525</xdr:colOff>
      <xdr:row>65</xdr:row>
      <xdr:rowOff>82173</xdr:rowOff>
    </xdr:to>
    <xdr:sp macro="" textlink="'single_suction-2'!E87">
      <xdr:nvSpPr>
        <xdr:cNvPr id="5" name="CasellaDiTesto 4">
          <a:extLst>
            <a:ext uri="{FF2B5EF4-FFF2-40B4-BE49-F238E27FC236}">
              <a16:creationId xmlns:a16="http://schemas.microsoft.com/office/drawing/2014/main" id="{90522D3F-BFED-4732-9935-AF77213ECACD}"/>
            </a:ext>
          </a:extLst>
        </xdr:cNvPr>
        <xdr:cNvSpPr txBox="1"/>
      </xdr:nvSpPr>
      <xdr:spPr>
        <a:xfrm>
          <a:off x="12353925" y="12211050"/>
          <a:ext cx="1447800" cy="26314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D44F9D8-3CB5-4B18-B9B1-74A96195C5D4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pD [barg] = 9.8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457200</xdr:colOff>
      <xdr:row>27</xdr:row>
      <xdr:rowOff>38129</xdr:rowOff>
    </xdr:from>
    <xdr:to>
      <xdr:col>20</xdr:col>
      <xdr:colOff>270070</xdr:colOff>
      <xdr:row>27</xdr:row>
      <xdr:rowOff>38129</xdr:rowOff>
    </xdr:to>
    <xdr:cxnSp macro="">
      <xdr:nvCxnSpPr>
        <xdr:cNvPr id="2" name="Connettore 2 1">
          <a:extLst>
            <a:ext uri="{FF2B5EF4-FFF2-40B4-BE49-F238E27FC236}">
              <a16:creationId xmlns:a16="http://schemas.microsoft.com/office/drawing/2014/main" id="{E71298E5-3660-41E3-B3DA-A4CE8777A170}"/>
            </a:ext>
          </a:extLst>
        </xdr:cNvPr>
        <xdr:cNvCxnSpPr/>
      </xdr:nvCxnSpPr>
      <xdr:spPr>
        <a:xfrm flipH="1">
          <a:off x="2895600" y="5191154"/>
          <a:ext cx="1641670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45931</xdr:colOff>
      <xdr:row>25</xdr:row>
      <xdr:rowOff>95250</xdr:rowOff>
    </xdr:from>
    <xdr:to>
      <xdr:col>21</xdr:col>
      <xdr:colOff>197131</xdr:colOff>
      <xdr:row>26</xdr:row>
      <xdr:rowOff>156700</xdr:rowOff>
    </xdr:to>
    <xdr:sp macro="" textlink="'single_suction-2'!E106">
      <xdr:nvSpPr>
        <xdr:cNvPr id="6" name="CasellaDiTesto 5">
          <a:extLst>
            <a:ext uri="{FF2B5EF4-FFF2-40B4-BE49-F238E27FC236}">
              <a16:creationId xmlns:a16="http://schemas.microsoft.com/office/drawing/2014/main" id="{B1E12975-8811-4B95-9E5E-EE7D34C7F889}"/>
            </a:ext>
          </a:extLst>
        </xdr:cNvPr>
        <xdr:cNvSpPr txBox="1"/>
      </xdr:nvSpPr>
      <xdr:spPr>
        <a:xfrm>
          <a:off x="11018731" y="4867275"/>
          <a:ext cx="1980000" cy="25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5F57493-3486-4959-A949-4A0B55DC616D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F[N] = 40644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314326</xdr:colOff>
      <xdr:row>54</xdr:row>
      <xdr:rowOff>57179</xdr:rowOff>
    </xdr:from>
    <xdr:to>
      <xdr:col>20</xdr:col>
      <xdr:colOff>127196</xdr:colOff>
      <xdr:row>54</xdr:row>
      <xdr:rowOff>57179</xdr:rowOff>
    </xdr:to>
    <xdr:cxnSp macro="">
      <xdr:nvCxnSpPr>
        <xdr:cNvPr id="7" name="Connettore 2 6">
          <a:extLst>
            <a:ext uri="{FF2B5EF4-FFF2-40B4-BE49-F238E27FC236}">
              <a16:creationId xmlns:a16="http://schemas.microsoft.com/office/drawing/2014/main" id="{FFF57208-6882-4821-A481-5D522240B520}"/>
            </a:ext>
          </a:extLst>
        </xdr:cNvPr>
        <xdr:cNvCxnSpPr/>
      </xdr:nvCxnSpPr>
      <xdr:spPr>
        <a:xfrm flipH="1">
          <a:off x="2752726" y="10353704"/>
          <a:ext cx="1641670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512657</xdr:colOff>
      <xdr:row>52</xdr:row>
      <xdr:rowOff>114300</xdr:rowOff>
    </xdr:from>
    <xdr:to>
      <xdr:col>21</xdr:col>
      <xdr:colOff>54257</xdr:colOff>
      <xdr:row>53</xdr:row>
      <xdr:rowOff>175750</xdr:rowOff>
    </xdr:to>
    <xdr:sp macro="" textlink="'single_suction-2'!E106">
      <xdr:nvSpPr>
        <xdr:cNvPr id="8" name="CasellaDiTesto 7">
          <a:extLst>
            <a:ext uri="{FF2B5EF4-FFF2-40B4-BE49-F238E27FC236}">
              <a16:creationId xmlns:a16="http://schemas.microsoft.com/office/drawing/2014/main" id="{CA27FFE4-8C4E-4097-8617-842CB8475A0A}"/>
            </a:ext>
          </a:extLst>
        </xdr:cNvPr>
        <xdr:cNvSpPr txBox="1"/>
      </xdr:nvSpPr>
      <xdr:spPr>
        <a:xfrm>
          <a:off x="10875857" y="10029825"/>
          <a:ext cx="1980000" cy="25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5F57493-3486-4959-A949-4A0B55DC616D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F[N] = 40644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352425</xdr:colOff>
      <xdr:row>81</xdr:row>
      <xdr:rowOff>133379</xdr:rowOff>
    </xdr:from>
    <xdr:to>
      <xdr:col>20</xdr:col>
      <xdr:colOff>165295</xdr:colOff>
      <xdr:row>81</xdr:row>
      <xdr:rowOff>133379</xdr:rowOff>
    </xdr:to>
    <xdr:cxnSp macro="">
      <xdr:nvCxnSpPr>
        <xdr:cNvPr id="9" name="Connettore 2 8">
          <a:extLst>
            <a:ext uri="{FF2B5EF4-FFF2-40B4-BE49-F238E27FC236}">
              <a16:creationId xmlns:a16="http://schemas.microsoft.com/office/drawing/2014/main" id="{BF8EB0C5-1686-4C73-8887-8C20A31460CD}"/>
            </a:ext>
          </a:extLst>
        </xdr:cNvPr>
        <xdr:cNvCxnSpPr/>
      </xdr:nvCxnSpPr>
      <xdr:spPr>
        <a:xfrm flipH="1">
          <a:off x="2790825" y="15573404"/>
          <a:ext cx="1641670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550756</xdr:colOff>
      <xdr:row>80</xdr:row>
      <xdr:rowOff>0</xdr:rowOff>
    </xdr:from>
    <xdr:to>
      <xdr:col>21</xdr:col>
      <xdr:colOff>92356</xdr:colOff>
      <xdr:row>81</xdr:row>
      <xdr:rowOff>61450</xdr:rowOff>
    </xdr:to>
    <xdr:sp macro="" textlink="'single_suction-2'!E106">
      <xdr:nvSpPr>
        <xdr:cNvPr id="10" name="CasellaDiTesto 9">
          <a:extLst>
            <a:ext uri="{FF2B5EF4-FFF2-40B4-BE49-F238E27FC236}">
              <a16:creationId xmlns:a16="http://schemas.microsoft.com/office/drawing/2014/main" id="{7F47151D-F76F-4AB0-8C12-3C454FB18667}"/>
            </a:ext>
          </a:extLst>
        </xdr:cNvPr>
        <xdr:cNvSpPr txBox="1"/>
      </xdr:nvSpPr>
      <xdr:spPr>
        <a:xfrm>
          <a:off x="10913956" y="15249525"/>
          <a:ext cx="1980000" cy="25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5F57493-3486-4959-A949-4A0B55DC616D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F[N] = 40644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1</xdr:colOff>
      <xdr:row>56</xdr:row>
      <xdr:rowOff>0</xdr:rowOff>
    </xdr:to>
    <xdr:pic>
      <xdr:nvPicPr>
        <xdr:cNvPr id="12" name="Immagine 11">
          <a:extLst>
            <a:ext uri="{FF2B5EF4-FFF2-40B4-BE49-F238E27FC236}">
              <a16:creationId xmlns:a16="http://schemas.microsoft.com/office/drawing/2014/main" id="{791EA57C-BCD5-4B33-8BD1-66396C234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34025"/>
          <a:ext cx="1" cy="514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75</xdr:row>
      <xdr:rowOff>110276</xdr:rowOff>
    </xdr:from>
    <xdr:to>
      <xdr:col>0</xdr:col>
      <xdr:colOff>105634</xdr:colOff>
      <xdr:row>76</xdr:row>
      <xdr:rowOff>152756</xdr:rowOff>
    </xdr:to>
    <xdr:sp macro="" textlink="#REF!">
      <xdr:nvSpPr>
        <xdr:cNvPr id="13" name="CasellaDiTesto 12">
          <a:extLst>
            <a:ext uri="{FF2B5EF4-FFF2-40B4-BE49-F238E27FC236}">
              <a16:creationId xmlns:a16="http://schemas.microsoft.com/office/drawing/2014/main" id="{F68B6279-50B1-497A-9E0D-A911E7E67152}"/>
            </a:ext>
          </a:extLst>
        </xdr:cNvPr>
        <xdr:cNvSpPr txBox="1"/>
      </xdr:nvSpPr>
      <xdr:spPr>
        <a:xfrm>
          <a:off x="0" y="14407301"/>
          <a:ext cx="105634" cy="232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09416DD-64AB-4DE7-ACB8-55CBAB833FAA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 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1</xdr:colOff>
      <xdr:row>2</xdr:row>
      <xdr:rowOff>0</xdr:rowOff>
    </xdr:from>
    <xdr:to>
      <xdr:col>12</xdr:col>
      <xdr:colOff>0</xdr:colOff>
      <xdr:row>29</xdr:row>
      <xdr:rowOff>0</xdr:rowOff>
    </xdr:to>
    <xdr:pic>
      <xdr:nvPicPr>
        <xdr:cNvPr id="14" name="Immagine 13">
          <a:extLst>
            <a:ext uri="{FF2B5EF4-FFF2-40B4-BE49-F238E27FC236}">
              <a16:creationId xmlns:a16="http://schemas.microsoft.com/office/drawing/2014/main" id="{6D4C91C9-08EF-4E93-AD9D-2E42342F8EA3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90525"/>
          <a:ext cx="7315199" cy="514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218456</xdr:colOff>
      <xdr:row>16</xdr:row>
      <xdr:rowOff>197319</xdr:rowOff>
    </xdr:from>
    <xdr:to>
      <xdr:col>3</xdr:col>
      <xdr:colOff>456260</xdr:colOff>
      <xdr:row>23</xdr:row>
      <xdr:rowOff>92980</xdr:rowOff>
    </xdr:to>
    <xdr:sp macro="" textlink="'single_suction-1'!J15">
      <xdr:nvSpPr>
        <xdr:cNvPr id="15" name="CasellaDiTesto 14">
          <a:extLst>
            <a:ext uri="{FF2B5EF4-FFF2-40B4-BE49-F238E27FC236}">
              <a16:creationId xmlns:a16="http://schemas.microsoft.com/office/drawing/2014/main" id="{89EAF143-AB32-4C09-9CA6-75DCBEC35BCC}"/>
            </a:ext>
          </a:extLst>
        </xdr:cNvPr>
        <xdr:cNvSpPr txBox="1"/>
      </xdr:nvSpPr>
      <xdr:spPr>
        <a:xfrm rot="16200000">
          <a:off x="1546815" y="3745760"/>
          <a:ext cx="1238686" cy="2378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7C243644-E70F-4E83-94B1-4F60A2CE3BA9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ssp [mm] = 0.215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261359</xdr:colOff>
      <xdr:row>22</xdr:row>
      <xdr:rowOff>84102</xdr:rowOff>
    </xdr:from>
    <xdr:to>
      <xdr:col>1</xdr:col>
      <xdr:colOff>499646</xdr:colOff>
      <xdr:row>28</xdr:row>
      <xdr:rowOff>147314</xdr:rowOff>
    </xdr:to>
    <xdr:sp macro="" textlink="'single_suction-1'!J11">
      <xdr:nvSpPr>
        <xdr:cNvPr id="16" name="CasellaDiTesto 15">
          <a:extLst>
            <a:ext uri="{FF2B5EF4-FFF2-40B4-BE49-F238E27FC236}">
              <a16:creationId xmlns:a16="http://schemas.microsoft.com/office/drawing/2014/main" id="{2178F887-4BA3-4179-9FAE-5000780478E1}"/>
            </a:ext>
          </a:extLst>
        </xdr:cNvPr>
        <xdr:cNvSpPr txBox="1"/>
      </xdr:nvSpPr>
      <xdr:spPr>
        <a:xfrm rot="16200000">
          <a:off x="386997" y="4768589"/>
          <a:ext cx="1206212" cy="23828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8A8E6B7-8064-4527-B05F-0CA7580705AA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Dsp [mm] = 149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328620</xdr:colOff>
      <xdr:row>22</xdr:row>
      <xdr:rowOff>78307</xdr:rowOff>
    </xdr:from>
    <xdr:to>
      <xdr:col>2</xdr:col>
      <xdr:colOff>564003</xdr:colOff>
      <xdr:row>28</xdr:row>
      <xdr:rowOff>141518</xdr:rowOff>
    </xdr:to>
    <xdr:sp macro="" textlink="'single_suction-1'!J13">
      <xdr:nvSpPr>
        <xdr:cNvPr id="17" name="CasellaDiTesto 16">
          <a:extLst>
            <a:ext uri="{FF2B5EF4-FFF2-40B4-BE49-F238E27FC236}">
              <a16:creationId xmlns:a16="http://schemas.microsoft.com/office/drawing/2014/main" id="{91730C0F-9FC9-4840-A0C2-C51B68B2928E}"/>
            </a:ext>
          </a:extLst>
        </xdr:cNvPr>
        <xdr:cNvSpPr txBox="1"/>
      </xdr:nvSpPr>
      <xdr:spPr>
        <a:xfrm rot="16200000">
          <a:off x="1062406" y="4764246"/>
          <a:ext cx="1206211" cy="235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9C5F295-DEF5-47E0-8EAD-1357C60A437B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 [mm] = 85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105166</xdr:colOff>
      <xdr:row>22</xdr:row>
      <xdr:rowOff>88265</xdr:rowOff>
    </xdr:from>
    <xdr:to>
      <xdr:col>0</xdr:col>
      <xdr:colOff>343453</xdr:colOff>
      <xdr:row>28</xdr:row>
      <xdr:rowOff>151477</xdr:rowOff>
    </xdr:to>
    <xdr:sp macro="" textlink="'single_suction-1'!J10">
      <xdr:nvSpPr>
        <xdr:cNvPr id="19" name="CasellaDiTesto 18">
          <a:extLst>
            <a:ext uri="{FF2B5EF4-FFF2-40B4-BE49-F238E27FC236}">
              <a16:creationId xmlns:a16="http://schemas.microsoft.com/office/drawing/2014/main" id="{1D6E6CED-180A-4734-8089-0A6FE30C97B2}"/>
            </a:ext>
          </a:extLst>
        </xdr:cNvPr>
        <xdr:cNvSpPr txBox="1"/>
      </xdr:nvSpPr>
      <xdr:spPr>
        <a:xfrm rot="16200000">
          <a:off x="-378796" y="4772752"/>
          <a:ext cx="1206212" cy="23828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5F20A78-1CDD-4A57-B1A0-B2FA30861618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D2 [mm] = 360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11</xdr:col>
      <xdr:colOff>143530</xdr:colOff>
      <xdr:row>22</xdr:row>
      <xdr:rowOff>190499</xdr:rowOff>
    </xdr:from>
    <xdr:to>
      <xdr:col>11</xdr:col>
      <xdr:colOff>381817</xdr:colOff>
      <xdr:row>29</xdr:row>
      <xdr:rowOff>1852</xdr:rowOff>
    </xdr:to>
    <xdr:sp macro="" textlink="'single_suction-1'!J12">
      <xdr:nvSpPr>
        <xdr:cNvPr id="20" name="CasellaDiTesto 19">
          <a:extLst>
            <a:ext uri="{FF2B5EF4-FFF2-40B4-BE49-F238E27FC236}">
              <a16:creationId xmlns:a16="http://schemas.microsoft.com/office/drawing/2014/main" id="{E03A9EE5-7561-45C2-8243-7EE7DD89AC49}"/>
            </a:ext>
          </a:extLst>
        </xdr:cNvPr>
        <xdr:cNvSpPr txBox="1"/>
      </xdr:nvSpPr>
      <xdr:spPr>
        <a:xfrm rot="16200000">
          <a:off x="6395847" y="4844307"/>
          <a:ext cx="1144853" cy="23828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5EEED9D6-176D-48E7-BC26-FCEE7EA02CEB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DD [mm] = 90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11</xdr:col>
      <xdr:colOff>163413</xdr:colOff>
      <xdr:row>15</xdr:row>
      <xdr:rowOff>194079</xdr:rowOff>
    </xdr:from>
    <xdr:to>
      <xdr:col>11</xdr:col>
      <xdr:colOff>401700</xdr:colOff>
      <xdr:row>22</xdr:row>
      <xdr:rowOff>80675</xdr:rowOff>
    </xdr:to>
    <xdr:sp macro="" textlink="'single_suction-1'!J16">
      <xdr:nvSpPr>
        <xdr:cNvPr id="21" name="CasellaDiTesto 20">
          <a:extLst>
            <a:ext uri="{FF2B5EF4-FFF2-40B4-BE49-F238E27FC236}">
              <a16:creationId xmlns:a16="http://schemas.microsoft.com/office/drawing/2014/main" id="{822E10EB-B1B3-4C2E-9E7F-982B4BDFC559}"/>
            </a:ext>
          </a:extLst>
        </xdr:cNvPr>
        <xdr:cNvSpPr txBox="1"/>
      </xdr:nvSpPr>
      <xdr:spPr>
        <a:xfrm rot="16200000">
          <a:off x="6378109" y="3552008"/>
          <a:ext cx="1220096" cy="238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8EE55AE-FA34-4EAA-B053-467AB5A9AEC6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sD [mm] = 0.215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5</xdr:col>
      <xdr:colOff>220317</xdr:colOff>
      <xdr:row>3</xdr:row>
      <xdr:rowOff>89253</xdr:rowOff>
    </xdr:from>
    <xdr:to>
      <xdr:col>7</xdr:col>
      <xdr:colOff>405660</xdr:colOff>
      <xdr:row>4</xdr:row>
      <xdr:rowOff>161365</xdr:rowOff>
    </xdr:to>
    <xdr:sp macro="" textlink="'single_suction-1'!J36">
      <xdr:nvSpPr>
        <xdr:cNvPr id="25" name="CasellaDiTesto 24">
          <a:extLst>
            <a:ext uri="{FF2B5EF4-FFF2-40B4-BE49-F238E27FC236}">
              <a16:creationId xmlns:a16="http://schemas.microsoft.com/office/drawing/2014/main" id="{627400BB-44DA-4A48-9495-5D763B5C4C59}"/>
            </a:ext>
          </a:extLst>
        </xdr:cNvPr>
        <xdr:cNvSpPr txBox="1"/>
      </xdr:nvSpPr>
      <xdr:spPr>
        <a:xfrm>
          <a:off x="3268317" y="670278"/>
          <a:ext cx="1404543" cy="262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B91AD4E-F690-416F-A89A-9F3F06D31DEE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pLA [bar] = 14.7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1</xdr:colOff>
      <xdr:row>29</xdr:row>
      <xdr:rowOff>0</xdr:rowOff>
    </xdr:from>
    <xdr:to>
      <xdr:col>12</xdr:col>
      <xdr:colOff>1</xdr:colOff>
      <xdr:row>56</xdr:row>
      <xdr:rowOff>0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id="{681939F4-3CFD-4AB2-9502-DA41AAB1A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5534025"/>
          <a:ext cx="7315200" cy="514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236062</xdr:colOff>
      <xdr:row>44</xdr:row>
      <xdr:rowOff>26284</xdr:rowOff>
    </xdr:from>
    <xdr:to>
      <xdr:col>3</xdr:col>
      <xdr:colOff>473911</xdr:colOff>
      <xdr:row>51</xdr:row>
      <xdr:rowOff>9524</xdr:rowOff>
    </xdr:to>
    <xdr:sp macro="" textlink="'single_suction-1'!J15">
      <xdr:nvSpPr>
        <xdr:cNvPr id="31" name="CasellaDiTesto 30">
          <a:extLst>
            <a:ext uri="{FF2B5EF4-FFF2-40B4-BE49-F238E27FC236}">
              <a16:creationId xmlns:a16="http://schemas.microsoft.com/office/drawing/2014/main" id="{F75FA801-4060-4282-861D-8D4B3FD9E702}"/>
            </a:ext>
          </a:extLst>
        </xdr:cNvPr>
        <xdr:cNvSpPr txBox="1"/>
      </xdr:nvSpPr>
      <xdr:spPr>
        <a:xfrm rot="16200000">
          <a:off x="1525417" y="8957254"/>
          <a:ext cx="1316740" cy="2378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18298D5-C319-4A76-89CF-464641CE8C3D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ssp [mm] = 0.215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256345</xdr:colOff>
      <xdr:row>49</xdr:row>
      <xdr:rowOff>52154</xdr:rowOff>
    </xdr:from>
    <xdr:to>
      <xdr:col>1</xdr:col>
      <xdr:colOff>494677</xdr:colOff>
      <xdr:row>55</xdr:row>
      <xdr:rowOff>118282</xdr:rowOff>
    </xdr:to>
    <xdr:sp macro="" textlink="'single_suction-1'!J11">
      <xdr:nvSpPr>
        <xdr:cNvPr id="32" name="CasellaDiTesto 31">
          <a:extLst>
            <a:ext uri="{FF2B5EF4-FFF2-40B4-BE49-F238E27FC236}">
              <a16:creationId xmlns:a16="http://schemas.microsoft.com/office/drawing/2014/main" id="{86782C57-A05C-49F6-8320-0D66D0EF53BE}"/>
            </a:ext>
          </a:extLst>
        </xdr:cNvPr>
        <xdr:cNvSpPr txBox="1"/>
      </xdr:nvSpPr>
      <xdr:spPr>
        <a:xfrm rot="16200000">
          <a:off x="380547" y="9881577"/>
          <a:ext cx="1209128" cy="23833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ACDE280-596D-4C4A-8FEE-7BA80C085C7B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Dsp [mm] = 149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301310</xdr:colOff>
      <xdr:row>49</xdr:row>
      <xdr:rowOff>90943</xdr:rowOff>
    </xdr:from>
    <xdr:to>
      <xdr:col>2</xdr:col>
      <xdr:colOff>536737</xdr:colOff>
      <xdr:row>55</xdr:row>
      <xdr:rowOff>157070</xdr:rowOff>
    </xdr:to>
    <xdr:sp macro="" textlink="'single_suction-1'!J13">
      <xdr:nvSpPr>
        <xdr:cNvPr id="33" name="CasellaDiTesto 32">
          <a:extLst>
            <a:ext uri="{FF2B5EF4-FFF2-40B4-BE49-F238E27FC236}">
              <a16:creationId xmlns:a16="http://schemas.microsoft.com/office/drawing/2014/main" id="{822CF36F-67F7-400C-A859-64B2ACAE1356}"/>
            </a:ext>
          </a:extLst>
        </xdr:cNvPr>
        <xdr:cNvSpPr txBox="1"/>
      </xdr:nvSpPr>
      <xdr:spPr>
        <a:xfrm rot="16200000">
          <a:off x="1033660" y="9921818"/>
          <a:ext cx="1209127" cy="23542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157A3AF-7FC8-4665-8C80-3BE31D292122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 [mm] = 85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88809</xdr:colOff>
      <xdr:row>49</xdr:row>
      <xdr:rowOff>78634</xdr:rowOff>
    </xdr:from>
    <xdr:to>
      <xdr:col>0</xdr:col>
      <xdr:colOff>327141</xdr:colOff>
      <xdr:row>55</xdr:row>
      <xdr:rowOff>144762</xdr:rowOff>
    </xdr:to>
    <xdr:sp macro="" textlink="'single_suction-1'!J10">
      <xdr:nvSpPr>
        <xdr:cNvPr id="34" name="CasellaDiTesto 33">
          <a:extLst>
            <a:ext uri="{FF2B5EF4-FFF2-40B4-BE49-F238E27FC236}">
              <a16:creationId xmlns:a16="http://schemas.microsoft.com/office/drawing/2014/main" id="{2BE3552F-61B0-4B00-AA0E-3CBF7F03C6A1}"/>
            </a:ext>
          </a:extLst>
        </xdr:cNvPr>
        <xdr:cNvSpPr txBox="1"/>
      </xdr:nvSpPr>
      <xdr:spPr>
        <a:xfrm rot="16200000">
          <a:off x="-396589" y="9908057"/>
          <a:ext cx="1209128" cy="23833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5565755-80FF-44D2-BC49-FFE094E13DF9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D2 [mm] = 360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11</xdr:col>
      <xdr:colOff>139567</xdr:colOff>
      <xdr:row>50</xdr:row>
      <xdr:rowOff>66674</xdr:rowOff>
    </xdr:from>
    <xdr:to>
      <xdr:col>11</xdr:col>
      <xdr:colOff>377899</xdr:colOff>
      <xdr:row>55</xdr:row>
      <xdr:rowOff>183991</xdr:rowOff>
    </xdr:to>
    <xdr:sp macro="" textlink="'single_suction-1'!J12">
      <xdr:nvSpPr>
        <xdr:cNvPr id="35" name="CasellaDiTesto 34">
          <a:extLst>
            <a:ext uri="{FF2B5EF4-FFF2-40B4-BE49-F238E27FC236}">
              <a16:creationId xmlns:a16="http://schemas.microsoft.com/office/drawing/2014/main" id="{B1BEEC14-EEC4-4C67-801A-6CA36FB9B7F5}"/>
            </a:ext>
          </a:extLst>
        </xdr:cNvPr>
        <xdr:cNvSpPr txBox="1"/>
      </xdr:nvSpPr>
      <xdr:spPr>
        <a:xfrm rot="16200000">
          <a:off x="6429424" y="10016942"/>
          <a:ext cx="1069817" cy="23833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BBD274C-1CEE-417B-9A87-F01B36E93C67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DD [mm] = 90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11</xdr:col>
      <xdr:colOff>159454</xdr:colOff>
      <xdr:row>43</xdr:row>
      <xdr:rowOff>125498</xdr:rowOff>
    </xdr:from>
    <xdr:to>
      <xdr:col>11</xdr:col>
      <xdr:colOff>397786</xdr:colOff>
      <xdr:row>49</xdr:row>
      <xdr:rowOff>127051</xdr:rowOff>
    </xdr:to>
    <xdr:sp macro="" textlink="'single_suction-1'!J16">
      <xdr:nvSpPr>
        <xdr:cNvPr id="36" name="CasellaDiTesto 35">
          <a:extLst>
            <a:ext uri="{FF2B5EF4-FFF2-40B4-BE49-F238E27FC236}">
              <a16:creationId xmlns:a16="http://schemas.microsoft.com/office/drawing/2014/main" id="{94FDD199-3AB1-4787-AA0B-44CF573B3C06}"/>
            </a:ext>
          </a:extLst>
        </xdr:cNvPr>
        <xdr:cNvSpPr txBox="1"/>
      </xdr:nvSpPr>
      <xdr:spPr>
        <a:xfrm rot="16200000">
          <a:off x="6411943" y="8779634"/>
          <a:ext cx="1144553" cy="238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996D5DC-7B0C-4FB1-8295-B34FE7967514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sD [mm] = 0.215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538128</xdr:colOff>
      <xdr:row>48</xdr:row>
      <xdr:rowOff>67236</xdr:rowOff>
    </xdr:from>
    <xdr:to>
      <xdr:col>10</xdr:col>
      <xdr:colOff>571501</xdr:colOff>
      <xdr:row>49</xdr:row>
      <xdr:rowOff>84450</xdr:rowOff>
    </xdr:to>
    <xdr:sp macro="" textlink="'single_suction-1'!J35">
      <xdr:nvSpPr>
        <xdr:cNvPr id="39" name="CasellaDiTesto 38">
          <a:extLst>
            <a:ext uri="{FF2B5EF4-FFF2-40B4-BE49-F238E27FC236}">
              <a16:creationId xmlns:a16="http://schemas.microsoft.com/office/drawing/2014/main" id="{CBD17DB5-498C-4342-91EE-F9D1BD5B41CA}"/>
            </a:ext>
          </a:extLst>
        </xdr:cNvPr>
        <xdr:cNvSpPr txBox="1"/>
      </xdr:nvSpPr>
      <xdr:spPr>
        <a:xfrm>
          <a:off x="5414928" y="9220761"/>
          <a:ext cx="1252573" cy="207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9794228-98F1-4D93-AEC6-DB91B22F5747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p2 [bar] = 19.6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5</xdr:col>
      <xdr:colOff>238129</xdr:colOff>
      <xdr:row>30</xdr:row>
      <xdr:rowOff>91779</xdr:rowOff>
    </xdr:from>
    <xdr:to>
      <xdr:col>7</xdr:col>
      <xdr:colOff>423737</xdr:colOff>
      <xdr:row>31</xdr:row>
      <xdr:rowOff>128663</xdr:rowOff>
    </xdr:to>
    <xdr:sp macro="" textlink="'single_suction-1'!J36">
      <xdr:nvSpPr>
        <xdr:cNvPr id="40" name="CasellaDiTesto 39">
          <a:extLst>
            <a:ext uri="{FF2B5EF4-FFF2-40B4-BE49-F238E27FC236}">
              <a16:creationId xmlns:a16="http://schemas.microsoft.com/office/drawing/2014/main" id="{A35C2A30-00C7-45E6-AEAC-F5E1DAB3BF34}"/>
            </a:ext>
          </a:extLst>
        </xdr:cNvPr>
        <xdr:cNvSpPr txBox="1"/>
      </xdr:nvSpPr>
      <xdr:spPr>
        <a:xfrm>
          <a:off x="3286129" y="5816304"/>
          <a:ext cx="1404808" cy="227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A5B4ACE-0016-43C3-905A-6B061C1C3EAF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pLA [bar] = 14.7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559861</xdr:colOff>
      <xdr:row>70</xdr:row>
      <xdr:rowOff>86324</xdr:rowOff>
    </xdr:from>
    <xdr:to>
      <xdr:col>3</xdr:col>
      <xdr:colOff>192643</xdr:colOff>
      <xdr:row>76</xdr:row>
      <xdr:rowOff>212627</xdr:rowOff>
    </xdr:to>
    <xdr:sp macro="" textlink="'single_suction-1'!J15">
      <xdr:nvSpPr>
        <xdr:cNvPr id="46" name="CasellaDiTesto 45">
          <a:extLst>
            <a:ext uri="{FF2B5EF4-FFF2-40B4-BE49-F238E27FC236}">
              <a16:creationId xmlns:a16="http://schemas.microsoft.com/office/drawing/2014/main" id="{6DEA0C8F-B864-485B-93DE-CD165CA968D7}"/>
            </a:ext>
          </a:extLst>
        </xdr:cNvPr>
        <xdr:cNvSpPr txBox="1"/>
      </xdr:nvSpPr>
      <xdr:spPr>
        <a:xfrm rot="16200000">
          <a:off x="1275125" y="13934785"/>
          <a:ext cx="1250253" cy="242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F4916D7-3FE0-47FB-91A4-A98A8516A4E4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ssp [mm] = 0.215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131365</xdr:colOff>
      <xdr:row>76</xdr:row>
      <xdr:rowOff>88049</xdr:rowOff>
    </xdr:from>
    <xdr:to>
      <xdr:col>1</xdr:col>
      <xdr:colOff>369748</xdr:colOff>
      <xdr:row>82</xdr:row>
      <xdr:rowOff>112957</xdr:rowOff>
    </xdr:to>
    <xdr:sp macro="" textlink="'single_suction-1'!J11">
      <xdr:nvSpPr>
        <xdr:cNvPr id="47" name="CasellaDiTesto 46">
          <a:extLst>
            <a:ext uri="{FF2B5EF4-FFF2-40B4-BE49-F238E27FC236}">
              <a16:creationId xmlns:a16="http://schemas.microsoft.com/office/drawing/2014/main" id="{3264E6D2-E0CE-4A21-BB2F-2618D96C712A}"/>
            </a:ext>
          </a:extLst>
        </xdr:cNvPr>
        <xdr:cNvSpPr txBox="1"/>
      </xdr:nvSpPr>
      <xdr:spPr>
        <a:xfrm rot="16200000">
          <a:off x="276203" y="15040336"/>
          <a:ext cx="116790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D919F18-FBB7-4C77-8455-5B8E63556AC1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Dsp [mm] = 149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53503</xdr:colOff>
      <xdr:row>76</xdr:row>
      <xdr:rowOff>60354</xdr:rowOff>
    </xdr:from>
    <xdr:to>
      <xdr:col>2</xdr:col>
      <xdr:colOff>288982</xdr:colOff>
      <xdr:row>82</xdr:row>
      <xdr:rowOff>85260</xdr:rowOff>
    </xdr:to>
    <xdr:sp macro="" textlink="'single_suction-1'!J13">
      <xdr:nvSpPr>
        <xdr:cNvPr id="84" name="CasellaDiTesto 83">
          <a:extLst>
            <a:ext uri="{FF2B5EF4-FFF2-40B4-BE49-F238E27FC236}">
              <a16:creationId xmlns:a16="http://schemas.microsoft.com/office/drawing/2014/main" id="{B228C874-04AF-4F59-8F9F-50EA30FE0A34}"/>
            </a:ext>
          </a:extLst>
        </xdr:cNvPr>
        <xdr:cNvSpPr txBox="1"/>
      </xdr:nvSpPr>
      <xdr:spPr>
        <a:xfrm rot="16200000">
          <a:off x="806490" y="15014092"/>
          <a:ext cx="1167906" cy="23547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7954E22-2DEC-433B-BBEC-1A4A2FE4A8D8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 [mm] = 85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139879</xdr:colOff>
      <xdr:row>76</xdr:row>
      <xdr:rowOff>68252</xdr:rowOff>
    </xdr:from>
    <xdr:to>
      <xdr:col>0</xdr:col>
      <xdr:colOff>378262</xdr:colOff>
      <xdr:row>82</xdr:row>
      <xdr:rowOff>93160</xdr:rowOff>
    </xdr:to>
    <xdr:sp macro="" textlink="'single_suction-1'!J10">
      <xdr:nvSpPr>
        <xdr:cNvPr id="96" name="CasellaDiTesto 95">
          <a:extLst>
            <a:ext uri="{FF2B5EF4-FFF2-40B4-BE49-F238E27FC236}">
              <a16:creationId xmlns:a16="http://schemas.microsoft.com/office/drawing/2014/main" id="{6340493E-5510-4963-8939-73D0EE3E74C8}"/>
            </a:ext>
          </a:extLst>
        </xdr:cNvPr>
        <xdr:cNvSpPr txBox="1"/>
      </xdr:nvSpPr>
      <xdr:spPr>
        <a:xfrm rot="16200000">
          <a:off x="-324883" y="15020539"/>
          <a:ext cx="116790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714AB15-33CE-4EC0-815E-BCCCFA3816D3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D2 [mm] = 360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10</xdr:col>
      <xdr:colOff>309502</xdr:colOff>
      <xdr:row>76</xdr:row>
      <xdr:rowOff>133350</xdr:rowOff>
    </xdr:from>
    <xdr:to>
      <xdr:col>10</xdr:col>
      <xdr:colOff>547885</xdr:colOff>
      <xdr:row>82</xdr:row>
      <xdr:rowOff>157493</xdr:rowOff>
    </xdr:to>
    <xdr:sp macro="" textlink="'single_suction-1'!J14">
      <xdr:nvSpPr>
        <xdr:cNvPr id="97" name="CasellaDiTesto 96">
          <a:extLst>
            <a:ext uri="{FF2B5EF4-FFF2-40B4-BE49-F238E27FC236}">
              <a16:creationId xmlns:a16="http://schemas.microsoft.com/office/drawing/2014/main" id="{587CF8D3-90FB-4392-956C-47F0CD0FC2C8}"/>
            </a:ext>
          </a:extLst>
        </xdr:cNvPr>
        <xdr:cNvSpPr txBox="1"/>
      </xdr:nvSpPr>
      <xdr:spPr>
        <a:xfrm rot="16200000">
          <a:off x="5941122" y="15085255"/>
          <a:ext cx="1167143" cy="238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47E8557-D680-4212-8E12-AC314F4A30E8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DRH [mm] = 90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9</xdr:col>
      <xdr:colOff>511629</xdr:colOff>
      <xdr:row>75</xdr:row>
      <xdr:rowOff>110276</xdr:rowOff>
    </xdr:from>
    <xdr:to>
      <xdr:col>12</xdr:col>
      <xdr:colOff>105634</xdr:colOff>
      <xdr:row>76</xdr:row>
      <xdr:rowOff>152756</xdr:rowOff>
    </xdr:to>
    <xdr:sp macro="" textlink="'single_suction-1'!J30">
      <xdr:nvSpPr>
        <xdr:cNvPr id="100" name="CasellaDiTesto 99">
          <a:extLst>
            <a:ext uri="{FF2B5EF4-FFF2-40B4-BE49-F238E27FC236}">
              <a16:creationId xmlns:a16="http://schemas.microsoft.com/office/drawing/2014/main" id="{13E75DBF-DA8D-41BA-97A9-B9A374E32BBA}"/>
            </a:ext>
          </a:extLst>
        </xdr:cNvPr>
        <xdr:cNvSpPr txBox="1"/>
      </xdr:nvSpPr>
      <xdr:spPr>
        <a:xfrm>
          <a:off x="5998029" y="14407301"/>
          <a:ext cx="1422805" cy="232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1ECE2B9-95D4-4D8C-930C-4CA2719375F7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pSTUFF [barg] = 6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538313</xdr:colOff>
      <xdr:row>56</xdr:row>
      <xdr:rowOff>144621</xdr:rowOff>
    </xdr:from>
    <xdr:to>
      <xdr:col>7</xdr:col>
      <xdr:colOff>119104</xdr:colOff>
      <xdr:row>57</xdr:row>
      <xdr:rowOff>186558</xdr:rowOff>
    </xdr:to>
    <xdr:sp macro="" textlink="'single_suction-1'!J36">
      <xdr:nvSpPr>
        <xdr:cNvPr id="101" name="CasellaDiTesto 100">
          <a:extLst>
            <a:ext uri="{FF2B5EF4-FFF2-40B4-BE49-F238E27FC236}">
              <a16:creationId xmlns:a16="http://schemas.microsoft.com/office/drawing/2014/main" id="{996D7BAF-50A3-45E4-B0BD-6F3DC8CD1E54}"/>
            </a:ext>
          </a:extLst>
        </xdr:cNvPr>
        <xdr:cNvSpPr txBox="1"/>
      </xdr:nvSpPr>
      <xdr:spPr>
        <a:xfrm>
          <a:off x="2976713" y="10822146"/>
          <a:ext cx="1409591" cy="2324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AF6259E-77C4-4317-B6CD-F3625894E12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pLA [bar] = 14.7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6</xdr:col>
      <xdr:colOff>174731</xdr:colOff>
      <xdr:row>75</xdr:row>
      <xdr:rowOff>102614</xdr:rowOff>
    </xdr:from>
    <xdr:to>
      <xdr:col>8</xdr:col>
      <xdr:colOff>374849</xdr:colOff>
      <xdr:row>76</xdr:row>
      <xdr:rowOff>137999</xdr:rowOff>
    </xdr:to>
    <xdr:sp macro="" textlink="'single_suction-1'!J31">
      <xdr:nvSpPr>
        <xdr:cNvPr id="106" name="CasellaDiTesto 105">
          <a:extLst>
            <a:ext uri="{FF2B5EF4-FFF2-40B4-BE49-F238E27FC236}">
              <a16:creationId xmlns:a16="http://schemas.microsoft.com/office/drawing/2014/main" id="{1C49C090-9C14-4213-A909-7DD430157FA6}"/>
            </a:ext>
          </a:extLst>
        </xdr:cNvPr>
        <xdr:cNvSpPr txBox="1"/>
      </xdr:nvSpPr>
      <xdr:spPr>
        <a:xfrm>
          <a:off x="3832331" y="14399639"/>
          <a:ext cx="1419318" cy="2258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59C9C4F9-08AA-444E-B098-690410BCEED9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pBAL [barg] = 1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11</xdr:col>
      <xdr:colOff>257176</xdr:colOff>
      <xdr:row>77</xdr:row>
      <xdr:rowOff>19050</xdr:rowOff>
    </xdr:from>
    <xdr:to>
      <xdr:col>11</xdr:col>
      <xdr:colOff>495559</xdr:colOff>
      <xdr:row>82</xdr:row>
      <xdr:rowOff>128918</xdr:rowOff>
    </xdr:to>
    <xdr:sp macro="" textlink="'single_suction-1'!J12">
      <xdr:nvSpPr>
        <xdr:cNvPr id="107" name="CasellaDiTesto 106">
          <a:extLst>
            <a:ext uri="{FF2B5EF4-FFF2-40B4-BE49-F238E27FC236}">
              <a16:creationId xmlns:a16="http://schemas.microsoft.com/office/drawing/2014/main" id="{8A2FC795-C415-4FA6-B55D-91B8AE32163C}"/>
            </a:ext>
          </a:extLst>
        </xdr:cNvPr>
        <xdr:cNvSpPr txBox="1"/>
      </xdr:nvSpPr>
      <xdr:spPr>
        <a:xfrm rot="16200000">
          <a:off x="6550784" y="15109067"/>
          <a:ext cx="106236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857ED09-BBE0-4279-BF60-81D222C0B997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DD [mm] = 90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350817</xdr:colOff>
      <xdr:row>69</xdr:row>
      <xdr:rowOff>121124</xdr:rowOff>
    </xdr:from>
    <xdr:to>
      <xdr:col>7</xdr:col>
      <xdr:colOff>589200</xdr:colOff>
      <xdr:row>75</xdr:row>
      <xdr:rowOff>145267</xdr:rowOff>
    </xdr:to>
    <xdr:sp macro="" textlink="'single_suction-1'!J16">
      <xdr:nvSpPr>
        <xdr:cNvPr id="108" name="CasellaDiTesto 107">
          <a:extLst>
            <a:ext uri="{FF2B5EF4-FFF2-40B4-BE49-F238E27FC236}">
              <a16:creationId xmlns:a16="http://schemas.microsoft.com/office/drawing/2014/main" id="{3FBC0F77-B4DA-4701-B0C7-B5CF2BCBB41E}"/>
            </a:ext>
          </a:extLst>
        </xdr:cNvPr>
        <xdr:cNvSpPr txBox="1"/>
      </xdr:nvSpPr>
      <xdr:spPr>
        <a:xfrm rot="16200000">
          <a:off x="4153637" y="13739529"/>
          <a:ext cx="1167143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7103015-0A0E-45D1-B77A-0CD166F34F43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sD [mm] = 0.215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457200</xdr:colOff>
      <xdr:row>28</xdr:row>
      <xdr:rowOff>47654</xdr:rowOff>
    </xdr:from>
    <xdr:to>
      <xdr:col>7</xdr:col>
      <xdr:colOff>270070</xdr:colOff>
      <xdr:row>28</xdr:row>
      <xdr:rowOff>47654</xdr:rowOff>
    </xdr:to>
    <xdr:cxnSp macro="">
      <xdr:nvCxnSpPr>
        <xdr:cNvPr id="112" name="Connettore 2 111">
          <a:extLst>
            <a:ext uri="{FF2B5EF4-FFF2-40B4-BE49-F238E27FC236}">
              <a16:creationId xmlns:a16="http://schemas.microsoft.com/office/drawing/2014/main" id="{EB3E9A77-81A4-443F-BCA9-7D4FE155C5CB}"/>
            </a:ext>
          </a:extLst>
        </xdr:cNvPr>
        <xdr:cNvCxnSpPr/>
      </xdr:nvCxnSpPr>
      <xdr:spPr>
        <a:xfrm flipH="1">
          <a:off x="2895600" y="5391179"/>
          <a:ext cx="1641670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45931</xdr:colOff>
      <xdr:row>25</xdr:row>
      <xdr:rowOff>104776</xdr:rowOff>
    </xdr:from>
    <xdr:to>
      <xdr:col>8</xdr:col>
      <xdr:colOff>197131</xdr:colOff>
      <xdr:row>28</xdr:row>
      <xdr:rowOff>0</xdr:rowOff>
    </xdr:to>
    <xdr:sp macro="" textlink="'single_suction-1'!J43">
      <xdr:nvSpPr>
        <xdr:cNvPr id="113" name="CasellaDiTesto 112">
          <a:extLst>
            <a:ext uri="{FF2B5EF4-FFF2-40B4-BE49-F238E27FC236}">
              <a16:creationId xmlns:a16="http://schemas.microsoft.com/office/drawing/2014/main" id="{F6100C6E-2C77-4BFF-99AA-1E8AEE1CF35D}"/>
            </a:ext>
          </a:extLst>
        </xdr:cNvPr>
        <xdr:cNvSpPr txBox="1"/>
      </xdr:nvSpPr>
      <xdr:spPr>
        <a:xfrm>
          <a:off x="3093931" y="4876801"/>
          <a:ext cx="1980000" cy="466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2251942-7B1C-4030-8129-20114B1EDAE1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F [N] Gulich = 13876
F [N]ANSI/HI = 13799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259773</xdr:colOff>
      <xdr:row>54</xdr:row>
      <xdr:rowOff>150696</xdr:rowOff>
    </xdr:from>
    <xdr:to>
      <xdr:col>7</xdr:col>
      <xdr:colOff>76106</xdr:colOff>
      <xdr:row>54</xdr:row>
      <xdr:rowOff>150696</xdr:rowOff>
    </xdr:to>
    <xdr:cxnSp macro="">
      <xdr:nvCxnSpPr>
        <xdr:cNvPr id="122" name="Connettore 2 121">
          <a:extLst>
            <a:ext uri="{FF2B5EF4-FFF2-40B4-BE49-F238E27FC236}">
              <a16:creationId xmlns:a16="http://schemas.microsoft.com/office/drawing/2014/main" id="{1C522D17-1796-4A4F-AB27-F995D15CDBDD}"/>
            </a:ext>
          </a:extLst>
        </xdr:cNvPr>
        <xdr:cNvCxnSpPr/>
      </xdr:nvCxnSpPr>
      <xdr:spPr>
        <a:xfrm flipH="1">
          <a:off x="2684318" y="10455014"/>
          <a:ext cx="163474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458104</xdr:colOff>
      <xdr:row>52</xdr:row>
      <xdr:rowOff>17318</xdr:rowOff>
    </xdr:from>
    <xdr:to>
      <xdr:col>7</xdr:col>
      <xdr:colOff>609304</xdr:colOff>
      <xdr:row>54</xdr:row>
      <xdr:rowOff>103042</xdr:rowOff>
    </xdr:to>
    <xdr:sp macro="" textlink="'single_suction-1'!J43">
      <xdr:nvSpPr>
        <xdr:cNvPr id="123" name="CasellaDiTesto 122">
          <a:extLst>
            <a:ext uri="{FF2B5EF4-FFF2-40B4-BE49-F238E27FC236}">
              <a16:creationId xmlns:a16="http://schemas.microsoft.com/office/drawing/2014/main" id="{2890A8BE-34B0-4201-83AC-5B1342414893}"/>
            </a:ext>
          </a:extLst>
        </xdr:cNvPr>
        <xdr:cNvSpPr txBox="1"/>
      </xdr:nvSpPr>
      <xdr:spPr>
        <a:xfrm>
          <a:off x="2896504" y="9932843"/>
          <a:ext cx="1980000" cy="466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2251942-7B1C-4030-8129-20114B1EDAE1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F [N] Gulich = 13876
F [N]ANSI/HI = 13799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51955</xdr:colOff>
      <xdr:row>81</xdr:row>
      <xdr:rowOff>116060</xdr:rowOff>
    </xdr:from>
    <xdr:to>
      <xdr:col>6</xdr:col>
      <xdr:colOff>470962</xdr:colOff>
      <xdr:row>81</xdr:row>
      <xdr:rowOff>116060</xdr:rowOff>
    </xdr:to>
    <xdr:cxnSp macro="">
      <xdr:nvCxnSpPr>
        <xdr:cNvPr id="124" name="Connettore 2 123">
          <a:extLst>
            <a:ext uri="{FF2B5EF4-FFF2-40B4-BE49-F238E27FC236}">
              <a16:creationId xmlns:a16="http://schemas.microsoft.com/office/drawing/2014/main" id="{73E49360-CC31-4BE1-8A73-F2DB1093E533}"/>
            </a:ext>
          </a:extLst>
        </xdr:cNvPr>
        <xdr:cNvCxnSpPr/>
      </xdr:nvCxnSpPr>
      <xdr:spPr>
        <a:xfrm flipH="1">
          <a:off x="2476500" y="15563878"/>
          <a:ext cx="1631280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246823</xdr:colOff>
      <xdr:row>78</xdr:row>
      <xdr:rowOff>173182</xdr:rowOff>
    </xdr:from>
    <xdr:to>
      <xdr:col>7</xdr:col>
      <xdr:colOff>398023</xdr:colOff>
      <xdr:row>81</xdr:row>
      <xdr:rowOff>68406</xdr:rowOff>
    </xdr:to>
    <xdr:sp macro="" textlink="'single_suction-1'!J43">
      <xdr:nvSpPr>
        <xdr:cNvPr id="125" name="CasellaDiTesto 124">
          <a:extLst>
            <a:ext uri="{FF2B5EF4-FFF2-40B4-BE49-F238E27FC236}">
              <a16:creationId xmlns:a16="http://schemas.microsoft.com/office/drawing/2014/main" id="{6D3451FA-8FE3-4319-A00A-BD2EB63022E7}"/>
            </a:ext>
          </a:extLst>
        </xdr:cNvPr>
        <xdr:cNvSpPr txBox="1"/>
      </xdr:nvSpPr>
      <xdr:spPr>
        <a:xfrm>
          <a:off x="2685223" y="15041707"/>
          <a:ext cx="1980000" cy="466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2251942-7B1C-4030-8129-20114B1EDAE1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F [N] Gulich = 13876
F [N]ANSI/HI = 13799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9</xdr:col>
      <xdr:colOff>1</xdr:colOff>
      <xdr:row>20</xdr:row>
      <xdr:rowOff>161925</xdr:rowOff>
    </xdr:from>
    <xdr:to>
      <xdr:col>11</xdr:col>
      <xdr:colOff>180975</xdr:colOff>
      <xdr:row>22</xdr:row>
      <xdr:rowOff>17214</xdr:rowOff>
    </xdr:to>
    <xdr:sp macro="" textlink="'single_suction-1'!J30">
      <xdr:nvSpPr>
        <xdr:cNvPr id="126" name="CasellaDiTesto 125">
          <a:extLst>
            <a:ext uri="{FF2B5EF4-FFF2-40B4-BE49-F238E27FC236}">
              <a16:creationId xmlns:a16="http://schemas.microsoft.com/office/drawing/2014/main" id="{F0B733F9-A40C-4881-AC7A-E202897A10D2}"/>
            </a:ext>
          </a:extLst>
        </xdr:cNvPr>
        <xdr:cNvSpPr txBox="1"/>
      </xdr:nvSpPr>
      <xdr:spPr>
        <a:xfrm>
          <a:off x="5486401" y="3981450"/>
          <a:ext cx="1400174" cy="2362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20CD176-4A6C-4166-A71B-CCA33087B59E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pSTUFF [barg] = 6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5</xdr:col>
      <xdr:colOff>466726</xdr:colOff>
      <xdr:row>21</xdr:row>
      <xdr:rowOff>114300</xdr:rowOff>
    </xdr:from>
    <xdr:to>
      <xdr:col>8</xdr:col>
      <xdr:colOff>57150</xdr:colOff>
      <xdr:row>22</xdr:row>
      <xdr:rowOff>171450</xdr:rowOff>
    </xdr:to>
    <xdr:sp macro="" textlink="'single_suction-1'!J88">
      <xdr:nvSpPr>
        <xdr:cNvPr id="26" name="CasellaDiTesto 25">
          <a:extLst>
            <a:ext uri="{FF2B5EF4-FFF2-40B4-BE49-F238E27FC236}">
              <a16:creationId xmlns:a16="http://schemas.microsoft.com/office/drawing/2014/main" id="{203FF288-249C-4928-AC08-CFD0502B4C5D}"/>
            </a:ext>
          </a:extLst>
        </xdr:cNvPr>
        <xdr:cNvSpPr txBox="1"/>
      </xdr:nvSpPr>
      <xdr:spPr>
        <a:xfrm>
          <a:off x="3514726" y="4124325"/>
          <a:ext cx="1419224" cy="247650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AD49A66-17DE-4DB7-9E4D-6B135B1E2A8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pD [bar] = 10.7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361951</xdr:colOff>
      <xdr:row>6</xdr:row>
      <xdr:rowOff>9525</xdr:rowOff>
    </xdr:from>
    <xdr:to>
      <xdr:col>10</xdr:col>
      <xdr:colOff>47625</xdr:colOff>
      <xdr:row>7</xdr:row>
      <xdr:rowOff>65459</xdr:rowOff>
    </xdr:to>
    <xdr:sp macro="" textlink="'single_suction-1'!J89">
      <xdr:nvSpPr>
        <xdr:cNvPr id="27" name="CasellaDiTesto 26">
          <a:extLst>
            <a:ext uri="{FF2B5EF4-FFF2-40B4-BE49-F238E27FC236}">
              <a16:creationId xmlns:a16="http://schemas.microsoft.com/office/drawing/2014/main" id="{098B03B5-808A-4C8E-9EA0-FE81D513F935}"/>
            </a:ext>
          </a:extLst>
        </xdr:cNvPr>
        <xdr:cNvSpPr txBox="1"/>
      </xdr:nvSpPr>
      <xdr:spPr>
        <a:xfrm>
          <a:off x="4629151" y="1162050"/>
          <a:ext cx="1514474" cy="24643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57DBEBF-E53F-41C5-99E3-2C021EB2AC6A}" type="TxLink">
            <a:rPr lang="en-US" sz="1100" b="0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QD [m3/h] = 1.8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7</xdr:col>
      <xdr:colOff>466726</xdr:colOff>
      <xdr:row>19</xdr:row>
      <xdr:rowOff>104775</xdr:rowOff>
    </xdr:from>
    <xdr:to>
      <xdr:col>10</xdr:col>
      <xdr:colOff>200025</xdr:colOff>
      <xdr:row>20</xdr:row>
      <xdr:rowOff>160089</xdr:rowOff>
    </xdr:to>
    <xdr:sp macro="" textlink="'single_suction-1'!J87">
      <xdr:nvSpPr>
        <xdr:cNvPr id="28" name="CasellaDiTesto 27">
          <a:extLst>
            <a:ext uri="{FF2B5EF4-FFF2-40B4-BE49-F238E27FC236}">
              <a16:creationId xmlns:a16="http://schemas.microsoft.com/office/drawing/2014/main" id="{D2EF2FEF-89FB-474A-8B81-A67DFCDB38F7}"/>
            </a:ext>
          </a:extLst>
        </xdr:cNvPr>
        <xdr:cNvSpPr txBox="1"/>
      </xdr:nvSpPr>
      <xdr:spPr>
        <a:xfrm>
          <a:off x="4733926" y="3733800"/>
          <a:ext cx="1562099" cy="2458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4F61D66A-EE52-4382-9120-613CCCA78401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∆pD [bar] = 4.7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457201</xdr:colOff>
      <xdr:row>11</xdr:row>
      <xdr:rowOff>114300</xdr:rowOff>
    </xdr:from>
    <xdr:to>
      <xdr:col>4</xdr:col>
      <xdr:colOff>190500</xdr:colOff>
      <xdr:row>12</xdr:row>
      <xdr:rowOff>169614</xdr:rowOff>
    </xdr:to>
    <xdr:sp macro="" textlink="'single_suction-1'!J63">
      <xdr:nvSpPr>
        <xdr:cNvPr id="29" name="CasellaDiTesto 28">
          <a:extLst>
            <a:ext uri="{FF2B5EF4-FFF2-40B4-BE49-F238E27FC236}">
              <a16:creationId xmlns:a16="http://schemas.microsoft.com/office/drawing/2014/main" id="{839BD8E5-9B91-42B5-A49E-C195957041F5}"/>
            </a:ext>
          </a:extLst>
        </xdr:cNvPr>
        <xdr:cNvSpPr txBox="1"/>
      </xdr:nvSpPr>
      <xdr:spPr>
        <a:xfrm>
          <a:off x="1066801" y="2219325"/>
          <a:ext cx="1562099" cy="2458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C4E708C3-469A-48AF-B1A6-5356FB531FB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∆psp [bar] = 10.8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381001</xdr:colOff>
      <xdr:row>6</xdr:row>
      <xdr:rowOff>76200</xdr:rowOff>
    </xdr:from>
    <xdr:to>
      <xdr:col>5</xdr:col>
      <xdr:colOff>57151</xdr:colOff>
      <xdr:row>7</xdr:row>
      <xdr:rowOff>171450</xdr:rowOff>
    </xdr:to>
    <xdr:sp macro="" textlink="'single_suction-1'!J65">
      <xdr:nvSpPr>
        <xdr:cNvPr id="37" name="CasellaDiTesto 36">
          <a:extLst>
            <a:ext uri="{FF2B5EF4-FFF2-40B4-BE49-F238E27FC236}">
              <a16:creationId xmlns:a16="http://schemas.microsoft.com/office/drawing/2014/main" id="{59D75233-0AE1-4A40-BE96-4867CD245099}"/>
            </a:ext>
          </a:extLst>
        </xdr:cNvPr>
        <xdr:cNvSpPr txBox="1"/>
      </xdr:nvSpPr>
      <xdr:spPr>
        <a:xfrm>
          <a:off x="1600201" y="1228725"/>
          <a:ext cx="1504950" cy="285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1E41F523-7173-42F7-A113-BEEBA7A9394E}" type="TxLink">
            <a:rPr lang="en-US" sz="1100" b="0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r"/>
            <a:t>Qsp [m3/h] = 9.9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4</xdr:col>
      <xdr:colOff>314326</xdr:colOff>
      <xdr:row>14</xdr:row>
      <xdr:rowOff>19050</xdr:rowOff>
    </xdr:from>
    <xdr:to>
      <xdr:col>6</xdr:col>
      <xdr:colOff>514350</xdr:colOff>
      <xdr:row>15</xdr:row>
      <xdr:rowOff>36264</xdr:rowOff>
    </xdr:to>
    <xdr:sp macro="" textlink="'single_suction-1'!J64">
      <xdr:nvSpPr>
        <xdr:cNvPr id="38" name="CasellaDiTesto 37">
          <a:extLst>
            <a:ext uri="{FF2B5EF4-FFF2-40B4-BE49-F238E27FC236}">
              <a16:creationId xmlns:a16="http://schemas.microsoft.com/office/drawing/2014/main" id="{7325D369-9DE8-40F0-BD56-8367D7FA30C7}"/>
            </a:ext>
          </a:extLst>
        </xdr:cNvPr>
        <xdr:cNvSpPr txBox="1"/>
      </xdr:nvSpPr>
      <xdr:spPr>
        <a:xfrm>
          <a:off x="2752726" y="2695575"/>
          <a:ext cx="1419224" cy="2077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C8DE8FB-E3F8-4533-B05C-AF996D52F037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psp [barg] = 10.8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428626</xdr:colOff>
      <xdr:row>33</xdr:row>
      <xdr:rowOff>28575</xdr:rowOff>
    </xdr:from>
    <xdr:to>
      <xdr:col>5</xdr:col>
      <xdr:colOff>104776</xdr:colOff>
      <xdr:row>34</xdr:row>
      <xdr:rowOff>123825</xdr:rowOff>
    </xdr:to>
    <xdr:sp macro="" textlink="'single_suction-1'!J65">
      <xdr:nvSpPr>
        <xdr:cNvPr id="42" name="CasellaDiTesto 41">
          <a:extLst>
            <a:ext uri="{FF2B5EF4-FFF2-40B4-BE49-F238E27FC236}">
              <a16:creationId xmlns:a16="http://schemas.microsoft.com/office/drawing/2014/main" id="{59E99120-71ED-4DA6-A3D2-1813CCB13883}"/>
            </a:ext>
          </a:extLst>
        </xdr:cNvPr>
        <xdr:cNvSpPr txBox="1"/>
      </xdr:nvSpPr>
      <xdr:spPr>
        <a:xfrm>
          <a:off x="1647826" y="6324600"/>
          <a:ext cx="1504950" cy="285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1E41F523-7173-42F7-A113-BEEBA7A9394E}" type="TxLink">
            <a:rPr lang="en-US" sz="1100" b="0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r"/>
            <a:t>Qsp [m3/h] = 9.9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7</xdr:col>
      <xdr:colOff>266701</xdr:colOff>
      <xdr:row>43</xdr:row>
      <xdr:rowOff>161925</xdr:rowOff>
    </xdr:from>
    <xdr:to>
      <xdr:col>9</xdr:col>
      <xdr:colOff>561975</xdr:colOff>
      <xdr:row>45</xdr:row>
      <xdr:rowOff>27359</xdr:rowOff>
    </xdr:to>
    <xdr:sp macro="" textlink="'single_suction-1'!J89">
      <xdr:nvSpPr>
        <xdr:cNvPr id="43" name="CasellaDiTesto 42">
          <a:extLst>
            <a:ext uri="{FF2B5EF4-FFF2-40B4-BE49-F238E27FC236}">
              <a16:creationId xmlns:a16="http://schemas.microsoft.com/office/drawing/2014/main" id="{A936872A-FD4F-4C79-B0B4-358A49AF6054}"/>
            </a:ext>
          </a:extLst>
        </xdr:cNvPr>
        <xdr:cNvSpPr txBox="1"/>
      </xdr:nvSpPr>
      <xdr:spPr>
        <a:xfrm>
          <a:off x="4533901" y="8362950"/>
          <a:ext cx="1514474" cy="24643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57DBEBF-E53F-41C5-99E3-2C021EB2AC6A}" type="TxLink">
            <a:rPr lang="en-US" sz="1100" b="0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QD [m3/h] = 1.8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7</xdr:col>
      <xdr:colOff>476251</xdr:colOff>
      <xdr:row>46</xdr:row>
      <xdr:rowOff>66675</xdr:rowOff>
    </xdr:from>
    <xdr:to>
      <xdr:col>10</xdr:col>
      <xdr:colOff>209550</xdr:colOff>
      <xdr:row>47</xdr:row>
      <xdr:rowOff>121989</xdr:rowOff>
    </xdr:to>
    <xdr:sp macro="" textlink="'single_suction-1'!J87">
      <xdr:nvSpPr>
        <xdr:cNvPr id="44" name="CasellaDiTesto 43">
          <a:extLst>
            <a:ext uri="{FF2B5EF4-FFF2-40B4-BE49-F238E27FC236}">
              <a16:creationId xmlns:a16="http://schemas.microsoft.com/office/drawing/2014/main" id="{958ED7B0-058A-49CC-81EB-2B277C6B9C1C}"/>
            </a:ext>
          </a:extLst>
        </xdr:cNvPr>
        <xdr:cNvSpPr txBox="1"/>
      </xdr:nvSpPr>
      <xdr:spPr>
        <a:xfrm>
          <a:off x="4743451" y="8839200"/>
          <a:ext cx="1562099" cy="2458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4F61D66A-EE52-4382-9120-613CCCA78401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∆pD [bar] = 4.7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5</xdr:col>
      <xdr:colOff>123826</xdr:colOff>
      <xdr:row>48</xdr:row>
      <xdr:rowOff>114300</xdr:rowOff>
    </xdr:from>
    <xdr:to>
      <xdr:col>7</xdr:col>
      <xdr:colOff>323850</xdr:colOff>
      <xdr:row>49</xdr:row>
      <xdr:rowOff>171450</xdr:rowOff>
    </xdr:to>
    <xdr:sp macro="" textlink="'single_suction-1'!J88">
      <xdr:nvSpPr>
        <xdr:cNvPr id="45" name="CasellaDiTesto 44">
          <a:extLst>
            <a:ext uri="{FF2B5EF4-FFF2-40B4-BE49-F238E27FC236}">
              <a16:creationId xmlns:a16="http://schemas.microsoft.com/office/drawing/2014/main" id="{F6B2C9DD-F81A-4B0C-9D1C-9904FA65F5E7}"/>
            </a:ext>
          </a:extLst>
        </xdr:cNvPr>
        <xdr:cNvSpPr txBox="1"/>
      </xdr:nvSpPr>
      <xdr:spPr>
        <a:xfrm>
          <a:off x="3171826" y="9267825"/>
          <a:ext cx="1419224" cy="247650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AD49A66-17DE-4DB7-9E4D-6B135B1E2A8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pD [bar] = 10.7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295276</xdr:colOff>
      <xdr:row>41</xdr:row>
      <xdr:rowOff>66675</xdr:rowOff>
    </xdr:from>
    <xdr:to>
      <xdr:col>6</xdr:col>
      <xdr:colOff>495300</xdr:colOff>
      <xdr:row>42</xdr:row>
      <xdr:rowOff>83889</xdr:rowOff>
    </xdr:to>
    <xdr:sp macro="" textlink="'single_suction-1'!J64">
      <xdr:nvSpPr>
        <xdr:cNvPr id="98" name="CasellaDiTesto 97">
          <a:extLst>
            <a:ext uri="{FF2B5EF4-FFF2-40B4-BE49-F238E27FC236}">
              <a16:creationId xmlns:a16="http://schemas.microsoft.com/office/drawing/2014/main" id="{48E6B069-B955-4C9C-B70F-5688540BC67E}"/>
            </a:ext>
          </a:extLst>
        </xdr:cNvPr>
        <xdr:cNvSpPr txBox="1"/>
      </xdr:nvSpPr>
      <xdr:spPr>
        <a:xfrm>
          <a:off x="2733676" y="7886700"/>
          <a:ext cx="1419224" cy="2077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C8DE8FB-E3F8-4533-B05C-AF996D52F037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psp [barg] = 10.8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504826</xdr:colOff>
      <xdr:row>38</xdr:row>
      <xdr:rowOff>161925</xdr:rowOff>
    </xdr:from>
    <xdr:to>
      <xdr:col>4</xdr:col>
      <xdr:colOff>238125</xdr:colOff>
      <xdr:row>40</xdr:row>
      <xdr:rowOff>26739</xdr:rowOff>
    </xdr:to>
    <xdr:sp macro="" textlink="'single_suction-1'!J63">
      <xdr:nvSpPr>
        <xdr:cNvPr id="99" name="CasellaDiTesto 98">
          <a:extLst>
            <a:ext uri="{FF2B5EF4-FFF2-40B4-BE49-F238E27FC236}">
              <a16:creationId xmlns:a16="http://schemas.microsoft.com/office/drawing/2014/main" id="{F86741C1-5DEC-4EE6-85D3-99F44042BE70}"/>
            </a:ext>
          </a:extLst>
        </xdr:cNvPr>
        <xdr:cNvSpPr txBox="1"/>
      </xdr:nvSpPr>
      <xdr:spPr>
        <a:xfrm>
          <a:off x="1114426" y="7410450"/>
          <a:ext cx="1562099" cy="2458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C4E708C3-469A-48AF-B1A6-5356FB531FB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∆psp [bar] = 10.8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104775</xdr:colOff>
      <xdr:row>59</xdr:row>
      <xdr:rowOff>104775</xdr:rowOff>
    </xdr:from>
    <xdr:to>
      <xdr:col>4</xdr:col>
      <xdr:colOff>390525</xdr:colOff>
      <xdr:row>61</xdr:row>
      <xdr:rowOff>9525</xdr:rowOff>
    </xdr:to>
    <xdr:sp macro="" textlink="'single_suction-1'!J65">
      <xdr:nvSpPr>
        <xdr:cNvPr id="102" name="CasellaDiTesto 101">
          <a:extLst>
            <a:ext uri="{FF2B5EF4-FFF2-40B4-BE49-F238E27FC236}">
              <a16:creationId xmlns:a16="http://schemas.microsoft.com/office/drawing/2014/main" id="{FE7585C6-5043-4274-8D0B-D7414D191D46}"/>
            </a:ext>
          </a:extLst>
        </xdr:cNvPr>
        <xdr:cNvSpPr txBox="1"/>
      </xdr:nvSpPr>
      <xdr:spPr>
        <a:xfrm>
          <a:off x="1323975" y="11353800"/>
          <a:ext cx="1504950" cy="285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1E41F523-7173-42F7-A113-BEEBA7A9394E}" type="TxLink">
            <a:rPr lang="en-US" sz="1100" b="0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r"/>
            <a:t>Qsp [m3/h] = 9.9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3</xdr:col>
      <xdr:colOff>361950</xdr:colOff>
      <xdr:row>69</xdr:row>
      <xdr:rowOff>123825</xdr:rowOff>
    </xdr:from>
    <xdr:to>
      <xdr:col>5</xdr:col>
      <xdr:colOff>561974</xdr:colOff>
      <xdr:row>70</xdr:row>
      <xdr:rowOff>141039</xdr:rowOff>
    </xdr:to>
    <xdr:sp macro="" textlink="'single_suction-1'!J64">
      <xdr:nvSpPr>
        <xdr:cNvPr id="103" name="CasellaDiTesto 102">
          <a:extLst>
            <a:ext uri="{FF2B5EF4-FFF2-40B4-BE49-F238E27FC236}">
              <a16:creationId xmlns:a16="http://schemas.microsoft.com/office/drawing/2014/main" id="{4CBF1BA2-2322-4B10-AE3E-41E7EA76A7F4}"/>
            </a:ext>
          </a:extLst>
        </xdr:cNvPr>
        <xdr:cNvSpPr txBox="1"/>
      </xdr:nvSpPr>
      <xdr:spPr>
        <a:xfrm>
          <a:off x="2190750" y="13277850"/>
          <a:ext cx="1419224" cy="2077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C8DE8FB-E3F8-4533-B05C-AF996D52F037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psp [barg] = 10.8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180975</xdr:colOff>
      <xdr:row>65</xdr:row>
      <xdr:rowOff>47625</xdr:rowOff>
    </xdr:from>
    <xdr:to>
      <xdr:col>3</xdr:col>
      <xdr:colOff>523874</xdr:colOff>
      <xdr:row>66</xdr:row>
      <xdr:rowOff>102939</xdr:rowOff>
    </xdr:to>
    <xdr:sp macro="" textlink="'single_suction-1'!J63">
      <xdr:nvSpPr>
        <xdr:cNvPr id="104" name="CasellaDiTesto 103">
          <a:extLst>
            <a:ext uri="{FF2B5EF4-FFF2-40B4-BE49-F238E27FC236}">
              <a16:creationId xmlns:a16="http://schemas.microsoft.com/office/drawing/2014/main" id="{6FA5AC3B-94DD-45CA-8DFE-0F4699D4F1EC}"/>
            </a:ext>
          </a:extLst>
        </xdr:cNvPr>
        <xdr:cNvSpPr txBox="1"/>
      </xdr:nvSpPr>
      <xdr:spPr>
        <a:xfrm>
          <a:off x="790575" y="12439650"/>
          <a:ext cx="1562099" cy="2458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C4E708C3-469A-48AF-B1A6-5356FB531FB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∆psp [bar] = 10.8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6</xdr:col>
      <xdr:colOff>457200</xdr:colOff>
      <xdr:row>59</xdr:row>
      <xdr:rowOff>28575</xdr:rowOff>
    </xdr:from>
    <xdr:to>
      <xdr:col>9</xdr:col>
      <xdr:colOff>142874</xdr:colOff>
      <xdr:row>60</xdr:row>
      <xdr:rowOff>84509</xdr:rowOff>
    </xdr:to>
    <xdr:sp macro="" textlink="'single_suction-1'!J89">
      <xdr:nvSpPr>
        <xdr:cNvPr id="105" name="CasellaDiTesto 104">
          <a:extLst>
            <a:ext uri="{FF2B5EF4-FFF2-40B4-BE49-F238E27FC236}">
              <a16:creationId xmlns:a16="http://schemas.microsoft.com/office/drawing/2014/main" id="{ADD0045B-D280-4A07-ACC0-BECA023E598B}"/>
            </a:ext>
          </a:extLst>
        </xdr:cNvPr>
        <xdr:cNvSpPr txBox="1"/>
      </xdr:nvSpPr>
      <xdr:spPr>
        <a:xfrm>
          <a:off x="4114800" y="11277600"/>
          <a:ext cx="1514474" cy="24643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57DBEBF-E53F-41C5-99E3-2C021EB2AC6A}" type="TxLink">
            <a:rPr lang="en-US" sz="1100" b="0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QD [m3/h] = 1.8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4</xdr:col>
      <xdr:colOff>428625</xdr:colOff>
      <xdr:row>65</xdr:row>
      <xdr:rowOff>180975</xdr:rowOff>
    </xdr:from>
    <xdr:to>
      <xdr:col>7</xdr:col>
      <xdr:colOff>19049</xdr:colOff>
      <xdr:row>67</xdr:row>
      <xdr:rowOff>47625</xdr:rowOff>
    </xdr:to>
    <xdr:sp macro="" textlink="'single_suction-1'!J88">
      <xdr:nvSpPr>
        <xdr:cNvPr id="109" name="CasellaDiTesto 108">
          <a:extLst>
            <a:ext uri="{FF2B5EF4-FFF2-40B4-BE49-F238E27FC236}">
              <a16:creationId xmlns:a16="http://schemas.microsoft.com/office/drawing/2014/main" id="{8E5B02C9-1760-4C6A-85CF-F509918F2EBC}"/>
            </a:ext>
          </a:extLst>
        </xdr:cNvPr>
        <xdr:cNvSpPr txBox="1"/>
      </xdr:nvSpPr>
      <xdr:spPr>
        <a:xfrm>
          <a:off x="2867025" y="12573000"/>
          <a:ext cx="1419224" cy="247650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AD49A66-17DE-4DB7-9E4D-6B135B1E2A8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pD [bar] = 10.7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200025</xdr:colOff>
      <xdr:row>64</xdr:row>
      <xdr:rowOff>9525</xdr:rowOff>
    </xdr:from>
    <xdr:to>
      <xdr:col>9</xdr:col>
      <xdr:colOff>542924</xdr:colOff>
      <xdr:row>65</xdr:row>
      <xdr:rowOff>64839</xdr:rowOff>
    </xdr:to>
    <xdr:sp macro="" textlink="'single_suction-1'!J87">
      <xdr:nvSpPr>
        <xdr:cNvPr id="110" name="CasellaDiTesto 109">
          <a:extLst>
            <a:ext uri="{FF2B5EF4-FFF2-40B4-BE49-F238E27FC236}">
              <a16:creationId xmlns:a16="http://schemas.microsoft.com/office/drawing/2014/main" id="{EA922C03-3A87-45B2-9651-2C306770453D}"/>
            </a:ext>
          </a:extLst>
        </xdr:cNvPr>
        <xdr:cNvSpPr txBox="1"/>
      </xdr:nvSpPr>
      <xdr:spPr>
        <a:xfrm>
          <a:off x="4467225" y="12211050"/>
          <a:ext cx="1562099" cy="2458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4F61D66A-EE52-4382-9120-613CCCA78401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∆pD [bar] = 4.7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83</xdr:row>
      <xdr:rowOff>0</xdr:rowOff>
    </xdr:from>
    <xdr:to>
      <xdr:col>11</xdr:col>
      <xdr:colOff>605116</xdr:colOff>
      <xdr:row>110</xdr:row>
      <xdr:rowOff>0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id="{95B32EB3-2242-4811-8F7F-6882D541FC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677525"/>
          <a:ext cx="7310716" cy="514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102</xdr:row>
      <xdr:rowOff>110276</xdr:rowOff>
    </xdr:from>
    <xdr:to>
      <xdr:col>0</xdr:col>
      <xdr:colOff>105634</xdr:colOff>
      <xdr:row>103</xdr:row>
      <xdr:rowOff>152756</xdr:rowOff>
    </xdr:to>
    <xdr:sp macro="" textlink="#REF!">
      <xdr:nvSpPr>
        <xdr:cNvPr id="23" name="CasellaDiTesto 22">
          <a:extLst>
            <a:ext uri="{FF2B5EF4-FFF2-40B4-BE49-F238E27FC236}">
              <a16:creationId xmlns:a16="http://schemas.microsoft.com/office/drawing/2014/main" id="{4BB6F10F-579B-48EB-B5E9-9DDC2FEC1E63}"/>
            </a:ext>
          </a:extLst>
        </xdr:cNvPr>
        <xdr:cNvSpPr txBox="1"/>
      </xdr:nvSpPr>
      <xdr:spPr>
        <a:xfrm>
          <a:off x="0" y="14407301"/>
          <a:ext cx="105634" cy="232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09416DD-64AB-4DE7-ACB8-55CBAB833FAA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 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559861</xdr:colOff>
      <xdr:row>97</xdr:row>
      <xdr:rowOff>86324</xdr:rowOff>
    </xdr:from>
    <xdr:to>
      <xdr:col>3</xdr:col>
      <xdr:colOff>192643</xdr:colOff>
      <xdr:row>103</xdr:row>
      <xdr:rowOff>212627</xdr:rowOff>
    </xdr:to>
    <xdr:sp macro="" textlink="'single_suction-1'!J15">
      <xdr:nvSpPr>
        <xdr:cNvPr id="24" name="CasellaDiTesto 23">
          <a:extLst>
            <a:ext uri="{FF2B5EF4-FFF2-40B4-BE49-F238E27FC236}">
              <a16:creationId xmlns:a16="http://schemas.microsoft.com/office/drawing/2014/main" id="{19C33BFA-A112-49FA-B9FA-FBDA3D4752B5}"/>
            </a:ext>
          </a:extLst>
        </xdr:cNvPr>
        <xdr:cNvSpPr txBox="1"/>
      </xdr:nvSpPr>
      <xdr:spPr>
        <a:xfrm rot="16200000">
          <a:off x="1275125" y="13934785"/>
          <a:ext cx="1250253" cy="242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F4916D7-3FE0-47FB-91A4-A98A8516A4E4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ssp [mm] = 0.215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131365</xdr:colOff>
      <xdr:row>103</xdr:row>
      <xdr:rowOff>88049</xdr:rowOff>
    </xdr:from>
    <xdr:to>
      <xdr:col>1</xdr:col>
      <xdr:colOff>369748</xdr:colOff>
      <xdr:row>109</xdr:row>
      <xdr:rowOff>112957</xdr:rowOff>
    </xdr:to>
    <xdr:sp macro="" textlink="'single_suction-1'!J11">
      <xdr:nvSpPr>
        <xdr:cNvPr id="111" name="CasellaDiTesto 110">
          <a:extLst>
            <a:ext uri="{FF2B5EF4-FFF2-40B4-BE49-F238E27FC236}">
              <a16:creationId xmlns:a16="http://schemas.microsoft.com/office/drawing/2014/main" id="{FE0D7150-AE2D-425F-970A-01009BC80851}"/>
            </a:ext>
          </a:extLst>
        </xdr:cNvPr>
        <xdr:cNvSpPr txBox="1"/>
      </xdr:nvSpPr>
      <xdr:spPr>
        <a:xfrm rot="16200000">
          <a:off x="276203" y="15040336"/>
          <a:ext cx="116790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D919F18-FBB7-4C77-8455-5B8E63556AC1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Dsp [mm] = 149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53503</xdr:colOff>
      <xdr:row>103</xdr:row>
      <xdr:rowOff>60354</xdr:rowOff>
    </xdr:from>
    <xdr:to>
      <xdr:col>2</xdr:col>
      <xdr:colOff>288982</xdr:colOff>
      <xdr:row>109</xdr:row>
      <xdr:rowOff>85260</xdr:rowOff>
    </xdr:to>
    <xdr:sp macro="" textlink="'single_suction-1'!J13">
      <xdr:nvSpPr>
        <xdr:cNvPr id="114" name="CasellaDiTesto 113">
          <a:extLst>
            <a:ext uri="{FF2B5EF4-FFF2-40B4-BE49-F238E27FC236}">
              <a16:creationId xmlns:a16="http://schemas.microsoft.com/office/drawing/2014/main" id="{A2113729-8D39-4146-810E-01579FB90271}"/>
            </a:ext>
          </a:extLst>
        </xdr:cNvPr>
        <xdr:cNvSpPr txBox="1"/>
      </xdr:nvSpPr>
      <xdr:spPr>
        <a:xfrm rot="16200000">
          <a:off x="806490" y="15014092"/>
          <a:ext cx="1167906" cy="23547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7954E22-2DEC-433B-BBEC-1A4A2FE4A8D8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 [mm] = 85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139879</xdr:colOff>
      <xdr:row>103</xdr:row>
      <xdr:rowOff>68252</xdr:rowOff>
    </xdr:from>
    <xdr:to>
      <xdr:col>0</xdr:col>
      <xdr:colOff>378262</xdr:colOff>
      <xdr:row>109</xdr:row>
      <xdr:rowOff>93160</xdr:rowOff>
    </xdr:to>
    <xdr:sp macro="" textlink="'single_suction-1'!J10">
      <xdr:nvSpPr>
        <xdr:cNvPr id="115" name="CasellaDiTesto 114">
          <a:extLst>
            <a:ext uri="{FF2B5EF4-FFF2-40B4-BE49-F238E27FC236}">
              <a16:creationId xmlns:a16="http://schemas.microsoft.com/office/drawing/2014/main" id="{01B5131B-D416-40FF-B8CA-A0A56FA99B83}"/>
            </a:ext>
          </a:extLst>
        </xdr:cNvPr>
        <xdr:cNvSpPr txBox="1"/>
      </xdr:nvSpPr>
      <xdr:spPr>
        <a:xfrm rot="16200000">
          <a:off x="-324883" y="15020539"/>
          <a:ext cx="116790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714AB15-33CE-4EC0-815E-BCCCFA3816D3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D2 [mm] = 360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10</xdr:col>
      <xdr:colOff>309502</xdr:colOff>
      <xdr:row>103</xdr:row>
      <xdr:rowOff>133350</xdr:rowOff>
    </xdr:from>
    <xdr:to>
      <xdr:col>10</xdr:col>
      <xdr:colOff>547885</xdr:colOff>
      <xdr:row>109</xdr:row>
      <xdr:rowOff>157493</xdr:rowOff>
    </xdr:to>
    <xdr:sp macro="" textlink="'single_suction-1'!J14">
      <xdr:nvSpPr>
        <xdr:cNvPr id="116" name="CasellaDiTesto 115">
          <a:extLst>
            <a:ext uri="{FF2B5EF4-FFF2-40B4-BE49-F238E27FC236}">
              <a16:creationId xmlns:a16="http://schemas.microsoft.com/office/drawing/2014/main" id="{6B15D4A1-3512-4960-BB51-A474AD86B148}"/>
            </a:ext>
          </a:extLst>
        </xdr:cNvPr>
        <xdr:cNvSpPr txBox="1"/>
      </xdr:nvSpPr>
      <xdr:spPr>
        <a:xfrm rot="16200000">
          <a:off x="5941122" y="15085255"/>
          <a:ext cx="1167143" cy="238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47E8557-D680-4212-8E12-AC314F4A30E8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DRH [mm] = 90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538313</xdr:colOff>
      <xdr:row>83</xdr:row>
      <xdr:rowOff>144621</xdr:rowOff>
    </xdr:from>
    <xdr:to>
      <xdr:col>7</xdr:col>
      <xdr:colOff>119104</xdr:colOff>
      <xdr:row>84</xdr:row>
      <xdr:rowOff>186558</xdr:rowOff>
    </xdr:to>
    <xdr:sp macro="" textlink="'single_suction-1'!J36">
      <xdr:nvSpPr>
        <xdr:cNvPr id="118" name="CasellaDiTesto 117">
          <a:extLst>
            <a:ext uri="{FF2B5EF4-FFF2-40B4-BE49-F238E27FC236}">
              <a16:creationId xmlns:a16="http://schemas.microsoft.com/office/drawing/2014/main" id="{869FFE41-78B6-486E-B6BD-1526CB71C0C7}"/>
            </a:ext>
          </a:extLst>
        </xdr:cNvPr>
        <xdr:cNvSpPr txBox="1"/>
      </xdr:nvSpPr>
      <xdr:spPr>
        <a:xfrm>
          <a:off x="2976713" y="10822146"/>
          <a:ext cx="1409591" cy="2324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AF6259E-77C4-4317-B6CD-F3625894E12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pLA [bar] = 14.7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6</xdr:col>
      <xdr:colOff>174731</xdr:colOff>
      <xdr:row>102</xdr:row>
      <xdr:rowOff>102614</xdr:rowOff>
    </xdr:from>
    <xdr:to>
      <xdr:col>8</xdr:col>
      <xdr:colOff>374849</xdr:colOff>
      <xdr:row>103</xdr:row>
      <xdr:rowOff>137999</xdr:rowOff>
    </xdr:to>
    <xdr:sp macro="" textlink="'single_suction-1'!J31">
      <xdr:nvSpPr>
        <xdr:cNvPr id="119" name="CasellaDiTesto 118">
          <a:extLst>
            <a:ext uri="{FF2B5EF4-FFF2-40B4-BE49-F238E27FC236}">
              <a16:creationId xmlns:a16="http://schemas.microsoft.com/office/drawing/2014/main" id="{61F1BF06-F2EC-4DE7-81E4-D94970950489}"/>
            </a:ext>
          </a:extLst>
        </xdr:cNvPr>
        <xdr:cNvSpPr txBox="1"/>
      </xdr:nvSpPr>
      <xdr:spPr>
        <a:xfrm>
          <a:off x="3832331" y="14399639"/>
          <a:ext cx="1419318" cy="2258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59C9C4F9-08AA-444E-B098-690410BCEED9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pBAL [barg] = 1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11</xdr:col>
      <xdr:colOff>257176</xdr:colOff>
      <xdr:row>104</xdr:row>
      <xdr:rowOff>19050</xdr:rowOff>
    </xdr:from>
    <xdr:to>
      <xdr:col>11</xdr:col>
      <xdr:colOff>495559</xdr:colOff>
      <xdr:row>109</xdr:row>
      <xdr:rowOff>128918</xdr:rowOff>
    </xdr:to>
    <xdr:sp macro="" textlink="'single_suction-1'!J12">
      <xdr:nvSpPr>
        <xdr:cNvPr id="120" name="CasellaDiTesto 119">
          <a:extLst>
            <a:ext uri="{FF2B5EF4-FFF2-40B4-BE49-F238E27FC236}">
              <a16:creationId xmlns:a16="http://schemas.microsoft.com/office/drawing/2014/main" id="{492FCEC0-ECA1-4659-923B-4D356BA70F64}"/>
            </a:ext>
          </a:extLst>
        </xdr:cNvPr>
        <xdr:cNvSpPr txBox="1"/>
      </xdr:nvSpPr>
      <xdr:spPr>
        <a:xfrm rot="16200000">
          <a:off x="6550784" y="15109067"/>
          <a:ext cx="106236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857ED09-BBE0-4279-BF60-81D222C0B997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DD [mm] = 90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350817</xdr:colOff>
      <xdr:row>96</xdr:row>
      <xdr:rowOff>121124</xdr:rowOff>
    </xdr:from>
    <xdr:to>
      <xdr:col>7</xdr:col>
      <xdr:colOff>589200</xdr:colOff>
      <xdr:row>102</xdr:row>
      <xdr:rowOff>145267</xdr:rowOff>
    </xdr:to>
    <xdr:sp macro="" textlink="'single_suction-1'!J16">
      <xdr:nvSpPr>
        <xdr:cNvPr id="121" name="CasellaDiTesto 120">
          <a:extLst>
            <a:ext uri="{FF2B5EF4-FFF2-40B4-BE49-F238E27FC236}">
              <a16:creationId xmlns:a16="http://schemas.microsoft.com/office/drawing/2014/main" id="{EB63E6CA-CBFF-48AE-B20F-F4DB9336E9DA}"/>
            </a:ext>
          </a:extLst>
        </xdr:cNvPr>
        <xdr:cNvSpPr txBox="1"/>
      </xdr:nvSpPr>
      <xdr:spPr>
        <a:xfrm rot="16200000">
          <a:off x="4153637" y="13739529"/>
          <a:ext cx="1167143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7103015-0A0E-45D1-B77A-0CD166F34F43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sD [mm] = 0.215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51955</xdr:colOff>
      <xdr:row>108</xdr:row>
      <xdr:rowOff>116060</xdr:rowOff>
    </xdr:from>
    <xdr:to>
      <xdr:col>6</xdr:col>
      <xdr:colOff>470962</xdr:colOff>
      <xdr:row>108</xdr:row>
      <xdr:rowOff>116060</xdr:rowOff>
    </xdr:to>
    <xdr:cxnSp macro="">
      <xdr:nvCxnSpPr>
        <xdr:cNvPr id="127" name="Connettore 2 126">
          <a:extLst>
            <a:ext uri="{FF2B5EF4-FFF2-40B4-BE49-F238E27FC236}">
              <a16:creationId xmlns:a16="http://schemas.microsoft.com/office/drawing/2014/main" id="{7A5F34D1-2AB7-4F18-8ACA-BCB63E5C13FE}"/>
            </a:ext>
          </a:extLst>
        </xdr:cNvPr>
        <xdr:cNvCxnSpPr/>
      </xdr:nvCxnSpPr>
      <xdr:spPr>
        <a:xfrm flipH="1">
          <a:off x="2490355" y="15556085"/>
          <a:ext cx="1638207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246823</xdr:colOff>
      <xdr:row>105</xdr:row>
      <xdr:rowOff>173182</xdr:rowOff>
    </xdr:from>
    <xdr:to>
      <xdr:col>7</xdr:col>
      <xdr:colOff>398023</xdr:colOff>
      <xdr:row>108</xdr:row>
      <xdr:rowOff>68406</xdr:rowOff>
    </xdr:to>
    <xdr:sp macro="" textlink="'single_suction-1'!J43">
      <xdr:nvSpPr>
        <xdr:cNvPr id="128" name="CasellaDiTesto 127">
          <a:extLst>
            <a:ext uri="{FF2B5EF4-FFF2-40B4-BE49-F238E27FC236}">
              <a16:creationId xmlns:a16="http://schemas.microsoft.com/office/drawing/2014/main" id="{63F8EF61-1BAD-4EDE-B70E-F00DAA3CD885}"/>
            </a:ext>
          </a:extLst>
        </xdr:cNvPr>
        <xdr:cNvSpPr txBox="1"/>
      </xdr:nvSpPr>
      <xdr:spPr>
        <a:xfrm>
          <a:off x="2685223" y="15041707"/>
          <a:ext cx="1980000" cy="4667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2251942-7B1C-4030-8129-20114B1EDAE1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F [N] Gulich = 13876
F [N]ANSI/HI = 13799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104775</xdr:colOff>
      <xdr:row>86</xdr:row>
      <xdr:rowOff>104775</xdr:rowOff>
    </xdr:from>
    <xdr:to>
      <xdr:col>4</xdr:col>
      <xdr:colOff>390525</xdr:colOff>
      <xdr:row>88</xdr:row>
      <xdr:rowOff>9525</xdr:rowOff>
    </xdr:to>
    <xdr:sp macro="" textlink="'single_suction-1'!J65">
      <xdr:nvSpPr>
        <xdr:cNvPr id="129" name="CasellaDiTesto 128">
          <a:extLst>
            <a:ext uri="{FF2B5EF4-FFF2-40B4-BE49-F238E27FC236}">
              <a16:creationId xmlns:a16="http://schemas.microsoft.com/office/drawing/2014/main" id="{B1592E3D-E9FB-43B6-A76D-A85279DBE674}"/>
            </a:ext>
          </a:extLst>
        </xdr:cNvPr>
        <xdr:cNvSpPr txBox="1"/>
      </xdr:nvSpPr>
      <xdr:spPr>
        <a:xfrm>
          <a:off x="1323975" y="11353800"/>
          <a:ext cx="1504950" cy="285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1E41F523-7173-42F7-A113-BEEBA7A9394E}" type="TxLink">
            <a:rPr lang="en-US" sz="1100" b="0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r"/>
            <a:t>Qsp [m3/h] = 9.9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3</xdr:col>
      <xdr:colOff>361950</xdr:colOff>
      <xdr:row>96</xdr:row>
      <xdr:rowOff>123825</xdr:rowOff>
    </xdr:from>
    <xdr:to>
      <xdr:col>5</xdr:col>
      <xdr:colOff>561974</xdr:colOff>
      <xdr:row>97</xdr:row>
      <xdr:rowOff>141039</xdr:rowOff>
    </xdr:to>
    <xdr:sp macro="" textlink="'single_suction-1'!J64">
      <xdr:nvSpPr>
        <xdr:cNvPr id="130" name="CasellaDiTesto 129">
          <a:extLst>
            <a:ext uri="{FF2B5EF4-FFF2-40B4-BE49-F238E27FC236}">
              <a16:creationId xmlns:a16="http://schemas.microsoft.com/office/drawing/2014/main" id="{262FC46A-EC09-430F-BCAD-BE0EBDC511A8}"/>
            </a:ext>
          </a:extLst>
        </xdr:cNvPr>
        <xdr:cNvSpPr txBox="1"/>
      </xdr:nvSpPr>
      <xdr:spPr>
        <a:xfrm>
          <a:off x="2190750" y="13277850"/>
          <a:ext cx="1419224" cy="2077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C8DE8FB-E3F8-4533-B05C-AF996D52F037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psp [barg] = 10.8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180975</xdr:colOff>
      <xdr:row>92</xdr:row>
      <xdr:rowOff>47625</xdr:rowOff>
    </xdr:from>
    <xdr:to>
      <xdr:col>3</xdr:col>
      <xdr:colOff>523874</xdr:colOff>
      <xdr:row>93</xdr:row>
      <xdr:rowOff>102939</xdr:rowOff>
    </xdr:to>
    <xdr:sp macro="" textlink="'single_suction-1'!J63">
      <xdr:nvSpPr>
        <xdr:cNvPr id="131" name="CasellaDiTesto 130">
          <a:extLst>
            <a:ext uri="{FF2B5EF4-FFF2-40B4-BE49-F238E27FC236}">
              <a16:creationId xmlns:a16="http://schemas.microsoft.com/office/drawing/2014/main" id="{1C3F176D-840F-4089-ADE2-E402788D6417}"/>
            </a:ext>
          </a:extLst>
        </xdr:cNvPr>
        <xdr:cNvSpPr txBox="1"/>
      </xdr:nvSpPr>
      <xdr:spPr>
        <a:xfrm>
          <a:off x="790575" y="12439650"/>
          <a:ext cx="1562099" cy="2458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C4E708C3-469A-48AF-B1A6-5356FB531FB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∆psp [bar] = 10.8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6</xdr:col>
      <xdr:colOff>457200</xdr:colOff>
      <xdr:row>86</xdr:row>
      <xdr:rowOff>28575</xdr:rowOff>
    </xdr:from>
    <xdr:to>
      <xdr:col>9</xdr:col>
      <xdr:colOff>142874</xdr:colOff>
      <xdr:row>87</xdr:row>
      <xdr:rowOff>84509</xdr:rowOff>
    </xdr:to>
    <xdr:sp macro="" textlink="'single_suction-1'!J89">
      <xdr:nvSpPr>
        <xdr:cNvPr id="132" name="CasellaDiTesto 131">
          <a:extLst>
            <a:ext uri="{FF2B5EF4-FFF2-40B4-BE49-F238E27FC236}">
              <a16:creationId xmlns:a16="http://schemas.microsoft.com/office/drawing/2014/main" id="{B35EA19C-B5E2-4C02-BEEE-15FDA4D58616}"/>
            </a:ext>
          </a:extLst>
        </xdr:cNvPr>
        <xdr:cNvSpPr txBox="1"/>
      </xdr:nvSpPr>
      <xdr:spPr>
        <a:xfrm>
          <a:off x="4114800" y="11277600"/>
          <a:ext cx="1514474" cy="24643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57DBEBF-E53F-41C5-99E3-2C021EB2AC6A}" type="TxLink">
            <a:rPr lang="en-US" sz="1100" b="0" i="0" u="none" strike="noStrike">
              <a:solidFill>
                <a:schemeClr val="tx2"/>
              </a:solidFill>
              <a:latin typeface="Calibri"/>
              <a:ea typeface="Calibri"/>
              <a:cs typeface="Calibri"/>
            </a:rPr>
            <a:pPr algn="l"/>
            <a:t>QD [m3/h] = 1.8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4</xdr:col>
      <xdr:colOff>428625</xdr:colOff>
      <xdr:row>92</xdr:row>
      <xdr:rowOff>180975</xdr:rowOff>
    </xdr:from>
    <xdr:to>
      <xdr:col>7</xdr:col>
      <xdr:colOff>19049</xdr:colOff>
      <xdr:row>94</xdr:row>
      <xdr:rowOff>47625</xdr:rowOff>
    </xdr:to>
    <xdr:sp macro="" textlink="'single_suction-1'!J88">
      <xdr:nvSpPr>
        <xdr:cNvPr id="133" name="CasellaDiTesto 132">
          <a:extLst>
            <a:ext uri="{FF2B5EF4-FFF2-40B4-BE49-F238E27FC236}">
              <a16:creationId xmlns:a16="http://schemas.microsoft.com/office/drawing/2014/main" id="{B4125443-7436-413B-8843-CD5C45DE6D57}"/>
            </a:ext>
          </a:extLst>
        </xdr:cNvPr>
        <xdr:cNvSpPr txBox="1"/>
      </xdr:nvSpPr>
      <xdr:spPr>
        <a:xfrm>
          <a:off x="2867025" y="12573000"/>
          <a:ext cx="1419224" cy="247650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AD49A66-17DE-4DB7-9E4D-6B135B1E2A8B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pD [bar] = 10.7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200025</xdr:colOff>
      <xdr:row>91</xdr:row>
      <xdr:rowOff>9525</xdr:rowOff>
    </xdr:from>
    <xdr:to>
      <xdr:col>9</xdr:col>
      <xdr:colOff>542924</xdr:colOff>
      <xdr:row>92</xdr:row>
      <xdr:rowOff>64839</xdr:rowOff>
    </xdr:to>
    <xdr:sp macro="" textlink="'single_suction-1'!J87">
      <xdr:nvSpPr>
        <xdr:cNvPr id="134" name="CasellaDiTesto 133">
          <a:extLst>
            <a:ext uri="{FF2B5EF4-FFF2-40B4-BE49-F238E27FC236}">
              <a16:creationId xmlns:a16="http://schemas.microsoft.com/office/drawing/2014/main" id="{28D19CC5-0EE1-4589-BBBA-2035E4B41570}"/>
            </a:ext>
          </a:extLst>
        </xdr:cNvPr>
        <xdr:cNvSpPr txBox="1"/>
      </xdr:nvSpPr>
      <xdr:spPr>
        <a:xfrm>
          <a:off x="4467225" y="12211050"/>
          <a:ext cx="1562099" cy="245814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4F61D66A-EE52-4382-9120-613CCCA78401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∆pD [bar] = 4.7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9</xdr:col>
      <xdr:colOff>438150</xdr:colOff>
      <xdr:row>102</xdr:row>
      <xdr:rowOff>104775</xdr:rowOff>
    </xdr:from>
    <xdr:to>
      <xdr:col>11</xdr:col>
      <xdr:colOff>471523</xdr:colOff>
      <xdr:row>103</xdr:row>
      <xdr:rowOff>121989</xdr:rowOff>
    </xdr:to>
    <xdr:sp macro="" textlink="'single_suction-1'!J35">
      <xdr:nvSpPr>
        <xdr:cNvPr id="135" name="CasellaDiTesto 134">
          <a:extLst>
            <a:ext uri="{FF2B5EF4-FFF2-40B4-BE49-F238E27FC236}">
              <a16:creationId xmlns:a16="http://schemas.microsoft.com/office/drawing/2014/main" id="{B8D3887A-6C9B-4107-BE83-424626EFCED0}"/>
            </a:ext>
          </a:extLst>
        </xdr:cNvPr>
        <xdr:cNvSpPr txBox="1"/>
      </xdr:nvSpPr>
      <xdr:spPr>
        <a:xfrm>
          <a:off x="5924550" y="19545300"/>
          <a:ext cx="1252573" cy="207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9794228-98F1-4D93-AEC6-DB91B22F5747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p2 [bar] = 19.6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0</xdr:colOff>
      <xdr:row>83</xdr:row>
      <xdr:rowOff>0</xdr:rowOff>
    </xdr:from>
    <xdr:to>
      <xdr:col>24</xdr:col>
      <xdr:colOff>605116</xdr:colOff>
      <xdr:row>110</xdr:row>
      <xdr:rowOff>0</xdr:rowOff>
    </xdr:to>
    <xdr:pic>
      <xdr:nvPicPr>
        <xdr:cNvPr id="136" name="Immagine 135">
          <a:extLst>
            <a:ext uri="{FF2B5EF4-FFF2-40B4-BE49-F238E27FC236}">
              <a16:creationId xmlns:a16="http://schemas.microsoft.com/office/drawing/2014/main" id="{3C9C7C0C-F33D-44CC-9079-647821EC30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0" y="10677525"/>
          <a:ext cx="7310716" cy="514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0</xdr:colOff>
      <xdr:row>102</xdr:row>
      <xdr:rowOff>110276</xdr:rowOff>
    </xdr:from>
    <xdr:to>
      <xdr:col>13</xdr:col>
      <xdr:colOff>105634</xdr:colOff>
      <xdr:row>103</xdr:row>
      <xdr:rowOff>152756</xdr:rowOff>
    </xdr:to>
    <xdr:sp macro="" textlink="#REF!">
      <xdr:nvSpPr>
        <xdr:cNvPr id="137" name="CasellaDiTesto 136">
          <a:extLst>
            <a:ext uri="{FF2B5EF4-FFF2-40B4-BE49-F238E27FC236}">
              <a16:creationId xmlns:a16="http://schemas.microsoft.com/office/drawing/2014/main" id="{DF450705-876A-480E-8BC6-2972BEB479AF}"/>
            </a:ext>
          </a:extLst>
        </xdr:cNvPr>
        <xdr:cNvSpPr txBox="1"/>
      </xdr:nvSpPr>
      <xdr:spPr>
        <a:xfrm>
          <a:off x="7924800" y="14407301"/>
          <a:ext cx="105634" cy="232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09416DD-64AB-4DE7-ACB8-55CBAB833FAA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 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559861</xdr:colOff>
      <xdr:row>97</xdr:row>
      <xdr:rowOff>86324</xdr:rowOff>
    </xdr:from>
    <xdr:to>
      <xdr:col>16</xdr:col>
      <xdr:colOff>192643</xdr:colOff>
      <xdr:row>103</xdr:row>
      <xdr:rowOff>212627</xdr:rowOff>
    </xdr:to>
    <xdr:sp macro="" textlink="'single_suction-2'!E14">
      <xdr:nvSpPr>
        <xdr:cNvPr id="138" name="CasellaDiTesto 137">
          <a:extLst>
            <a:ext uri="{FF2B5EF4-FFF2-40B4-BE49-F238E27FC236}">
              <a16:creationId xmlns:a16="http://schemas.microsoft.com/office/drawing/2014/main" id="{4F03C5F7-311F-4477-8DC0-9CA36468C070}"/>
            </a:ext>
          </a:extLst>
        </xdr:cNvPr>
        <xdr:cNvSpPr txBox="1"/>
      </xdr:nvSpPr>
      <xdr:spPr>
        <a:xfrm rot="16200000">
          <a:off x="9199925" y="13934785"/>
          <a:ext cx="1250253" cy="242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ED5E5CE-BBD0-44D4-A1F4-AE90255EDBE9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ssp [mm] = 0.29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14</xdr:col>
      <xdr:colOff>131365</xdr:colOff>
      <xdr:row>103</xdr:row>
      <xdr:rowOff>88049</xdr:rowOff>
    </xdr:from>
    <xdr:to>
      <xdr:col>14</xdr:col>
      <xdr:colOff>369748</xdr:colOff>
      <xdr:row>109</xdr:row>
      <xdr:rowOff>112957</xdr:rowOff>
    </xdr:to>
    <xdr:sp macro="" textlink="'single_suction-2'!E10">
      <xdr:nvSpPr>
        <xdr:cNvPr id="139" name="CasellaDiTesto 138">
          <a:extLst>
            <a:ext uri="{FF2B5EF4-FFF2-40B4-BE49-F238E27FC236}">
              <a16:creationId xmlns:a16="http://schemas.microsoft.com/office/drawing/2014/main" id="{38C2BC21-5A20-4033-8C6F-DF8F38E3FA11}"/>
            </a:ext>
          </a:extLst>
        </xdr:cNvPr>
        <xdr:cNvSpPr txBox="1"/>
      </xdr:nvSpPr>
      <xdr:spPr>
        <a:xfrm rot="16200000">
          <a:off x="8201003" y="15040336"/>
          <a:ext cx="116790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36E493C-C87C-422E-A46F-CB19C3B45342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Dsp [mm] = 281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53503</xdr:colOff>
      <xdr:row>103</xdr:row>
      <xdr:rowOff>60354</xdr:rowOff>
    </xdr:from>
    <xdr:to>
      <xdr:col>15</xdr:col>
      <xdr:colOff>288982</xdr:colOff>
      <xdr:row>109</xdr:row>
      <xdr:rowOff>85260</xdr:rowOff>
    </xdr:to>
    <xdr:sp macro="" textlink="'single_suction-2'!E12">
      <xdr:nvSpPr>
        <xdr:cNvPr id="140" name="CasellaDiTesto 139">
          <a:extLst>
            <a:ext uri="{FF2B5EF4-FFF2-40B4-BE49-F238E27FC236}">
              <a16:creationId xmlns:a16="http://schemas.microsoft.com/office/drawing/2014/main" id="{AE6FFC1B-79AE-479E-BABB-C882B03ADE9E}"/>
            </a:ext>
          </a:extLst>
        </xdr:cNvPr>
        <xdr:cNvSpPr txBox="1"/>
      </xdr:nvSpPr>
      <xdr:spPr>
        <a:xfrm rot="16200000">
          <a:off x="8731290" y="15014092"/>
          <a:ext cx="1167906" cy="23547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61AAEB5-1CC8-4A46-8B09-FDC43D401AAC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DFH [mm] = 100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13</xdr:col>
      <xdr:colOff>139879</xdr:colOff>
      <xdr:row>103</xdr:row>
      <xdr:rowOff>68252</xdr:rowOff>
    </xdr:from>
    <xdr:to>
      <xdr:col>13</xdr:col>
      <xdr:colOff>378262</xdr:colOff>
      <xdr:row>109</xdr:row>
      <xdr:rowOff>93160</xdr:rowOff>
    </xdr:to>
    <xdr:sp macro="" textlink="'single_suction-2'!E9">
      <xdr:nvSpPr>
        <xdr:cNvPr id="141" name="CasellaDiTesto 140">
          <a:extLst>
            <a:ext uri="{FF2B5EF4-FFF2-40B4-BE49-F238E27FC236}">
              <a16:creationId xmlns:a16="http://schemas.microsoft.com/office/drawing/2014/main" id="{15F61CF5-B795-4949-96C6-FAAD6B4F7DE3}"/>
            </a:ext>
          </a:extLst>
        </xdr:cNvPr>
        <xdr:cNvSpPr txBox="1"/>
      </xdr:nvSpPr>
      <xdr:spPr>
        <a:xfrm rot="16200000">
          <a:off x="7599917" y="15020539"/>
          <a:ext cx="116790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5BEEB41-49A9-4B80-B5B1-F4B4CAE6EF5B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D2 [mm] = 430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23</xdr:col>
      <xdr:colOff>309502</xdr:colOff>
      <xdr:row>103</xdr:row>
      <xdr:rowOff>133350</xdr:rowOff>
    </xdr:from>
    <xdr:to>
      <xdr:col>23</xdr:col>
      <xdr:colOff>547885</xdr:colOff>
      <xdr:row>109</xdr:row>
      <xdr:rowOff>157493</xdr:rowOff>
    </xdr:to>
    <xdr:sp macro="" textlink="'single_suction-2'!E13">
      <xdr:nvSpPr>
        <xdr:cNvPr id="142" name="CasellaDiTesto 141">
          <a:extLst>
            <a:ext uri="{FF2B5EF4-FFF2-40B4-BE49-F238E27FC236}">
              <a16:creationId xmlns:a16="http://schemas.microsoft.com/office/drawing/2014/main" id="{044FEDE7-8712-42F8-B15C-B7BEE97602CB}"/>
            </a:ext>
          </a:extLst>
        </xdr:cNvPr>
        <xdr:cNvSpPr txBox="1"/>
      </xdr:nvSpPr>
      <xdr:spPr>
        <a:xfrm rot="16200000">
          <a:off x="13865922" y="15085255"/>
          <a:ext cx="1167143" cy="238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2E0C46B-7A81-47B8-BC41-16AE3102E865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DRH [mm] = 120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280818</xdr:colOff>
      <xdr:row>86</xdr:row>
      <xdr:rowOff>149936</xdr:rowOff>
    </xdr:from>
    <xdr:to>
      <xdr:col>17</xdr:col>
      <xdr:colOff>291310</xdr:colOff>
      <xdr:row>88</xdr:row>
      <xdr:rowOff>1374</xdr:rowOff>
    </xdr:to>
    <xdr:sp macro="" textlink="'single_suction-2'!E66">
      <xdr:nvSpPr>
        <xdr:cNvPr id="143" name="CasellaDiTesto 142">
          <a:extLst>
            <a:ext uri="{FF2B5EF4-FFF2-40B4-BE49-F238E27FC236}">
              <a16:creationId xmlns:a16="http://schemas.microsoft.com/office/drawing/2014/main" id="{973EEDEC-689C-4E82-9939-13C86DB4BCC6}"/>
            </a:ext>
          </a:extLst>
        </xdr:cNvPr>
        <xdr:cNvSpPr txBox="1"/>
      </xdr:nvSpPr>
      <xdr:spPr>
        <a:xfrm>
          <a:off x="9424818" y="11398961"/>
          <a:ext cx="1229692" cy="23243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C0276CCF-CC6D-4266-AD66-3960A2FA036C}" type="TxLink">
            <a:rPr lang="en-US" sz="1100" b="0" i="0" u="none" strike="noStrike">
              <a:solidFill>
                <a:schemeClr val="tx2"/>
              </a:solidFill>
              <a:latin typeface="Calibri"/>
              <a:cs typeface="Calibri"/>
            </a:rPr>
            <a:pPr algn="r"/>
            <a:t>Qsp [m3/h] = 14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20</xdr:col>
      <xdr:colOff>7954</xdr:colOff>
      <xdr:row>86</xdr:row>
      <xdr:rowOff>105093</xdr:rowOff>
    </xdr:from>
    <xdr:to>
      <xdr:col>22</xdr:col>
      <xdr:colOff>20866</xdr:colOff>
      <xdr:row>87</xdr:row>
      <xdr:rowOff>147573</xdr:rowOff>
    </xdr:to>
    <xdr:sp macro="" textlink="'single_suction-2'!E93">
      <xdr:nvSpPr>
        <xdr:cNvPr id="144" name="CasellaDiTesto 143">
          <a:extLst>
            <a:ext uri="{FF2B5EF4-FFF2-40B4-BE49-F238E27FC236}">
              <a16:creationId xmlns:a16="http://schemas.microsoft.com/office/drawing/2014/main" id="{C6C7D51D-B0C4-4E86-9715-3175A348FDAB}"/>
            </a:ext>
          </a:extLst>
        </xdr:cNvPr>
        <xdr:cNvSpPr txBox="1"/>
      </xdr:nvSpPr>
      <xdr:spPr>
        <a:xfrm>
          <a:off x="12199954" y="11354118"/>
          <a:ext cx="1232112" cy="23298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723C498-F4F9-4077-8012-503CFE4022DB}" type="TxLink">
            <a:rPr lang="en-US" sz="1100" b="0" i="0" u="none" strike="noStrike">
              <a:solidFill>
                <a:schemeClr val="tx2"/>
              </a:solidFill>
              <a:latin typeface="Calibri"/>
              <a:cs typeface="Calibri"/>
            </a:rPr>
            <a:pPr algn="l"/>
            <a:t>QD [m3/h] = 7.5</a:t>
          </a:fld>
          <a:endParaRPr lang="it-IT" sz="1100">
            <a:solidFill>
              <a:schemeClr val="tx2"/>
            </a:solidFill>
          </a:endParaRPr>
        </a:p>
      </xdr:txBody>
    </xdr:sp>
    <xdr:clientData/>
  </xdr:twoCellAnchor>
  <xdr:twoCellAnchor>
    <xdr:from>
      <xdr:col>17</xdr:col>
      <xdr:colOff>538313</xdr:colOff>
      <xdr:row>83</xdr:row>
      <xdr:rowOff>144621</xdr:rowOff>
    </xdr:from>
    <xdr:to>
      <xdr:col>20</xdr:col>
      <xdr:colOff>119104</xdr:colOff>
      <xdr:row>84</xdr:row>
      <xdr:rowOff>186558</xdr:rowOff>
    </xdr:to>
    <xdr:sp macro="" textlink="'single_suction-2'!E98">
      <xdr:nvSpPr>
        <xdr:cNvPr id="146" name="CasellaDiTesto 145">
          <a:extLst>
            <a:ext uri="{FF2B5EF4-FFF2-40B4-BE49-F238E27FC236}">
              <a16:creationId xmlns:a16="http://schemas.microsoft.com/office/drawing/2014/main" id="{A483A5E0-A2D5-4AB2-AF26-593FF7CB69A2}"/>
            </a:ext>
          </a:extLst>
        </xdr:cNvPr>
        <xdr:cNvSpPr txBox="1"/>
      </xdr:nvSpPr>
      <xdr:spPr>
        <a:xfrm>
          <a:off x="10901513" y="10822146"/>
          <a:ext cx="1409591" cy="2324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E7548D1-F50A-4533-83F9-005E7B67B01D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pLA [bar] = 13.8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321005</xdr:colOff>
      <xdr:row>89</xdr:row>
      <xdr:rowOff>29695</xdr:rowOff>
    </xdr:from>
    <xdr:to>
      <xdr:col>21</xdr:col>
      <xdr:colOff>63874</xdr:colOff>
      <xdr:row>90</xdr:row>
      <xdr:rowOff>78227</xdr:rowOff>
    </xdr:to>
    <xdr:sp macro="" textlink="">
      <xdr:nvSpPr>
        <xdr:cNvPr id="147" name="CasellaDiTesto 146">
          <a:extLst>
            <a:ext uri="{FF2B5EF4-FFF2-40B4-BE49-F238E27FC236}">
              <a16:creationId xmlns:a16="http://schemas.microsoft.com/office/drawing/2014/main" id="{8DA5ADB4-D478-4FFE-8A1D-82363812BFD5}"/>
            </a:ext>
          </a:extLst>
        </xdr:cNvPr>
        <xdr:cNvSpPr txBox="1"/>
      </xdr:nvSpPr>
      <xdr:spPr>
        <a:xfrm>
          <a:off x="11903405" y="11850220"/>
          <a:ext cx="962069" cy="23903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accent3">
                  <a:lumMod val="75000"/>
                </a:schemeClr>
              </a:solidFill>
            </a:rPr>
            <a:t>pRS</a:t>
          </a:r>
          <a:r>
            <a:rPr lang="en-US" sz="1100" baseline="0">
              <a:solidFill>
                <a:schemeClr val="accent3">
                  <a:lumMod val="75000"/>
                </a:schemeClr>
              </a:solidFill>
            </a:rPr>
            <a:t> [barg]</a:t>
          </a:r>
          <a:endParaRPr lang="en-US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16</xdr:col>
      <xdr:colOff>104775</xdr:colOff>
      <xdr:row>88</xdr:row>
      <xdr:rowOff>40791</xdr:rowOff>
    </xdr:from>
    <xdr:to>
      <xdr:col>17</xdr:col>
      <xdr:colOff>276877</xdr:colOff>
      <xdr:row>89</xdr:row>
      <xdr:rowOff>79313</xdr:rowOff>
    </xdr:to>
    <xdr:sp macro="" textlink="">
      <xdr:nvSpPr>
        <xdr:cNvPr id="148" name="CasellaDiTesto 147">
          <a:extLst>
            <a:ext uri="{FF2B5EF4-FFF2-40B4-BE49-F238E27FC236}">
              <a16:creationId xmlns:a16="http://schemas.microsoft.com/office/drawing/2014/main" id="{49B4DE0A-21CB-4F38-B27C-7C99EDA38E2A}"/>
            </a:ext>
          </a:extLst>
        </xdr:cNvPr>
        <xdr:cNvSpPr txBox="1"/>
      </xdr:nvSpPr>
      <xdr:spPr>
        <a:xfrm>
          <a:off x="9858375" y="16814316"/>
          <a:ext cx="781702" cy="22902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>
              <a:solidFill>
                <a:schemeClr val="accent3">
                  <a:lumMod val="75000"/>
                </a:schemeClr>
              </a:solidFill>
              <a:effectLst/>
            </a:rPr>
            <a:t>pFS [barg]</a:t>
          </a:r>
        </a:p>
      </xdr:txBody>
    </xdr:sp>
    <xdr:clientData/>
  </xdr:twoCellAnchor>
  <xdr:twoCellAnchor>
    <xdr:from>
      <xdr:col>22</xdr:col>
      <xdr:colOff>190310</xdr:colOff>
      <xdr:row>94</xdr:row>
      <xdr:rowOff>90788</xdr:rowOff>
    </xdr:from>
    <xdr:to>
      <xdr:col>24</xdr:col>
      <xdr:colOff>227515</xdr:colOff>
      <xdr:row>95</xdr:row>
      <xdr:rowOff>102165</xdr:rowOff>
    </xdr:to>
    <xdr:sp macro="" textlink="'single_suction-2'!E86">
      <xdr:nvSpPr>
        <xdr:cNvPr id="149" name="CasellaDiTesto 148">
          <a:extLst>
            <a:ext uri="{FF2B5EF4-FFF2-40B4-BE49-F238E27FC236}">
              <a16:creationId xmlns:a16="http://schemas.microsoft.com/office/drawing/2014/main" id="{391B7D4C-D263-4573-89CE-1C19C063962A}"/>
            </a:ext>
          </a:extLst>
        </xdr:cNvPr>
        <xdr:cNvSpPr txBox="1"/>
      </xdr:nvSpPr>
      <xdr:spPr>
        <a:xfrm>
          <a:off x="13601510" y="12863813"/>
          <a:ext cx="1256405" cy="20187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991543EE-1A09-47AB-BCF4-7773832BE24A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∆pD [bar] = 8.6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14</xdr:col>
      <xdr:colOff>467128</xdr:colOff>
      <xdr:row>92</xdr:row>
      <xdr:rowOff>79682</xdr:rowOff>
    </xdr:from>
    <xdr:to>
      <xdr:col>16</xdr:col>
      <xdr:colOff>504333</xdr:colOff>
      <xdr:row>93</xdr:row>
      <xdr:rowOff>124677</xdr:rowOff>
    </xdr:to>
    <xdr:sp macro="" textlink="'single_suction-2'!E59">
      <xdr:nvSpPr>
        <xdr:cNvPr id="150" name="CasellaDiTesto 149">
          <a:extLst>
            <a:ext uri="{FF2B5EF4-FFF2-40B4-BE49-F238E27FC236}">
              <a16:creationId xmlns:a16="http://schemas.microsoft.com/office/drawing/2014/main" id="{5D62B975-7CAF-4BA7-A9B5-5BADCB99BE13}"/>
            </a:ext>
          </a:extLst>
        </xdr:cNvPr>
        <xdr:cNvSpPr txBox="1"/>
      </xdr:nvSpPr>
      <xdr:spPr>
        <a:xfrm>
          <a:off x="9001528" y="12471707"/>
          <a:ext cx="1256405" cy="23549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16ED90C5-09A4-423F-AD7A-1188867AAF0E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r"/>
            <a:t>∆psp [bar] = 12.3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174731</xdr:colOff>
      <xdr:row>102</xdr:row>
      <xdr:rowOff>102614</xdr:rowOff>
    </xdr:from>
    <xdr:to>
      <xdr:col>21</xdr:col>
      <xdr:colOff>374849</xdr:colOff>
      <xdr:row>103</xdr:row>
      <xdr:rowOff>137999</xdr:rowOff>
    </xdr:to>
    <xdr:sp macro="" textlink="'single_suction-2'!E39">
      <xdr:nvSpPr>
        <xdr:cNvPr id="151" name="CasellaDiTesto 150">
          <a:extLst>
            <a:ext uri="{FF2B5EF4-FFF2-40B4-BE49-F238E27FC236}">
              <a16:creationId xmlns:a16="http://schemas.microsoft.com/office/drawing/2014/main" id="{50F5F7B9-7C14-4A49-8471-04633EA6714A}"/>
            </a:ext>
          </a:extLst>
        </xdr:cNvPr>
        <xdr:cNvSpPr txBox="1"/>
      </xdr:nvSpPr>
      <xdr:spPr>
        <a:xfrm>
          <a:off x="11757131" y="14399639"/>
          <a:ext cx="1419318" cy="2258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D62DE72-E3BA-4704-BDFA-1D2934AA8939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cs typeface="Calibri"/>
            </a:rPr>
            <a:pPr algn="l"/>
            <a:t>pBAL [bar] = 1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24</xdr:col>
      <xdr:colOff>257176</xdr:colOff>
      <xdr:row>104</xdr:row>
      <xdr:rowOff>19050</xdr:rowOff>
    </xdr:from>
    <xdr:to>
      <xdr:col>24</xdr:col>
      <xdr:colOff>495559</xdr:colOff>
      <xdr:row>109</xdr:row>
      <xdr:rowOff>128918</xdr:rowOff>
    </xdr:to>
    <xdr:sp macro="" textlink="'single_suction-2'!E11">
      <xdr:nvSpPr>
        <xdr:cNvPr id="152" name="CasellaDiTesto 151">
          <a:extLst>
            <a:ext uri="{FF2B5EF4-FFF2-40B4-BE49-F238E27FC236}">
              <a16:creationId xmlns:a16="http://schemas.microsoft.com/office/drawing/2014/main" id="{14E05BD8-87FB-4B7A-9DE9-584F2B4E919A}"/>
            </a:ext>
          </a:extLst>
        </xdr:cNvPr>
        <xdr:cNvSpPr txBox="1"/>
      </xdr:nvSpPr>
      <xdr:spPr>
        <a:xfrm rot="16200000">
          <a:off x="14475584" y="15109067"/>
          <a:ext cx="1062368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35D823F-05C1-48E6-9714-42605B635524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l"/>
            <a:t>DD [mm] = 210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331767</xdr:colOff>
      <xdr:row>96</xdr:row>
      <xdr:rowOff>159224</xdr:rowOff>
    </xdr:from>
    <xdr:to>
      <xdr:col>20</xdr:col>
      <xdr:colOff>570150</xdr:colOff>
      <xdr:row>102</xdr:row>
      <xdr:rowOff>183367</xdr:rowOff>
    </xdr:to>
    <xdr:sp macro="" textlink="'single_suction-2'!E15">
      <xdr:nvSpPr>
        <xdr:cNvPr id="153" name="CasellaDiTesto 152">
          <a:extLst>
            <a:ext uri="{FF2B5EF4-FFF2-40B4-BE49-F238E27FC236}">
              <a16:creationId xmlns:a16="http://schemas.microsoft.com/office/drawing/2014/main" id="{D7079E20-EC49-4E26-BF81-CAF304E17B9F}"/>
            </a:ext>
          </a:extLst>
        </xdr:cNvPr>
        <xdr:cNvSpPr txBox="1"/>
      </xdr:nvSpPr>
      <xdr:spPr>
        <a:xfrm rot="16200000">
          <a:off x="12059387" y="13777629"/>
          <a:ext cx="1167143" cy="238383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C19CA225-4F13-4D3C-BBDC-DD7F9EB23B91}" type="TxLink">
            <a:rPr lang="en-US" sz="1100" b="0" i="0" u="none" strike="noStrike">
              <a:solidFill>
                <a:schemeClr val="accent6">
                  <a:lumMod val="75000"/>
                </a:schemeClr>
              </a:solidFill>
              <a:latin typeface="Calibri"/>
              <a:cs typeface="Calibri"/>
            </a:rPr>
            <a:pPr algn="r"/>
            <a:t>sD [mm] = 0.29</a:t>
          </a:fld>
          <a:endParaRPr lang="it-IT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161925</xdr:colOff>
      <xdr:row>91</xdr:row>
      <xdr:rowOff>9525</xdr:rowOff>
    </xdr:from>
    <xdr:to>
      <xdr:col>22</xdr:col>
      <xdr:colOff>390525</xdr:colOff>
      <xdr:row>92</xdr:row>
      <xdr:rowOff>82173</xdr:rowOff>
    </xdr:to>
    <xdr:sp macro="" textlink="'single_suction-2'!E87">
      <xdr:nvSpPr>
        <xdr:cNvPr id="154" name="CasellaDiTesto 153">
          <a:extLst>
            <a:ext uri="{FF2B5EF4-FFF2-40B4-BE49-F238E27FC236}">
              <a16:creationId xmlns:a16="http://schemas.microsoft.com/office/drawing/2014/main" id="{F875F475-0CFB-48BD-A1B1-02CB1037D21D}"/>
            </a:ext>
          </a:extLst>
        </xdr:cNvPr>
        <xdr:cNvSpPr txBox="1"/>
      </xdr:nvSpPr>
      <xdr:spPr>
        <a:xfrm>
          <a:off x="12353925" y="12211050"/>
          <a:ext cx="1447800" cy="26314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B32B7BE-30E2-44C9-9E5F-56CE6870D878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pD [barg] = 9.8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17</xdr:col>
      <xdr:colOff>352425</xdr:colOff>
      <xdr:row>108</xdr:row>
      <xdr:rowOff>133379</xdr:rowOff>
    </xdr:from>
    <xdr:to>
      <xdr:col>20</xdr:col>
      <xdr:colOff>165295</xdr:colOff>
      <xdr:row>108</xdr:row>
      <xdr:rowOff>133379</xdr:rowOff>
    </xdr:to>
    <xdr:cxnSp macro="">
      <xdr:nvCxnSpPr>
        <xdr:cNvPr id="155" name="Connettore 2 154">
          <a:extLst>
            <a:ext uri="{FF2B5EF4-FFF2-40B4-BE49-F238E27FC236}">
              <a16:creationId xmlns:a16="http://schemas.microsoft.com/office/drawing/2014/main" id="{66B92C65-7A58-4522-B7EB-04E775FB58ED}"/>
            </a:ext>
          </a:extLst>
        </xdr:cNvPr>
        <xdr:cNvCxnSpPr/>
      </xdr:nvCxnSpPr>
      <xdr:spPr>
        <a:xfrm flipH="1">
          <a:off x="10715625" y="15573404"/>
          <a:ext cx="1641670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550756</xdr:colOff>
      <xdr:row>107</xdr:row>
      <xdr:rowOff>0</xdr:rowOff>
    </xdr:from>
    <xdr:to>
      <xdr:col>21</xdr:col>
      <xdr:colOff>92356</xdr:colOff>
      <xdr:row>108</xdr:row>
      <xdr:rowOff>61450</xdr:rowOff>
    </xdr:to>
    <xdr:sp macro="" textlink="'single_suction-2'!E106">
      <xdr:nvSpPr>
        <xdr:cNvPr id="156" name="CasellaDiTesto 155">
          <a:extLst>
            <a:ext uri="{FF2B5EF4-FFF2-40B4-BE49-F238E27FC236}">
              <a16:creationId xmlns:a16="http://schemas.microsoft.com/office/drawing/2014/main" id="{E142270B-968B-4261-984F-5DC28642ED23}"/>
            </a:ext>
          </a:extLst>
        </xdr:cNvPr>
        <xdr:cNvSpPr txBox="1"/>
      </xdr:nvSpPr>
      <xdr:spPr>
        <a:xfrm>
          <a:off x="10913956" y="15249525"/>
          <a:ext cx="1980000" cy="25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65F57493-3486-4959-A949-4A0B55DC616D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F[N] = 40644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22</xdr:col>
      <xdr:colOff>457200</xdr:colOff>
      <xdr:row>102</xdr:row>
      <xdr:rowOff>66675</xdr:rowOff>
    </xdr:from>
    <xdr:to>
      <xdr:col>24</xdr:col>
      <xdr:colOff>490573</xdr:colOff>
      <xdr:row>103</xdr:row>
      <xdr:rowOff>83889</xdr:rowOff>
    </xdr:to>
    <xdr:sp macro="" textlink="'single_suction-2'!E97">
      <xdr:nvSpPr>
        <xdr:cNvPr id="157" name="CasellaDiTesto 156">
          <a:extLst>
            <a:ext uri="{FF2B5EF4-FFF2-40B4-BE49-F238E27FC236}">
              <a16:creationId xmlns:a16="http://schemas.microsoft.com/office/drawing/2014/main" id="{CB7A6DD5-52F5-4CAE-9204-C3361418D0C0}"/>
            </a:ext>
          </a:extLst>
        </xdr:cNvPr>
        <xdr:cNvSpPr txBox="1"/>
      </xdr:nvSpPr>
      <xdr:spPr>
        <a:xfrm>
          <a:off x="13868400" y="19507200"/>
          <a:ext cx="1252573" cy="2077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B5AE090-BF92-49F6-88A0-F6146BE97518}" type="TxLink">
            <a:rPr lang="en-US" sz="1100" b="0" i="0" u="none" strike="noStrike">
              <a:solidFill>
                <a:schemeClr val="accent3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p2 [bar] = 18.4</a:t>
          </a:fld>
          <a:endParaRPr lang="it-IT" sz="1100">
            <a:solidFill>
              <a:schemeClr val="accent3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1</xdr:colOff>
      <xdr:row>29</xdr:row>
      <xdr:rowOff>0</xdr:rowOff>
    </xdr:from>
    <xdr:to>
      <xdr:col>1</xdr:col>
      <xdr:colOff>142874</xdr:colOff>
      <xdr:row>30</xdr:row>
      <xdr:rowOff>95250</xdr:rowOff>
    </xdr:to>
    <xdr:sp macro="" textlink="'single_suction-1'!J9">
      <xdr:nvSpPr>
        <xdr:cNvPr id="160" name="CasellaDiTesto 159">
          <a:extLst>
            <a:ext uri="{FF2B5EF4-FFF2-40B4-BE49-F238E27FC236}">
              <a16:creationId xmlns:a16="http://schemas.microsoft.com/office/drawing/2014/main" id="{65D75024-6862-46B2-91CA-332912EFEBC2}"/>
            </a:ext>
          </a:extLst>
        </xdr:cNvPr>
        <xdr:cNvSpPr txBox="1"/>
      </xdr:nvSpPr>
      <xdr:spPr>
        <a:xfrm>
          <a:off x="1" y="5534025"/>
          <a:ext cx="752473" cy="285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801608A-50A0-40DD-9623-E4DD692312FF}" type="TxLink">
            <a:rPr lang="en-US" sz="1100" b="1" i="0" u="sng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CASE 4</a:t>
          </a:fld>
          <a:endParaRPr lang="en-US" sz="1100" b="1" i="0" u="sng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</xdr:colOff>
      <xdr:row>2</xdr:row>
      <xdr:rowOff>0</xdr:rowOff>
    </xdr:from>
    <xdr:to>
      <xdr:col>1</xdr:col>
      <xdr:colOff>142874</xdr:colOff>
      <xdr:row>3</xdr:row>
      <xdr:rowOff>95250</xdr:rowOff>
    </xdr:to>
    <xdr:sp macro="" textlink="'single_suction-1'!J9">
      <xdr:nvSpPr>
        <xdr:cNvPr id="161" name="CasellaDiTesto 160">
          <a:extLst>
            <a:ext uri="{FF2B5EF4-FFF2-40B4-BE49-F238E27FC236}">
              <a16:creationId xmlns:a16="http://schemas.microsoft.com/office/drawing/2014/main" id="{FFD80E29-69D7-4C33-AE0D-124407688161}"/>
            </a:ext>
          </a:extLst>
        </xdr:cNvPr>
        <xdr:cNvSpPr txBox="1"/>
      </xdr:nvSpPr>
      <xdr:spPr>
        <a:xfrm>
          <a:off x="1" y="390525"/>
          <a:ext cx="752473" cy="285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801608A-50A0-40DD-9623-E4DD692312FF}" type="TxLink">
            <a:rPr lang="en-US" sz="1100" b="1" i="0" u="sng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CASE 4</a:t>
          </a:fld>
          <a:endParaRPr lang="en-US" sz="1100" b="1" i="0" u="sng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56</xdr:row>
      <xdr:rowOff>1</xdr:rowOff>
    </xdr:from>
    <xdr:to>
      <xdr:col>1</xdr:col>
      <xdr:colOff>142873</xdr:colOff>
      <xdr:row>57</xdr:row>
      <xdr:rowOff>95251</xdr:rowOff>
    </xdr:to>
    <xdr:sp macro="" textlink="'single_suction-1'!AO20">
      <xdr:nvSpPr>
        <xdr:cNvPr id="162" name="CasellaDiTesto 161">
          <a:extLst>
            <a:ext uri="{FF2B5EF4-FFF2-40B4-BE49-F238E27FC236}">
              <a16:creationId xmlns:a16="http://schemas.microsoft.com/office/drawing/2014/main" id="{D2E85A0C-2F85-463D-BF60-AFA3686BFE55}"/>
            </a:ext>
          </a:extLst>
        </xdr:cNvPr>
        <xdr:cNvSpPr txBox="1"/>
      </xdr:nvSpPr>
      <xdr:spPr>
        <a:xfrm>
          <a:off x="0" y="10677526"/>
          <a:ext cx="752473" cy="285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801608A-50A0-40DD-9623-E4DD692312FF}" type="TxLink">
            <a:rPr lang="en-US" sz="1100" b="1" i="0" u="sng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 </a:t>
          </a:fld>
          <a:endParaRPr lang="en-US" sz="1100" b="1" i="0" u="sng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83</xdr:row>
      <xdr:rowOff>47625</xdr:rowOff>
    </xdr:from>
    <xdr:to>
      <xdr:col>1</xdr:col>
      <xdr:colOff>142873</xdr:colOff>
      <xdr:row>84</xdr:row>
      <xdr:rowOff>142875</xdr:rowOff>
    </xdr:to>
    <xdr:sp macro="" textlink="'single_suction-1'!J9">
      <xdr:nvSpPr>
        <xdr:cNvPr id="165" name="CasellaDiTesto 164">
          <a:extLst>
            <a:ext uri="{FF2B5EF4-FFF2-40B4-BE49-F238E27FC236}">
              <a16:creationId xmlns:a16="http://schemas.microsoft.com/office/drawing/2014/main" id="{5A3D8B43-7873-4ED7-AD82-8F8CB0058B15}"/>
            </a:ext>
          </a:extLst>
        </xdr:cNvPr>
        <xdr:cNvSpPr txBox="1"/>
      </xdr:nvSpPr>
      <xdr:spPr>
        <a:xfrm>
          <a:off x="0" y="15868650"/>
          <a:ext cx="752473" cy="285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A801608A-50A0-40DD-9623-E4DD692312FF}" type="TxLink">
            <a:rPr lang="en-US" sz="1100" b="1" i="0" u="sng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CASE 4</a:t>
          </a:fld>
          <a:endParaRPr lang="en-US" sz="1100" b="1" i="0" u="sng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182283</xdr:colOff>
      <xdr:row>12</xdr:row>
      <xdr:rowOff>151668</xdr:rowOff>
    </xdr:from>
    <xdr:to>
      <xdr:col>8</xdr:col>
      <xdr:colOff>477166</xdr:colOff>
      <xdr:row>12</xdr:row>
      <xdr:rowOff>151668</xdr:rowOff>
    </xdr:to>
    <xdr:cxnSp macro="">
      <xdr:nvCxnSpPr>
        <xdr:cNvPr id="11" name="Connettore 2 10">
          <a:extLst>
            <a:ext uri="{FF2B5EF4-FFF2-40B4-BE49-F238E27FC236}">
              <a16:creationId xmlns:a16="http://schemas.microsoft.com/office/drawing/2014/main" id="{0E988372-874A-4591-A957-0F7B4FC64709}"/>
            </a:ext>
          </a:extLst>
        </xdr:cNvPr>
        <xdr:cNvCxnSpPr/>
      </xdr:nvCxnSpPr>
      <xdr:spPr>
        <a:xfrm flipH="1">
          <a:off x="4449483" y="244719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98072</xdr:colOff>
      <xdr:row>10</xdr:row>
      <xdr:rowOff>19050</xdr:rowOff>
    </xdr:from>
    <xdr:to>
      <xdr:col>10</xdr:col>
      <xdr:colOff>200025</xdr:colOff>
      <xdr:row>12</xdr:row>
      <xdr:rowOff>75567</xdr:rowOff>
    </xdr:to>
    <xdr:sp macro="" textlink="'single_suction-1'!J42">
      <xdr:nvSpPr>
        <xdr:cNvPr id="48" name="CasellaDiTesto 47">
          <a:extLst>
            <a:ext uri="{FF2B5EF4-FFF2-40B4-BE49-F238E27FC236}">
              <a16:creationId xmlns:a16="http://schemas.microsoft.com/office/drawing/2014/main" id="{362D1506-7949-41AC-B517-1E2A506D4169}"/>
            </a:ext>
          </a:extLst>
        </xdr:cNvPr>
        <xdr:cNvSpPr txBox="1"/>
      </xdr:nvSpPr>
      <xdr:spPr>
        <a:xfrm>
          <a:off x="4365272" y="1933575"/>
          <a:ext cx="1930753" cy="43751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64465F4-4458-4253-B4ED-79ADC6D32B91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(FRS [N] Gulich = 121151)
(FRS [N]ANSI/HI = 127429)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279288</xdr:colOff>
      <xdr:row>11</xdr:row>
      <xdr:rowOff>37484</xdr:rowOff>
    </xdr:from>
    <xdr:to>
      <xdr:col>4</xdr:col>
      <xdr:colOff>572855</xdr:colOff>
      <xdr:row>11</xdr:row>
      <xdr:rowOff>44458</xdr:rowOff>
    </xdr:to>
    <xdr:cxnSp macro="">
      <xdr:nvCxnSpPr>
        <xdr:cNvPr id="117" name="Connettore 2 116">
          <a:extLst>
            <a:ext uri="{FF2B5EF4-FFF2-40B4-BE49-F238E27FC236}">
              <a16:creationId xmlns:a16="http://schemas.microsoft.com/office/drawing/2014/main" id="{4EA4E5D1-D604-45B0-94A6-957258000E74}"/>
            </a:ext>
          </a:extLst>
        </xdr:cNvPr>
        <xdr:cNvCxnSpPr/>
      </xdr:nvCxnSpPr>
      <xdr:spPr>
        <a:xfrm>
          <a:off x="2108088" y="2142509"/>
          <a:ext cx="903167" cy="6974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8</xdr:row>
      <xdr:rowOff>95250</xdr:rowOff>
    </xdr:from>
    <xdr:to>
      <xdr:col>5</xdr:col>
      <xdr:colOff>43923</xdr:colOff>
      <xdr:row>10</xdr:row>
      <xdr:rowOff>150569</xdr:rowOff>
    </xdr:to>
    <xdr:sp macro="" textlink="'single_suction-1'!J41">
      <xdr:nvSpPr>
        <xdr:cNvPr id="159" name="CasellaDiTesto 158">
          <a:extLst>
            <a:ext uri="{FF2B5EF4-FFF2-40B4-BE49-F238E27FC236}">
              <a16:creationId xmlns:a16="http://schemas.microsoft.com/office/drawing/2014/main" id="{0100B5B6-07E3-40E6-9864-61B41C22EEFE}"/>
            </a:ext>
          </a:extLst>
        </xdr:cNvPr>
        <xdr:cNvSpPr txBox="1"/>
      </xdr:nvSpPr>
      <xdr:spPr>
        <a:xfrm>
          <a:off x="1228725" y="1628775"/>
          <a:ext cx="1863198" cy="4363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690981B-84FF-4F76-B16C-C85EC63E803F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(FFS [N] Gulich = 107687)
(FFS [N]ANSI/HI = 114042)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9</xdr:col>
      <xdr:colOff>163233</xdr:colOff>
      <xdr:row>24</xdr:row>
      <xdr:rowOff>27843</xdr:rowOff>
    </xdr:from>
    <xdr:to>
      <xdr:col>10</xdr:col>
      <xdr:colOff>458116</xdr:colOff>
      <xdr:row>24</xdr:row>
      <xdr:rowOff>27843</xdr:rowOff>
    </xdr:to>
    <xdr:cxnSp macro="">
      <xdr:nvCxnSpPr>
        <xdr:cNvPr id="168" name="Connettore 2 167">
          <a:extLst>
            <a:ext uri="{FF2B5EF4-FFF2-40B4-BE49-F238E27FC236}">
              <a16:creationId xmlns:a16="http://schemas.microsoft.com/office/drawing/2014/main" id="{D4D9F407-2302-43F5-8C7B-CB7F084146CB}"/>
            </a:ext>
          </a:extLst>
        </xdr:cNvPr>
        <xdr:cNvCxnSpPr/>
      </xdr:nvCxnSpPr>
      <xdr:spPr>
        <a:xfrm flipH="1">
          <a:off x="5649633" y="4609368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24</xdr:row>
      <xdr:rowOff>182172</xdr:rowOff>
    </xdr:from>
    <xdr:to>
      <xdr:col>11</xdr:col>
      <xdr:colOff>16425</xdr:colOff>
      <xdr:row>27</xdr:row>
      <xdr:rowOff>57149</xdr:rowOff>
    </xdr:to>
    <xdr:sp macro="" textlink="'single_suction-1'!J40">
      <xdr:nvSpPr>
        <xdr:cNvPr id="169" name="CasellaDiTesto 168">
          <a:extLst>
            <a:ext uri="{FF2B5EF4-FFF2-40B4-BE49-F238E27FC236}">
              <a16:creationId xmlns:a16="http://schemas.microsoft.com/office/drawing/2014/main" id="{59D28DD8-0F2E-4AE7-9B52-7C7A0A8C908A}"/>
            </a:ext>
          </a:extLst>
        </xdr:cNvPr>
        <xdr:cNvSpPr txBox="1"/>
      </xdr:nvSpPr>
      <xdr:spPr>
        <a:xfrm>
          <a:off x="4848225" y="4763697"/>
          <a:ext cx="1873800" cy="44647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ED64B9C0-A7AD-443B-B358-7A65BDB7C628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(FHUB [N] Gulich = 412)
(FHUB [N]ANSI/HI = 412)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163234</xdr:colOff>
      <xdr:row>39</xdr:row>
      <xdr:rowOff>142143</xdr:rowOff>
    </xdr:from>
    <xdr:to>
      <xdr:col>8</xdr:col>
      <xdr:colOff>458117</xdr:colOff>
      <xdr:row>39</xdr:row>
      <xdr:rowOff>142143</xdr:rowOff>
    </xdr:to>
    <xdr:cxnSp macro="">
      <xdr:nvCxnSpPr>
        <xdr:cNvPr id="176" name="Connettore 2 175">
          <a:extLst>
            <a:ext uri="{FF2B5EF4-FFF2-40B4-BE49-F238E27FC236}">
              <a16:creationId xmlns:a16="http://schemas.microsoft.com/office/drawing/2014/main" id="{DBA10BD8-5ADF-4D72-80EC-09E0D6FEDDF8}"/>
            </a:ext>
          </a:extLst>
        </xdr:cNvPr>
        <xdr:cNvCxnSpPr/>
      </xdr:nvCxnSpPr>
      <xdr:spPr>
        <a:xfrm flipH="1">
          <a:off x="4430434" y="7581168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79023</xdr:colOff>
      <xdr:row>37</xdr:row>
      <xdr:rowOff>9525</xdr:rowOff>
    </xdr:from>
    <xdr:to>
      <xdr:col>10</xdr:col>
      <xdr:colOff>180976</xdr:colOff>
      <xdr:row>39</xdr:row>
      <xdr:rowOff>66042</xdr:rowOff>
    </xdr:to>
    <xdr:sp macro="" textlink="'single_suction-1'!J42">
      <xdr:nvSpPr>
        <xdr:cNvPr id="177" name="CasellaDiTesto 176">
          <a:extLst>
            <a:ext uri="{FF2B5EF4-FFF2-40B4-BE49-F238E27FC236}">
              <a16:creationId xmlns:a16="http://schemas.microsoft.com/office/drawing/2014/main" id="{B57E172E-FCDC-460A-8808-FAC05C73CDF1}"/>
            </a:ext>
          </a:extLst>
        </xdr:cNvPr>
        <xdr:cNvSpPr txBox="1"/>
      </xdr:nvSpPr>
      <xdr:spPr>
        <a:xfrm>
          <a:off x="4346223" y="7067550"/>
          <a:ext cx="1930753" cy="43751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64465F4-4458-4253-B4ED-79ADC6D32B91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(FRS [N] Gulich = 121151)
(FRS [N]ANSI/HI = 127429)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260239</xdr:colOff>
      <xdr:row>38</xdr:row>
      <xdr:rowOff>27959</xdr:rowOff>
    </xdr:from>
    <xdr:to>
      <xdr:col>4</xdr:col>
      <xdr:colOff>553806</xdr:colOff>
      <xdr:row>38</xdr:row>
      <xdr:rowOff>34933</xdr:rowOff>
    </xdr:to>
    <xdr:cxnSp macro="">
      <xdr:nvCxnSpPr>
        <xdr:cNvPr id="178" name="Connettore 2 177">
          <a:extLst>
            <a:ext uri="{FF2B5EF4-FFF2-40B4-BE49-F238E27FC236}">
              <a16:creationId xmlns:a16="http://schemas.microsoft.com/office/drawing/2014/main" id="{EB7BD2B8-250F-48B4-AF2C-939916590724}"/>
            </a:ext>
          </a:extLst>
        </xdr:cNvPr>
        <xdr:cNvCxnSpPr/>
      </xdr:nvCxnSpPr>
      <xdr:spPr>
        <a:xfrm>
          <a:off x="2089039" y="7276484"/>
          <a:ext cx="903167" cy="6974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600076</xdr:colOff>
      <xdr:row>35</xdr:row>
      <xdr:rowOff>85725</xdr:rowOff>
    </xdr:from>
    <xdr:to>
      <xdr:col>5</xdr:col>
      <xdr:colOff>24874</xdr:colOff>
      <xdr:row>37</xdr:row>
      <xdr:rowOff>141044</xdr:rowOff>
    </xdr:to>
    <xdr:sp macro="" textlink="'single_suction-1'!J41">
      <xdr:nvSpPr>
        <xdr:cNvPr id="179" name="CasellaDiTesto 178">
          <a:extLst>
            <a:ext uri="{FF2B5EF4-FFF2-40B4-BE49-F238E27FC236}">
              <a16:creationId xmlns:a16="http://schemas.microsoft.com/office/drawing/2014/main" id="{51228CF1-4A0B-4F74-81AB-AE16ED7A5CC9}"/>
            </a:ext>
          </a:extLst>
        </xdr:cNvPr>
        <xdr:cNvSpPr txBox="1"/>
      </xdr:nvSpPr>
      <xdr:spPr>
        <a:xfrm>
          <a:off x="1209676" y="6762750"/>
          <a:ext cx="1863198" cy="4363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690981B-84FF-4F76-B16C-C85EC63E803F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(FFS [N] Gulich = 107687)
(FFS [N]ANSI/HI = 114042)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9</xdr:col>
      <xdr:colOff>144184</xdr:colOff>
      <xdr:row>51</xdr:row>
      <xdr:rowOff>18318</xdr:rowOff>
    </xdr:from>
    <xdr:to>
      <xdr:col>10</xdr:col>
      <xdr:colOff>439067</xdr:colOff>
      <xdr:row>51</xdr:row>
      <xdr:rowOff>18318</xdr:rowOff>
    </xdr:to>
    <xdr:cxnSp macro="">
      <xdr:nvCxnSpPr>
        <xdr:cNvPr id="180" name="Connettore 2 179">
          <a:extLst>
            <a:ext uri="{FF2B5EF4-FFF2-40B4-BE49-F238E27FC236}">
              <a16:creationId xmlns:a16="http://schemas.microsoft.com/office/drawing/2014/main" id="{6CBBD778-E037-4FB8-9042-FF215767B727}"/>
            </a:ext>
          </a:extLst>
        </xdr:cNvPr>
        <xdr:cNvCxnSpPr/>
      </xdr:nvCxnSpPr>
      <xdr:spPr>
        <a:xfrm flipH="1">
          <a:off x="5630584" y="974334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561976</xdr:colOff>
      <xdr:row>51</xdr:row>
      <xdr:rowOff>172647</xdr:rowOff>
    </xdr:from>
    <xdr:to>
      <xdr:col>10</xdr:col>
      <xdr:colOff>606976</xdr:colOff>
      <xdr:row>54</xdr:row>
      <xdr:rowOff>47624</xdr:rowOff>
    </xdr:to>
    <xdr:sp macro="" textlink="'single_suction-1'!J40">
      <xdr:nvSpPr>
        <xdr:cNvPr id="181" name="CasellaDiTesto 180">
          <a:extLst>
            <a:ext uri="{FF2B5EF4-FFF2-40B4-BE49-F238E27FC236}">
              <a16:creationId xmlns:a16="http://schemas.microsoft.com/office/drawing/2014/main" id="{675C0DAC-7B7C-4DBB-9E31-1669E13E13FD}"/>
            </a:ext>
          </a:extLst>
        </xdr:cNvPr>
        <xdr:cNvSpPr txBox="1"/>
      </xdr:nvSpPr>
      <xdr:spPr>
        <a:xfrm>
          <a:off x="4829176" y="9897672"/>
          <a:ext cx="1873800" cy="44647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1107245A-2D20-40EA-8AA8-B8CA28DE7333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(FHUB [N] Gulich = 412)
(FHUB [N]ANSI/HI = 412)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39408</xdr:colOff>
      <xdr:row>63</xdr:row>
      <xdr:rowOff>56419</xdr:rowOff>
    </xdr:from>
    <xdr:to>
      <xdr:col>8</xdr:col>
      <xdr:colOff>334291</xdr:colOff>
      <xdr:row>63</xdr:row>
      <xdr:rowOff>56419</xdr:rowOff>
    </xdr:to>
    <xdr:cxnSp macro="">
      <xdr:nvCxnSpPr>
        <xdr:cNvPr id="182" name="Connettore 2 181">
          <a:extLst>
            <a:ext uri="{FF2B5EF4-FFF2-40B4-BE49-F238E27FC236}">
              <a16:creationId xmlns:a16="http://schemas.microsoft.com/office/drawing/2014/main" id="{6B01F0AE-6703-4C21-8569-70C3E57FE08A}"/>
            </a:ext>
          </a:extLst>
        </xdr:cNvPr>
        <xdr:cNvCxnSpPr/>
      </xdr:nvCxnSpPr>
      <xdr:spPr>
        <a:xfrm flipH="1">
          <a:off x="4306608" y="12067444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564797</xdr:colOff>
      <xdr:row>60</xdr:row>
      <xdr:rowOff>114301</xdr:rowOff>
    </xdr:from>
    <xdr:to>
      <xdr:col>10</xdr:col>
      <xdr:colOff>57150</xdr:colOff>
      <xdr:row>62</xdr:row>
      <xdr:rowOff>170818</xdr:rowOff>
    </xdr:to>
    <xdr:sp macro="" textlink="'single_suction-1'!J42">
      <xdr:nvSpPr>
        <xdr:cNvPr id="183" name="CasellaDiTesto 182">
          <a:extLst>
            <a:ext uri="{FF2B5EF4-FFF2-40B4-BE49-F238E27FC236}">
              <a16:creationId xmlns:a16="http://schemas.microsoft.com/office/drawing/2014/main" id="{75FEB401-0566-4670-BE03-DB0F714F2E44}"/>
            </a:ext>
          </a:extLst>
        </xdr:cNvPr>
        <xdr:cNvSpPr txBox="1"/>
      </xdr:nvSpPr>
      <xdr:spPr>
        <a:xfrm>
          <a:off x="4222397" y="11553826"/>
          <a:ext cx="1930753" cy="43751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64465F4-4458-4253-B4ED-79ADC6D32B91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(FRS [N] Gulich = 121151)
(FRS [N]ANSI/HI = 127429)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3063</xdr:colOff>
      <xdr:row>64</xdr:row>
      <xdr:rowOff>94635</xdr:rowOff>
    </xdr:from>
    <xdr:to>
      <xdr:col>4</xdr:col>
      <xdr:colOff>296630</xdr:colOff>
      <xdr:row>64</xdr:row>
      <xdr:rowOff>101609</xdr:rowOff>
    </xdr:to>
    <xdr:cxnSp macro="">
      <xdr:nvCxnSpPr>
        <xdr:cNvPr id="184" name="Connettore 2 183">
          <a:extLst>
            <a:ext uri="{FF2B5EF4-FFF2-40B4-BE49-F238E27FC236}">
              <a16:creationId xmlns:a16="http://schemas.microsoft.com/office/drawing/2014/main" id="{7A903302-0277-456B-A38E-0F35A2275A98}"/>
            </a:ext>
          </a:extLst>
        </xdr:cNvPr>
        <xdr:cNvCxnSpPr/>
      </xdr:nvCxnSpPr>
      <xdr:spPr>
        <a:xfrm>
          <a:off x="1831863" y="12296160"/>
          <a:ext cx="903167" cy="6974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342900</xdr:colOff>
      <xdr:row>61</xdr:row>
      <xdr:rowOff>152401</xdr:rowOff>
    </xdr:from>
    <xdr:to>
      <xdr:col>4</xdr:col>
      <xdr:colOff>377298</xdr:colOff>
      <xdr:row>64</xdr:row>
      <xdr:rowOff>17220</xdr:rowOff>
    </xdr:to>
    <xdr:sp macro="" textlink="'single_suction-1'!J41">
      <xdr:nvSpPr>
        <xdr:cNvPr id="185" name="CasellaDiTesto 184">
          <a:extLst>
            <a:ext uri="{FF2B5EF4-FFF2-40B4-BE49-F238E27FC236}">
              <a16:creationId xmlns:a16="http://schemas.microsoft.com/office/drawing/2014/main" id="{0D7A5276-2F13-4792-BB56-D76DA464B673}"/>
            </a:ext>
          </a:extLst>
        </xdr:cNvPr>
        <xdr:cNvSpPr txBox="1"/>
      </xdr:nvSpPr>
      <xdr:spPr>
        <a:xfrm>
          <a:off x="952500" y="11782426"/>
          <a:ext cx="1863198" cy="4363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690981B-84FF-4F76-B16C-C85EC63E803F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(FFS [N] Gulich = 107687)
(FFS [N]ANSI/HI = 114042)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496608</xdr:colOff>
      <xdr:row>77</xdr:row>
      <xdr:rowOff>170719</xdr:rowOff>
    </xdr:from>
    <xdr:to>
      <xdr:col>10</xdr:col>
      <xdr:colOff>181891</xdr:colOff>
      <xdr:row>77</xdr:row>
      <xdr:rowOff>170719</xdr:rowOff>
    </xdr:to>
    <xdr:cxnSp macro="">
      <xdr:nvCxnSpPr>
        <xdr:cNvPr id="186" name="Connettore 2 185">
          <a:extLst>
            <a:ext uri="{FF2B5EF4-FFF2-40B4-BE49-F238E27FC236}">
              <a16:creationId xmlns:a16="http://schemas.microsoft.com/office/drawing/2014/main" id="{03BC48BB-A495-4193-A421-76B2DFC7A010}"/>
            </a:ext>
          </a:extLst>
        </xdr:cNvPr>
        <xdr:cNvCxnSpPr/>
      </xdr:nvCxnSpPr>
      <xdr:spPr>
        <a:xfrm flipH="1">
          <a:off x="5373408" y="14848744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78</xdr:row>
      <xdr:rowOff>134548</xdr:rowOff>
    </xdr:from>
    <xdr:to>
      <xdr:col>10</xdr:col>
      <xdr:colOff>349800</xdr:colOff>
      <xdr:row>81</xdr:row>
      <xdr:rowOff>9525</xdr:rowOff>
    </xdr:to>
    <xdr:sp macro="" textlink="'single_suction-1'!J40">
      <xdr:nvSpPr>
        <xdr:cNvPr id="187" name="CasellaDiTesto 186">
          <a:extLst>
            <a:ext uri="{FF2B5EF4-FFF2-40B4-BE49-F238E27FC236}">
              <a16:creationId xmlns:a16="http://schemas.microsoft.com/office/drawing/2014/main" id="{64E95FA7-6061-40F0-96CA-1D52184A12D9}"/>
            </a:ext>
          </a:extLst>
        </xdr:cNvPr>
        <xdr:cNvSpPr txBox="1"/>
      </xdr:nvSpPr>
      <xdr:spPr>
        <a:xfrm>
          <a:off x="4572000" y="15003073"/>
          <a:ext cx="1873800" cy="44647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5F291E1F-64D4-41D4-95D3-CF5229392B35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(FHUB [N] Gulich = 412)
(FHUB [N]ANSI/HI = 412)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144183</xdr:colOff>
      <xdr:row>73</xdr:row>
      <xdr:rowOff>180244</xdr:rowOff>
    </xdr:from>
    <xdr:to>
      <xdr:col>9</xdr:col>
      <xdr:colOff>439066</xdr:colOff>
      <xdr:row>73</xdr:row>
      <xdr:rowOff>180244</xdr:rowOff>
    </xdr:to>
    <xdr:cxnSp macro="">
      <xdr:nvCxnSpPr>
        <xdr:cNvPr id="188" name="Connettore 2 187">
          <a:extLst>
            <a:ext uri="{FF2B5EF4-FFF2-40B4-BE49-F238E27FC236}">
              <a16:creationId xmlns:a16="http://schemas.microsoft.com/office/drawing/2014/main" id="{4A88CDB0-A36B-458F-8C9C-C67786356289}"/>
            </a:ext>
          </a:extLst>
        </xdr:cNvPr>
        <xdr:cNvCxnSpPr/>
      </xdr:nvCxnSpPr>
      <xdr:spPr>
        <a:xfrm flipH="1">
          <a:off x="5020983" y="14096269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85725</xdr:colOff>
      <xdr:row>71</xdr:row>
      <xdr:rowOff>10723</xdr:rowOff>
    </xdr:from>
    <xdr:to>
      <xdr:col>11</xdr:col>
      <xdr:colOff>130725</xdr:colOff>
      <xdr:row>73</xdr:row>
      <xdr:rowOff>76200</xdr:rowOff>
    </xdr:to>
    <xdr:sp macro="" textlink="'single_suction-1'!J39">
      <xdr:nvSpPr>
        <xdr:cNvPr id="189" name="CasellaDiTesto 188">
          <a:extLst>
            <a:ext uri="{FF2B5EF4-FFF2-40B4-BE49-F238E27FC236}">
              <a16:creationId xmlns:a16="http://schemas.microsoft.com/office/drawing/2014/main" id="{D092DF92-8E25-4D0C-9900-643E79995D84}"/>
            </a:ext>
          </a:extLst>
        </xdr:cNvPr>
        <xdr:cNvSpPr txBox="1"/>
      </xdr:nvSpPr>
      <xdr:spPr>
        <a:xfrm>
          <a:off x="4962525" y="13545748"/>
          <a:ext cx="1873800" cy="44647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848B292-3057-4AB2-BDBF-58AF6A9CEFB4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(FBAL [N] Gulich = 0)
(FBAL [N]ANSI/HI = 0)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39408</xdr:colOff>
      <xdr:row>90</xdr:row>
      <xdr:rowOff>123093</xdr:rowOff>
    </xdr:from>
    <xdr:to>
      <xdr:col>8</xdr:col>
      <xdr:colOff>334291</xdr:colOff>
      <xdr:row>90</xdr:row>
      <xdr:rowOff>123093</xdr:rowOff>
    </xdr:to>
    <xdr:cxnSp macro="">
      <xdr:nvCxnSpPr>
        <xdr:cNvPr id="206" name="Connettore 2 205">
          <a:extLst>
            <a:ext uri="{FF2B5EF4-FFF2-40B4-BE49-F238E27FC236}">
              <a16:creationId xmlns:a16="http://schemas.microsoft.com/office/drawing/2014/main" id="{D7FCA209-F32C-4533-98C1-5292B01F6DCB}"/>
            </a:ext>
          </a:extLst>
        </xdr:cNvPr>
        <xdr:cNvCxnSpPr/>
      </xdr:nvCxnSpPr>
      <xdr:spPr>
        <a:xfrm flipH="1">
          <a:off x="4306608" y="17277618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564797</xdr:colOff>
      <xdr:row>87</xdr:row>
      <xdr:rowOff>180975</xdr:rowOff>
    </xdr:from>
    <xdr:to>
      <xdr:col>10</xdr:col>
      <xdr:colOff>57150</xdr:colOff>
      <xdr:row>90</xdr:row>
      <xdr:rowOff>46992</xdr:rowOff>
    </xdr:to>
    <xdr:sp macro="" textlink="'single_suction-1'!J42">
      <xdr:nvSpPr>
        <xdr:cNvPr id="207" name="CasellaDiTesto 206">
          <a:extLst>
            <a:ext uri="{FF2B5EF4-FFF2-40B4-BE49-F238E27FC236}">
              <a16:creationId xmlns:a16="http://schemas.microsoft.com/office/drawing/2014/main" id="{45E522FC-4F44-432F-BF6A-7DA1ADB73F8C}"/>
            </a:ext>
          </a:extLst>
        </xdr:cNvPr>
        <xdr:cNvSpPr txBox="1"/>
      </xdr:nvSpPr>
      <xdr:spPr>
        <a:xfrm>
          <a:off x="4222397" y="16764000"/>
          <a:ext cx="1930753" cy="43751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64465F4-4458-4253-B4ED-79ADC6D32B91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(FRS [N] Gulich = 121151)
(FRS [N]ANSI/HI = 127429)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3063</xdr:colOff>
      <xdr:row>91</xdr:row>
      <xdr:rowOff>161309</xdr:rowOff>
    </xdr:from>
    <xdr:to>
      <xdr:col>4</xdr:col>
      <xdr:colOff>296630</xdr:colOff>
      <xdr:row>91</xdr:row>
      <xdr:rowOff>168283</xdr:rowOff>
    </xdr:to>
    <xdr:cxnSp macro="">
      <xdr:nvCxnSpPr>
        <xdr:cNvPr id="208" name="Connettore 2 207">
          <a:extLst>
            <a:ext uri="{FF2B5EF4-FFF2-40B4-BE49-F238E27FC236}">
              <a16:creationId xmlns:a16="http://schemas.microsoft.com/office/drawing/2014/main" id="{06262DD3-5BA0-4B83-A7B7-EBE411BB8173}"/>
            </a:ext>
          </a:extLst>
        </xdr:cNvPr>
        <xdr:cNvCxnSpPr/>
      </xdr:nvCxnSpPr>
      <xdr:spPr>
        <a:xfrm>
          <a:off x="1831863" y="17506334"/>
          <a:ext cx="903167" cy="6974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342900</xdr:colOff>
      <xdr:row>89</xdr:row>
      <xdr:rowOff>28575</xdr:rowOff>
    </xdr:from>
    <xdr:to>
      <xdr:col>4</xdr:col>
      <xdr:colOff>377298</xdr:colOff>
      <xdr:row>91</xdr:row>
      <xdr:rowOff>83894</xdr:rowOff>
    </xdr:to>
    <xdr:sp macro="" textlink="'single_suction-1'!J41">
      <xdr:nvSpPr>
        <xdr:cNvPr id="209" name="CasellaDiTesto 208">
          <a:extLst>
            <a:ext uri="{FF2B5EF4-FFF2-40B4-BE49-F238E27FC236}">
              <a16:creationId xmlns:a16="http://schemas.microsoft.com/office/drawing/2014/main" id="{725B342D-60DE-4663-A4DE-C17284920FC1}"/>
            </a:ext>
          </a:extLst>
        </xdr:cNvPr>
        <xdr:cNvSpPr txBox="1"/>
      </xdr:nvSpPr>
      <xdr:spPr>
        <a:xfrm>
          <a:off x="952500" y="16992600"/>
          <a:ext cx="1863198" cy="4363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690981B-84FF-4F76-B16C-C85EC63E803F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(FFS [N] Gulich = 107687)
(FFS [N]ANSI/HI = 114042)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372783</xdr:colOff>
      <xdr:row>105</xdr:row>
      <xdr:rowOff>8793</xdr:rowOff>
    </xdr:from>
    <xdr:to>
      <xdr:col>10</xdr:col>
      <xdr:colOff>58066</xdr:colOff>
      <xdr:row>105</xdr:row>
      <xdr:rowOff>8793</xdr:rowOff>
    </xdr:to>
    <xdr:cxnSp macro="">
      <xdr:nvCxnSpPr>
        <xdr:cNvPr id="210" name="Connettore 2 209">
          <a:extLst>
            <a:ext uri="{FF2B5EF4-FFF2-40B4-BE49-F238E27FC236}">
              <a16:creationId xmlns:a16="http://schemas.microsoft.com/office/drawing/2014/main" id="{34C733FC-EF76-4569-9ADB-1AED99A01731}"/>
            </a:ext>
          </a:extLst>
        </xdr:cNvPr>
        <xdr:cNvCxnSpPr/>
      </xdr:nvCxnSpPr>
      <xdr:spPr>
        <a:xfrm flipH="1">
          <a:off x="5249583" y="20020818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180975</xdr:colOff>
      <xdr:row>105</xdr:row>
      <xdr:rowOff>163122</xdr:rowOff>
    </xdr:from>
    <xdr:to>
      <xdr:col>10</xdr:col>
      <xdr:colOff>225975</xdr:colOff>
      <xdr:row>108</xdr:row>
      <xdr:rowOff>38099</xdr:rowOff>
    </xdr:to>
    <xdr:sp macro="" textlink="'single_suction-1'!J40">
      <xdr:nvSpPr>
        <xdr:cNvPr id="211" name="CasellaDiTesto 210">
          <a:extLst>
            <a:ext uri="{FF2B5EF4-FFF2-40B4-BE49-F238E27FC236}">
              <a16:creationId xmlns:a16="http://schemas.microsoft.com/office/drawing/2014/main" id="{498B2F1A-B248-448D-80C2-EF312CB89A2D}"/>
            </a:ext>
          </a:extLst>
        </xdr:cNvPr>
        <xdr:cNvSpPr txBox="1"/>
      </xdr:nvSpPr>
      <xdr:spPr>
        <a:xfrm>
          <a:off x="4448175" y="20175147"/>
          <a:ext cx="1873800" cy="44647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5F291E1F-64D4-41D4-95D3-CF5229392B35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(FHUB [N] Gulich = 412)
(FHUB [N]ANSI/HI = 412)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382308</xdr:colOff>
      <xdr:row>99</xdr:row>
      <xdr:rowOff>142143</xdr:rowOff>
    </xdr:from>
    <xdr:to>
      <xdr:col>10</xdr:col>
      <xdr:colOff>67591</xdr:colOff>
      <xdr:row>99</xdr:row>
      <xdr:rowOff>142143</xdr:rowOff>
    </xdr:to>
    <xdr:cxnSp macro="">
      <xdr:nvCxnSpPr>
        <xdr:cNvPr id="212" name="Connettore 2 211">
          <a:extLst>
            <a:ext uri="{FF2B5EF4-FFF2-40B4-BE49-F238E27FC236}">
              <a16:creationId xmlns:a16="http://schemas.microsoft.com/office/drawing/2014/main" id="{1B879B95-498A-486A-98D0-DCEB2D006141}"/>
            </a:ext>
          </a:extLst>
        </xdr:cNvPr>
        <xdr:cNvCxnSpPr/>
      </xdr:nvCxnSpPr>
      <xdr:spPr>
        <a:xfrm flipH="1">
          <a:off x="5259108" y="19011168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323850</xdr:colOff>
      <xdr:row>96</xdr:row>
      <xdr:rowOff>163122</xdr:rowOff>
    </xdr:from>
    <xdr:to>
      <xdr:col>11</xdr:col>
      <xdr:colOff>368850</xdr:colOff>
      <xdr:row>99</xdr:row>
      <xdr:rowOff>38099</xdr:rowOff>
    </xdr:to>
    <xdr:sp macro="" textlink="'single_suction-1'!J39">
      <xdr:nvSpPr>
        <xdr:cNvPr id="213" name="CasellaDiTesto 212">
          <a:extLst>
            <a:ext uri="{FF2B5EF4-FFF2-40B4-BE49-F238E27FC236}">
              <a16:creationId xmlns:a16="http://schemas.microsoft.com/office/drawing/2014/main" id="{3680B614-BCB1-4BFC-B308-B4DF93592EE6}"/>
            </a:ext>
          </a:extLst>
        </xdr:cNvPr>
        <xdr:cNvSpPr txBox="1"/>
      </xdr:nvSpPr>
      <xdr:spPr>
        <a:xfrm>
          <a:off x="5200650" y="18460647"/>
          <a:ext cx="1873800" cy="44647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848B292-3057-4AB2-BDBF-58AF6A9CEFB4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(FBAL [N] Gulich = 0)
(FBAL [N]ANSI/HI = 0)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401359</xdr:colOff>
      <xdr:row>15</xdr:row>
      <xdr:rowOff>189768</xdr:rowOff>
    </xdr:from>
    <xdr:to>
      <xdr:col>22</xdr:col>
      <xdr:colOff>86642</xdr:colOff>
      <xdr:row>15</xdr:row>
      <xdr:rowOff>189768</xdr:rowOff>
    </xdr:to>
    <xdr:cxnSp macro="">
      <xdr:nvCxnSpPr>
        <xdr:cNvPr id="214" name="Connettore 2 213">
          <a:extLst>
            <a:ext uri="{FF2B5EF4-FFF2-40B4-BE49-F238E27FC236}">
              <a16:creationId xmlns:a16="http://schemas.microsoft.com/office/drawing/2014/main" id="{EDF6C6AB-0178-4EE9-BEEC-9EB336CA8A7D}"/>
            </a:ext>
          </a:extLst>
        </xdr:cNvPr>
        <xdr:cNvCxnSpPr/>
      </xdr:nvCxnSpPr>
      <xdr:spPr>
        <a:xfrm flipH="1">
          <a:off x="12593359" y="305679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317148</xdr:colOff>
      <xdr:row>14</xdr:row>
      <xdr:rowOff>28575</xdr:rowOff>
    </xdr:from>
    <xdr:to>
      <xdr:col>23</xdr:col>
      <xdr:colOff>28575</xdr:colOff>
      <xdr:row>15</xdr:row>
      <xdr:rowOff>113667</xdr:rowOff>
    </xdr:to>
    <xdr:sp macro="" textlink="'single_suction-2'!E94">
      <xdr:nvSpPr>
        <xdr:cNvPr id="215" name="CasellaDiTesto 214">
          <a:extLst>
            <a:ext uri="{FF2B5EF4-FFF2-40B4-BE49-F238E27FC236}">
              <a16:creationId xmlns:a16="http://schemas.microsoft.com/office/drawing/2014/main" id="{8360683A-7597-42A2-8C0E-087247356CE1}"/>
            </a:ext>
          </a:extLst>
        </xdr:cNvPr>
        <xdr:cNvSpPr txBox="1"/>
      </xdr:nvSpPr>
      <xdr:spPr>
        <a:xfrm>
          <a:off x="12509148" y="2705100"/>
          <a:ext cx="1540227" cy="27559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AFADCD1-1C7E-4D13-9936-D3EB272A41B3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(FRS  [N] = 143921)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231664</xdr:colOff>
      <xdr:row>11</xdr:row>
      <xdr:rowOff>18434</xdr:rowOff>
    </xdr:from>
    <xdr:to>
      <xdr:col>16</xdr:col>
      <xdr:colOff>525231</xdr:colOff>
      <xdr:row>11</xdr:row>
      <xdr:rowOff>25408</xdr:rowOff>
    </xdr:to>
    <xdr:cxnSp macro="">
      <xdr:nvCxnSpPr>
        <xdr:cNvPr id="216" name="Connettore 2 215">
          <a:extLst>
            <a:ext uri="{FF2B5EF4-FFF2-40B4-BE49-F238E27FC236}">
              <a16:creationId xmlns:a16="http://schemas.microsoft.com/office/drawing/2014/main" id="{2D6D691E-6020-4883-BEF0-636C08164EDB}"/>
            </a:ext>
          </a:extLst>
        </xdr:cNvPr>
        <xdr:cNvCxnSpPr/>
      </xdr:nvCxnSpPr>
      <xdr:spPr>
        <a:xfrm>
          <a:off x="9375664" y="2123459"/>
          <a:ext cx="903167" cy="6974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342900</xdr:colOff>
      <xdr:row>9</xdr:row>
      <xdr:rowOff>76200</xdr:rowOff>
    </xdr:from>
    <xdr:to>
      <xdr:col>16</xdr:col>
      <xdr:colOff>605898</xdr:colOff>
      <xdr:row>10</xdr:row>
      <xdr:rowOff>131519</xdr:rowOff>
    </xdr:to>
    <xdr:sp macro="" textlink="'single_suction-2'!E67">
      <xdr:nvSpPr>
        <xdr:cNvPr id="217" name="CasellaDiTesto 216">
          <a:extLst>
            <a:ext uri="{FF2B5EF4-FFF2-40B4-BE49-F238E27FC236}">
              <a16:creationId xmlns:a16="http://schemas.microsoft.com/office/drawing/2014/main" id="{F7FE65A5-9935-4AD0-A3C7-933A279C3C3C}"/>
            </a:ext>
          </a:extLst>
        </xdr:cNvPr>
        <xdr:cNvSpPr txBox="1"/>
      </xdr:nvSpPr>
      <xdr:spPr>
        <a:xfrm>
          <a:off x="8877300" y="1800225"/>
          <a:ext cx="1482198" cy="2458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AEA9F5EF-492A-4D08-9CC7-09E657947BE9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(FFS  [N] = 109650)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22</xdr:col>
      <xdr:colOff>191809</xdr:colOff>
      <xdr:row>23</xdr:row>
      <xdr:rowOff>189768</xdr:rowOff>
    </xdr:from>
    <xdr:to>
      <xdr:col>23</xdr:col>
      <xdr:colOff>486692</xdr:colOff>
      <xdr:row>23</xdr:row>
      <xdr:rowOff>189768</xdr:rowOff>
    </xdr:to>
    <xdr:cxnSp macro="">
      <xdr:nvCxnSpPr>
        <xdr:cNvPr id="218" name="Connettore 2 217">
          <a:extLst>
            <a:ext uri="{FF2B5EF4-FFF2-40B4-BE49-F238E27FC236}">
              <a16:creationId xmlns:a16="http://schemas.microsoft.com/office/drawing/2014/main" id="{7CE766EA-BE38-4EFC-B041-CA35B177D7FD}"/>
            </a:ext>
          </a:extLst>
        </xdr:cNvPr>
        <xdr:cNvCxnSpPr/>
      </xdr:nvCxnSpPr>
      <xdr:spPr>
        <a:xfrm flipH="1">
          <a:off x="13603009" y="458079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447675</xdr:colOff>
      <xdr:row>24</xdr:row>
      <xdr:rowOff>153597</xdr:rowOff>
    </xdr:from>
    <xdr:to>
      <xdr:col>24</xdr:col>
      <xdr:colOff>45001</xdr:colOff>
      <xdr:row>26</xdr:row>
      <xdr:rowOff>38100</xdr:rowOff>
    </xdr:to>
    <xdr:sp macro="" textlink="'single_suction-2'!E104">
      <xdr:nvSpPr>
        <xdr:cNvPr id="219" name="CasellaDiTesto 218">
          <a:extLst>
            <a:ext uri="{FF2B5EF4-FFF2-40B4-BE49-F238E27FC236}">
              <a16:creationId xmlns:a16="http://schemas.microsoft.com/office/drawing/2014/main" id="{71CE6471-D6C3-4680-B00C-01BBF23F3787}"/>
            </a:ext>
          </a:extLst>
        </xdr:cNvPr>
        <xdr:cNvSpPr txBox="1"/>
      </xdr:nvSpPr>
      <xdr:spPr>
        <a:xfrm>
          <a:off x="13249275" y="4735122"/>
          <a:ext cx="1426126" cy="26550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F3AB2BB3-8AC1-4AE8-9A49-59529C2B497B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(FHUB [N] = 6373)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382309</xdr:colOff>
      <xdr:row>42</xdr:row>
      <xdr:rowOff>123093</xdr:rowOff>
    </xdr:from>
    <xdr:to>
      <xdr:col>22</xdr:col>
      <xdr:colOff>67592</xdr:colOff>
      <xdr:row>42</xdr:row>
      <xdr:rowOff>123093</xdr:rowOff>
    </xdr:to>
    <xdr:cxnSp macro="">
      <xdr:nvCxnSpPr>
        <xdr:cNvPr id="220" name="Connettore 2 219">
          <a:extLst>
            <a:ext uri="{FF2B5EF4-FFF2-40B4-BE49-F238E27FC236}">
              <a16:creationId xmlns:a16="http://schemas.microsoft.com/office/drawing/2014/main" id="{D25DC916-14C7-4046-9FE8-FEBFE0476786}"/>
            </a:ext>
          </a:extLst>
        </xdr:cNvPr>
        <xdr:cNvCxnSpPr/>
      </xdr:nvCxnSpPr>
      <xdr:spPr>
        <a:xfrm flipH="1">
          <a:off x="12574309" y="8133618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298098</xdr:colOff>
      <xdr:row>40</xdr:row>
      <xdr:rowOff>152400</xdr:rowOff>
    </xdr:from>
    <xdr:to>
      <xdr:col>23</xdr:col>
      <xdr:colOff>9525</xdr:colOff>
      <xdr:row>42</xdr:row>
      <xdr:rowOff>46992</xdr:rowOff>
    </xdr:to>
    <xdr:sp macro="" textlink="'single_suction-2'!E94">
      <xdr:nvSpPr>
        <xdr:cNvPr id="221" name="CasellaDiTesto 220">
          <a:extLst>
            <a:ext uri="{FF2B5EF4-FFF2-40B4-BE49-F238E27FC236}">
              <a16:creationId xmlns:a16="http://schemas.microsoft.com/office/drawing/2014/main" id="{D957FBF1-0D92-49A9-AFF5-D8A76EE9707C}"/>
            </a:ext>
          </a:extLst>
        </xdr:cNvPr>
        <xdr:cNvSpPr txBox="1"/>
      </xdr:nvSpPr>
      <xdr:spPr>
        <a:xfrm>
          <a:off x="12490098" y="7781925"/>
          <a:ext cx="1540227" cy="27559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AFADCD1-1C7E-4D13-9936-D3EB272A41B3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(FRS  [N] = 143921)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479314</xdr:colOff>
      <xdr:row>38</xdr:row>
      <xdr:rowOff>66059</xdr:rowOff>
    </xdr:from>
    <xdr:to>
      <xdr:col>17</xdr:col>
      <xdr:colOff>163281</xdr:colOff>
      <xdr:row>38</xdr:row>
      <xdr:rowOff>73033</xdr:rowOff>
    </xdr:to>
    <xdr:cxnSp macro="">
      <xdr:nvCxnSpPr>
        <xdr:cNvPr id="222" name="Connettore 2 221">
          <a:extLst>
            <a:ext uri="{FF2B5EF4-FFF2-40B4-BE49-F238E27FC236}">
              <a16:creationId xmlns:a16="http://schemas.microsoft.com/office/drawing/2014/main" id="{BD615D0F-EADF-4EF5-9531-3635A8BEECDA}"/>
            </a:ext>
          </a:extLst>
        </xdr:cNvPr>
        <xdr:cNvCxnSpPr/>
      </xdr:nvCxnSpPr>
      <xdr:spPr>
        <a:xfrm>
          <a:off x="9623314" y="7314584"/>
          <a:ext cx="903167" cy="6974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590550</xdr:colOff>
      <xdr:row>36</xdr:row>
      <xdr:rowOff>123825</xdr:rowOff>
    </xdr:from>
    <xdr:to>
      <xdr:col>17</xdr:col>
      <xdr:colOff>243948</xdr:colOff>
      <xdr:row>37</xdr:row>
      <xdr:rowOff>179144</xdr:rowOff>
    </xdr:to>
    <xdr:sp macro="" textlink="'single_suction-2'!E67">
      <xdr:nvSpPr>
        <xdr:cNvPr id="223" name="CasellaDiTesto 222">
          <a:extLst>
            <a:ext uri="{FF2B5EF4-FFF2-40B4-BE49-F238E27FC236}">
              <a16:creationId xmlns:a16="http://schemas.microsoft.com/office/drawing/2014/main" id="{9C44F061-EFC4-4FD8-902F-E99FA7A203AA}"/>
            </a:ext>
          </a:extLst>
        </xdr:cNvPr>
        <xdr:cNvSpPr txBox="1"/>
      </xdr:nvSpPr>
      <xdr:spPr>
        <a:xfrm>
          <a:off x="9124950" y="6991350"/>
          <a:ext cx="1482198" cy="2458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AEA9F5EF-492A-4D08-9CC7-09E657947BE9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(FFS  [N] = 109650)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22</xdr:col>
      <xdr:colOff>144184</xdr:colOff>
      <xdr:row>51</xdr:row>
      <xdr:rowOff>8793</xdr:rowOff>
    </xdr:from>
    <xdr:to>
      <xdr:col>23</xdr:col>
      <xdr:colOff>439067</xdr:colOff>
      <xdr:row>51</xdr:row>
      <xdr:rowOff>8793</xdr:rowOff>
    </xdr:to>
    <xdr:cxnSp macro="">
      <xdr:nvCxnSpPr>
        <xdr:cNvPr id="224" name="Connettore 2 223">
          <a:extLst>
            <a:ext uri="{FF2B5EF4-FFF2-40B4-BE49-F238E27FC236}">
              <a16:creationId xmlns:a16="http://schemas.microsoft.com/office/drawing/2014/main" id="{113D2621-EDFC-4A04-BA75-5B1E76CBA790}"/>
            </a:ext>
          </a:extLst>
        </xdr:cNvPr>
        <xdr:cNvCxnSpPr/>
      </xdr:nvCxnSpPr>
      <xdr:spPr>
        <a:xfrm flipH="1">
          <a:off x="13555384" y="9733818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400050</xdr:colOff>
      <xdr:row>51</xdr:row>
      <xdr:rowOff>163122</xdr:rowOff>
    </xdr:from>
    <xdr:to>
      <xdr:col>23</xdr:col>
      <xdr:colOff>606976</xdr:colOff>
      <xdr:row>53</xdr:row>
      <xdr:rowOff>47625</xdr:rowOff>
    </xdr:to>
    <xdr:sp macro="" textlink="'single_suction-2'!E104">
      <xdr:nvSpPr>
        <xdr:cNvPr id="225" name="CasellaDiTesto 224">
          <a:extLst>
            <a:ext uri="{FF2B5EF4-FFF2-40B4-BE49-F238E27FC236}">
              <a16:creationId xmlns:a16="http://schemas.microsoft.com/office/drawing/2014/main" id="{2BBEFEAF-079D-48B7-BC8B-D8725D12FC83}"/>
            </a:ext>
          </a:extLst>
        </xdr:cNvPr>
        <xdr:cNvSpPr txBox="1"/>
      </xdr:nvSpPr>
      <xdr:spPr>
        <a:xfrm>
          <a:off x="13201650" y="9888147"/>
          <a:ext cx="1426126" cy="26550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F3AB2BB3-8AC1-4AE8-9A49-59529C2B497B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(FHUB [N] = 6373)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525184</xdr:colOff>
      <xdr:row>62</xdr:row>
      <xdr:rowOff>170718</xdr:rowOff>
    </xdr:from>
    <xdr:to>
      <xdr:col>22</xdr:col>
      <xdr:colOff>210467</xdr:colOff>
      <xdr:row>62</xdr:row>
      <xdr:rowOff>170718</xdr:rowOff>
    </xdr:to>
    <xdr:cxnSp macro="">
      <xdr:nvCxnSpPr>
        <xdr:cNvPr id="226" name="Connettore 2 225">
          <a:extLst>
            <a:ext uri="{FF2B5EF4-FFF2-40B4-BE49-F238E27FC236}">
              <a16:creationId xmlns:a16="http://schemas.microsoft.com/office/drawing/2014/main" id="{29A9454A-705F-4696-8420-B521619084C4}"/>
            </a:ext>
          </a:extLst>
        </xdr:cNvPr>
        <xdr:cNvCxnSpPr/>
      </xdr:nvCxnSpPr>
      <xdr:spPr>
        <a:xfrm flipH="1">
          <a:off x="12717184" y="1199124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440973</xdr:colOff>
      <xdr:row>61</xdr:row>
      <xdr:rowOff>9525</xdr:rowOff>
    </xdr:from>
    <xdr:to>
      <xdr:col>23</xdr:col>
      <xdr:colOff>152400</xdr:colOff>
      <xdr:row>62</xdr:row>
      <xdr:rowOff>94617</xdr:rowOff>
    </xdr:to>
    <xdr:sp macro="" textlink="'single_suction-2'!E94">
      <xdr:nvSpPr>
        <xdr:cNvPr id="227" name="CasellaDiTesto 226">
          <a:extLst>
            <a:ext uri="{FF2B5EF4-FFF2-40B4-BE49-F238E27FC236}">
              <a16:creationId xmlns:a16="http://schemas.microsoft.com/office/drawing/2014/main" id="{C3FE185D-03CC-45D8-9F77-5B745477968C}"/>
            </a:ext>
          </a:extLst>
        </xdr:cNvPr>
        <xdr:cNvSpPr txBox="1"/>
      </xdr:nvSpPr>
      <xdr:spPr>
        <a:xfrm>
          <a:off x="12632973" y="11639550"/>
          <a:ext cx="1540227" cy="27559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AFADCD1-1C7E-4D13-9936-D3EB272A41B3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(FRS  [N] = 143921)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174514</xdr:colOff>
      <xdr:row>64</xdr:row>
      <xdr:rowOff>142259</xdr:rowOff>
    </xdr:from>
    <xdr:to>
      <xdr:col>16</xdr:col>
      <xdr:colOff>468081</xdr:colOff>
      <xdr:row>64</xdr:row>
      <xdr:rowOff>149233</xdr:rowOff>
    </xdr:to>
    <xdr:cxnSp macro="">
      <xdr:nvCxnSpPr>
        <xdr:cNvPr id="228" name="Connettore 2 227">
          <a:extLst>
            <a:ext uri="{FF2B5EF4-FFF2-40B4-BE49-F238E27FC236}">
              <a16:creationId xmlns:a16="http://schemas.microsoft.com/office/drawing/2014/main" id="{EE91BD00-4F8B-460A-83FE-540AB6BC0D8F}"/>
            </a:ext>
          </a:extLst>
        </xdr:cNvPr>
        <xdr:cNvCxnSpPr/>
      </xdr:nvCxnSpPr>
      <xdr:spPr>
        <a:xfrm>
          <a:off x="9318514" y="12343784"/>
          <a:ext cx="903167" cy="6974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285750</xdr:colOff>
      <xdr:row>63</xdr:row>
      <xdr:rowOff>9525</xdr:rowOff>
    </xdr:from>
    <xdr:to>
      <xdr:col>16</xdr:col>
      <xdr:colOff>548748</xdr:colOff>
      <xdr:row>64</xdr:row>
      <xdr:rowOff>64844</xdr:rowOff>
    </xdr:to>
    <xdr:sp macro="" textlink="'single_suction-2'!E67">
      <xdr:nvSpPr>
        <xdr:cNvPr id="229" name="CasellaDiTesto 228">
          <a:extLst>
            <a:ext uri="{FF2B5EF4-FFF2-40B4-BE49-F238E27FC236}">
              <a16:creationId xmlns:a16="http://schemas.microsoft.com/office/drawing/2014/main" id="{014F605A-C278-4C89-B2AE-2E47821DFCD0}"/>
            </a:ext>
          </a:extLst>
        </xdr:cNvPr>
        <xdr:cNvSpPr txBox="1"/>
      </xdr:nvSpPr>
      <xdr:spPr>
        <a:xfrm>
          <a:off x="8820150" y="12020550"/>
          <a:ext cx="1482198" cy="2458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AEA9F5EF-492A-4D08-9CC7-09E657947BE9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(FFS  [N] = 109650)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21</xdr:col>
      <xdr:colOff>325159</xdr:colOff>
      <xdr:row>77</xdr:row>
      <xdr:rowOff>189768</xdr:rowOff>
    </xdr:from>
    <xdr:to>
      <xdr:col>23</xdr:col>
      <xdr:colOff>10442</xdr:colOff>
      <xdr:row>77</xdr:row>
      <xdr:rowOff>189768</xdr:rowOff>
    </xdr:to>
    <xdr:cxnSp macro="">
      <xdr:nvCxnSpPr>
        <xdr:cNvPr id="230" name="Connettore 2 229">
          <a:extLst>
            <a:ext uri="{FF2B5EF4-FFF2-40B4-BE49-F238E27FC236}">
              <a16:creationId xmlns:a16="http://schemas.microsoft.com/office/drawing/2014/main" id="{A95830F5-2A53-4C21-95FE-B7E509FC99F2}"/>
            </a:ext>
          </a:extLst>
        </xdr:cNvPr>
        <xdr:cNvCxnSpPr/>
      </xdr:nvCxnSpPr>
      <xdr:spPr>
        <a:xfrm flipH="1">
          <a:off x="13126759" y="1486779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581025</xdr:colOff>
      <xdr:row>78</xdr:row>
      <xdr:rowOff>153597</xdr:rowOff>
    </xdr:from>
    <xdr:to>
      <xdr:col>23</xdr:col>
      <xdr:colOff>178351</xdr:colOff>
      <xdr:row>80</xdr:row>
      <xdr:rowOff>38100</xdr:rowOff>
    </xdr:to>
    <xdr:sp macro="" textlink="'single_suction-2'!E104">
      <xdr:nvSpPr>
        <xdr:cNvPr id="231" name="CasellaDiTesto 230">
          <a:extLst>
            <a:ext uri="{FF2B5EF4-FFF2-40B4-BE49-F238E27FC236}">
              <a16:creationId xmlns:a16="http://schemas.microsoft.com/office/drawing/2014/main" id="{D6A672EE-8210-4DFA-BBFB-AAC6978F82D5}"/>
            </a:ext>
          </a:extLst>
        </xdr:cNvPr>
        <xdr:cNvSpPr txBox="1"/>
      </xdr:nvSpPr>
      <xdr:spPr>
        <a:xfrm>
          <a:off x="12773025" y="15022122"/>
          <a:ext cx="1426126" cy="26550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F3AB2BB3-8AC1-4AE8-9A49-59529C2B497B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(FHUB [N] = 6373)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21</xdr:col>
      <xdr:colOff>198511</xdr:colOff>
      <xdr:row>73</xdr:row>
      <xdr:rowOff>189768</xdr:rowOff>
    </xdr:from>
    <xdr:to>
      <xdr:col>22</xdr:col>
      <xdr:colOff>493394</xdr:colOff>
      <xdr:row>73</xdr:row>
      <xdr:rowOff>189768</xdr:rowOff>
    </xdr:to>
    <xdr:cxnSp macro="">
      <xdr:nvCxnSpPr>
        <xdr:cNvPr id="232" name="Connettore 2 231">
          <a:extLst>
            <a:ext uri="{FF2B5EF4-FFF2-40B4-BE49-F238E27FC236}">
              <a16:creationId xmlns:a16="http://schemas.microsoft.com/office/drawing/2014/main" id="{4876EC9A-959D-4441-B260-521F6A7BEE2B}"/>
            </a:ext>
          </a:extLst>
        </xdr:cNvPr>
        <xdr:cNvCxnSpPr/>
      </xdr:nvCxnSpPr>
      <xdr:spPr>
        <a:xfrm flipH="1">
          <a:off x="13000111" y="1410579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72</xdr:row>
      <xdr:rowOff>28575</xdr:rowOff>
    </xdr:from>
    <xdr:to>
      <xdr:col>23</xdr:col>
      <xdr:colOff>435327</xdr:colOff>
      <xdr:row>73</xdr:row>
      <xdr:rowOff>113667</xdr:rowOff>
    </xdr:to>
    <xdr:sp macro="" textlink="'single_suction-2'!E103">
      <xdr:nvSpPr>
        <xdr:cNvPr id="233" name="CasellaDiTesto 232">
          <a:extLst>
            <a:ext uri="{FF2B5EF4-FFF2-40B4-BE49-F238E27FC236}">
              <a16:creationId xmlns:a16="http://schemas.microsoft.com/office/drawing/2014/main" id="{A9F41A82-FAC9-46CB-AA34-CCEFD1F42BEC}"/>
            </a:ext>
          </a:extLst>
        </xdr:cNvPr>
        <xdr:cNvSpPr txBox="1"/>
      </xdr:nvSpPr>
      <xdr:spPr>
        <a:xfrm>
          <a:off x="12915900" y="13754100"/>
          <a:ext cx="1540227" cy="27559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6256C57-C7ED-4FDF-B234-2200E8365F40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(FBAL [N] = 0)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20</xdr:col>
      <xdr:colOff>525184</xdr:colOff>
      <xdr:row>89</xdr:row>
      <xdr:rowOff>170718</xdr:rowOff>
    </xdr:from>
    <xdr:to>
      <xdr:col>22</xdr:col>
      <xdr:colOff>210467</xdr:colOff>
      <xdr:row>89</xdr:row>
      <xdr:rowOff>170718</xdr:rowOff>
    </xdr:to>
    <xdr:cxnSp macro="">
      <xdr:nvCxnSpPr>
        <xdr:cNvPr id="234" name="Connettore 2 233">
          <a:extLst>
            <a:ext uri="{FF2B5EF4-FFF2-40B4-BE49-F238E27FC236}">
              <a16:creationId xmlns:a16="http://schemas.microsoft.com/office/drawing/2014/main" id="{12EEF7CC-BFB3-4634-886F-E962DC768949}"/>
            </a:ext>
          </a:extLst>
        </xdr:cNvPr>
        <xdr:cNvCxnSpPr/>
      </xdr:nvCxnSpPr>
      <xdr:spPr>
        <a:xfrm flipH="1">
          <a:off x="12717184" y="1713474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440973</xdr:colOff>
      <xdr:row>88</xdr:row>
      <xdr:rowOff>9525</xdr:rowOff>
    </xdr:from>
    <xdr:to>
      <xdr:col>23</xdr:col>
      <xdr:colOff>152400</xdr:colOff>
      <xdr:row>89</xdr:row>
      <xdr:rowOff>94617</xdr:rowOff>
    </xdr:to>
    <xdr:sp macro="" textlink="'single_suction-2'!E94">
      <xdr:nvSpPr>
        <xdr:cNvPr id="235" name="CasellaDiTesto 234">
          <a:extLst>
            <a:ext uri="{FF2B5EF4-FFF2-40B4-BE49-F238E27FC236}">
              <a16:creationId xmlns:a16="http://schemas.microsoft.com/office/drawing/2014/main" id="{E461CAB1-86B5-4F60-B2E7-53B957CFDD54}"/>
            </a:ext>
          </a:extLst>
        </xdr:cNvPr>
        <xdr:cNvSpPr txBox="1"/>
      </xdr:nvSpPr>
      <xdr:spPr>
        <a:xfrm>
          <a:off x="12632973" y="16783050"/>
          <a:ext cx="1540227" cy="27559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AFADCD1-1C7E-4D13-9936-D3EB272A41B3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(FRS  [N] = 143921)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174514</xdr:colOff>
      <xdr:row>91</xdr:row>
      <xdr:rowOff>142259</xdr:rowOff>
    </xdr:from>
    <xdr:to>
      <xdr:col>16</xdr:col>
      <xdr:colOff>468081</xdr:colOff>
      <xdr:row>91</xdr:row>
      <xdr:rowOff>149233</xdr:rowOff>
    </xdr:to>
    <xdr:cxnSp macro="">
      <xdr:nvCxnSpPr>
        <xdr:cNvPr id="236" name="Connettore 2 235">
          <a:extLst>
            <a:ext uri="{FF2B5EF4-FFF2-40B4-BE49-F238E27FC236}">
              <a16:creationId xmlns:a16="http://schemas.microsoft.com/office/drawing/2014/main" id="{53BED21B-30A4-424F-A34B-C019E9622195}"/>
            </a:ext>
          </a:extLst>
        </xdr:cNvPr>
        <xdr:cNvCxnSpPr/>
      </xdr:nvCxnSpPr>
      <xdr:spPr>
        <a:xfrm>
          <a:off x="9318514" y="17487284"/>
          <a:ext cx="903167" cy="6974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285750</xdr:colOff>
      <xdr:row>90</xdr:row>
      <xdr:rowOff>9525</xdr:rowOff>
    </xdr:from>
    <xdr:to>
      <xdr:col>16</xdr:col>
      <xdr:colOff>548748</xdr:colOff>
      <xdr:row>91</xdr:row>
      <xdr:rowOff>64844</xdr:rowOff>
    </xdr:to>
    <xdr:sp macro="" textlink="'single_suction-2'!E67">
      <xdr:nvSpPr>
        <xdr:cNvPr id="237" name="CasellaDiTesto 236">
          <a:extLst>
            <a:ext uri="{FF2B5EF4-FFF2-40B4-BE49-F238E27FC236}">
              <a16:creationId xmlns:a16="http://schemas.microsoft.com/office/drawing/2014/main" id="{83B40211-0F98-44E0-B6E9-55EC09FE5909}"/>
            </a:ext>
          </a:extLst>
        </xdr:cNvPr>
        <xdr:cNvSpPr txBox="1"/>
      </xdr:nvSpPr>
      <xdr:spPr>
        <a:xfrm>
          <a:off x="8820150" y="17164050"/>
          <a:ext cx="1482198" cy="2458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AEA9F5EF-492A-4D08-9CC7-09E657947BE9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(FFS  [N] = 109650)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21</xdr:col>
      <xdr:colOff>325159</xdr:colOff>
      <xdr:row>104</xdr:row>
      <xdr:rowOff>189768</xdr:rowOff>
    </xdr:from>
    <xdr:to>
      <xdr:col>23</xdr:col>
      <xdr:colOff>10442</xdr:colOff>
      <xdr:row>104</xdr:row>
      <xdr:rowOff>189768</xdr:rowOff>
    </xdr:to>
    <xdr:cxnSp macro="">
      <xdr:nvCxnSpPr>
        <xdr:cNvPr id="238" name="Connettore 2 237">
          <a:extLst>
            <a:ext uri="{FF2B5EF4-FFF2-40B4-BE49-F238E27FC236}">
              <a16:creationId xmlns:a16="http://schemas.microsoft.com/office/drawing/2014/main" id="{5CD4C03B-F7B9-4AF1-BAA0-5402D3C53489}"/>
            </a:ext>
          </a:extLst>
        </xdr:cNvPr>
        <xdr:cNvCxnSpPr/>
      </xdr:nvCxnSpPr>
      <xdr:spPr>
        <a:xfrm flipH="1">
          <a:off x="13126759" y="2001129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581025</xdr:colOff>
      <xdr:row>105</xdr:row>
      <xdr:rowOff>153597</xdr:rowOff>
    </xdr:from>
    <xdr:to>
      <xdr:col>23</xdr:col>
      <xdr:colOff>178351</xdr:colOff>
      <xdr:row>107</xdr:row>
      <xdr:rowOff>38100</xdr:rowOff>
    </xdr:to>
    <xdr:sp macro="" textlink="'single_suction-2'!E104">
      <xdr:nvSpPr>
        <xdr:cNvPr id="239" name="CasellaDiTesto 238">
          <a:extLst>
            <a:ext uri="{FF2B5EF4-FFF2-40B4-BE49-F238E27FC236}">
              <a16:creationId xmlns:a16="http://schemas.microsoft.com/office/drawing/2014/main" id="{5AD5149F-263E-4015-AD6D-1166371B3ED7}"/>
            </a:ext>
          </a:extLst>
        </xdr:cNvPr>
        <xdr:cNvSpPr txBox="1"/>
      </xdr:nvSpPr>
      <xdr:spPr>
        <a:xfrm>
          <a:off x="12773025" y="20165622"/>
          <a:ext cx="1426126" cy="265503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F3AB2BB3-8AC1-4AE8-9A49-59529C2B497B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r"/>
            <a:t>(FHUB [N] = 6373)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21</xdr:col>
      <xdr:colOff>360436</xdr:colOff>
      <xdr:row>99</xdr:row>
      <xdr:rowOff>18318</xdr:rowOff>
    </xdr:from>
    <xdr:to>
      <xdr:col>23</xdr:col>
      <xdr:colOff>45719</xdr:colOff>
      <xdr:row>99</xdr:row>
      <xdr:rowOff>18318</xdr:rowOff>
    </xdr:to>
    <xdr:cxnSp macro="">
      <xdr:nvCxnSpPr>
        <xdr:cNvPr id="240" name="Connettore 2 239">
          <a:extLst>
            <a:ext uri="{FF2B5EF4-FFF2-40B4-BE49-F238E27FC236}">
              <a16:creationId xmlns:a16="http://schemas.microsoft.com/office/drawing/2014/main" id="{A037CC52-A68E-4A40-8BB1-61B94E5748C9}"/>
            </a:ext>
          </a:extLst>
        </xdr:cNvPr>
        <xdr:cNvCxnSpPr/>
      </xdr:nvCxnSpPr>
      <xdr:spPr>
        <a:xfrm flipH="1">
          <a:off x="13162036" y="18887343"/>
          <a:ext cx="904483" cy="0"/>
        </a:xfrm>
        <a:prstGeom prst="straightConnector1">
          <a:avLst/>
        </a:prstGeom>
        <a:ln w="5080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276225</xdr:colOff>
      <xdr:row>97</xdr:row>
      <xdr:rowOff>47625</xdr:rowOff>
    </xdr:from>
    <xdr:to>
      <xdr:col>23</xdr:col>
      <xdr:colOff>597252</xdr:colOff>
      <xdr:row>98</xdr:row>
      <xdr:rowOff>132717</xdr:rowOff>
    </xdr:to>
    <xdr:sp macro="" textlink="'single_suction-2'!E103">
      <xdr:nvSpPr>
        <xdr:cNvPr id="241" name="CasellaDiTesto 240">
          <a:extLst>
            <a:ext uri="{FF2B5EF4-FFF2-40B4-BE49-F238E27FC236}">
              <a16:creationId xmlns:a16="http://schemas.microsoft.com/office/drawing/2014/main" id="{7096B6A6-AC16-414A-A955-8A51EEEB6727}"/>
            </a:ext>
          </a:extLst>
        </xdr:cNvPr>
        <xdr:cNvSpPr txBox="1"/>
      </xdr:nvSpPr>
      <xdr:spPr>
        <a:xfrm>
          <a:off x="13077825" y="18535650"/>
          <a:ext cx="1540227" cy="27559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6256C57-C7ED-4FDF-B234-2200E8365F40}" type="TxLink">
            <a:rPr lang="en-US" sz="1100" b="0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(FBAL [N] = 0)</a:t>
          </a:fld>
          <a:endParaRPr lang="it-IT" sz="1100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12.emf"/><Relationship Id="rId1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9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7.emf"/><Relationship Id="rId4" Type="http://schemas.openxmlformats.org/officeDocument/2006/relationships/control" Target="../activeX/activeX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4943-D806-4E77-9804-E84851455010}">
  <sheetPr codeName="Foglio3"/>
  <dimension ref="A1:AD48"/>
  <sheetViews>
    <sheetView zoomScaleNormal="100" zoomScaleSheetLayoutView="100" workbookViewId="0">
      <selection activeCell="C46" sqref="C46:F46"/>
    </sheetView>
  </sheetViews>
  <sheetFormatPr defaultRowHeight="12" x14ac:dyDescent="0.2"/>
  <cols>
    <col min="1" max="30" width="3.28515625" style="15" customWidth="1"/>
    <col min="31" max="256" width="9.140625" style="15"/>
    <col min="257" max="286" width="3.28515625" style="15" customWidth="1"/>
    <col min="287" max="512" width="9.140625" style="15"/>
    <col min="513" max="542" width="3.28515625" style="15" customWidth="1"/>
    <col min="543" max="768" width="9.140625" style="15"/>
    <col min="769" max="798" width="3.28515625" style="15" customWidth="1"/>
    <col min="799" max="1024" width="9.140625" style="15"/>
    <col min="1025" max="1054" width="3.28515625" style="15" customWidth="1"/>
    <col min="1055" max="1280" width="9.140625" style="15"/>
    <col min="1281" max="1310" width="3.28515625" style="15" customWidth="1"/>
    <col min="1311" max="1536" width="9.140625" style="15"/>
    <col min="1537" max="1566" width="3.28515625" style="15" customWidth="1"/>
    <col min="1567" max="1792" width="9.140625" style="15"/>
    <col min="1793" max="1822" width="3.28515625" style="15" customWidth="1"/>
    <col min="1823" max="2048" width="9.140625" style="15"/>
    <col min="2049" max="2078" width="3.28515625" style="15" customWidth="1"/>
    <col min="2079" max="2304" width="9.140625" style="15"/>
    <col min="2305" max="2334" width="3.28515625" style="15" customWidth="1"/>
    <col min="2335" max="2560" width="9.140625" style="15"/>
    <col min="2561" max="2590" width="3.28515625" style="15" customWidth="1"/>
    <col min="2591" max="2816" width="9.140625" style="15"/>
    <col min="2817" max="2846" width="3.28515625" style="15" customWidth="1"/>
    <col min="2847" max="3072" width="9.140625" style="15"/>
    <col min="3073" max="3102" width="3.28515625" style="15" customWidth="1"/>
    <col min="3103" max="3328" width="9.140625" style="15"/>
    <col min="3329" max="3358" width="3.28515625" style="15" customWidth="1"/>
    <col min="3359" max="3584" width="9.140625" style="15"/>
    <col min="3585" max="3614" width="3.28515625" style="15" customWidth="1"/>
    <col min="3615" max="3840" width="9.140625" style="15"/>
    <col min="3841" max="3870" width="3.28515625" style="15" customWidth="1"/>
    <col min="3871" max="4096" width="9.140625" style="15"/>
    <col min="4097" max="4126" width="3.28515625" style="15" customWidth="1"/>
    <col min="4127" max="4352" width="9.140625" style="15"/>
    <col min="4353" max="4382" width="3.28515625" style="15" customWidth="1"/>
    <col min="4383" max="4608" width="9.140625" style="15"/>
    <col min="4609" max="4638" width="3.28515625" style="15" customWidth="1"/>
    <col min="4639" max="4864" width="9.140625" style="15"/>
    <col min="4865" max="4894" width="3.28515625" style="15" customWidth="1"/>
    <col min="4895" max="5120" width="9.140625" style="15"/>
    <col min="5121" max="5150" width="3.28515625" style="15" customWidth="1"/>
    <col min="5151" max="5376" width="9.140625" style="15"/>
    <col min="5377" max="5406" width="3.28515625" style="15" customWidth="1"/>
    <col min="5407" max="5632" width="9.140625" style="15"/>
    <col min="5633" max="5662" width="3.28515625" style="15" customWidth="1"/>
    <col min="5663" max="5888" width="9.140625" style="15"/>
    <col min="5889" max="5918" width="3.28515625" style="15" customWidth="1"/>
    <col min="5919" max="6144" width="9.140625" style="15"/>
    <col min="6145" max="6174" width="3.28515625" style="15" customWidth="1"/>
    <col min="6175" max="6400" width="9.140625" style="15"/>
    <col min="6401" max="6430" width="3.28515625" style="15" customWidth="1"/>
    <col min="6431" max="6656" width="9.140625" style="15"/>
    <col min="6657" max="6686" width="3.28515625" style="15" customWidth="1"/>
    <col min="6687" max="6912" width="9.140625" style="15"/>
    <col min="6913" max="6942" width="3.28515625" style="15" customWidth="1"/>
    <col min="6943" max="7168" width="9.140625" style="15"/>
    <col min="7169" max="7198" width="3.28515625" style="15" customWidth="1"/>
    <col min="7199" max="7424" width="9.140625" style="15"/>
    <col min="7425" max="7454" width="3.28515625" style="15" customWidth="1"/>
    <col min="7455" max="7680" width="9.140625" style="15"/>
    <col min="7681" max="7710" width="3.28515625" style="15" customWidth="1"/>
    <col min="7711" max="7936" width="9.140625" style="15"/>
    <col min="7937" max="7966" width="3.28515625" style="15" customWidth="1"/>
    <col min="7967" max="8192" width="9.140625" style="15"/>
    <col min="8193" max="8222" width="3.28515625" style="15" customWidth="1"/>
    <col min="8223" max="8448" width="9.140625" style="15"/>
    <col min="8449" max="8478" width="3.28515625" style="15" customWidth="1"/>
    <col min="8479" max="8704" width="9.140625" style="15"/>
    <col min="8705" max="8734" width="3.28515625" style="15" customWidth="1"/>
    <col min="8735" max="8960" width="9.140625" style="15"/>
    <col min="8961" max="8990" width="3.28515625" style="15" customWidth="1"/>
    <col min="8991" max="9216" width="9.140625" style="15"/>
    <col min="9217" max="9246" width="3.28515625" style="15" customWidth="1"/>
    <col min="9247" max="9472" width="9.140625" style="15"/>
    <col min="9473" max="9502" width="3.28515625" style="15" customWidth="1"/>
    <col min="9503" max="9728" width="9.140625" style="15"/>
    <col min="9729" max="9758" width="3.28515625" style="15" customWidth="1"/>
    <col min="9759" max="9984" width="9.140625" style="15"/>
    <col min="9985" max="10014" width="3.28515625" style="15" customWidth="1"/>
    <col min="10015" max="10240" width="9.140625" style="15"/>
    <col min="10241" max="10270" width="3.28515625" style="15" customWidth="1"/>
    <col min="10271" max="10496" width="9.140625" style="15"/>
    <col min="10497" max="10526" width="3.28515625" style="15" customWidth="1"/>
    <col min="10527" max="10752" width="9.140625" style="15"/>
    <col min="10753" max="10782" width="3.28515625" style="15" customWidth="1"/>
    <col min="10783" max="11008" width="9.140625" style="15"/>
    <col min="11009" max="11038" width="3.28515625" style="15" customWidth="1"/>
    <col min="11039" max="11264" width="9.140625" style="15"/>
    <col min="11265" max="11294" width="3.28515625" style="15" customWidth="1"/>
    <col min="11295" max="11520" width="9.140625" style="15"/>
    <col min="11521" max="11550" width="3.28515625" style="15" customWidth="1"/>
    <col min="11551" max="11776" width="9.140625" style="15"/>
    <col min="11777" max="11806" width="3.28515625" style="15" customWidth="1"/>
    <col min="11807" max="12032" width="9.140625" style="15"/>
    <col min="12033" max="12062" width="3.28515625" style="15" customWidth="1"/>
    <col min="12063" max="12288" width="9.140625" style="15"/>
    <col min="12289" max="12318" width="3.28515625" style="15" customWidth="1"/>
    <col min="12319" max="12544" width="9.140625" style="15"/>
    <col min="12545" max="12574" width="3.28515625" style="15" customWidth="1"/>
    <col min="12575" max="12800" width="9.140625" style="15"/>
    <col min="12801" max="12830" width="3.28515625" style="15" customWidth="1"/>
    <col min="12831" max="13056" width="9.140625" style="15"/>
    <col min="13057" max="13086" width="3.28515625" style="15" customWidth="1"/>
    <col min="13087" max="13312" width="9.140625" style="15"/>
    <col min="13313" max="13342" width="3.28515625" style="15" customWidth="1"/>
    <col min="13343" max="13568" width="9.140625" style="15"/>
    <col min="13569" max="13598" width="3.28515625" style="15" customWidth="1"/>
    <col min="13599" max="13824" width="9.140625" style="15"/>
    <col min="13825" max="13854" width="3.28515625" style="15" customWidth="1"/>
    <col min="13855" max="14080" width="9.140625" style="15"/>
    <col min="14081" max="14110" width="3.28515625" style="15" customWidth="1"/>
    <col min="14111" max="14336" width="9.140625" style="15"/>
    <col min="14337" max="14366" width="3.28515625" style="15" customWidth="1"/>
    <col min="14367" max="14592" width="9.140625" style="15"/>
    <col min="14593" max="14622" width="3.28515625" style="15" customWidth="1"/>
    <col min="14623" max="14848" width="9.140625" style="15"/>
    <col min="14849" max="14878" width="3.28515625" style="15" customWidth="1"/>
    <col min="14879" max="15104" width="9.140625" style="15"/>
    <col min="15105" max="15134" width="3.28515625" style="15" customWidth="1"/>
    <col min="15135" max="15360" width="9.140625" style="15"/>
    <col min="15361" max="15390" width="3.28515625" style="15" customWidth="1"/>
    <col min="15391" max="15616" width="9.140625" style="15"/>
    <col min="15617" max="15646" width="3.28515625" style="15" customWidth="1"/>
    <col min="15647" max="15872" width="9.140625" style="15"/>
    <col min="15873" max="15902" width="3.28515625" style="15" customWidth="1"/>
    <col min="15903" max="16128" width="9.140625" style="15"/>
    <col min="16129" max="16158" width="3.28515625" style="15" customWidth="1"/>
    <col min="16159" max="16384" width="9.140625" style="15"/>
  </cols>
  <sheetData>
    <row r="1" spans="1:30" ht="15" customHeight="1" x14ac:dyDescent="0.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3"/>
    </row>
    <row r="2" spans="1:30" ht="15" customHeight="1" x14ac:dyDescent="0.2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6"/>
    </row>
    <row r="3" spans="1:30" ht="15" customHeight="1" x14ac:dyDescent="0.2">
      <c r="A3" s="4"/>
      <c r="B3" s="5"/>
      <c r="C3" s="5"/>
      <c r="D3" s="5"/>
      <c r="E3" s="5"/>
      <c r="F3" s="5"/>
      <c r="G3" s="5"/>
      <c r="H3" s="7"/>
      <c r="I3" s="7"/>
      <c r="J3" s="7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9"/>
      <c r="X3" s="9"/>
      <c r="Y3" s="9"/>
      <c r="Z3" s="9"/>
      <c r="AA3" s="9"/>
      <c r="AB3" s="9"/>
      <c r="AC3" s="9"/>
      <c r="AD3" s="10"/>
    </row>
    <row r="4" spans="1:30" ht="15" customHeight="1" x14ac:dyDescent="0.2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6"/>
    </row>
    <row r="5" spans="1:30" ht="15" customHeight="1" x14ac:dyDescent="0.2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6"/>
    </row>
    <row r="6" spans="1:30" ht="15" customHeight="1" x14ac:dyDescent="0.2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6"/>
    </row>
    <row r="7" spans="1:30" ht="15" customHeight="1" thickBot="1" x14ac:dyDescent="0.25">
      <c r="A7" s="11"/>
      <c r="B7" s="12"/>
      <c r="C7" s="12"/>
      <c r="D7" s="12"/>
      <c r="E7" s="12"/>
      <c r="F7" s="13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12"/>
      <c r="AB7" s="12"/>
      <c r="AC7" s="12"/>
      <c r="AD7" s="14"/>
    </row>
    <row r="8" spans="1:30" ht="15" customHeight="1" x14ac:dyDescent="0.2">
      <c r="A8" s="82" t="s">
        <v>397</v>
      </c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4"/>
    </row>
    <row r="9" spans="1:30" ht="15" customHeight="1" x14ac:dyDescent="0.2">
      <c r="A9" s="85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7"/>
    </row>
    <row r="10" spans="1:30" ht="15" customHeight="1" x14ac:dyDescent="0.2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7"/>
    </row>
    <row r="11" spans="1:30" ht="15" customHeight="1" x14ac:dyDescent="0.2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7"/>
    </row>
    <row r="12" spans="1:30" ht="15" customHeight="1" x14ac:dyDescent="0.2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7"/>
    </row>
    <row r="13" spans="1:30" ht="15" customHeight="1" x14ac:dyDescent="0.2">
      <c r="A13" s="85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7"/>
    </row>
    <row r="14" spans="1:30" ht="15" customHeight="1" x14ac:dyDescent="0.2">
      <c r="A14" s="85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7"/>
    </row>
    <row r="15" spans="1:30" ht="15" customHeight="1" x14ac:dyDescent="0.2">
      <c r="A15" s="85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7"/>
    </row>
    <row r="16" spans="1:30" ht="15" customHeight="1" x14ac:dyDescent="0.2">
      <c r="A16" s="85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7"/>
    </row>
    <row r="17" spans="1:30" ht="15" customHeight="1" x14ac:dyDescent="0.2">
      <c r="A17" s="85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7"/>
    </row>
    <row r="18" spans="1:30" ht="15" customHeight="1" x14ac:dyDescent="0.2">
      <c r="A18" s="85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7"/>
    </row>
    <row r="19" spans="1:30" ht="15" customHeight="1" x14ac:dyDescent="0.2">
      <c r="A19" s="85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7"/>
    </row>
    <row r="20" spans="1:30" ht="15" customHeight="1" x14ac:dyDescent="0.2">
      <c r="A20" s="85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7"/>
    </row>
    <row r="21" spans="1:30" ht="15" customHeight="1" x14ac:dyDescent="0.2">
      <c r="A21" s="85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7"/>
    </row>
    <row r="22" spans="1:30" ht="15" customHeight="1" x14ac:dyDescent="0.2">
      <c r="A22" s="85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7"/>
    </row>
    <row r="23" spans="1:30" ht="15" customHeight="1" x14ac:dyDescent="0.2">
      <c r="A23" s="85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7"/>
    </row>
    <row r="24" spans="1:30" ht="15" customHeight="1" x14ac:dyDescent="0.2">
      <c r="A24" s="85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7"/>
    </row>
    <row r="25" spans="1:30" ht="15" customHeight="1" x14ac:dyDescent="0.2">
      <c r="A25" s="85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7"/>
    </row>
    <row r="26" spans="1:30" ht="15" customHeight="1" x14ac:dyDescent="0.2">
      <c r="A26" s="85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7"/>
    </row>
    <row r="27" spans="1:30" ht="15" customHeight="1" x14ac:dyDescent="0.2">
      <c r="A27" s="85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7"/>
    </row>
    <row r="28" spans="1:30" ht="15" customHeight="1" x14ac:dyDescent="0.2">
      <c r="A28" s="85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7"/>
    </row>
    <row r="29" spans="1:30" ht="15" customHeight="1" x14ac:dyDescent="0.2">
      <c r="A29" s="85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7"/>
    </row>
    <row r="30" spans="1:30" ht="15" customHeight="1" x14ac:dyDescent="0.2">
      <c r="A30" s="85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7"/>
    </row>
    <row r="31" spans="1:30" ht="15" customHeight="1" x14ac:dyDescent="0.2">
      <c r="A31" s="85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7"/>
    </row>
    <row r="32" spans="1:30" ht="15" customHeight="1" x14ac:dyDescent="0.2">
      <c r="A32" s="85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7"/>
    </row>
    <row r="33" spans="1:30" ht="15" customHeight="1" x14ac:dyDescent="0.2">
      <c r="A33" s="85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7"/>
    </row>
    <row r="34" spans="1:30" ht="15" customHeight="1" x14ac:dyDescent="0.2">
      <c r="A34" s="85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7"/>
    </row>
    <row r="35" spans="1:30" ht="15" customHeight="1" x14ac:dyDescent="0.2">
      <c r="A35" s="85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7"/>
    </row>
    <row r="36" spans="1:30" ht="15" customHeight="1" x14ac:dyDescent="0.2">
      <c r="A36" s="85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7"/>
    </row>
    <row r="37" spans="1:30" ht="15" customHeight="1" x14ac:dyDescent="0.2">
      <c r="A37" s="85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7"/>
    </row>
    <row r="38" spans="1:30" ht="15" customHeight="1" x14ac:dyDescent="0.2">
      <c r="A38" s="85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7"/>
    </row>
    <row r="39" spans="1:30" ht="15" customHeight="1" thickBot="1" x14ac:dyDescent="0.25">
      <c r="A39" s="88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90"/>
    </row>
    <row r="40" spans="1:30" ht="30" customHeight="1" x14ac:dyDescent="0.2">
      <c r="A40" s="91"/>
      <c r="B40" s="92"/>
      <c r="C40" s="93"/>
      <c r="D40" s="94"/>
      <c r="E40" s="94"/>
      <c r="F40" s="92"/>
      <c r="G40" s="93"/>
      <c r="H40" s="94"/>
      <c r="I40" s="94"/>
      <c r="J40" s="94"/>
      <c r="K40" s="94"/>
      <c r="L40" s="94"/>
      <c r="M40" s="94"/>
      <c r="N40" s="94"/>
      <c r="O40" s="94"/>
      <c r="P40" s="93"/>
      <c r="Q40" s="94"/>
      <c r="R40" s="94"/>
      <c r="S40" s="94"/>
      <c r="T40" s="92"/>
      <c r="U40" s="93"/>
      <c r="V40" s="94"/>
      <c r="W40" s="94"/>
      <c r="X40" s="94"/>
      <c r="Y40" s="92"/>
      <c r="Z40" s="93"/>
      <c r="AA40" s="94"/>
      <c r="AB40" s="94"/>
      <c r="AC40" s="94"/>
      <c r="AD40" s="95"/>
    </row>
    <row r="41" spans="1:30" ht="30" customHeight="1" x14ac:dyDescent="0.2">
      <c r="A41" s="69"/>
      <c r="B41" s="70"/>
      <c r="C41" s="71"/>
      <c r="D41" s="72"/>
      <c r="E41" s="72"/>
      <c r="F41" s="70"/>
      <c r="G41" s="71"/>
      <c r="H41" s="72"/>
      <c r="I41" s="72"/>
      <c r="J41" s="72"/>
      <c r="K41" s="72"/>
      <c r="L41" s="72"/>
      <c r="M41" s="72"/>
      <c r="N41" s="72"/>
      <c r="O41" s="72"/>
      <c r="P41" s="71"/>
      <c r="Q41" s="72"/>
      <c r="R41" s="72"/>
      <c r="S41" s="72"/>
      <c r="T41" s="70"/>
      <c r="U41" s="71"/>
      <c r="V41" s="72"/>
      <c r="W41" s="72"/>
      <c r="X41" s="72"/>
      <c r="Y41" s="70"/>
      <c r="Z41" s="71"/>
      <c r="AA41" s="72"/>
      <c r="AB41" s="72"/>
      <c r="AC41" s="72"/>
      <c r="AD41" s="73"/>
    </row>
    <row r="42" spans="1:30" ht="30" customHeight="1" x14ac:dyDescent="0.2">
      <c r="A42" s="69"/>
      <c r="B42" s="70"/>
      <c r="C42" s="71"/>
      <c r="D42" s="72"/>
      <c r="E42" s="72"/>
      <c r="F42" s="70"/>
      <c r="G42" s="71"/>
      <c r="H42" s="72"/>
      <c r="I42" s="72"/>
      <c r="J42" s="72"/>
      <c r="K42" s="72"/>
      <c r="L42" s="72"/>
      <c r="M42" s="72"/>
      <c r="N42" s="72"/>
      <c r="O42" s="72"/>
      <c r="P42" s="71"/>
      <c r="Q42" s="72"/>
      <c r="R42" s="72"/>
      <c r="S42" s="72"/>
      <c r="T42" s="70"/>
      <c r="U42" s="71"/>
      <c r="V42" s="72"/>
      <c r="W42" s="72"/>
      <c r="X42" s="72"/>
      <c r="Y42" s="70"/>
      <c r="Z42" s="71"/>
      <c r="AA42" s="72"/>
      <c r="AB42" s="72"/>
      <c r="AC42" s="72"/>
      <c r="AD42" s="73"/>
    </row>
    <row r="43" spans="1:30" ht="30" customHeight="1" x14ac:dyDescent="0.2">
      <c r="A43" s="69"/>
      <c r="B43" s="70"/>
      <c r="C43" s="71"/>
      <c r="D43" s="72"/>
      <c r="E43" s="72"/>
      <c r="F43" s="70"/>
      <c r="G43" s="71"/>
      <c r="H43" s="72"/>
      <c r="I43" s="72"/>
      <c r="J43" s="72"/>
      <c r="K43" s="72"/>
      <c r="L43" s="72"/>
      <c r="M43" s="72"/>
      <c r="N43" s="72"/>
      <c r="O43" s="72"/>
      <c r="P43" s="71"/>
      <c r="Q43" s="72"/>
      <c r="R43" s="72"/>
      <c r="S43" s="72"/>
      <c r="T43" s="70"/>
      <c r="U43" s="71"/>
      <c r="V43" s="72"/>
      <c r="W43" s="72"/>
      <c r="X43" s="72"/>
      <c r="Y43" s="70"/>
      <c r="Z43" s="71"/>
      <c r="AA43" s="72"/>
      <c r="AB43" s="72"/>
      <c r="AC43" s="72"/>
      <c r="AD43" s="73"/>
    </row>
    <row r="44" spans="1:30" ht="30" customHeight="1" x14ac:dyDescent="0.2">
      <c r="A44" s="69"/>
      <c r="B44" s="70"/>
      <c r="C44" s="71"/>
      <c r="D44" s="72"/>
      <c r="E44" s="72"/>
      <c r="F44" s="70"/>
      <c r="G44" s="71"/>
      <c r="H44" s="72"/>
      <c r="I44" s="72"/>
      <c r="J44" s="72"/>
      <c r="K44" s="72"/>
      <c r="L44" s="72"/>
      <c r="M44" s="72"/>
      <c r="N44" s="72"/>
      <c r="O44" s="72"/>
      <c r="P44" s="71"/>
      <c r="Q44" s="72"/>
      <c r="R44" s="72"/>
      <c r="S44" s="72"/>
      <c r="T44" s="70"/>
      <c r="U44" s="71"/>
      <c r="V44" s="72"/>
      <c r="W44" s="72"/>
      <c r="X44" s="72"/>
      <c r="Y44" s="70"/>
      <c r="Z44" s="71"/>
      <c r="AA44" s="72"/>
      <c r="AB44" s="72"/>
      <c r="AC44" s="72"/>
      <c r="AD44" s="73"/>
    </row>
    <row r="45" spans="1:30" ht="30" customHeight="1" x14ac:dyDescent="0.2">
      <c r="A45" s="69"/>
      <c r="B45" s="70"/>
      <c r="C45" s="71"/>
      <c r="D45" s="72"/>
      <c r="E45" s="72"/>
      <c r="F45" s="70"/>
      <c r="G45" s="71"/>
      <c r="H45" s="72"/>
      <c r="I45" s="72"/>
      <c r="J45" s="72"/>
      <c r="K45" s="72"/>
      <c r="L45" s="72"/>
      <c r="M45" s="72"/>
      <c r="N45" s="72"/>
      <c r="O45" s="72"/>
      <c r="P45" s="71"/>
      <c r="Q45" s="72"/>
      <c r="R45" s="72"/>
      <c r="S45" s="72"/>
      <c r="T45" s="70"/>
      <c r="U45" s="71"/>
      <c r="V45" s="72"/>
      <c r="W45" s="72"/>
      <c r="X45" s="72"/>
      <c r="Y45" s="70"/>
      <c r="Z45" s="71"/>
      <c r="AA45" s="72"/>
      <c r="AB45" s="72"/>
      <c r="AC45" s="72"/>
      <c r="AD45" s="73"/>
    </row>
    <row r="46" spans="1:30" ht="30" customHeight="1" x14ac:dyDescent="0.2">
      <c r="A46" s="74">
        <v>0</v>
      </c>
      <c r="B46" s="75"/>
      <c r="C46" s="76">
        <v>45761</v>
      </c>
      <c r="D46" s="77"/>
      <c r="E46" s="77"/>
      <c r="F46" s="78"/>
      <c r="G46" s="79" t="s">
        <v>0</v>
      </c>
      <c r="H46" s="80"/>
      <c r="I46" s="80"/>
      <c r="J46" s="80"/>
      <c r="K46" s="80"/>
      <c r="L46" s="80"/>
      <c r="M46" s="80"/>
      <c r="N46" s="80"/>
      <c r="O46" s="80"/>
      <c r="P46" s="66" t="s">
        <v>394</v>
      </c>
      <c r="Q46" s="67"/>
      <c r="R46" s="67"/>
      <c r="S46" s="67"/>
      <c r="T46" s="81"/>
      <c r="U46" s="66" t="s">
        <v>395</v>
      </c>
      <c r="V46" s="67"/>
      <c r="W46" s="67"/>
      <c r="X46" s="67"/>
      <c r="Y46" s="81"/>
      <c r="Z46" s="66" t="s">
        <v>396</v>
      </c>
      <c r="AA46" s="67"/>
      <c r="AB46" s="67"/>
      <c r="AC46" s="67"/>
      <c r="AD46" s="68"/>
    </row>
    <row r="47" spans="1:30" ht="15" customHeight="1" thickBot="1" x14ac:dyDescent="0.25">
      <c r="A47" s="60" t="s">
        <v>1</v>
      </c>
      <c r="B47" s="61"/>
      <c r="C47" s="62" t="s">
        <v>2</v>
      </c>
      <c r="D47" s="63"/>
      <c r="E47" s="63"/>
      <c r="F47" s="64"/>
      <c r="G47" s="62" t="s">
        <v>3</v>
      </c>
      <c r="H47" s="63"/>
      <c r="I47" s="63"/>
      <c r="J47" s="63"/>
      <c r="K47" s="63"/>
      <c r="L47" s="63"/>
      <c r="M47" s="63"/>
      <c r="N47" s="63"/>
      <c r="O47" s="63"/>
      <c r="P47" s="62" t="s">
        <v>4</v>
      </c>
      <c r="Q47" s="63"/>
      <c r="R47" s="63"/>
      <c r="S47" s="63"/>
      <c r="T47" s="64"/>
      <c r="U47" s="62" t="s">
        <v>5</v>
      </c>
      <c r="V47" s="63"/>
      <c r="W47" s="63"/>
      <c r="X47" s="63"/>
      <c r="Y47" s="63"/>
      <c r="Z47" s="62" t="s">
        <v>6</v>
      </c>
      <c r="AA47" s="63"/>
      <c r="AB47" s="63"/>
      <c r="AC47" s="63"/>
      <c r="AD47" s="65"/>
    </row>
    <row r="48" spans="1:30" ht="15" customHeight="1" thickBot="1" x14ac:dyDescent="0.25">
      <c r="A48" s="57" t="s">
        <v>398</v>
      </c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9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76929-ABDC-4C84-A554-D01EBCE6652A}">
  <sheetPr codeName="Foglio1"/>
  <dimension ref="B2:S108"/>
  <sheetViews>
    <sheetView topLeftCell="A6" zoomScaleNormal="100" workbookViewId="0">
      <selection activeCell="I36" sqref="I36"/>
    </sheetView>
  </sheetViews>
  <sheetFormatPr defaultRowHeight="15" outlineLevelRow="1" outlineLevelCol="1" x14ac:dyDescent="0.25"/>
  <cols>
    <col min="1" max="1" width="3.7109375" customWidth="1"/>
    <col min="2" max="2" width="13.28515625" bestFit="1" customWidth="1"/>
    <col min="3" max="8" width="15.7109375" customWidth="1"/>
    <col min="9" max="9" width="83.7109375" bestFit="1" customWidth="1"/>
    <col min="10" max="10" width="35.5703125" hidden="1" customWidth="1" outlineLevel="1"/>
    <col min="11" max="11" width="3.7109375" customWidth="1" collapsed="1"/>
  </cols>
  <sheetData>
    <row r="2" spans="2:19" x14ac:dyDescent="0.25">
      <c r="B2" s="102" t="s">
        <v>7</v>
      </c>
      <c r="C2" s="102"/>
    </row>
    <row r="3" spans="2:19" x14ac:dyDescent="0.25">
      <c r="B3" s="103" t="s">
        <v>8</v>
      </c>
      <c r="C3" s="103"/>
    </row>
    <row r="4" spans="2:19" x14ac:dyDescent="0.25">
      <c r="B4" s="104" t="s">
        <v>9</v>
      </c>
      <c r="C4" s="104"/>
    </row>
    <row r="5" spans="2:19" x14ac:dyDescent="0.25">
      <c r="B5" s="105" t="s">
        <v>10</v>
      </c>
      <c r="C5" s="105"/>
    </row>
    <row r="6" spans="2:19" x14ac:dyDescent="0.25">
      <c r="B6" s="106" t="s">
        <v>11</v>
      </c>
      <c r="C6" s="106"/>
    </row>
    <row r="7" spans="2:19" x14ac:dyDescent="0.25">
      <c r="C7" s="51"/>
      <c r="D7" s="51"/>
      <c r="E7" s="51"/>
      <c r="F7" s="51"/>
      <c r="G7" s="51"/>
      <c r="H7" s="51"/>
      <c r="I7" s="49" t="s">
        <v>377</v>
      </c>
    </row>
    <row r="8" spans="2:19" ht="54.95" customHeight="1" x14ac:dyDescent="0.25">
      <c r="B8" s="49" t="s">
        <v>374</v>
      </c>
      <c r="C8" s="52">
        <v>1</v>
      </c>
      <c r="D8" s="52">
        <v>2</v>
      </c>
      <c r="E8" s="52">
        <v>3</v>
      </c>
      <c r="F8" s="52">
        <v>4</v>
      </c>
      <c r="G8" s="52">
        <v>5</v>
      </c>
      <c r="H8" s="52">
        <v>6</v>
      </c>
      <c r="I8" s="53">
        <v>4</v>
      </c>
      <c r="J8" s="50"/>
    </row>
    <row r="9" spans="2:19" x14ac:dyDescent="0.25">
      <c r="B9" s="99" t="s">
        <v>12</v>
      </c>
      <c r="C9" s="100"/>
      <c r="D9" s="100"/>
      <c r="E9" s="100"/>
      <c r="F9" s="100"/>
      <c r="G9" s="100"/>
      <c r="H9" s="100"/>
      <c r="I9" s="101"/>
      <c r="J9" t="str">
        <f>+"CASE " &amp; I8</f>
        <v>CASE 4</v>
      </c>
    </row>
    <row r="10" spans="2:19" ht="18" x14ac:dyDescent="0.25">
      <c r="B10" s="17" t="s">
        <v>13</v>
      </c>
      <c r="C10" s="40">
        <v>400</v>
      </c>
      <c r="D10" s="40">
        <v>380</v>
      </c>
      <c r="E10" s="40">
        <f t="shared" ref="E10:H10" si="0">+D10-10</f>
        <v>370</v>
      </c>
      <c r="F10" s="40">
        <f t="shared" si="0"/>
        <v>360</v>
      </c>
      <c r="G10" s="40">
        <f t="shared" si="0"/>
        <v>350</v>
      </c>
      <c r="H10" s="40">
        <f t="shared" si="0"/>
        <v>340</v>
      </c>
      <c r="I10" s="18" t="s">
        <v>14</v>
      </c>
      <c r="J10" t="str">
        <f t="shared" ref="J10:J16" ca="1" si="1">B10 &amp; " = " &amp; OFFSET(B10,0,$I$8)</f>
        <v>D2 [mm] = 360</v>
      </c>
      <c r="M10" s="39" t="s">
        <v>15</v>
      </c>
      <c r="N10" s="24"/>
      <c r="O10" s="24"/>
      <c r="P10" s="24"/>
      <c r="Q10" s="24"/>
      <c r="R10" s="24"/>
      <c r="S10" s="24"/>
    </row>
    <row r="11" spans="2:19" ht="18" x14ac:dyDescent="0.25">
      <c r="B11" s="17" t="s">
        <v>16</v>
      </c>
      <c r="C11" s="40">
        <v>149</v>
      </c>
      <c r="D11" s="40">
        <v>149</v>
      </c>
      <c r="E11" s="40">
        <v>149</v>
      </c>
      <c r="F11" s="40">
        <v>149</v>
      </c>
      <c r="G11" s="40">
        <v>149</v>
      </c>
      <c r="H11" s="40">
        <v>149</v>
      </c>
      <c r="I11" s="18" t="s">
        <v>17</v>
      </c>
      <c r="J11" t="str">
        <f t="shared" ca="1" si="1"/>
        <v>Dsp [mm] = 149</v>
      </c>
      <c r="M11" s="39" t="s">
        <v>18</v>
      </c>
      <c r="N11" s="39">
        <v>7.5</v>
      </c>
      <c r="O11" s="39">
        <v>23</v>
      </c>
      <c r="P11" s="39">
        <v>29</v>
      </c>
      <c r="Q11" s="39">
        <v>38</v>
      </c>
      <c r="R11" s="39">
        <v>67</v>
      </c>
      <c r="S11" s="45">
        <f>'single_suction-1'!C92</f>
        <v>8.5134273398920364</v>
      </c>
    </row>
    <row r="12" spans="2:19" ht="18" x14ac:dyDescent="0.25">
      <c r="B12" s="17" t="s">
        <v>19</v>
      </c>
      <c r="C12" s="40">
        <v>90</v>
      </c>
      <c r="D12" s="40">
        <v>90</v>
      </c>
      <c r="E12" s="40">
        <v>90</v>
      </c>
      <c r="F12" s="40">
        <v>90</v>
      </c>
      <c r="G12" s="40">
        <v>90</v>
      </c>
      <c r="H12" s="40">
        <v>90</v>
      </c>
      <c r="I12" s="18" t="s">
        <v>20</v>
      </c>
      <c r="J12" t="str">
        <f t="shared" ca="1" si="1"/>
        <v>DD [mm] = 90</v>
      </c>
      <c r="M12" s="24">
        <v>0.1</v>
      </c>
      <c r="N12" s="25">
        <v>0.59993264267084612</v>
      </c>
      <c r="O12" s="25">
        <v>0.59993264267084612</v>
      </c>
      <c r="P12" s="25">
        <v>0.62134547872645829</v>
      </c>
      <c r="Q12" s="25">
        <v>0.62408588437953616</v>
      </c>
      <c r="R12" s="25">
        <v>0.63194692566064548</v>
      </c>
      <c r="S12" s="25" cm="1">
        <f t="array" ref="S12">+interp($S$11,$N$11:$R$11,N12:R12)</f>
        <v>0.59993264267084612</v>
      </c>
    </row>
    <row r="13" spans="2:19" ht="18" x14ac:dyDescent="0.25">
      <c r="B13" s="17" t="s">
        <v>369</v>
      </c>
      <c r="C13" s="40">
        <v>85</v>
      </c>
      <c r="D13" s="40">
        <v>85</v>
      </c>
      <c r="E13" s="40">
        <v>85</v>
      </c>
      <c r="F13" s="40">
        <v>85</v>
      </c>
      <c r="G13" s="40">
        <v>85</v>
      </c>
      <c r="H13" s="40">
        <v>85</v>
      </c>
      <c r="I13" s="18" t="s">
        <v>368</v>
      </c>
      <c r="J13" t="str">
        <f t="shared" ca="1" si="1"/>
        <v>DS [mm] = 85</v>
      </c>
      <c r="M13" s="24">
        <f t="shared" ref="M13:M48" si="2">+M12+0.025</f>
        <v>0.125</v>
      </c>
      <c r="N13" s="25">
        <v>0.60109360616076046</v>
      </c>
      <c r="O13" s="25">
        <v>0.60109360616076046</v>
      </c>
      <c r="P13" s="25">
        <v>0.62471358417373024</v>
      </c>
      <c r="Q13" s="25">
        <v>0.62904633711506863</v>
      </c>
      <c r="R13" s="25">
        <v>0.63654433494026119</v>
      </c>
      <c r="S13" s="25" cm="1">
        <f t="array" ref="S13">+interp($S$11,$N$11:$R$11,N13:R13)</f>
        <v>0.60109360616076046</v>
      </c>
    </row>
    <row r="14" spans="2:19" ht="18" x14ac:dyDescent="0.25">
      <c r="B14" s="17" t="s">
        <v>23</v>
      </c>
      <c r="C14" s="27" t="s">
        <v>372</v>
      </c>
      <c r="D14" s="40">
        <v>90</v>
      </c>
      <c r="E14" s="40">
        <v>90</v>
      </c>
      <c r="F14" s="40">
        <v>90</v>
      </c>
      <c r="G14" s="40">
        <v>90</v>
      </c>
      <c r="H14" s="40">
        <v>90</v>
      </c>
      <c r="I14" s="18" t="s">
        <v>375</v>
      </c>
      <c r="J14" t="str">
        <f t="shared" ca="1" si="1"/>
        <v>DRH [mm] = 90</v>
      </c>
      <c r="M14" s="24">
        <f t="shared" si="2"/>
        <v>0.15</v>
      </c>
      <c r="N14" s="25">
        <v>0.6029575252316195</v>
      </c>
      <c r="O14" s="25">
        <v>0.6029575252316195</v>
      </c>
      <c r="P14" s="25">
        <v>0.62878516438015208</v>
      </c>
      <c r="Q14" s="25">
        <v>0.63385010951264853</v>
      </c>
      <c r="R14" s="25">
        <v>0.64069361726458596</v>
      </c>
      <c r="S14" s="25" cm="1">
        <f t="array" ref="S14">+interp($S$11,$N$11:$R$11,N14:R14)</f>
        <v>0.6029575252316195</v>
      </c>
    </row>
    <row r="15" spans="2:19" ht="18" x14ac:dyDescent="0.25">
      <c r="B15" s="17" t="s">
        <v>24</v>
      </c>
      <c r="C15" s="40">
        <v>0.215</v>
      </c>
      <c r="D15" s="40">
        <v>0.215</v>
      </c>
      <c r="E15" s="40">
        <v>0.215</v>
      </c>
      <c r="F15" s="40">
        <v>0.215</v>
      </c>
      <c r="G15" s="40">
        <v>0.215</v>
      </c>
      <c r="H15" s="40">
        <v>0.215</v>
      </c>
      <c r="I15" s="18" t="s">
        <v>25</v>
      </c>
      <c r="J15" t="str">
        <f t="shared" ca="1" si="1"/>
        <v>ssp [mm] = 0.215</v>
      </c>
      <c r="M15" s="24">
        <f t="shared" si="2"/>
        <v>0.17499999999999999</v>
      </c>
      <c r="N15" s="25">
        <v>0.60315283773161932</v>
      </c>
      <c r="O15" s="25">
        <v>0.60315283773161932</v>
      </c>
      <c r="P15" s="25">
        <v>0.63103801265518822</v>
      </c>
      <c r="Q15" s="25">
        <v>0.63783562873798572</v>
      </c>
      <c r="R15" s="25">
        <v>0.64621310993145242</v>
      </c>
      <c r="S15" s="25" cm="1">
        <f t="array" ref="S15">+interp($S$11,$N$11:$R$11,N15:R15)</f>
        <v>0.60315283773161932</v>
      </c>
    </row>
    <row r="16" spans="2:19" ht="18" x14ac:dyDescent="0.25">
      <c r="B16" s="17" t="s">
        <v>26</v>
      </c>
      <c r="C16" s="40">
        <v>0.215</v>
      </c>
      <c r="D16" s="40">
        <v>0.215</v>
      </c>
      <c r="E16" s="40">
        <v>0.215</v>
      </c>
      <c r="F16" s="40">
        <v>0.215</v>
      </c>
      <c r="G16" s="40">
        <v>0.215</v>
      </c>
      <c r="H16" s="40">
        <v>0.215</v>
      </c>
      <c r="I16" s="18" t="s">
        <v>27</v>
      </c>
      <c r="J16" t="str">
        <f t="shared" ca="1" si="1"/>
        <v>sD [mm] = 0.215</v>
      </c>
      <c r="M16" s="24">
        <f t="shared" si="2"/>
        <v>0.19999999999999998</v>
      </c>
      <c r="N16" s="25">
        <v>0.60649565223179724</v>
      </c>
      <c r="O16" s="25">
        <v>0.60649565223179724</v>
      </c>
      <c r="P16" s="25">
        <v>0.63575102496911839</v>
      </c>
      <c r="Q16" s="25">
        <v>0.64265593856434333</v>
      </c>
      <c r="R16" s="25">
        <v>0.65139421648420748</v>
      </c>
      <c r="S16" s="25" cm="1">
        <f t="array" ref="S16">+interp($S$11,$N$11:$R$11,N16:R16)</f>
        <v>0.60649565223179724</v>
      </c>
    </row>
    <row r="17" spans="2:19" ht="18" x14ac:dyDescent="0.25">
      <c r="B17" s="17" t="s">
        <v>28</v>
      </c>
      <c r="C17" s="40">
        <v>24</v>
      </c>
      <c r="D17" s="40">
        <v>24</v>
      </c>
      <c r="E17" s="40">
        <v>24</v>
      </c>
      <c r="F17" s="40">
        <v>24</v>
      </c>
      <c r="G17" s="40">
        <v>24</v>
      </c>
      <c r="H17" s="40">
        <v>24</v>
      </c>
      <c r="I17" s="18" t="s">
        <v>29</v>
      </c>
      <c r="M17" s="24">
        <f t="shared" si="2"/>
        <v>0.22499999999999998</v>
      </c>
      <c r="N17" s="25">
        <v>0.60873667740298809</v>
      </c>
      <c r="O17" s="25">
        <v>0.60873667740298809</v>
      </c>
      <c r="P17" s="25">
        <v>0.63834755734984894</v>
      </c>
      <c r="Q17" s="25">
        <v>0.64876723105483924</v>
      </c>
      <c r="R17" s="25">
        <v>0.6565932810703512</v>
      </c>
      <c r="S17" s="25" cm="1">
        <f t="array" ref="S17">+interp($S$11,$N$11:$R$11,N17:R17)</f>
        <v>0.60873667740298809</v>
      </c>
    </row>
    <row r="18" spans="2:19" ht="18" x14ac:dyDescent="0.25">
      <c r="B18" s="17" t="s">
        <v>30</v>
      </c>
      <c r="C18" s="40">
        <v>24</v>
      </c>
      <c r="D18" s="40">
        <v>24</v>
      </c>
      <c r="E18" s="40">
        <v>24</v>
      </c>
      <c r="F18" s="40">
        <v>24</v>
      </c>
      <c r="G18" s="40">
        <v>24</v>
      </c>
      <c r="H18" s="40">
        <v>24</v>
      </c>
      <c r="I18" s="18" t="s">
        <v>31</v>
      </c>
      <c r="M18" s="24">
        <f t="shared" si="2"/>
        <v>0.24999999999999997</v>
      </c>
      <c r="N18" s="25">
        <v>0.60909591808876196</v>
      </c>
      <c r="O18" s="25">
        <v>0.60909591808876196</v>
      </c>
      <c r="P18" s="25">
        <v>0.64161631112175854</v>
      </c>
      <c r="Q18" s="25">
        <v>0.65401831421160816</v>
      </c>
      <c r="R18" s="25">
        <v>0.66362227255012396</v>
      </c>
      <c r="S18" s="25" cm="1">
        <f t="array" ref="S18">+interp($S$11,$N$11:$R$11,N18:R18)</f>
        <v>0.60909591808876196</v>
      </c>
    </row>
    <row r="19" spans="2:19" ht="18" x14ac:dyDescent="0.25">
      <c r="B19" s="17" t="s">
        <v>32</v>
      </c>
      <c r="C19" s="40">
        <v>0.75</v>
      </c>
      <c r="D19" s="40">
        <v>0.75</v>
      </c>
      <c r="E19" s="40">
        <v>0.75</v>
      </c>
      <c r="F19" s="40">
        <v>0.75</v>
      </c>
      <c r="G19" s="40">
        <v>0.75</v>
      </c>
      <c r="H19" s="40">
        <v>0.75</v>
      </c>
      <c r="I19" s="21" t="s">
        <v>33</v>
      </c>
      <c r="M19" s="24">
        <f t="shared" si="2"/>
        <v>0.27499999999999997</v>
      </c>
      <c r="N19" s="25">
        <v>0.61143781462318081</v>
      </c>
      <c r="O19" s="25">
        <v>0.61143781462318081</v>
      </c>
      <c r="P19" s="25">
        <v>0.64689986916345255</v>
      </c>
      <c r="Q19" s="25">
        <v>0.65743016651236363</v>
      </c>
      <c r="R19" s="25">
        <v>0.67122336776757641</v>
      </c>
      <c r="S19" s="25" cm="1">
        <f t="array" ref="S19">+interp($S$11,$N$11:$R$11,N19:R19)</f>
        <v>0.61143781462318081</v>
      </c>
    </row>
    <row r="20" spans="2:19" x14ac:dyDescent="0.25">
      <c r="M20" s="24">
        <f t="shared" si="2"/>
        <v>0.3</v>
      </c>
      <c r="N20" s="25">
        <v>0.61461472730250366</v>
      </c>
      <c r="O20" s="25">
        <v>0.61461472730250366</v>
      </c>
      <c r="P20" s="25">
        <v>0.65145227466979694</v>
      </c>
      <c r="Q20" s="25">
        <v>0.66370946207153048</v>
      </c>
      <c r="R20" s="25">
        <v>0.67753582758194686</v>
      </c>
      <c r="S20" s="25" cm="1">
        <f t="array" ref="S20">+interp($S$11,$N$11:$R$11,N20:R20)</f>
        <v>0.61461472730250366</v>
      </c>
    </row>
    <row r="21" spans="2:19" x14ac:dyDescent="0.25">
      <c r="B21" s="99" t="s">
        <v>34</v>
      </c>
      <c r="C21" s="100"/>
      <c r="D21" s="100"/>
      <c r="E21" s="100"/>
      <c r="F21" s="100"/>
      <c r="G21" s="100"/>
      <c r="H21" s="100"/>
      <c r="I21" s="101"/>
      <c r="M21" s="24">
        <f t="shared" si="2"/>
        <v>0.32500000000000001</v>
      </c>
      <c r="N21" s="25">
        <v>0.61681839045422715</v>
      </c>
      <c r="O21" s="25">
        <v>0.61681839045422715</v>
      </c>
      <c r="P21" s="25">
        <v>0.65549311419767775</v>
      </c>
      <c r="Q21" s="25">
        <v>0.67013498525851711</v>
      </c>
      <c r="R21" s="25">
        <v>0.68630926897398803</v>
      </c>
      <c r="S21" s="25" cm="1">
        <f t="array" ref="S21">+interp($S$11,$N$11:$R$11,N21:R21)</f>
        <v>0.61681839045422715</v>
      </c>
    </row>
    <row r="22" spans="2:19" x14ac:dyDescent="0.25">
      <c r="B22" s="17" t="s">
        <v>35</v>
      </c>
      <c r="C22" s="40">
        <v>3000</v>
      </c>
      <c r="D22" s="40">
        <v>3000</v>
      </c>
      <c r="E22" s="40">
        <v>3000</v>
      </c>
      <c r="F22" s="40">
        <v>3000</v>
      </c>
      <c r="G22" s="40">
        <v>3000</v>
      </c>
      <c r="H22" s="40">
        <v>3000</v>
      </c>
      <c r="I22" s="18" t="s">
        <v>36</v>
      </c>
      <c r="M22" s="24">
        <f t="shared" si="2"/>
        <v>0.35000000000000003</v>
      </c>
      <c r="N22" s="25">
        <v>0.61925903572920671</v>
      </c>
      <c r="O22" s="25">
        <v>0.61925903572920671</v>
      </c>
      <c r="P22" s="25">
        <v>0.66071729077669483</v>
      </c>
      <c r="Q22" s="25">
        <v>0.6794480898230375</v>
      </c>
      <c r="R22" s="25">
        <v>0.69660976890347848</v>
      </c>
      <c r="S22" s="25" cm="1">
        <f t="array" ref="S22">+interp($S$11,$N$11:$R$11,N22:R22)</f>
        <v>0.61925903572920671</v>
      </c>
    </row>
    <row r="23" spans="2:19" ht="16.5" x14ac:dyDescent="0.25">
      <c r="B23" s="22" t="s">
        <v>37</v>
      </c>
      <c r="C23" s="40">
        <v>1000</v>
      </c>
      <c r="D23" s="40">
        <v>1000</v>
      </c>
      <c r="E23" s="40">
        <v>1000</v>
      </c>
      <c r="F23" s="40">
        <v>1000</v>
      </c>
      <c r="G23" s="40">
        <v>1000</v>
      </c>
      <c r="H23" s="40">
        <v>1000</v>
      </c>
      <c r="I23" s="18" t="s">
        <v>38</v>
      </c>
      <c r="M23" s="24">
        <f t="shared" si="2"/>
        <v>0.37500000000000006</v>
      </c>
      <c r="N23" s="25">
        <v>0.62194615079304383</v>
      </c>
      <c r="O23" s="25">
        <v>0.62194615079304383</v>
      </c>
      <c r="P23" s="25">
        <v>0.66577498702712401</v>
      </c>
      <c r="Q23" s="25">
        <v>0.6873761946931316</v>
      </c>
      <c r="R23" s="25">
        <v>0.70545621673408243</v>
      </c>
      <c r="S23" s="25" cm="1">
        <f t="array" ref="S23">+interp($S$11,$N$11:$R$11,N23:R23)</f>
        <v>0.62194615079304383</v>
      </c>
    </row>
    <row r="24" spans="2:19" ht="16.5" x14ac:dyDescent="0.25">
      <c r="B24" s="22" t="s">
        <v>330</v>
      </c>
      <c r="C24" s="41">
        <f>1</f>
        <v>1</v>
      </c>
      <c r="D24" s="41">
        <f>1</f>
        <v>1</v>
      </c>
      <c r="E24" s="41">
        <f>1</f>
        <v>1</v>
      </c>
      <c r="F24" s="41">
        <f>1</f>
        <v>1</v>
      </c>
      <c r="G24" s="41">
        <f>1</f>
        <v>1</v>
      </c>
      <c r="H24" s="41">
        <f>1</f>
        <v>1</v>
      </c>
      <c r="I24" s="18" t="s">
        <v>39</v>
      </c>
      <c r="M24" s="24">
        <f t="shared" si="2"/>
        <v>0.40000000000000008</v>
      </c>
      <c r="N24" s="25">
        <v>0.62350632219605728</v>
      </c>
      <c r="O24" s="25">
        <v>0.62350632219605728</v>
      </c>
      <c r="P24" s="25">
        <v>0.66853979057508106</v>
      </c>
      <c r="Q24" s="25">
        <v>0.6950994304717748</v>
      </c>
      <c r="R24" s="25">
        <v>0.71428852548493249</v>
      </c>
      <c r="S24" s="25" cm="1">
        <f t="array" ref="S24">+interp($S$11,$N$11:$R$11,N24:R24)</f>
        <v>0.62350632219605728</v>
      </c>
    </row>
    <row r="25" spans="2:19" ht="17.25" x14ac:dyDescent="0.25">
      <c r="B25" s="17" t="s">
        <v>40</v>
      </c>
      <c r="C25" s="40">
        <v>82</v>
      </c>
      <c r="D25" s="40">
        <v>82</v>
      </c>
      <c r="E25" s="40">
        <v>82</v>
      </c>
      <c r="F25" s="40">
        <v>82</v>
      </c>
      <c r="G25" s="40">
        <v>82</v>
      </c>
      <c r="H25" s="40">
        <v>82</v>
      </c>
      <c r="I25" s="18" t="s">
        <v>41</v>
      </c>
      <c r="M25" s="24">
        <f t="shared" si="2"/>
        <v>0.4250000000000001</v>
      </c>
      <c r="N25" s="25">
        <v>0.62807661091992628</v>
      </c>
      <c r="O25" s="25">
        <v>0.62807661091992628</v>
      </c>
      <c r="P25" s="25">
        <v>0.67411204503268596</v>
      </c>
      <c r="Q25" s="25">
        <v>0.70228903860987113</v>
      </c>
      <c r="R25" s="25">
        <v>0.72347295806278999</v>
      </c>
      <c r="S25" s="25" cm="1">
        <f t="array" ref="S25">+interp($S$11,$N$11:$R$11,N25:R25)</f>
        <v>0.62807661091992628</v>
      </c>
    </row>
    <row r="26" spans="2:19" x14ac:dyDescent="0.25">
      <c r="B26" s="17" t="s">
        <v>42</v>
      </c>
      <c r="C26" s="40">
        <v>200</v>
      </c>
      <c r="D26" s="40">
        <v>200</v>
      </c>
      <c r="E26" s="40">
        <v>200</v>
      </c>
      <c r="F26" s="40">
        <v>200</v>
      </c>
      <c r="G26" s="40">
        <v>200</v>
      </c>
      <c r="H26" s="40">
        <v>200</v>
      </c>
      <c r="I26" s="18" t="s">
        <v>43</v>
      </c>
      <c r="M26" s="24">
        <f t="shared" si="2"/>
        <v>0.45000000000000012</v>
      </c>
      <c r="N26" s="25">
        <v>0.63080954499238784</v>
      </c>
      <c r="O26" s="25">
        <v>0.63080954499238784</v>
      </c>
      <c r="P26" s="25">
        <v>0.67674478084332368</v>
      </c>
      <c r="Q26" s="25">
        <v>0.71080837710730327</v>
      </c>
      <c r="R26" s="25">
        <v>0.73269044290939944</v>
      </c>
      <c r="S26" s="25" cm="1">
        <f t="array" ref="S26">+interp($S$11,$N$11:$R$11,N26:R26)</f>
        <v>0.63080954499238784</v>
      </c>
    </row>
    <row r="27" spans="2:19" ht="18" x14ac:dyDescent="0.25">
      <c r="B27" s="17" t="s">
        <v>44</v>
      </c>
      <c r="C27" s="40">
        <v>200</v>
      </c>
      <c r="D27" s="40">
        <v>200</v>
      </c>
      <c r="E27" s="40">
        <v>200</v>
      </c>
      <c r="F27" s="40">
        <v>200</v>
      </c>
      <c r="G27" s="40">
        <v>200</v>
      </c>
      <c r="H27" s="40">
        <v>200</v>
      </c>
      <c r="I27" s="18" t="s">
        <v>45</v>
      </c>
      <c r="M27" s="24">
        <f t="shared" si="2"/>
        <v>0.47500000000000014</v>
      </c>
      <c r="N27" s="25">
        <v>0.63587145585777627</v>
      </c>
      <c r="O27" s="25">
        <v>0.63587145585777627</v>
      </c>
      <c r="P27" s="25">
        <v>0.68018629680781773</v>
      </c>
      <c r="Q27" s="25">
        <v>0.71862619469313127</v>
      </c>
      <c r="R27" s="25">
        <v>0.74017489166141959</v>
      </c>
      <c r="S27" s="25" cm="1">
        <f t="array" ref="S27">+interp($S$11,$N$11:$R$11,N27:R27)</f>
        <v>0.63587145585777627</v>
      </c>
    </row>
    <row r="28" spans="2:19" x14ac:dyDescent="0.25">
      <c r="B28" s="17" t="s">
        <v>46</v>
      </c>
      <c r="C28" s="40" t="s">
        <v>47</v>
      </c>
      <c r="D28" s="40" t="s">
        <v>47</v>
      </c>
      <c r="E28" s="40" t="s">
        <v>47</v>
      </c>
      <c r="F28" s="40" t="s">
        <v>47</v>
      </c>
      <c r="G28" s="40" t="s">
        <v>47</v>
      </c>
      <c r="H28" s="40" t="s">
        <v>47</v>
      </c>
      <c r="I28" s="21" t="s">
        <v>48</v>
      </c>
      <c r="M28" s="24">
        <f t="shared" si="2"/>
        <v>0.50000000000000011</v>
      </c>
      <c r="N28" s="25">
        <v>0.63962057957659235</v>
      </c>
      <c r="O28" s="25">
        <v>0.63962057957659235</v>
      </c>
      <c r="P28" s="25">
        <v>0.68465758882452199</v>
      </c>
      <c r="Q28" s="25">
        <v>0.72737779257636204</v>
      </c>
      <c r="R28" s="25">
        <v>0.74846380640885091</v>
      </c>
      <c r="S28" s="25" cm="1">
        <f t="array" ref="S28">+interp($S$11,$N$11:$R$11,N28:R28)</f>
        <v>0.63962057957659235</v>
      </c>
    </row>
    <row r="29" spans="2:19" x14ac:dyDescent="0.25">
      <c r="B29" s="23" t="s">
        <v>49</v>
      </c>
      <c r="C29" s="40" t="s">
        <v>50</v>
      </c>
      <c r="D29" s="40" t="s">
        <v>50</v>
      </c>
      <c r="E29" s="40" t="s">
        <v>50</v>
      </c>
      <c r="F29" s="40" t="s">
        <v>50</v>
      </c>
      <c r="G29" s="40" t="s">
        <v>50</v>
      </c>
      <c r="H29" s="40" t="s">
        <v>50</v>
      </c>
      <c r="I29" s="21" t="s">
        <v>51</v>
      </c>
      <c r="M29" s="24">
        <f t="shared" si="2"/>
        <v>0.52500000000000013</v>
      </c>
      <c r="N29" s="25">
        <v>0.64457883067540189</v>
      </c>
      <c r="O29" s="25">
        <v>0.64457883067540189</v>
      </c>
      <c r="P29" s="25">
        <v>0.68923771588250371</v>
      </c>
      <c r="Q29" s="25">
        <v>0.73398124363291428</v>
      </c>
      <c r="R29" s="25">
        <v>0.75840954052319787</v>
      </c>
      <c r="S29" s="25" cm="1">
        <f t="array" ref="S29">+interp($S$11,$N$11:$R$11,N29:R29)</f>
        <v>0.64457883067540189</v>
      </c>
    </row>
    <row r="30" spans="2:19" ht="18" x14ac:dyDescent="0.25">
      <c r="B30" s="17" t="s">
        <v>366</v>
      </c>
      <c r="C30" s="40">
        <v>6</v>
      </c>
      <c r="D30" s="40">
        <v>6</v>
      </c>
      <c r="E30" s="40">
        <v>6</v>
      </c>
      <c r="F30" s="40">
        <v>6</v>
      </c>
      <c r="G30" s="40">
        <v>6</v>
      </c>
      <c r="H30" s="40">
        <v>6</v>
      </c>
      <c r="I30" s="21" t="s">
        <v>52</v>
      </c>
      <c r="J30" t="str">
        <f ca="1">B30 &amp; " = " &amp; OFFSET(B30,0,$I$8)</f>
        <v>pSTUFF [barg] = 6</v>
      </c>
      <c r="M30" s="24">
        <f t="shared" si="2"/>
        <v>0.55000000000000016</v>
      </c>
      <c r="N30" s="25">
        <v>0.65047402072199567</v>
      </c>
      <c r="O30" s="25">
        <v>0.65047402072199567</v>
      </c>
      <c r="P30" s="25">
        <v>0.69454827173053246</v>
      </c>
      <c r="Q30" s="25">
        <v>0.74253043048538336</v>
      </c>
      <c r="R30" s="25">
        <v>0.76610236967952161</v>
      </c>
      <c r="S30" s="25" cm="1">
        <f t="array" ref="S30">+interp($S$11,$N$11:$R$11,N30:R30)</f>
        <v>0.65047402072199567</v>
      </c>
    </row>
    <row r="31" spans="2:19" ht="18" x14ac:dyDescent="0.25">
      <c r="B31" s="17" t="s">
        <v>367</v>
      </c>
      <c r="C31" s="40">
        <v>1</v>
      </c>
      <c r="D31" s="40">
        <v>1</v>
      </c>
      <c r="E31" s="40">
        <v>1</v>
      </c>
      <c r="F31" s="40">
        <v>1</v>
      </c>
      <c r="G31" s="40">
        <v>1</v>
      </c>
      <c r="H31" s="40">
        <v>1</v>
      </c>
      <c r="I31" s="21" t="s">
        <v>53</v>
      </c>
      <c r="J31" t="str">
        <f ca="1">B31 &amp; " = " &amp; OFFSET(B31,0,$I$8)</f>
        <v>pBAL [barg] = 1</v>
      </c>
      <c r="M31" s="24">
        <f t="shared" si="2"/>
        <v>0.57500000000000018</v>
      </c>
      <c r="N31" s="25">
        <v>0.65481664936112882</v>
      </c>
      <c r="O31" s="25">
        <v>0.65481664936112882</v>
      </c>
      <c r="P31" s="25">
        <v>0.69860886725475968</v>
      </c>
      <c r="Q31" s="25">
        <v>0.75173553303448148</v>
      </c>
      <c r="R31" s="25">
        <v>0.77540371408896158</v>
      </c>
      <c r="S31" s="25" cm="1">
        <f t="array" ref="S31">+interp($S$11,$N$11:$R$11,N31:R31)</f>
        <v>0.65481664936112882</v>
      </c>
    </row>
    <row r="32" spans="2:19" x14ac:dyDescent="0.25">
      <c r="M32" s="24">
        <f t="shared" si="2"/>
        <v>0.6000000000000002</v>
      </c>
      <c r="N32" s="25">
        <v>0.65922129896005532</v>
      </c>
      <c r="O32" s="25">
        <v>0.65922129896005532</v>
      </c>
      <c r="P32" s="25">
        <v>0.70289681221463807</v>
      </c>
      <c r="Q32" s="25">
        <v>0.75947554895230129</v>
      </c>
      <c r="R32" s="25">
        <v>0.7844583528060024</v>
      </c>
      <c r="S32" s="25" cm="1">
        <f t="array" ref="S32">+interp($S$11,$N$11:$R$11,N32:R32)</f>
        <v>0.65922129896005532</v>
      </c>
    </row>
    <row r="33" spans="2:19" ht="18.75" x14ac:dyDescent="0.25">
      <c r="B33" s="96" t="s">
        <v>54</v>
      </c>
      <c r="C33" s="97"/>
      <c r="D33" s="97"/>
      <c r="E33" s="97"/>
      <c r="F33" s="97"/>
      <c r="G33" s="97"/>
      <c r="H33" s="97"/>
      <c r="I33" s="98"/>
      <c r="M33" s="24">
        <f t="shared" si="2"/>
        <v>0.62500000000000022</v>
      </c>
      <c r="N33" s="25">
        <v>0.66413757343151691</v>
      </c>
      <c r="O33" s="25">
        <v>0.66413757343151691</v>
      </c>
      <c r="P33" s="25">
        <v>0.70984212543101255</v>
      </c>
      <c r="Q33" s="25">
        <v>0.76949251417109144</v>
      </c>
      <c r="R33" s="25">
        <v>0.79193416587665688</v>
      </c>
      <c r="S33" s="25" cm="1">
        <f t="array" ref="S33">+interp($S$11,$N$11:$R$11,N33:R33)</f>
        <v>0.66413757343151691</v>
      </c>
    </row>
    <row r="34" spans="2:19" x14ac:dyDescent="0.25">
      <c r="B34" s="99" t="s">
        <v>143</v>
      </c>
      <c r="C34" s="100"/>
      <c r="D34" s="100"/>
      <c r="E34" s="100"/>
      <c r="F34" s="100"/>
      <c r="G34" s="100"/>
      <c r="H34" s="100"/>
      <c r="I34" s="101"/>
      <c r="M34" s="24">
        <f t="shared" si="2"/>
        <v>0.65000000000000024</v>
      </c>
      <c r="N34" s="25">
        <v>0.66974882956259663</v>
      </c>
      <c r="O34" s="25">
        <v>0.66974882956259663</v>
      </c>
      <c r="P34" s="25">
        <v>0.71609038846213868</v>
      </c>
      <c r="Q34" s="25">
        <v>0.77864328938210103</v>
      </c>
      <c r="R34" s="25">
        <v>0.80312693966480786</v>
      </c>
      <c r="S34" s="25" cm="1">
        <f t="array" ref="S34">+interp($S$11,$N$11:$R$11,N34:R34)</f>
        <v>0.66974882956259663</v>
      </c>
    </row>
    <row r="35" spans="2:19" ht="18" x14ac:dyDescent="0.25">
      <c r="B35" s="17" t="s">
        <v>333</v>
      </c>
      <c r="C35" s="27">
        <f t="shared" ref="C35:H35" si="3">C23*9.81*C26/10^5</f>
        <v>19.62</v>
      </c>
      <c r="D35" s="27">
        <f t="shared" si="3"/>
        <v>19.62</v>
      </c>
      <c r="E35" s="27">
        <f t="shared" si="3"/>
        <v>19.62</v>
      </c>
      <c r="F35" s="27">
        <f t="shared" si="3"/>
        <v>19.62</v>
      </c>
      <c r="G35" s="27">
        <f t="shared" si="3"/>
        <v>19.62</v>
      </c>
      <c r="H35" s="27">
        <f t="shared" si="3"/>
        <v>19.62</v>
      </c>
      <c r="I35" s="18" t="s">
        <v>57</v>
      </c>
      <c r="J35" t="str">
        <f ca="1">B35 &amp; " = " &amp; ROUND(OFFSET(B35,0,$I$8),1)</f>
        <v>p2 [bar] = 19.6</v>
      </c>
      <c r="M35" s="24">
        <f t="shared" si="2"/>
        <v>0.67500000000000027</v>
      </c>
      <c r="N35" s="25">
        <v>0.67511245158301847</v>
      </c>
      <c r="O35" s="25">
        <v>0.67511245158301847</v>
      </c>
      <c r="P35" s="25">
        <v>0.72226608023468664</v>
      </c>
      <c r="Q35" s="25">
        <v>0.78802474402686562</v>
      </c>
      <c r="R35" s="25">
        <v>0.8134964616482363</v>
      </c>
      <c r="S35" s="25" cm="1">
        <f t="array" ref="S35">+interp($S$11,$N$11:$R$11,N35:R35)</f>
        <v>0.67511245158301847</v>
      </c>
    </row>
    <row r="36" spans="2:19" ht="18" x14ac:dyDescent="0.25">
      <c r="B36" s="17" t="s">
        <v>332</v>
      </c>
      <c r="C36" s="27">
        <f t="shared" ref="C36:H36" si="4">C35*C19</f>
        <v>14.715</v>
      </c>
      <c r="D36" s="27">
        <f t="shared" si="4"/>
        <v>14.715</v>
      </c>
      <c r="E36" s="27">
        <f t="shared" si="4"/>
        <v>14.715</v>
      </c>
      <c r="F36" s="27">
        <f t="shared" si="4"/>
        <v>14.715</v>
      </c>
      <c r="G36" s="27">
        <f t="shared" si="4"/>
        <v>14.715</v>
      </c>
      <c r="H36" s="27">
        <f t="shared" si="4"/>
        <v>14.715</v>
      </c>
      <c r="I36" s="18" t="s">
        <v>58</v>
      </c>
      <c r="J36" t="str">
        <f ca="1">B36 &amp; " = " &amp; ROUND(OFFSET(B36,0,$I$8),1)</f>
        <v>pLA [bar] = 14.7</v>
      </c>
      <c r="M36" s="24">
        <f t="shared" si="2"/>
        <v>0.70000000000000029</v>
      </c>
      <c r="N36" s="25">
        <v>0.67832976010546508</v>
      </c>
      <c r="O36" s="25">
        <v>0.67832976010546508</v>
      </c>
      <c r="P36" s="25">
        <v>0.72684620729266813</v>
      </c>
      <c r="Q36" s="25">
        <v>0.79855905678020966</v>
      </c>
      <c r="R36" s="25">
        <v>0.82371715510466403</v>
      </c>
      <c r="S36" s="25" cm="1">
        <f t="array" ref="S36">+interp($S$11,$N$11:$R$11,N36:R36)</f>
        <v>0.67832976010546508</v>
      </c>
    </row>
    <row r="37" spans="2:19" ht="18" x14ac:dyDescent="0.25">
      <c r="B37" s="17" t="s">
        <v>59</v>
      </c>
      <c r="C37" s="27">
        <f t="shared" ref="C37:H37" si="5">+C22*2*PI()/60*(C10/2000)</f>
        <v>62.831853071795869</v>
      </c>
      <c r="D37" s="27">
        <f t="shared" si="5"/>
        <v>59.690260418206073</v>
      </c>
      <c r="E37" s="27">
        <f t="shared" si="5"/>
        <v>58.119464091411174</v>
      </c>
      <c r="F37" s="27">
        <f t="shared" si="5"/>
        <v>56.548667764616276</v>
      </c>
      <c r="G37" s="27">
        <f t="shared" si="5"/>
        <v>54.977871437821378</v>
      </c>
      <c r="H37" s="27">
        <f t="shared" si="5"/>
        <v>53.407075111026487</v>
      </c>
      <c r="I37" s="18" t="s">
        <v>60</v>
      </c>
      <c r="M37" s="24">
        <f t="shared" si="2"/>
        <v>0.72500000000000031</v>
      </c>
      <c r="N37" s="25">
        <v>0.68404507128155811</v>
      </c>
      <c r="O37" s="25">
        <v>0.68404507128155811</v>
      </c>
      <c r="P37" s="25">
        <v>0.73274715043058436</v>
      </c>
      <c r="Q37" s="25">
        <v>0.80874716852572337</v>
      </c>
      <c r="R37" s="25">
        <v>0.83623015994339867</v>
      </c>
      <c r="S37" s="25" cm="1">
        <f t="array" ref="S37">+interp($S$11,$N$11:$R$11,N37:R37)</f>
        <v>0.68404507128155811</v>
      </c>
    </row>
    <row r="38" spans="2:19" x14ac:dyDescent="0.25">
      <c r="B38" s="17" t="s">
        <v>61</v>
      </c>
      <c r="C38" s="30">
        <f t="shared" ref="C38:H38" si="6">+C37*(C10/1000)/2/(C24*10^-6)</f>
        <v>12566370.614359174</v>
      </c>
      <c r="D38" s="30">
        <f t="shared" si="6"/>
        <v>11341149.479459155</v>
      </c>
      <c r="E38" s="30">
        <f t="shared" si="6"/>
        <v>10752100.856911067</v>
      </c>
      <c r="F38" s="30">
        <f t="shared" si="6"/>
        <v>10178760.197630929</v>
      </c>
      <c r="G38" s="30">
        <f t="shared" si="6"/>
        <v>9621127.5016187411</v>
      </c>
      <c r="H38" s="30">
        <f t="shared" si="6"/>
        <v>9079202.7688745037</v>
      </c>
      <c r="I38" s="18" t="s">
        <v>62</v>
      </c>
      <c r="M38" s="24">
        <f t="shared" si="2"/>
        <v>0.75000000000000033</v>
      </c>
      <c r="N38" s="25">
        <v>0.68922063101237896</v>
      </c>
      <c r="O38" s="25">
        <v>0.68922063101237896</v>
      </c>
      <c r="P38" s="25">
        <v>0.73863010075556135</v>
      </c>
      <c r="Q38" s="25">
        <v>0.82060738149012846</v>
      </c>
      <c r="R38" s="25">
        <v>0.84735497206147459</v>
      </c>
      <c r="S38" s="25" cm="1">
        <f t="array" ref="S38">+interp($S$11,$N$11:$R$11,N38:R38)</f>
        <v>0.68922063101237896</v>
      </c>
    </row>
    <row r="39" spans="2:19" ht="18" x14ac:dyDescent="0.25">
      <c r="B39" s="17" t="s">
        <v>75</v>
      </c>
      <c r="C39" s="30">
        <f t="shared" ref="C39:H39" si="7">IF(C28="no",0,PI()*(C12^2-C14^2)/4*C31/10)</f>
        <v>0</v>
      </c>
      <c r="D39" s="30">
        <f t="shared" si="7"/>
        <v>0</v>
      </c>
      <c r="E39" s="30">
        <f t="shared" si="7"/>
        <v>0</v>
      </c>
      <c r="F39" s="30">
        <f t="shared" si="7"/>
        <v>0</v>
      </c>
      <c r="G39" s="30">
        <f t="shared" si="7"/>
        <v>0</v>
      </c>
      <c r="H39" s="30">
        <f t="shared" si="7"/>
        <v>0</v>
      </c>
      <c r="I39" s="18" t="s">
        <v>76</v>
      </c>
      <c r="J39" t="str">
        <f ca="1">"(" &amp; B39 &amp; " Gulich = " &amp; ABS(ROUND(OFFSET(B39,0,$I$8),0)) &amp; ")
(" &amp; B39 &amp; "ANSI/HI = " &amp; IFERROR(ABS(ROUND(OFFSET(B104,0,$I$8),0)),"N/A") &amp; ")"</f>
        <v>(FBAL [N] Gulich = 0)
(FBAL [N]ANSI/HI = 0)</v>
      </c>
      <c r="M39" s="24">
        <f t="shared" si="2"/>
        <v>0.77500000000000036</v>
      </c>
      <c r="N39" s="25">
        <v>0.69501951333998302</v>
      </c>
      <c r="O39" s="25">
        <v>0.69501951333998302</v>
      </c>
      <c r="P39" s="25">
        <v>0.74373652888260233</v>
      </c>
      <c r="Q39" s="25">
        <v>0.83123987884292039</v>
      </c>
      <c r="R39" s="25">
        <v>0.85865343168486075</v>
      </c>
      <c r="S39" s="25" cm="1">
        <f t="array" ref="S39">+interp($S$11,$N$11:$R$11,N39:R39)</f>
        <v>0.69501951333998302</v>
      </c>
    </row>
    <row r="40" spans="2:19" ht="18" x14ac:dyDescent="0.25">
      <c r="B40" s="17" t="s">
        <v>77</v>
      </c>
      <c r="C40" s="30">
        <f>PI()*(IF(C28="yes",C14,C12)^2-C13^2)/4/10^6*IF(C29="yes",C30*10^5,(C23*9.81*C26))</f>
        <v>412.33403578366034</v>
      </c>
      <c r="D40" s="30">
        <f t="shared" ref="D40:H40" si="8">PI()*(IF(D28="yes",D14,D12)^2-D13^2)/4/10^6*IF(D29="yes",D30*10^5,(D23*9.81*D26))</f>
        <v>412.33403578366034</v>
      </c>
      <c r="E40" s="30">
        <f t="shared" si="8"/>
        <v>412.33403578366034</v>
      </c>
      <c r="F40" s="30">
        <f t="shared" si="8"/>
        <v>412.33403578366034</v>
      </c>
      <c r="G40" s="30">
        <f t="shared" si="8"/>
        <v>412.33403578366034</v>
      </c>
      <c r="H40" s="30">
        <f t="shared" si="8"/>
        <v>412.33403578366034</v>
      </c>
      <c r="I40" s="18" t="s">
        <v>78</v>
      </c>
      <c r="J40" t="str">
        <f t="shared" ref="J40:J42" ca="1" si="9">"(" &amp; B40 &amp; " Gulich = " &amp; ABS(ROUND(OFFSET(B40,0,$I$8),0)) &amp; ")
(" &amp; B40 &amp; "ANSI/HI = " &amp; IFERROR(ABS(ROUND(OFFSET(B105,0,$I$8),0)),"N/A") &amp; ")"</f>
        <v>(FHUB [N] Gulich = 412)
(FHUB [N]ANSI/HI = 412)</v>
      </c>
      <c r="M40" s="24">
        <f t="shared" si="2"/>
        <v>0.80000000000000038</v>
      </c>
      <c r="N40" s="25">
        <v>0.70120514873029149</v>
      </c>
      <c r="O40" s="25">
        <v>0.70120514873029149</v>
      </c>
      <c r="P40" s="25">
        <v>0.75010979376050391</v>
      </c>
      <c r="Q40" s="25">
        <v>0.84391096790221587</v>
      </c>
      <c r="R40" s="25">
        <v>0.87118124846193445</v>
      </c>
      <c r="S40" s="25" cm="1">
        <f t="array" ref="S40">+interp($S$11,$N$11:$R$11,N40:R40)</f>
        <v>0.70120514873029149</v>
      </c>
    </row>
    <row r="41" spans="2:19" ht="18" x14ac:dyDescent="0.25">
      <c r="B41" s="17" t="s">
        <v>79</v>
      </c>
      <c r="C41" s="30">
        <f t="shared" ref="C41:H41" si="10">-PI()/4*(C10/1000)^2*(C36*10^5*(1-C52^2)-C23/4*C37^2*C51^2*(1-C52^2)^2)</f>
        <v>-132884.87448977443</v>
      </c>
      <c r="D41" s="30">
        <f t="shared" si="10"/>
        <v>-120227.91354802123</v>
      </c>
      <c r="E41" s="30">
        <f t="shared" si="10"/>
        <v>-113938.03597694596</v>
      </c>
      <c r="F41" s="30">
        <f t="shared" si="10"/>
        <v>-107686.8461996907</v>
      </c>
      <c r="G41" s="30">
        <f t="shared" si="10"/>
        <v>-101483.81681564001</v>
      </c>
      <c r="H41" s="30">
        <f t="shared" si="10"/>
        <v>-95338.225450350583</v>
      </c>
      <c r="I41" s="18" t="s">
        <v>80</v>
      </c>
      <c r="J41" t="str">
        <f t="shared" ca="1" si="9"/>
        <v>(FFS [N] Gulich = 107687)
(FFS [N]ANSI/HI = 114042)</v>
      </c>
      <c r="M41" s="24">
        <f t="shared" si="2"/>
        <v>0.8250000000000004</v>
      </c>
      <c r="N41" s="25">
        <v>0.70654501761949706</v>
      </c>
      <c r="O41" s="25">
        <v>0.70654501761949706</v>
      </c>
      <c r="P41" s="25">
        <v>0.75728115566212872</v>
      </c>
      <c r="Q41" s="25">
        <v>0.85427295005322756</v>
      </c>
      <c r="R41" s="25">
        <v>0.88437561222474836</v>
      </c>
      <c r="S41" s="25" cm="1">
        <f t="array" ref="S41">+interp($S$11,$N$11:$R$11,N41:R41)</f>
        <v>0.70654501761949706</v>
      </c>
    </row>
    <row r="42" spans="2:19" ht="18" x14ac:dyDescent="0.25">
      <c r="B42" s="17" t="s">
        <v>81</v>
      </c>
      <c r="C42" s="30">
        <f t="shared" ref="C42:H42" si="11">PI()/4*(C10/1000)^2*(C36*10^5*(1-C75^2)-C23/4*C37^2*C74^2*(1-C75^2)^2)</f>
        <v>146199.4696325337</v>
      </c>
      <c r="D42" s="30">
        <f t="shared" si="11"/>
        <v>133592.72548023029</v>
      </c>
      <c r="E42" s="30">
        <f t="shared" si="11"/>
        <v>127346.77772483854</v>
      </c>
      <c r="F42" s="30">
        <f t="shared" si="11"/>
        <v>121150.94528745055</v>
      </c>
      <c r="G42" s="30">
        <f t="shared" si="11"/>
        <v>115013.88047674642</v>
      </c>
      <c r="H42" s="30">
        <f t="shared" si="11"/>
        <v>108944.05659186632</v>
      </c>
      <c r="I42" s="18" t="s">
        <v>82</v>
      </c>
      <c r="J42" t="str">
        <f t="shared" ca="1" si="9"/>
        <v>(FRS [N] Gulich = 121151)
(FRS [N]ANSI/HI = 127429)</v>
      </c>
      <c r="M42" s="24">
        <f t="shared" si="2"/>
        <v>0.85000000000000042</v>
      </c>
      <c r="N42" s="25">
        <v>0.71281848780954715</v>
      </c>
      <c r="O42" s="25">
        <v>0.71281848780954715</v>
      </c>
      <c r="P42" s="25">
        <v>0.76231843566189439</v>
      </c>
      <c r="Q42" s="25">
        <v>0.86593014513446587</v>
      </c>
      <c r="R42" s="25">
        <v>0.89867344084723744</v>
      </c>
      <c r="S42" s="25" cm="1">
        <f t="array" ref="S42">+interp($S$11,$N$11:$R$11,N42:R42)</f>
        <v>0.71281848780954715</v>
      </c>
    </row>
    <row r="43" spans="2:19" x14ac:dyDescent="0.25">
      <c r="B43" s="17" t="s">
        <v>376</v>
      </c>
      <c r="C43" s="30">
        <f t="shared" ref="C43:H43" si="12">C39+C40+C41+C42</f>
        <v>13726.929178542923</v>
      </c>
      <c r="D43" s="30">
        <f t="shared" si="12"/>
        <v>13777.145967992721</v>
      </c>
      <c r="E43" s="30">
        <f t="shared" si="12"/>
        <v>13821.075783676235</v>
      </c>
      <c r="F43" s="30">
        <f t="shared" si="12"/>
        <v>13876.433123543509</v>
      </c>
      <c r="G43" s="30">
        <f t="shared" si="12"/>
        <v>13942.397696890068</v>
      </c>
      <c r="H43" s="30">
        <f t="shared" si="12"/>
        <v>14018.165177299394</v>
      </c>
      <c r="I43" s="21" t="s">
        <v>84</v>
      </c>
      <c r="J43" t="str">
        <f ca="1">B43 &amp; " Gulich = " &amp; ROUND(OFFSET(B43,0,$I$8),0) &amp; "
" &amp; B43 &amp; "ANSI/HI = " &amp; IFERROR(ROUND(OFFSET(B108,0,$I$8),0),"N/A")</f>
        <v>F [N] Gulich = 13876
F [N]ANSI/HI = 13799</v>
      </c>
      <c r="M43" s="24">
        <f t="shared" si="2"/>
        <v>0.87500000000000044</v>
      </c>
      <c r="N43" s="25">
        <v>0.71868028852171784</v>
      </c>
      <c r="O43" s="25">
        <v>0.71868028852171784</v>
      </c>
      <c r="P43" s="25">
        <v>0.76824800807552007</v>
      </c>
      <c r="Q43" s="25">
        <v>0.87611303997629131</v>
      </c>
      <c r="R43" s="25">
        <v>0.91081675025878506</v>
      </c>
      <c r="S43" s="25" cm="1">
        <f t="array" ref="S43">+interp($S$11,$N$11:$R$11,N43:R43)</f>
        <v>0.71868028852171784</v>
      </c>
    </row>
    <row r="44" spans="2:19" x14ac:dyDescent="0.25">
      <c r="B44" s="99" t="s">
        <v>339</v>
      </c>
      <c r="C44" s="100"/>
      <c r="D44" s="100"/>
      <c r="E44" s="100"/>
      <c r="F44" s="100"/>
      <c r="G44" s="100"/>
      <c r="H44" s="100"/>
      <c r="I44" s="101"/>
      <c r="M44" s="24">
        <f t="shared" si="2"/>
        <v>0.90000000000000047</v>
      </c>
      <c r="N44" s="25">
        <v>0.72469728542873135</v>
      </c>
      <c r="O44" s="25">
        <v>0.72469728542873135</v>
      </c>
      <c r="P44" s="25">
        <v>0.77483475280509462</v>
      </c>
      <c r="Q44" s="25">
        <v>0.88988306194911559</v>
      </c>
      <c r="R44" s="25">
        <v>0.92521048693175312</v>
      </c>
      <c r="S44" s="25" cm="1">
        <f t="array" ref="S44">+interp($S$11,$N$11:$R$11,N44:R44)</f>
        <v>0.72469728542873135</v>
      </c>
    </row>
    <row r="45" spans="2:19" ht="18" x14ac:dyDescent="0.25">
      <c r="B45" s="19" t="s">
        <v>210</v>
      </c>
      <c r="C45" s="44">
        <v>1.2</v>
      </c>
      <c r="D45" s="44">
        <v>1.2</v>
      </c>
      <c r="E45" s="44">
        <v>1.2</v>
      </c>
      <c r="F45" s="44">
        <v>1.2</v>
      </c>
      <c r="G45" s="44">
        <v>1.2</v>
      </c>
      <c r="H45" s="44">
        <v>1.2</v>
      </c>
      <c r="I45" s="18" t="s">
        <v>211</v>
      </c>
      <c r="M45" s="24">
        <f t="shared" si="2"/>
        <v>0.92500000000000049</v>
      </c>
      <c r="N45" s="25">
        <v>0.73178386393642503</v>
      </c>
      <c r="O45" s="25">
        <v>0.73178386393642503</v>
      </c>
      <c r="P45" s="25">
        <v>0.78099185115461112</v>
      </c>
      <c r="Q45" s="25">
        <v>0.90156163445834403</v>
      </c>
      <c r="R45" s="25">
        <v>0.93600527516737342</v>
      </c>
      <c r="S45" s="25" cm="1">
        <f t="array" ref="S45">+interp($S$11,$N$11:$R$11,N45:R45)</f>
        <v>0.73178386393642503</v>
      </c>
    </row>
    <row r="46" spans="2:19" ht="18" x14ac:dyDescent="0.25">
      <c r="B46" s="19" t="s">
        <v>212</v>
      </c>
      <c r="C46" s="43">
        <v>0</v>
      </c>
      <c r="D46" s="43">
        <v>0</v>
      </c>
      <c r="E46" s="43">
        <v>0</v>
      </c>
      <c r="F46" s="43">
        <v>0</v>
      </c>
      <c r="G46" s="43">
        <v>0</v>
      </c>
      <c r="H46" s="43">
        <v>0</v>
      </c>
      <c r="I46" s="18" t="s">
        <v>213</v>
      </c>
      <c r="M46" s="24">
        <f t="shared" si="2"/>
        <v>0.95000000000000051</v>
      </c>
      <c r="N46" s="25">
        <v>0.7374340650635024</v>
      </c>
      <c r="O46" s="25">
        <v>0.7374340650635024</v>
      </c>
      <c r="P46" s="25">
        <v>0.78709418963098543</v>
      </c>
      <c r="Q46" s="25">
        <v>0.91319952788960124</v>
      </c>
      <c r="R46" s="25">
        <v>0.95007701393278887</v>
      </c>
      <c r="S46" s="25" cm="1">
        <f t="array" ref="S46">+interp($S$11,$N$11:$R$11,N46:R46)</f>
        <v>0.7374340650635024</v>
      </c>
    </row>
    <row r="47" spans="2:19" x14ac:dyDescent="0.25">
      <c r="B47" s="19" t="s">
        <v>217</v>
      </c>
      <c r="C47" s="43" t="s">
        <v>371</v>
      </c>
      <c r="D47" s="43" t="s">
        <v>218</v>
      </c>
      <c r="E47" s="43" t="s">
        <v>218</v>
      </c>
      <c r="F47" s="43" t="s">
        <v>218</v>
      </c>
      <c r="G47" s="43" t="s">
        <v>218</v>
      </c>
      <c r="H47" s="43" t="s">
        <v>218</v>
      </c>
      <c r="I47" s="18" t="s">
        <v>219</v>
      </c>
      <c r="M47" s="24">
        <f t="shared" si="2"/>
        <v>0.97500000000000053</v>
      </c>
      <c r="N47" s="25">
        <v>0.74468530716578263</v>
      </c>
      <c r="O47" s="25">
        <v>0.74468530716578263</v>
      </c>
      <c r="P47" s="25">
        <v>0.79319652810735963</v>
      </c>
      <c r="Q47" s="25">
        <v>0.92613233359921132</v>
      </c>
      <c r="R47" s="25">
        <v>0.96128523051245018</v>
      </c>
      <c r="S47" s="25" cm="1">
        <f t="array" ref="S47">+interp($S$11,$N$11:$R$11,N47:R47)</f>
        <v>0.74468530716578263</v>
      </c>
    </row>
    <row r="48" spans="2:19" x14ac:dyDescent="0.25">
      <c r="B48" s="19" t="s">
        <v>220</v>
      </c>
      <c r="C48" s="31" t="s">
        <v>372</v>
      </c>
      <c r="D48" s="41"/>
      <c r="E48" s="41"/>
      <c r="F48" s="41"/>
      <c r="G48" s="41">
        <v>0.08</v>
      </c>
      <c r="H48" s="41">
        <v>0.08</v>
      </c>
      <c r="I48" s="18" t="s">
        <v>221</v>
      </c>
      <c r="M48" s="24">
        <f t="shared" si="2"/>
        <v>1.0000000000000004</v>
      </c>
      <c r="N48" s="25">
        <v>0.75213633238844746</v>
      </c>
      <c r="O48" s="25">
        <v>0.75213633238844746</v>
      </c>
      <c r="P48" s="25">
        <v>0.79929886658373384</v>
      </c>
      <c r="Q48" s="25">
        <v>0.93962828616391336</v>
      </c>
      <c r="R48" s="25">
        <v>0.97581633131204304</v>
      </c>
      <c r="S48" s="25" cm="1">
        <f t="array" ref="S48">+interp($S$11,$N$11:$R$11,N48:R48)</f>
        <v>0.75213633238844746</v>
      </c>
    </row>
    <row r="49" spans="2:10" x14ac:dyDescent="0.25">
      <c r="B49" s="19" t="s">
        <v>115</v>
      </c>
      <c r="C49" s="41"/>
      <c r="D49" s="31">
        <f>0.135*D48/D15</f>
        <v>0</v>
      </c>
      <c r="E49" s="31"/>
      <c r="F49" s="31">
        <f>0.135*F48/F15</f>
        <v>0</v>
      </c>
      <c r="G49" s="31">
        <f>0.135*G48/G15</f>
        <v>5.0232558139534887E-2</v>
      </c>
      <c r="H49" s="31">
        <f>0.135*H48/H15</f>
        <v>5.0232558139534887E-2</v>
      </c>
      <c r="I49" s="18" t="s">
        <v>373</v>
      </c>
    </row>
    <row r="50" spans="2:10" ht="18" x14ac:dyDescent="0.25">
      <c r="B50" s="17" t="s">
        <v>63</v>
      </c>
      <c r="C50" s="29">
        <f t="shared" ref="C50:H50" si="13">C38^0.3*C15*C11/C10^2*(C15/C17)^0.5</f>
        <v>2.5549435787632678E-3</v>
      </c>
      <c r="D50" s="29">
        <f t="shared" si="13"/>
        <v>2.7451638207706165E-3</v>
      </c>
      <c r="E50" s="29">
        <f t="shared" si="13"/>
        <v>2.8495933468766794E-3</v>
      </c>
      <c r="F50" s="29">
        <f t="shared" si="13"/>
        <v>2.961023135974984E-3</v>
      </c>
      <c r="G50" s="29">
        <f t="shared" si="13"/>
        <v>3.0801370427973166E-3</v>
      </c>
      <c r="H50" s="29">
        <f t="shared" si="13"/>
        <v>3.207707931404187E-3</v>
      </c>
      <c r="I50" s="18" t="s">
        <v>64</v>
      </c>
    </row>
    <row r="51" spans="2:10" ht="18" x14ac:dyDescent="0.25">
      <c r="B51" s="17" t="s">
        <v>67</v>
      </c>
      <c r="C51" s="31">
        <f t="shared" ref="C51:H51" si="14">0.9*C50^0.087</f>
        <v>0.5354077875624158</v>
      </c>
      <c r="D51" s="31">
        <f t="shared" si="14"/>
        <v>0.53876323085787881</v>
      </c>
      <c r="E51" s="31">
        <f t="shared" si="14"/>
        <v>0.54051608279982377</v>
      </c>
      <c r="F51" s="31">
        <f t="shared" si="14"/>
        <v>0.54232290357891766</v>
      </c>
      <c r="G51" s="31">
        <f t="shared" si="14"/>
        <v>0.54418692497355181</v>
      </c>
      <c r="H51" s="31">
        <f t="shared" si="14"/>
        <v>0.54611167178438802</v>
      </c>
      <c r="I51" s="18" t="s">
        <v>68</v>
      </c>
    </row>
    <row r="52" spans="2:10" ht="18" x14ac:dyDescent="0.25">
      <c r="B52" s="17" t="s">
        <v>71</v>
      </c>
      <c r="C52" s="31">
        <f t="shared" ref="C52:H52" si="15">+C11/C10</f>
        <v>0.3725</v>
      </c>
      <c r="D52" s="31">
        <f t="shared" si="15"/>
        <v>0.39210526315789473</v>
      </c>
      <c r="E52" s="31">
        <f t="shared" si="15"/>
        <v>0.4027027027027027</v>
      </c>
      <c r="F52" s="31">
        <f t="shared" si="15"/>
        <v>0.41388888888888886</v>
      </c>
      <c r="G52" s="31">
        <f t="shared" si="15"/>
        <v>0.42571428571428571</v>
      </c>
      <c r="H52" s="31">
        <f t="shared" si="15"/>
        <v>0.43823529411764706</v>
      </c>
      <c r="I52" s="18" t="s">
        <v>72</v>
      </c>
    </row>
    <row r="53" spans="2:10" ht="18" hidden="1" outlineLevel="1" x14ac:dyDescent="0.25">
      <c r="B53" s="19" t="s">
        <v>223</v>
      </c>
      <c r="C53" s="27">
        <f t="shared" ref="C53:H53" si="16">C65/(PI()*C11*C15)/3600*1000000</f>
        <v>25.839861899160152</v>
      </c>
      <c r="D53" s="27">
        <f t="shared" si="16"/>
        <v>26.910457327869597</v>
      </c>
      <c r="E53" s="27">
        <f t="shared" si="16"/>
        <v>27.246222439727841</v>
      </c>
      <c r="F53" s="27">
        <f t="shared" si="16"/>
        <v>27.246222646554447</v>
      </c>
      <c r="G53" s="27">
        <f t="shared" si="16"/>
        <v>12.672227383459816</v>
      </c>
      <c r="H53" s="27">
        <f t="shared" si="16"/>
        <v>12.970393284853509</v>
      </c>
      <c r="I53" s="18" t="s">
        <v>224</v>
      </c>
    </row>
    <row r="54" spans="2:10" hidden="1" outlineLevel="1" x14ac:dyDescent="0.25">
      <c r="B54" s="19" t="s">
        <v>61</v>
      </c>
      <c r="C54" s="30">
        <f t="shared" ref="C54:H54" si="17">2*C15*C53/(C24*10^-6)/1000</f>
        <v>11111.140616638866</v>
      </c>
      <c r="D54" s="30">
        <f t="shared" si="17"/>
        <v>11571.496650983925</v>
      </c>
      <c r="E54" s="30">
        <f t="shared" si="17"/>
        <v>11715.875649082971</v>
      </c>
      <c r="F54" s="30">
        <f t="shared" si="17"/>
        <v>11715.875738018412</v>
      </c>
      <c r="G54" s="30">
        <f t="shared" si="17"/>
        <v>5449.0577748877213</v>
      </c>
      <c r="H54" s="30">
        <f t="shared" si="17"/>
        <v>5577.2691124870098</v>
      </c>
      <c r="I54" s="18" t="s">
        <v>225</v>
      </c>
    </row>
    <row r="55" spans="2:10" ht="18" hidden="1" outlineLevel="1" x14ac:dyDescent="0.25">
      <c r="B55" s="19" t="s">
        <v>226</v>
      </c>
      <c r="C55" s="30">
        <f t="shared" ref="C55:H55" si="18">2*C15*(PI()*C11*C22/60)/(C24*10^-6)/1000000</f>
        <v>10064.092065774903</v>
      </c>
      <c r="D55" s="30">
        <f t="shared" si="18"/>
        <v>10064.092065774903</v>
      </c>
      <c r="E55" s="30">
        <f t="shared" si="18"/>
        <v>10064.092065774903</v>
      </c>
      <c r="F55" s="30">
        <f t="shared" si="18"/>
        <v>10064.092065774903</v>
      </c>
      <c r="G55" s="30">
        <f t="shared" si="18"/>
        <v>10064.092065774903</v>
      </c>
      <c r="H55" s="30">
        <f t="shared" si="18"/>
        <v>10064.092065774903</v>
      </c>
      <c r="I55" s="18" t="s">
        <v>227</v>
      </c>
    </row>
    <row r="56" spans="2:10" ht="18" hidden="1" outlineLevel="1" x14ac:dyDescent="0.25">
      <c r="B56" s="19" t="s">
        <v>228</v>
      </c>
      <c r="C56" s="28">
        <f t="shared" ref="C56:H56" si="19">96/C54*(1-0.6*C46/C15)</f>
        <v>8.6399770565625447E-3</v>
      </c>
      <c r="D56" s="28">
        <f t="shared" si="19"/>
        <v>8.2962474860014852E-3</v>
      </c>
      <c r="E56" s="28">
        <f t="shared" si="19"/>
        <v>8.1940098098868212E-3</v>
      </c>
      <c r="F56" s="28">
        <f t="shared" si="19"/>
        <v>8.1940097476859326E-3</v>
      </c>
      <c r="G56" s="28">
        <f t="shared" si="19"/>
        <v>1.7617724745445207E-2</v>
      </c>
      <c r="H56" s="28">
        <f t="shared" si="19"/>
        <v>1.7212725092476625E-2</v>
      </c>
      <c r="I56" s="18" t="s">
        <v>229</v>
      </c>
    </row>
    <row r="57" spans="2:10" ht="18" hidden="1" outlineLevel="1" x14ac:dyDescent="0.25">
      <c r="B57" s="19" t="s">
        <v>230</v>
      </c>
      <c r="C57" s="28">
        <f t="shared" ref="C57:H57" si="20">C56*(1+0.2*(C55/2000)^2)^1.03</f>
        <v>5.530654124871117E-2</v>
      </c>
      <c r="D57" s="28">
        <f t="shared" si="20"/>
        <v>5.3106246786332072E-2</v>
      </c>
      <c r="E57" s="28">
        <f t="shared" si="20"/>
        <v>5.2451799186044382E-2</v>
      </c>
      <c r="F57" s="28">
        <f t="shared" si="20"/>
        <v>5.2451798787881754E-2</v>
      </c>
      <c r="G57" s="28">
        <f t="shared" si="20"/>
        <v>0.11277523238355272</v>
      </c>
      <c r="H57" s="28">
        <f t="shared" si="20"/>
        <v>0.11018273359958811</v>
      </c>
      <c r="I57" s="18" t="s">
        <v>231</v>
      </c>
    </row>
    <row r="58" spans="2:10" ht="18" hidden="1" outlineLevel="1" x14ac:dyDescent="0.25">
      <c r="B58" s="19" t="s">
        <v>228</v>
      </c>
      <c r="C58" s="28">
        <f t="shared" ref="C58:H58" si="21">0.31/(LOG(C49+6.5/C54))^2</f>
        <v>2.9661414047177977E-2</v>
      </c>
      <c r="D58" s="28">
        <f t="shared" si="21"/>
        <v>2.9340514080339362E-2</v>
      </c>
      <c r="E58" s="28">
        <f t="shared" si="21"/>
        <v>2.9243535481911328E-2</v>
      </c>
      <c r="F58" s="28">
        <f t="shared" si="21"/>
        <v>2.9243535422689964E-2</v>
      </c>
      <c r="G58" s="28">
        <f t="shared" si="21"/>
        <v>0.18662754248953445</v>
      </c>
      <c r="H58" s="28">
        <f t="shared" si="21"/>
        <v>0.18656047459151265</v>
      </c>
      <c r="I58" s="18" t="s">
        <v>232</v>
      </c>
    </row>
    <row r="59" spans="2:10" ht="18" hidden="1" outlineLevel="1" x14ac:dyDescent="0.25">
      <c r="B59" s="19" t="s">
        <v>233</v>
      </c>
      <c r="C59" s="28">
        <f t="shared" ref="C59:H59" si="22">C58*(1+0.19*(C55/C54)^2)^0.375</f>
        <v>3.1317269193666057E-2</v>
      </c>
      <c r="D59" s="28">
        <f t="shared" si="22"/>
        <v>3.0855878788587678E-2</v>
      </c>
      <c r="E59" s="28">
        <f t="shared" si="22"/>
        <v>3.0718358820575175E-2</v>
      </c>
      <c r="F59" s="28">
        <f t="shared" si="22"/>
        <v>3.0718358736862548E-2</v>
      </c>
      <c r="G59" s="28">
        <f t="shared" si="22"/>
        <v>0.22508534522870979</v>
      </c>
      <c r="H59" s="28">
        <f t="shared" si="22"/>
        <v>0.22348793625116664</v>
      </c>
      <c r="I59" s="18" t="s">
        <v>234</v>
      </c>
    </row>
    <row r="60" spans="2:10" hidden="1" outlineLevel="1" x14ac:dyDescent="0.25">
      <c r="B60" s="19" t="s">
        <v>235</v>
      </c>
      <c r="C60" s="28">
        <f t="shared" ref="C60:H60" si="23">IF(C54&gt;2000,C59,C57)</f>
        <v>3.1317269193666057E-2</v>
      </c>
      <c r="D60" s="28">
        <f t="shared" si="23"/>
        <v>3.0855878788587678E-2</v>
      </c>
      <c r="E60" s="28">
        <f t="shared" si="23"/>
        <v>3.0718358820575175E-2</v>
      </c>
      <c r="F60" s="28">
        <f t="shared" si="23"/>
        <v>3.0718358736862548E-2</v>
      </c>
      <c r="G60" s="28">
        <f t="shared" si="23"/>
        <v>0.22508534522870979</v>
      </c>
      <c r="H60" s="28">
        <f t="shared" si="23"/>
        <v>0.22348793625116664</v>
      </c>
      <c r="I60" s="18" t="s">
        <v>236</v>
      </c>
    </row>
    <row r="61" spans="2:10" ht="18" hidden="1" outlineLevel="1" x14ac:dyDescent="0.25">
      <c r="B61" s="19" t="s">
        <v>246</v>
      </c>
      <c r="C61" s="28">
        <f t="shared" ref="C61:H61" si="24">+C62-C63</f>
        <v>0</v>
      </c>
      <c r="D61" s="28">
        <f t="shared" si="24"/>
        <v>-0.24180581883840979</v>
      </c>
      <c r="E61" s="28">
        <f t="shared" si="24"/>
        <v>-0.23719435562577473</v>
      </c>
      <c r="F61" s="28">
        <f t="shared" si="24"/>
        <v>-1.4689722860339316E-7</v>
      </c>
      <c r="G61" s="28">
        <f t="shared" si="24"/>
        <v>-1.5940892694743525E-7</v>
      </c>
      <c r="H61" s="28">
        <f t="shared" si="24"/>
        <v>-0.22323473732801702</v>
      </c>
      <c r="I61" s="18" t="s">
        <v>247</v>
      </c>
    </row>
    <row r="62" spans="2:10" ht="18" hidden="1" outlineLevel="1" x14ac:dyDescent="0.25">
      <c r="B62" s="19" t="s">
        <v>356</v>
      </c>
      <c r="C62" s="31">
        <f t="shared" ref="C62:H62" si="25">C36-C51^2*C37^2/2*(1-C52^2)*10^-5*C23</f>
        <v>9.8416770582587176</v>
      </c>
      <c r="D62" s="31">
        <f t="shared" si="25"/>
        <v>10.339040362088243</v>
      </c>
      <c r="E62" s="31">
        <f t="shared" si="25"/>
        <v>10.580846180926649</v>
      </c>
      <c r="F62" s="31">
        <f t="shared" si="25"/>
        <v>10.818040536552424</v>
      </c>
      <c r="G62" s="31">
        <f t="shared" si="25"/>
        <v>11.050602592315411</v>
      </c>
      <c r="H62" s="31">
        <f t="shared" si="25"/>
        <v>11.278511444075985</v>
      </c>
      <c r="I62" s="18" t="s">
        <v>357</v>
      </c>
    </row>
    <row r="63" spans="2:10" ht="18" collapsed="1" x14ac:dyDescent="0.25">
      <c r="B63" s="19" t="s">
        <v>237</v>
      </c>
      <c r="C63" s="31">
        <f t="shared" ref="C63:H63" si="26">C23/2*(C53^2*(C45+C60*C17/(2*C15)))*0.00001</f>
        <v>9.8416770582587194</v>
      </c>
      <c r="D63" s="31">
        <f t="shared" si="26"/>
        <v>10.580846180926653</v>
      </c>
      <c r="E63" s="31">
        <f t="shared" si="26"/>
        <v>10.818040536552424</v>
      </c>
      <c r="F63" s="31">
        <f t="shared" si="26"/>
        <v>10.818040683449652</v>
      </c>
      <c r="G63" s="31">
        <f t="shared" si="26"/>
        <v>11.050602751724337</v>
      </c>
      <c r="H63" s="31">
        <f t="shared" si="26"/>
        <v>11.501746181404002</v>
      </c>
      <c r="I63" s="18" t="s">
        <v>238</v>
      </c>
      <c r="J63" t="str">
        <f ca="1">B63 &amp; " = " &amp; ROUND(OFFSET(B63,0,$I$8),1)</f>
        <v>∆psp [bar] = 10.8</v>
      </c>
    </row>
    <row r="64" spans="2:10" ht="18" x14ac:dyDescent="0.25">
      <c r="B64" s="19" t="s">
        <v>358</v>
      </c>
      <c r="C64" s="31">
        <f t="shared" ref="C64:H64" si="27">+C63</f>
        <v>9.8416770582587194</v>
      </c>
      <c r="D64" s="31">
        <f t="shared" si="27"/>
        <v>10.580846180926653</v>
      </c>
      <c r="E64" s="31">
        <f t="shared" si="27"/>
        <v>10.818040536552424</v>
      </c>
      <c r="F64" s="31">
        <f t="shared" si="27"/>
        <v>10.818040683449652</v>
      </c>
      <c r="G64" s="31">
        <f t="shared" si="27"/>
        <v>11.050602751724337</v>
      </c>
      <c r="H64" s="31">
        <f t="shared" si="27"/>
        <v>11.501746181404002</v>
      </c>
      <c r="I64" s="18" t="s">
        <v>240</v>
      </c>
      <c r="J64" t="str">
        <f ca="1">B64 &amp; " = " &amp; ROUND(OFFSET(B64,0,$I$8),1)</f>
        <v>psp [barg] = 10.8</v>
      </c>
    </row>
    <row r="65" spans="2:10" ht="18" x14ac:dyDescent="0.25">
      <c r="B65" s="19" t="s">
        <v>250</v>
      </c>
      <c r="C65" s="31">
        <v>9.361970968322046</v>
      </c>
      <c r="D65" s="31">
        <v>9.7498555228723127</v>
      </c>
      <c r="E65" s="31">
        <v>9.8715056788081093</v>
      </c>
      <c r="F65" s="31">
        <v>9.8715057537429018</v>
      </c>
      <c r="G65" s="31">
        <v>4.5912406703606417</v>
      </c>
      <c r="H65" s="31">
        <v>4.6992683573306735</v>
      </c>
      <c r="I65" s="18" t="s">
        <v>251</v>
      </c>
      <c r="J65" t="str">
        <f ca="1">B65 &amp; " = " &amp; ROUND(OFFSET(B65,0,$I$8),1)</f>
        <v>Qsp [m3/h] = 9.9</v>
      </c>
    </row>
    <row r="66" spans="2:10" x14ac:dyDescent="0.25">
      <c r="B66" s="99" t="s">
        <v>340</v>
      </c>
      <c r="C66" s="100"/>
      <c r="D66" s="100"/>
      <c r="E66" s="100"/>
      <c r="F66" s="100"/>
      <c r="G66" s="100"/>
      <c r="H66" s="100"/>
      <c r="I66" s="101"/>
    </row>
    <row r="67" spans="2:10" ht="18" x14ac:dyDescent="0.25">
      <c r="B67" s="19" t="s">
        <v>210</v>
      </c>
      <c r="C67" s="44">
        <v>1.2</v>
      </c>
      <c r="D67" s="44">
        <v>1.2</v>
      </c>
      <c r="E67" s="44">
        <v>1.2</v>
      </c>
      <c r="F67" s="44">
        <v>1.2</v>
      </c>
      <c r="G67" s="44">
        <v>1.2</v>
      </c>
      <c r="H67" s="44">
        <v>1.2</v>
      </c>
      <c r="I67" s="18" t="s">
        <v>211</v>
      </c>
    </row>
    <row r="68" spans="2:10" ht="18" x14ac:dyDescent="0.25">
      <c r="B68" s="19" t="s">
        <v>212</v>
      </c>
      <c r="C68" s="43">
        <v>0</v>
      </c>
      <c r="D68" s="43">
        <v>0</v>
      </c>
      <c r="E68" s="43">
        <v>0</v>
      </c>
      <c r="F68" s="43">
        <v>0</v>
      </c>
      <c r="G68" s="43">
        <v>0</v>
      </c>
      <c r="H68" s="43">
        <v>0</v>
      </c>
      <c r="I68" s="18" t="s">
        <v>213</v>
      </c>
    </row>
    <row r="69" spans="2:10" x14ac:dyDescent="0.25">
      <c r="B69" s="19" t="s">
        <v>217</v>
      </c>
      <c r="C69" s="43" t="s">
        <v>218</v>
      </c>
      <c r="D69" s="43" t="s">
        <v>371</v>
      </c>
      <c r="E69" s="43" t="s">
        <v>218</v>
      </c>
      <c r="F69" s="43" t="s">
        <v>218</v>
      </c>
      <c r="G69" s="43" t="s">
        <v>218</v>
      </c>
      <c r="H69" s="43" t="s">
        <v>218</v>
      </c>
      <c r="I69" s="18" t="s">
        <v>219</v>
      </c>
    </row>
    <row r="70" spans="2:10" x14ac:dyDescent="0.25">
      <c r="B70" s="19" t="s">
        <v>220</v>
      </c>
      <c r="C70" s="41"/>
      <c r="D70" s="31" t="s">
        <v>372</v>
      </c>
      <c r="E70" s="41">
        <v>0.08</v>
      </c>
      <c r="F70" s="41">
        <v>0.08</v>
      </c>
      <c r="G70" s="41">
        <v>0.08</v>
      </c>
      <c r="H70" s="41">
        <v>0.08</v>
      </c>
      <c r="I70" s="18" t="s">
        <v>221</v>
      </c>
    </row>
    <row r="71" spans="2:10" x14ac:dyDescent="0.25">
      <c r="B71" s="19" t="s">
        <v>115</v>
      </c>
      <c r="C71" s="31">
        <f>0.135*C70/C16</f>
        <v>0</v>
      </c>
      <c r="D71" s="41"/>
      <c r="E71" s="31">
        <f>0.135*E70/E16</f>
        <v>5.0232558139534887E-2</v>
      </c>
      <c r="F71" s="31">
        <f>0.135*F70/F16</f>
        <v>5.0232558139534887E-2</v>
      </c>
      <c r="G71" s="31">
        <f>0.135*G70/G16</f>
        <v>5.0232558139534887E-2</v>
      </c>
      <c r="H71" s="31">
        <f>0.135*H70/H16</f>
        <v>5.0232558139534887E-2</v>
      </c>
      <c r="I71" s="18" t="s">
        <v>222</v>
      </c>
    </row>
    <row r="72" spans="2:10" ht="18" x14ac:dyDescent="0.25">
      <c r="B72" s="17" t="s">
        <v>55</v>
      </c>
      <c r="C72" s="27" t="str">
        <f t="shared" ref="C72:H72" si="28">IF(AND(C28="no",C29="no"),"outwards","inwards")</f>
        <v>inwards</v>
      </c>
      <c r="D72" s="27" t="str">
        <f t="shared" si="28"/>
        <v>inwards</v>
      </c>
      <c r="E72" s="27" t="str">
        <f t="shared" si="28"/>
        <v>inwards</v>
      </c>
      <c r="F72" s="27" t="str">
        <f t="shared" si="28"/>
        <v>inwards</v>
      </c>
      <c r="G72" s="27" t="str">
        <f t="shared" si="28"/>
        <v>inwards</v>
      </c>
      <c r="H72" s="27" t="str">
        <f t="shared" si="28"/>
        <v>inwards</v>
      </c>
      <c r="I72" s="18" t="s">
        <v>56</v>
      </c>
    </row>
    <row r="73" spans="2:10" ht="18" x14ac:dyDescent="0.25">
      <c r="B73" s="17" t="s">
        <v>65</v>
      </c>
      <c r="C73" s="29">
        <f t="shared" ref="C73:H73" si="29">C38^0.3*C16*C12/C10^2*(C16/C18)^0.5</f>
        <v>1.5432545106623765E-3</v>
      </c>
      <c r="D73" s="29">
        <f t="shared" si="29"/>
        <v>1.6581526434184934E-3</v>
      </c>
      <c r="E73" s="29">
        <f t="shared" si="29"/>
        <v>1.7212308806637661E-3</v>
      </c>
      <c r="F73" s="29">
        <f t="shared" si="29"/>
        <v>1.7885374646828759E-3</v>
      </c>
      <c r="G73" s="29">
        <f t="shared" si="29"/>
        <v>1.860485462092339E-3</v>
      </c>
      <c r="H73" s="29">
        <f t="shared" si="29"/>
        <v>1.9375417035327304E-3</v>
      </c>
      <c r="I73" s="18" t="s">
        <v>66</v>
      </c>
    </row>
    <row r="74" spans="2:10" ht="18" x14ac:dyDescent="0.25">
      <c r="B74" s="17" t="s">
        <v>69</v>
      </c>
      <c r="C74" s="27">
        <f t="shared" ref="C74:H74" si="30">IF(C72="inwards",0.9*C73^0.087,0.24*C73^-0.096)</f>
        <v>0.51243239442715893</v>
      </c>
      <c r="D74" s="27">
        <f t="shared" si="30"/>
        <v>0.51564384910189753</v>
      </c>
      <c r="E74" s="27">
        <f t="shared" si="30"/>
        <v>0.51732148274592149</v>
      </c>
      <c r="F74" s="27">
        <f t="shared" si="30"/>
        <v>0.51905076931895977</v>
      </c>
      <c r="G74" s="27">
        <f t="shared" si="30"/>
        <v>0.52083480191748532</v>
      </c>
      <c r="H74" s="27">
        <f t="shared" si="30"/>
        <v>0.52267695408608428</v>
      </c>
      <c r="I74" s="18" t="s">
        <v>70</v>
      </c>
    </row>
    <row r="75" spans="2:10" ht="18" x14ac:dyDescent="0.25">
      <c r="B75" s="17" t="s">
        <v>73</v>
      </c>
      <c r="C75" s="31">
        <f t="shared" ref="C75:H75" si="31">MAX(C12,C14)/C10</f>
        <v>0.22500000000000001</v>
      </c>
      <c r="D75" s="31">
        <f t="shared" si="31"/>
        <v>0.23684210526315788</v>
      </c>
      <c r="E75" s="31">
        <f t="shared" si="31"/>
        <v>0.24324324324324326</v>
      </c>
      <c r="F75" s="31">
        <f t="shared" si="31"/>
        <v>0.25</v>
      </c>
      <c r="G75" s="31">
        <f t="shared" si="31"/>
        <v>0.25714285714285712</v>
      </c>
      <c r="H75" s="31">
        <f t="shared" si="31"/>
        <v>0.26470588235294118</v>
      </c>
      <c r="I75" s="18" t="s">
        <v>74</v>
      </c>
    </row>
    <row r="76" spans="2:10" ht="18" hidden="1" outlineLevel="1" x14ac:dyDescent="0.25">
      <c r="B76" s="19" t="s">
        <v>223</v>
      </c>
      <c r="C76" s="27">
        <f t="shared" ref="C76:H76" si="32">C89/(PI()*C12*C16)/3600*1000000</f>
        <v>15.339820304067576</v>
      </c>
      <c r="D76" s="27">
        <f t="shared" si="32"/>
        <v>16.82034847365923</v>
      </c>
      <c r="E76" s="27">
        <f t="shared" si="32"/>
        <v>8.2983574725060212</v>
      </c>
      <c r="F76" s="27">
        <f t="shared" si="32"/>
        <v>8.2983679824099514</v>
      </c>
      <c r="G76" s="27">
        <f t="shared" si="32"/>
        <v>8.5103630747965422</v>
      </c>
      <c r="H76" s="27">
        <f t="shared" si="32"/>
        <v>8.907570345856703</v>
      </c>
      <c r="I76" s="18" t="s">
        <v>224</v>
      </c>
    </row>
    <row r="77" spans="2:10" hidden="1" outlineLevel="1" x14ac:dyDescent="0.25">
      <c r="B77" s="19" t="s">
        <v>61</v>
      </c>
      <c r="C77" s="30">
        <f t="shared" ref="C77:H77" si="33">2*C16*C76/(C24*10^-6)/1000</f>
        <v>6596.122730749059</v>
      </c>
      <c r="D77" s="30">
        <f t="shared" si="33"/>
        <v>7232.7498436734695</v>
      </c>
      <c r="E77" s="30">
        <f t="shared" si="33"/>
        <v>3568.2937131775893</v>
      </c>
      <c r="F77" s="30">
        <f t="shared" si="33"/>
        <v>3568.2982324362792</v>
      </c>
      <c r="G77" s="30">
        <f t="shared" si="33"/>
        <v>3659.4561221625136</v>
      </c>
      <c r="H77" s="30">
        <f t="shared" si="33"/>
        <v>3830.2552487183825</v>
      </c>
      <c r="I77" s="18" t="s">
        <v>225</v>
      </c>
    </row>
    <row r="78" spans="2:10" ht="18" hidden="1" outlineLevel="1" x14ac:dyDescent="0.25">
      <c r="B78" s="19" t="s">
        <v>226</v>
      </c>
      <c r="C78" s="30">
        <f t="shared" ref="C78:H78" si="34">2*C16*(PI()*C12*C22/60)/(C24*10^-6)/1000000</f>
        <v>6078.9817846962496</v>
      </c>
      <c r="D78" s="30">
        <f t="shared" si="34"/>
        <v>6078.9817846962496</v>
      </c>
      <c r="E78" s="30">
        <f t="shared" si="34"/>
        <v>6078.9817846962496</v>
      </c>
      <c r="F78" s="30">
        <f t="shared" si="34"/>
        <v>6078.9817846962496</v>
      </c>
      <c r="G78" s="30">
        <f t="shared" si="34"/>
        <v>6078.9817846962496</v>
      </c>
      <c r="H78" s="30">
        <f t="shared" si="34"/>
        <v>6078.9817846962496</v>
      </c>
      <c r="I78" s="18" t="s">
        <v>227</v>
      </c>
    </row>
    <row r="79" spans="2:10" ht="18" hidden="1" outlineLevel="1" x14ac:dyDescent="0.25">
      <c r="B79" s="19" t="s">
        <v>228</v>
      </c>
      <c r="C79" s="28">
        <f t="shared" ref="C79:H79" si="35">96/C77*(1-0.6*C68/C16)</f>
        <v>1.4554004514269884E-2</v>
      </c>
      <c r="D79" s="28">
        <f t="shared" si="35"/>
        <v>1.3272960087783458E-2</v>
      </c>
      <c r="E79" s="28">
        <f t="shared" si="35"/>
        <v>2.6903614925384425E-2</v>
      </c>
      <c r="F79" s="28">
        <f t="shared" si="35"/>
        <v>2.6903580851888428E-2</v>
      </c>
      <c r="G79" s="28">
        <f t="shared" si="35"/>
        <v>2.6233406494096698E-2</v>
      </c>
      <c r="H79" s="28">
        <f t="shared" si="35"/>
        <v>2.506360379823824E-2</v>
      </c>
      <c r="I79" s="18" t="s">
        <v>229</v>
      </c>
    </row>
    <row r="80" spans="2:10" ht="18" hidden="1" outlineLevel="1" x14ac:dyDescent="0.25">
      <c r="B80" s="19" t="s">
        <v>230</v>
      </c>
      <c r="C80" s="28">
        <f t="shared" ref="C80:H80" si="36">C79*(1+0.2*(C78/2000)^2)^1.03</f>
        <v>4.2767288966732167E-2</v>
      </c>
      <c r="D80" s="28">
        <f t="shared" si="36"/>
        <v>3.9002909402808754E-2</v>
      </c>
      <c r="E80" s="28">
        <f t="shared" si="36"/>
        <v>7.9056913348863611E-2</v>
      </c>
      <c r="F80" s="28">
        <f t="shared" si="36"/>
        <v>7.9056813223083944E-2</v>
      </c>
      <c r="G80" s="28">
        <f t="shared" si="36"/>
        <v>7.7087489908001072E-2</v>
      </c>
      <c r="H80" s="28">
        <f t="shared" si="36"/>
        <v>7.3649996819498284E-2</v>
      </c>
      <c r="I80" s="18" t="s">
        <v>231</v>
      </c>
    </row>
    <row r="81" spans="2:10" ht="18" hidden="1" outlineLevel="1" x14ac:dyDescent="0.25">
      <c r="B81" s="19" t="s">
        <v>228</v>
      </c>
      <c r="C81" s="28">
        <f t="shared" ref="C81:H81" si="37">0.31/(LOG(C71+6.5/C77))^2</f>
        <v>3.429851238400481E-2</v>
      </c>
      <c r="D81" s="28">
        <f t="shared" si="37"/>
        <v>3.3403399413582703E-2</v>
      </c>
      <c r="E81" s="28">
        <f t="shared" si="37"/>
        <v>0.18816540443992452</v>
      </c>
      <c r="F81" s="28">
        <f t="shared" si="37"/>
        <v>0.18816539879645056</v>
      </c>
      <c r="G81" s="28">
        <f t="shared" si="37"/>
        <v>0.18805440088540984</v>
      </c>
      <c r="H81" s="28">
        <f t="shared" si="37"/>
        <v>0.18786065523008749</v>
      </c>
      <c r="I81" s="18" t="s">
        <v>232</v>
      </c>
    </row>
    <row r="82" spans="2:10" ht="18" hidden="1" outlineLevel="1" x14ac:dyDescent="0.25">
      <c r="B82" s="19" t="s">
        <v>233</v>
      </c>
      <c r="C82" s="28">
        <f t="shared" ref="C82:H82" si="38">C81*(1+0.19*(C78/C77)^2)^0.375</f>
        <v>3.6277724921023505E-2</v>
      </c>
      <c r="D82" s="28">
        <f t="shared" si="38"/>
        <v>3.5018840504564434E-2</v>
      </c>
      <c r="E82" s="28">
        <f t="shared" si="38"/>
        <v>0.22185276286978309</v>
      </c>
      <c r="F82" s="28">
        <f t="shared" si="38"/>
        <v>0.22185268131409702</v>
      </c>
      <c r="G82" s="28">
        <f t="shared" si="38"/>
        <v>0.22025979040216503</v>
      </c>
      <c r="H82" s="28">
        <f t="shared" si="38"/>
        <v>0.21753457176404067</v>
      </c>
      <c r="I82" s="18" t="s">
        <v>234</v>
      </c>
    </row>
    <row r="83" spans="2:10" hidden="1" outlineLevel="1" x14ac:dyDescent="0.25">
      <c r="B83" s="19" t="s">
        <v>235</v>
      </c>
      <c r="C83" s="28">
        <f t="shared" ref="C83:H83" si="39">IF(C77&gt;2000,C82,C80)</f>
        <v>3.6277724921023505E-2</v>
      </c>
      <c r="D83" s="28">
        <f t="shared" si="39"/>
        <v>3.5018840504564434E-2</v>
      </c>
      <c r="E83" s="28">
        <f t="shared" si="39"/>
        <v>0.22185276286978309</v>
      </c>
      <c r="F83" s="28">
        <f t="shared" si="39"/>
        <v>0.22185268131409702</v>
      </c>
      <c r="G83" s="28">
        <f t="shared" si="39"/>
        <v>0.22025979040216503</v>
      </c>
      <c r="H83" s="28">
        <f t="shared" si="39"/>
        <v>0.21753457176404067</v>
      </c>
      <c r="I83" s="18" t="s">
        <v>236</v>
      </c>
    </row>
    <row r="84" spans="2:10" ht="18" hidden="1" outlineLevel="1" x14ac:dyDescent="0.25">
      <c r="B84" s="19" t="s">
        <v>246</v>
      </c>
      <c r="C84" s="28">
        <f t="shared" ref="C84:H84" si="40">+C87-C86</f>
        <v>0</v>
      </c>
      <c r="D84" s="28">
        <f t="shared" si="40"/>
        <v>0.21848368023689257</v>
      </c>
      <c r="E84" s="28">
        <f t="shared" si="40"/>
        <v>0.2141564301725607</v>
      </c>
      <c r="F84" s="28">
        <f t="shared" si="40"/>
        <v>1.027865805802719E-5</v>
      </c>
      <c r="G84" s="28">
        <f t="shared" si="40"/>
        <v>8.0570413505398619E-6</v>
      </c>
      <c r="H84" s="28">
        <f t="shared" si="40"/>
        <v>0.20101819760292283</v>
      </c>
      <c r="I84" s="18" t="s">
        <v>247</v>
      </c>
    </row>
    <row r="85" spans="2:10" ht="18" hidden="1" outlineLevel="1" x14ac:dyDescent="0.25">
      <c r="B85" s="19" t="s">
        <v>341</v>
      </c>
      <c r="C85" s="31" cm="1">
        <f t="array" ref="C85">_xlfn.IFS(AND(C28="no",C29="no"),C35,AND(C28="no",C29="yes"),C30,AND(C28="yes",C29="yes"),C31,AND(C28="yes",C29="no"),C31)</f>
        <v>6</v>
      </c>
      <c r="D85" s="31" cm="1">
        <f t="array" ref="D85">_xlfn.IFS(AND(D28="no",D29="no"),D35,AND(D28="no",D29="yes"),D30,AND(D28="yes",D29="yes"),D31,AND(D28="yes",D29="no"),D31)</f>
        <v>6</v>
      </c>
      <c r="E85" s="31" cm="1">
        <f t="array" ref="E85">_xlfn.IFS(AND(E28="no",E29="no"),E35,AND(E28="no",E29="yes"),E30,AND(E28="yes",E29="yes"),E31,AND(E28="yes",E29="no"),E31)</f>
        <v>6</v>
      </c>
      <c r="F85" s="31" cm="1">
        <f t="array" ref="F85">_xlfn.IFS(AND(F28="no",F29="no"),F35,AND(F28="no",F29="yes"),F30,AND(F28="yes",F29="yes"),F31,AND(F28="yes",F29="no"),F31)</f>
        <v>6</v>
      </c>
      <c r="G85" s="31" cm="1">
        <f t="array" ref="G85">_xlfn.IFS(AND(G28="no",G29="no"),G35,AND(G28="no",G29="yes"),G30,AND(G28="yes",G29="yes"),G31,AND(G28="yes",G29="no"),G31)</f>
        <v>6</v>
      </c>
      <c r="H85" s="31" cm="1">
        <f t="array" ref="H85">_xlfn.IFS(AND(H28="no",H29="no"),H35,AND(H28="no",H29="yes"),H30,AND(H28="yes",H29="yes"),H31,AND(H28="yes",H29="no"),H31)</f>
        <v>6</v>
      </c>
      <c r="I85" s="18" t="str">
        <f>+IF(C72="inwards","Pressure downstream back wear ring", "Pressure upstream back wear ring")</f>
        <v>Pressure downstream back wear ring</v>
      </c>
    </row>
    <row r="86" spans="2:10" ht="18" hidden="1" outlineLevel="1" x14ac:dyDescent="0.25">
      <c r="B86" s="19" t="s">
        <v>355</v>
      </c>
      <c r="C86" s="31">
        <f t="shared" ref="C86:H86" si="41">IF(C72="inwards",C36-C85-C74^2*C37^2/2*(1-C75^2)*10^-5*C23,C85-C36+C74^2*C37^2/2*(1-C75^2)*10^-5*C23)</f>
        <v>3.794143667603616</v>
      </c>
      <c r="D86" s="31">
        <f t="shared" si="41"/>
        <v>4.2439935393071178</v>
      </c>
      <c r="E86" s="31">
        <f t="shared" si="41"/>
        <v>4.4624772195440077</v>
      </c>
      <c r="F86" s="31">
        <f t="shared" si="41"/>
        <v>4.6766336497165693</v>
      </c>
      <c r="G86" s="31">
        <f t="shared" si="41"/>
        <v>4.8864372056708136</v>
      </c>
      <c r="H86" s="31">
        <f t="shared" si="41"/>
        <v>5.0918615844892381</v>
      </c>
      <c r="I86" s="18" t="s">
        <v>360</v>
      </c>
    </row>
    <row r="87" spans="2:10" ht="18" collapsed="1" x14ac:dyDescent="0.25">
      <c r="B87" s="19" t="s">
        <v>258</v>
      </c>
      <c r="C87" s="31">
        <f t="shared" ref="C87:H87" si="42">C23/2*(C76^2*(C67+C83*C18/(2*C16)))*0.00001</f>
        <v>3.7941436676036164</v>
      </c>
      <c r="D87" s="31">
        <f t="shared" si="42"/>
        <v>4.4624772195440103</v>
      </c>
      <c r="E87" s="31">
        <f t="shared" si="42"/>
        <v>4.6766336497165684</v>
      </c>
      <c r="F87" s="31">
        <f t="shared" si="42"/>
        <v>4.6766439283746273</v>
      </c>
      <c r="G87" s="31">
        <f t="shared" si="42"/>
        <v>4.8864452627121642</v>
      </c>
      <c r="H87" s="31">
        <f t="shared" si="42"/>
        <v>5.2928797820921609</v>
      </c>
      <c r="I87" s="18" t="s">
        <v>259</v>
      </c>
      <c r="J87" t="str">
        <f ca="1">B87 &amp; " = " &amp; ROUND(OFFSET(B87,0,$I$8),1)</f>
        <v>∆pD [bar] = 4.7</v>
      </c>
    </row>
    <row r="88" spans="2:10" ht="18" x14ac:dyDescent="0.25">
      <c r="B88" s="19" t="s">
        <v>359</v>
      </c>
      <c r="C88" s="31">
        <f t="shared" ref="C88:H88" si="43">+IF(C72="inwards",C85+C87,C85-C87)</f>
        <v>9.7941436676036169</v>
      </c>
      <c r="D88" s="31">
        <f t="shared" si="43"/>
        <v>10.462477219544009</v>
      </c>
      <c r="E88" s="31">
        <f t="shared" si="43"/>
        <v>10.676633649716567</v>
      </c>
      <c r="F88" s="31">
        <f t="shared" si="43"/>
        <v>10.676643928374627</v>
      </c>
      <c r="G88" s="31">
        <f t="shared" si="43"/>
        <v>10.886445262712165</v>
      </c>
      <c r="H88" s="31">
        <f t="shared" si="43"/>
        <v>11.292879782092161</v>
      </c>
      <c r="I88" s="18" t="s">
        <v>240</v>
      </c>
      <c r="J88" t="str">
        <f ca="1">B88 &amp; " = " &amp; ROUND(OFFSET(B88,0,$I$8),1)</f>
        <v>pD [bar] = 10.7</v>
      </c>
    </row>
    <row r="89" spans="2:10" ht="18" x14ac:dyDescent="0.25">
      <c r="B89" s="19" t="s">
        <v>262</v>
      </c>
      <c r="C89" s="31">
        <v>3.3570175755218576</v>
      </c>
      <c r="D89" s="31">
        <v>3.6810213114102415</v>
      </c>
      <c r="E89" s="31">
        <v>1.816040301057436</v>
      </c>
      <c r="F89" s="31">
        <v>1.8160426010799602</v>
      </c>
      <c r="G89" s="31">
        <v>1.862436316062231</v>
      </c>
      <c r="H89" s="31">
        <v>1.9493624836210814</v>
      </c>
      <c r="I89" s="21" t="s">
        <v>251</v>
      </c>
      <c r="J89" t="str">
        <f ca="1">B89 &amp; " = " &amp; ROUND(OFFSET(B89,0,$I$8),1)</f>
        <v>QD [m3/h] = 1.8</v>
      </c>
    </row>
    <row r="91" spans="2:10" ht="18.75" x14ac:dyDescent="0.25">
      <c r="B91" s="96" t="s">
        <v>85</v>
      </c>
      <c r="C91" s="97"/>
      <c r="D91" s="97"/>
      <c r="E91" s="97"/>
      <c r="F91" s="97"/>
      <c r="G91" s="97"/>
      <c r="H91" s="97"/>
      <c r="I91" s="98"/>
    </row>
    <row r="92" spans="2:10" ht="18" x14ac:dyDescent="0.25">
      <c r="B92" s="17" t="s">
        <v>86</v>
      </c>
      <c r="C92" s="32">
        <f t="shared" ref="C92:H92" si="44">IF(C72="inwards",C22*(C25/3600)^0.5/C27^0.75,"N/A")</f>
        <v>8.5134273398920364</v>
      </c>
      <c r="D92" s="32">
        <f t="shared" si="44"/>
        <v>8.5134273398920364</v>
      </c>
      <c r="E92" s="32">
        <f t="shared" si="44"/>
        <v>8.5134273398920364</v>
      </c>
      <c r="F92" s="32">
        <f t="shared" si="44"/>
        <v>8.5134273398920364</v>
      </c>
      <c r="G92" s="32">
        <f t="shared" si="44"/>
        <v>8.5134273398920364</v>
      </c>
      <c r="H92" s="32">
        <f t="shared" si="44"/>
        <v>8.5134273398920364</v>
      </c>
      <c r="I92" s="18" t="s">
        <v>87</v>
      </c>
    </row>
    <row r="93" spans="2:10" ht="18" x14ac:dyDescent="0.25">
      <c r="B93" s="17" t="s">
        <v>71</v>
      </c>
      <c r="C93" s="31">
        <f t="shared" ref="C93:H93" si="45">IF(C72="inwards",C11/C10,"N/A")</f>
        <v>0.3725</v>
      </c>
      <c r="D93" s="31">
        <f t="shared" si="45"/>
        <v>0.39210526315789473</v>
      </c>
      <c r="E93" s="31">
        <f t="shared" si="45"/>
        <v>0.4027027027027027</v>
      </c>
      <c r="F93" s="31">
        <f t="shared" si="45"/>
        <v>0.41388888888888886</v>
      </c>
      <c r="G93" s="31">
        <f t="shared" si="45"/>
        <v>0.42571428571428571</v>
      </c>
      <c r="H93" s="31">
        <f t="shared" si="45"/>
        <v>0.43823529411764706</v>
      </c>
      <c r="I93" s="18" t="s">
        <v>72</v>
      </c>
    </row>
    <row r="94" spans="2:10" ht="18" x14ac:dyDescent="0.25">
      <c r="B94" s="17" t="s">
        <v>73</v>
      </c>
      <c r="C94" s="31">
        <f t="shared" ref="C94:H94" si="46">IF(C72="inwards",MAX(C12,C14)/C10,"N/A")</f>
        <v>0.22500000000000001</v>
      </c>
      <c r="D94" s="31">
        <f t="shared" si="46"/>
        <v>0.23684210526315788</v>
      </c>
      <c r="E94" s="31">
        <f t="shared" si="46"/>
        <v>0.24324324324324326</v>
      </c>
      <c r="F94" s="31">
        <f t="shared" si="46"/>
        <v>0.25</v>
      </c>
      <c r="G94" s="31">
        <f t="shared" si="46"/>
        <v>0.25714285714285712</v>
      </c>
      <c r="H94" s="31">
        <f t="shared" si="46"/>
        <v>0.26470588235294118</v>
      </c>
      <c r="I94" s="18" t="s">
        <v>74</v>
      </c>
    </row>
    <row r="95" spans="2:10" ht="18" x14ac:dyDescent="0.25">
      <c r="B95" s="17" t="s">
        <v>88</v>
      </c>
      <c r="C95" s="31" cm="1">
        <f t="array" ref="C95">IF(C72="inwards",interp2(1,C92,$M$12:$M$48,$N$11:$S$11,$N$12:$S$48),"N/A")</f>
        <v>0.75213633238844735</v>
      </c>
      <c r="D95" s="31" cm="1">
        <f t="array" ref="D95">IF(D72="inwards",interp2(1,D92,$M$12:$M$48,$N$11:$S$11,$N$12:$S$48),"N/A")</f>
        <v>0.75213633238844735</v>
      </c>
      <c r="E95" s="31" cm="1">
        <f t="array" ref="E95">IF(E72="inwards",interp2(1,E92,$M$12:$M$48,$N$11:$S$11,$N$12:$S$48),"N/A")</f>
        <v>0.75213633238844735</v>
      </c>
      <c r="F95" s="31" cm="1">
        <f t="array" ref="F95">IF(F72="inwards",interp2(1,F92,$M$12:$M$48,$N$11:$S$11,$N$12:$S$48),"N/A")</f>
        <v>0.75213633238844735</v>
      </c>
      <c r="G95" s="31" cm="1">
        <f t="array" ref="G95">IF(G72="inwards",interp2(1,G92,$M$12:$M$48,$N$11:$S$11,$N$12:$S$48),"N/A")</f>
        <v>0.75213633238844735</v>
      </c>
      <c r="H95" s="31" cm="1">
        <f t="array" ref="H95">IF(H72="inwards",interp2(1,H92,$M$12:$M$48,$N$11:$S$11,$N$12:$S$48),"N/A")</f>
        <v>0.75213633238844735</v>
      </c>
      <c r="I95" s="18" t="s">
        <v>89</v>
      </c>
    </row>
    <row r="96" spans="2:10" ht="18" x14ac:dyDescent="0.25">
      <c r="B96" s="17" t="s">
        <v>90</v>
      </c>
      <c r="C96" s="31" cm="1">
        <f t="array" ref="C96">IF(C72="inwards",interp2(C93,C92,$M$12:$M$48,$N$11:$S$11,$N$12:$S$48),"N/A")</f>
        <v>0.62167743928666008</v>
      </c>
      <c r="D96" s="31" cm="1">
        <f t="array" ref="D96">IF(D72="inwards",interp2(D93,D92,$M$12:$M$48,$N$11:$S$11,$N$12:$S$48),"N/A")</f>
        <v>0.62301363648984254</v>
      </c>
      <c r="E96" s="31" cm="1">
        <f t="array" ref="E96">IF(E72="inwards",interp2(E93,E92,$M$12:$M$48,$N$11:$S$11,$N$12:$S$48),"N/A")</f>
        <v>0.6240004074635026</v>
      </c>
      <c r="F96" s="31" cm="1">
        <f t="array" ref="F96">IF(F72="inwards",interp2(F93,F92,$M$12:$M$48,$N$11:$S$11,$N$12:$S$48),"N/A")</f>
        <v>0.6260453714870956</v>
      </c>
      <c r="G96" s="31" cm="1">
        <f t="array" ref="G96">IF(G72="inwards",interp2(G93,G92,$M$12:$M$48,$N$11:$S$11,$N$12:$S$48),"N/A")</f>
        <v>0.62815469475056807</v>
      </c>
      <c r="H96" s="31" cm="1">
        <f t="array" ref="H96">IF(H72="inwards",interp2(H93,H92,$M$12:$M$48,$N$11:$S$11,$N$12:$S$48),"N/A")</f>
        <v>0.62952345837005297</v>
      </c>
      <c r="I96" s="18" t="s">
        <v>92</v>
      </c>
    </row>
    <row r="97" spans="2:9" ht="18" x14ac:dyDescent="0.25">
      <c r="B97" s="17" t="s">
        <v>91</v>
      </c>
      <c r="C97" s="31" cm="1">
        <f t="array" ref="C97">IF(C72="inwards",interp2(C94,C92,$M$12:$M$48,$N$11:$S$11,$N$12:$S$48),"N/A")</f>
        <v>0.60873667740298809</v>
      </c>
      <c r="D97" s="31" cm="1">
        <f t="array" ref="D97">IF(D72="inwards",interp2(D94,D92,$M$12:$M$48,$N$11:$S$11,$N$12:$S$48),"N/A")</f>
        <v>0.60890684404361783</v>
      </c>
      <c r="E97" s="31" cm="1">
        <f t="array" ref="E97">IF(E72="inwards",interp2(E94,E92,$M$12:$M$48,$N$11:$S$11,$N$12:$S$48),"N/A")</f>
        <v>0.60899882601152577</v>
      </c>
      <c r="F97" s="31" cm="1">
        <f t="array" ref="F97">IF(F72="inwards",interp2(F94,F92,$M$12:$M$48,$N$11:$S$11,$N$12:$S$48),"N/A")</f>
        <v>0.60909591808876196</v>
      </c>
      <c r="G97" s="31" cm="1">
        <f t="array" ref="G97">IF(G72="inwards",interp2(G94,G92,$M$12:$M$48,$N$11:$S$11,$N$12:$S$48),"N/A")</f>
        <v>0.60976503138431015</v>
      </c>
      <c r="H97" s="31" cm="1">
        <f t="array" ref="H97">IF(H72="inwards",interp2(H94,H92,$M$12:$M$48,$N$11:$S$11,$N$12:$S$48),"N/A")</f>
        <v>0.61047350428547897</v>
      </c>
      <c r="I97" s="18" t="s">
        <v>382</v>
      </c>
    </row>
    <row r="98" spans="2:9" ht="18" x14ac:dyDescent="0.25">
      <c r="B98" s="17" t="s">
        <v>93</v>
      </c>
      <c r="C98" s="31">
        <f>+IF(C72="inwards",(C95+C96)/2,"N/A")</f>
        <v>0.68690688583755377</v>
      </c>
      <c r="D98" s="31">
        <f t="shared" ref="D98:G98" si="47">+IF(D72="inwards",(D95+D96)/2,"N/A")</f>
        <v>0.687574984439145</v>
      </c>
      <c r="E98" s="31">
        <f t="shared" si="47"/>
        <v>0.68806836992597498</v>
      </c>
      <c r="F98" s="31">
        <f t="shared" si="47"/>
        <v>0.68909085193777142</v>
      </c>
      <c r="G98" s="31">
        <f t="shared" si="47"/>
        <v>0.69014551356950771</v>
      </c>
      <c r="H98" s="31">
        <f>+IF(H72="inwards",(H95+H96)/2,"N/A")</f>
        <v>0.69082989537925021</v>
      </c>
      <c r="I98" s="18" t="s">
        <v>94</v>
      </c>
    </row>
    <row r="99" spans="2:9" ht="18" x14ac:dyDescent="0.25">
      <c r="B99" s="17" t="s">
        <v>95</v>
      </c>
      <c r="C99" s="31">
        <f t="shared" ref="C99:H99" si="48">IF(C72="inwards",(C95+C97)/2,"N/A")</f>
        <v>0.68043650489571772</v>
      </c>
      <c r="D99" s="31">
        <f t="shared" si="48"/>
        <v>0.68052158821603259</v>
      </c>
      <c r="E99" s="31">
        <f t="shared" si="48"/>
        <v>0.68056757919998656</v>
      </c>
      <c r="F99" s="31">
        <f t="shared" si="48"/>
        <v>0.68061612523860471</v>
      </c>
      <c r="G99" s="31">
        <f t="shared" si="48"/>
        <v>0.68095068188637875</v>
      </c>
      <c r="H99" s="31">
        <f t="shared" si="48"/>
        <v>0.68130491833696316</v>
      </c>
      <c r="I99" s="18" t="s">
        <v>96</v>
      </c>
    </row>
    <row r="100" spans="2:9" ht="18" x14ac:dyDescent="0.25">
      <c r="B100" s="17" t="s">
        <v>97</v>
      </c>
      <c r="C100" s="30">
        <f t="shared" ref="C100:H100" si="49">IF(C72="inwards",PI()/4*(C10^2-C11^2),"N/A")</f>
        <v>108227.08151800497</v>
      </c>
      <c r="D100" s="30">
        <f t="shared" si="49"/>
        <v>95974.870169004789</v>
      </c>
      <c r="E100" s="30">
        <f t="shared" si="49"/>
        <v>90084.383943523921</v>
      </c>
      <c r="F100" s="30">
        <f t="shared" si="49"/>
        <v>84350.977350722547</v>
      </c>
      <c r="G100" s="30">
        <f t="shared" si="49"/>
        <v>78774.650390600669</v>
      </c>
      <c r="H100" s="30">
        <f t="shared" si="49"/>
        <v>73355.403063158272</v>
      </c>
      <c r="I100" s="18" t="s">
        <v>98</v>
      </c>
    </row>
    <row r="101" spans="2:9" ht="18" x14ac:dyDescent="0.25">
      <c r="B101" s="17" t="s">
        <v>99</v>
      </c>
      <c r="C101" s="30">
        <f t="shared" ref="C101:H101" si="50">IF(C72="inwards",PI()/4*(C10^2-C12^2),"N/A")</f>
        <v>119301.98102007239</v>
      </c>
      <c r="D101" s="30">
        <f t="shared" si="50"/>
        <v>107049.76967107219</v>
      </c>
      <c r="E101" s="30">
        <f t="shared" si="50"/>
        <v>101159.28344559134</v>
      </c>
      <c r="F101" s="30">
        <f t="shared" si="50"/>
        <v>95425.876852789967</v>
      </c>
      <c r="G101" s="30">
        <f t="shared" si="50"/>
        <v>89849.549892668088</v>
      </c>
      <c r="H101" s="30">
        <f t="shared" si="50"/>
        <v>84430.302565225691</v>
      </c>
      <c r="I101" s="18" t="s">
        <v>100</v>
      </c>
    </row>
    <row r="102" spans="2:9" ht="18" x14ac:dyDescent="0.25">
      <c r="B102" s="17" t="s">
        <v>101</v>
      </c>
      <c r="C102" s="32">
        <f>IF(C28="yes",PI()/4*(C12^2-C14^2),0)</f>
        <v>0</v>
      </c>
      <c r="D102" s="32">
        <f t="shared" ref="D102:H102" si="51">IF(D28="yes",PI()/4*(D12^2-D14^2),0)</f>
        <v>0</v>
      </c>
      <c r="E102" s="32">
        <f t="shared" si="51"/>
        <v>0</v>
      </c>
      <c r="F102" s="32">
        <f t="shared" si="51"/>
        <v>0</v>
      </c>
      <c r="G102" s="32">
        <f t="shared" si="51"/>
        <v>0</v>
      </c>
      <c r="H102" s="32">
        <f t="shared" si="51"/>
        <v>0</v>
      </c>
      <c r="I102" s="18" t="s">
        <v>102</v>
      </c>
    </row>
    <row r="103" spans="2:9" ht="18" x14ac:dyDescent="0.25">
      <c r="B103" s="17" t="s">
        <v>103</v>
      </c>
      <c r="C103" s="32">
        <f>IF(C72="inwards",PI()/4*(IF(C28="yes",C14,C12)^2-C13^2),"N/A")</f>
        <v>687.22339297276721</v>
      </c>
      <c r="D103" s="32">
        <f t="shared" ref="D103:H103" si="52">IF(D72="inwards",PI()/4*(IF(D28="yes",D14,D12)^2-D13^2),"N/A")</f>
        <v>687.22339297276721</v>
      </c>
      <c r="E103" s="32">
        <f t="shared" si="52"/>
        <v>687.22339297276721</v>
      </c>
      <c r="F103" s="32">
        <f t="shared" si="52"/>
        <v>687.22339297276721</v>
      </c>
      <c r="G103" s="32">
        <f t="shared" si="52"/>
        <v>687.22339297276721</v>
      </c>
      <c r="H103" s="32">
        <f t="shared" si="52"/>
        <v>687.22339297276721</v>
      </c>
      <c r="I103" s="18" t="s">
        <v>104</v>
      </c>
    </row>
    <row r="104" spans="2:9" ht="18" x14ac:dyDescent="0.25">
      <c r="B104" s="17" t="s">
        <v>75</v>
      </c>
      <c r="C104" s="30">
        <f t="shared" ref="C104:H104" si="53">IF(C72="inwards",IF(C28="no",0,C31*C102/10),"N/A")</f>
        <v>0</v>
      </c>
      <c r="D104" s="30">
        <f t="shared" si="53"/>
        <v>0</v>
      </c>
      <c r="E104" s="30">
        <f t="shared" si="53"/>
        <v>0</v>
      </c>
      <c r="F104" s="30">
        <f t="shared" si="53"/>
        <v>0</v>
      </c>
      <c r="G104" s="30">
        <f t="shared" si="53"/>
        <v>0</v>
      </c>
      <c r="H104" s="30">
        <f t="shared" si="53"/>
        <v>0</v>
      </c>
      <c r="I104" s="18" t="s">
        <v>105</v>
      </c>
    </row>
    <row r="105" spans="2:9" ht="18" x14ac:dyDescent="0.25">
      <c r="B105" s="17" t="s">
        <v>77</v>
      </c>
      <c r="C105" s="30">
        <f>IF(C72="inwards",PI()/4*((IF(C28="yes",C14,C12)/1000)^2-(C13/1000)^2)*IF(C29="no",C35,C30)*10^5,"N/A")</f>
        <v>412.33403578365949</v>
      </c>
      <c r="D105" s="30">
        <f t="shared" ref="D105:H105" si="54">IF(D72="inwards",PI()/4*((IF(D28="yes",D14,D12)/1000)^2-(D13/1000)^2)*IF(D29="no",D35,D30)*10^5,"N/A")</f>
        <v>412.33403578365949</v>
      </c>
      <c r="E105" s="30">
        <f t="shared" si="54"/>
        <v>412.33403578365949</v>
      </c>
      <c r="F105" s="30">
        <f t="shared" si="54"/>
        <v>412.33403578365949</v>
      </c>
      <c r="G105" s="30">
        <f t="shared" si="54"/>
        <v>412.33403578365949</v>
      </c>
      <c r="H105" s="30">
        <f t="shared" si="54"/>
        <v>412.33403578365949</v>
      </c>
      <c r="I105" s="18" t="s">
        <v>106</v>
      </c>
    </row>
    <row r="106" spans="2:9" ht="18" x14ac:dyDescent="0.25">
      <c r="B106" s="17" t="s">
        <v>79</v>
      </c>
      <c r="C106" s="30">
        <f t="shared" ref="C106:H106" si="55">IF(C72="inwards",C23*9.81*C26*(-C98*C100)/10^6,"N/A")</f>
        <v>-145858.8618115446</v>
      </c>
      <c r="D106" s="30">
        <f t="shared" si="55"/>
        <v>-129472.22277121077</v>
      </c>
      <c r="E106" s="30">
        <f t="shared" si="55"/>
        <v>-121613.03025341172</v>
      </c>
      <c r="F106" s="30">
        <f t="shared" si="55"/>
        <v>-114042.20518869918</v>
      </c>
      <c r="G106" s="30">
        <f t="shared" si="55"/>
        <v>-106666.03618125603</v>
      </c>
      <c r="H106" s="30">
        <f t="shared" si="55"/>
        <v>-99426.518841150988</v>
      </c>
      <c r="I106" s="18" t="s">
        <v>80</v>
      </c>
    </row>
    <row r="107" spans="2:9" ht="18" x14ac:dyDescent="0.25">
      <c r="B107" s="17" t="s">
        <v>81</v>
      </c>
      <c r="C107" s="30">
        <f t="shared" ref="C107:H107" si="56">IF(C72="inwards",C23*9.81*C26*(C99*C101)/10^6,"N/A")</f>
        <v>159270.10391115415</v>
      </c>
      <c r="D107" s="30">
        <f t="shared" si="56"/>
        <v>142931.07073699773</v>
      </c>
      <c r="E107" s="30">
        <f t="shared" si="56"/>
        <v>135075.31960771221</v>
      </c>
      <c r="F107" s="30">
        <f t="shared" si="56"/>
        <v>127428.74226114473</v>
      </c>
      <c r="G107" s="30">
        <f t="shared" si="56"/>
        <v>120041.26626706243</v>
      </c>
      <c r="H107" s="30">
        <f t="shared" si="56"/>
        <v>112859.69513374644</v>
      </c>
      <c r="I107" s="18" t="s">
        <v>82</v>
      </c>
    </row>
    <row r="108" spans="2:9" x14ac:dyDescent="0.25">
      <c r="B108" s="17" t="s">
        <v>376</v>
      </c>
      <c r="C108" s="30">
        <f t="shared" ref="C108:H108" si="57">IF(C72="inwards",C107+C106+C105+C104,"N/A")</f>
        <v>13823.576135393205</v>
      </c>
      <c r="D108" s="30">
        <f t="shared" si="57"/>
        <v>13871.18200157062</v>
      </c>
      <c r="E108" s="30">
        <f t="shared" si="57"/>
        <v>13874.623390084149</v>
      </c>
      <c r="F108" s="30">
        <f t="shared" si="57"/>
        <v>13798.871108229201</v>
      </c>
      <c r="G108" s="30">
        <f t="shared" si="57"/>
        <v>13787.564121590056</v>
      </c>
      <c r="H108" s="30">
        <f t="shared" si="57"/>
        <v>13845.510328379112</v>
      </c>
      <c r="I108" s="21" t="s">
        <v>84</v>
      </c>
    </row>
  </sheetData>
  <mergeCells count="12">
    <mergeCell ref="B91:I91"/>
    <mergeCell ref="B21:I21"/>
    <mergeCell ref="B33:I33"/>
    <mergeCell ref="B2:C2"/>
    <mergeCell ref="B3:C3"/>
    <mergeCell ref="B4:C4"/>
    <mergeCell ref="B5:C5"/>
    <mergeCell ref="B6:C6"/>
    <mergeCell ref="B44:I44"/>
    <mergeCell ref="B66:I66"/>
    <mergeCell ref="B34:I34"/>
    <mergeCell ref="B9:I9"/>
  </mergeCells>
  <dataValidations disablePrompts="1" count="5">
    <dataValidation type="list" allowBlank="1" showInputMessage="1" showErrorMessage="1" sqref="C28:H29" xr:uid="{58210FA6-0B11-4766-BD86-FC00C06BDF54}">
      <formula1>"yes, no"</formula1>
    </dataValidation>
    <dataValidation type="list" allowBlank="1" showInputMessage="1" showErrorMessage="1" sqref="C47:H47 C69:H69" xr:uid="{9158CD4A-CF2F-43A0-A942-A8B883C68F04}">
      <formula1>"rough, serrated, isotropic pattern"</formula1>
    </dataValidation>
    <dataValidation type="decimal" allowBlank="1" showInputMessage="1" showErrorMessage="1" sqref="C45:H45 C67:H67" xr:uid="{72D42EB9-DEEE-4132-8C94-FCDFB02BE0F3}">
      <formula1>1</formula1>
      <formula2>1.2</formula2>
    </dataValidation>
    <dataValidation type="decimal" allowBlank="1" showInputMessage="1" showErrorMessage="1" errorTitle="Error" error="Input out of range 0.005 - 0.01. Please select it within this range." sqref="C49 D71" xr:uid="{2A03523C-664D-4C90-98FB-2794A974D056}">
      <formula1>0.005</formula1>
      <formula2>0.01</formula2>
    </dataValidation>
    <dataValidation type="list" allowBlank="1" showInputMessage="1" showErrorMessage="1" errorTitle="Error" error="Select the case to be studied." sqref="I8" xr:uid="{1ABBDC42-9599-4B4A-9C47-596A8092BE09}">
      <formula1>$C$8:$H$8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477" r:id="rId4" name="CommandButton6">
          <controlPr defaultSize="0" autoLine="0" r:id="rId5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477" r:id="rId4" name="CommandButton6"/>
      </mc:Fallback>
    </mc:AlternateContent>
    <mc:AlternateContent xmlns:mc="http://schemas.openxmlformats.org/markup-compatibility/2006">
      <mc:Choice Requires="x14">
        <control shapeId="2476" r:id="rId6" name="CommandButton5">
          <controlPr defaultSize="0" autoLine="0" r:id="rId7">
            <anchor moveWithCells="1" sizeWithCells="1">
              <from>
                <xdr:col>6</xdr:col>
                <xdr:colOff>0</xdr:colOff>
                <xdr:row>7</xdr:row>
                <xdr:rowOff>0</xdr:rowOff>
              </from>
              <to>
                <xdr:col>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476" r:id="rId6" name="CommandButton5"/>
      </mc:Fallback>
    </mc:AlternateContent>
    <mc:AlternateContent xmlns:mc="http://schemas.openxmlformats.org/markup-compatibility/2006">
      <mc:Choice Requires="x14">
        <control shapeId="2475" r:id="rId8" name="CommandButton4">
          <controlPr defaultSize="0" autoLine="0" r:id="rId9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475" r:id="rId8" name="CommandButton4"/>
      </mc:Fallback>
    </mc:AlternateContent>
    <mc:AlternateContent xmlns:mc="http://schemas.openxmlformats.org/markup-compatibility/2006">
      <mc:Choice Requires="x14">
        <control shapeId="2474" r:id="rId10" name="CommandButton3">
          <controlPr defaultSize="0" autoLine="0" autoPict="0" r:id="rId11">
            <anchor moveWithCells="1" siz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474" r:id="rId10" name="CommandButton3"/>
      </mc:Fallback>
    </mc:AlternateContent>
    <mc:AlternateContent xmlns:mc="http://schemas.openxmlformats.org/markup-compatibility/2006">
      <mc:Choice Requires="x14">
        <control shapeId="2473" r:id="rId12" name="CommandButton2">
          <controlPr defaultSize="0" autoLine="0" r:id="rId13">
            <anchor moveWithCells="1" sizeWithCells="1">
              <from>
                <xdr:col>3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473" r:id="rId12" name="CommandButton2"/>
      </mc:Fallback>
    </mc:AlternateContent>
    <mc:AlternateContent xmlns:mc="http://schemas.openxmlformats.org/markup-compatibility/2006">
      <mc:Choice Requires="x14">
        <control shapeId="2323" r:id="rId14" name="CommandButton1">
          <controlPr defaultSize="0" autoLine="0" r:id="rId15">
            <anchor moveWithCells="1" siz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323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A8C3E-7A40-4727-B06A-35D089C3B069}">
  <sheetPr codeName="Foglio4"/>
  <dimension ref="B2:Y82"/>
  <sheetViews>
    <sheetView zoomScaleNormal="100" workbookViewId="0">
      <selection activeCell="E5" sqref="E5"/>
    </sheetView>
  </sheetViews>
  <sheetFormatPr defaultRowHeight="15" outlineLevelRow="1" outlineLevelCol="1" x14ac:dyDescent="0.25"/>
  <cols>
    <col min="1" max="1" width="3.7109375" customWidth="1"/>
    <col min="2" max="2" width="10.7109375" bestFit="1" customWidth="1"/>
    <col min="3" max="8" width="15.7109375" customWidth="1"/>
    <col min="9" max="9" width="83.7109375" bestFit="1" customWidth="1"/>
    <col min="10" max="10" width="15" hidden="1" customWidth="1" outlineLevel="1"/>
    <col min="11" max="11" width="3.7109375" customWidth="1" collapsed="1"/>
    <col min="22" max="22" width="3.7109375" customWidth="1"/>
    <col min="23" max="23" width="62.28515625" bestFit="1" customWidth="1"/>
    <col min="24" max="24" width="15.5703125" bestFit="1" customWidth="1"/>
    <col min="25" max="25" width="18" bestFit="1" customWidth="1"/>
  </cols>
  <sheetData>
    <row r="2" spans="2:25" x14ac:dyDescent="0.25">
      <c r="B2" s="102" t="s">
        <v>7</v>
      </c>
      <c r="C2" s="102"/>
    </row>
    <row r="3" spans="2:25" x14ac:dyDescent="0.25">
      <c r="B3" s="103" t="s">
        <v>8</v>
      </c>
      <c r="C3" s="103"/>
    </row>
    <row r="4" spans="2:25" x14ac:dyDescent="0.25">
      <c r="B4" s="104" t="s">
        <v>9</v>
      </c>
      <c r="C4" s="104"/>
    </row>
    <row r="5" spans="2:25" x14ac:dyDescent="0.25">
      <c r="B5" s="105" t="s">
        <v>10</v>
      </c>
      <c r="C5" s="105"/>
      <c r="D5" s="54"/>
      <c r="E5" s="54"/>
      <c r="F5" s="54"/>
      <c r="G5" s="54"/>
      <c r="H5" s="54"/>
    </row>
    <row r="6" spans="2:25" x14ac:dyDescent="0.25">
      <c r="B6" s="106" t="s">
        <v>11</v>
      </c>
      <c r="C6" s="106"/>
      <c r="D6" s="55"/>
      <c r="E6" s="55"/>
      <c r="F6" s="55"/>
      <c r="G6" s="55"/>
      <c r="H6" s="55"/>
    </row>
    <row r="7" spans="2:25" x14ac:dyDescent="0.25">
      <c r="C7" s="51"/>
      <c r="D7" s="51"/>
      <c r="E7" s="51"/>
      <c r="F7" s="51"/>
      <c r="G7" s="51"/>
      <c r="H7" s="51"/>
      <c r="I7" s="49" t="s">
        <v>377</v>
      </c>
    </row>
    <row r="8" spans="2:25" ht="54.95" customHeight="1" x14ac:dyDescent="0.25">
      <c r="B8" s="49" t="s">
        <v>374</v>
      </c>
      <c r="C8" s="52">
        <v>1</v>
      </c>
      <c r="D8" s="52">
        <v>2</v>
      </c>
      <c r="E8" s="52">
        <v>3</v>
      </c>
      <c r="F8" s="52">
        <v>4</v>
      </c>
      <c r="G8" s="52">
        <v>5</v>
      </c>
      <c r="H8" s="52">
        <v>6</v>
      </c>
      <c r="I8" s="53">
        <v>1</v>
      </c>
      <c r="J8" s="50"/>
    </row>
    <row r="9" spans="2:25" ht="15.75" thickBot="1" x14ac:dyDescent="0.3">
      <c r="B9" s="99" t="s">
        <v>107</v>
      </c>
      <c r="C9" s="100"/>
      <c r="D9" s="100"/>
      <c r="E9" s="100"/>
      <c r="F9" s="100"/>
      <c r="G9" s="100"/>
      <c r="H9" s="100"/>
      <c r="I9" s="101"/>
      <c r="J9" t="str">
        <f>+"CASE " &amp; I8</f>
        <v>CASE 1</v>
      </c>
      <c r="W9" s="107" t="s">
        <v>108</v>
      </c>
      <c r="X9" s="107"/>
      <c r="Y9" s="107"/>
    </row>
    <row r="10" spans="2:25" ht="18.75" thickBot="1" x14ac:dyDescent="0.3">
      <c r="B10" s="17" t="s">
        <v>13</v>
      </c>
      <c r="C10" s="40">
        <v>390</v>
      </c>
      <c r="D10" s="40">
        <v>410</v>
      </c>
      <c r="E10" s="40">
        <f t="shared" ref="E10:H10" si="0">+D10+10</f>
        <v>420</v>
      </c>
      <c r="F10" s="40">
        <f t="shared" si="0"/>
        <v>430</v>
      </c>
      <c r="G10" s="40">
        <f t="shared" si="0"/>
        <v>440</v>
      </c>
      <c r="H10" s="40">
        <f t="shared" si="0"/>
        <v>450</v>
      </c>
      <c r="I10" s="18" t="s">
        <v>14</v>
      </c>
      <c r="J10" t="str">
        <f t="shared" ref="J10:J16" ca="1" si="1">B10 &amp; " = " &amp; OFFSET(B10,0,$I$8)</f>
        <v>D2 [mm] = 390</v>
      </c>
      <c r="W10" s="34" t="s">
        <v>109</v>
      </c>
      <c r="X10" s="35" t="s">
        <v>110</v>
      </c>
      <c r="Y10" s="35" t="s">
        <v>111</v>
      </c>
    </row>
    <row r="11" spans="2:25" ht="18.75" thickBot="1" x14ac:dyDescent="0.3">
      <c r="B11" s="17" t="s">
        <v>112</v>
      </c>
      <c r="C11" s="40">
        <v>320</v>
      </c>
      <c r="D11" s="40">
        <v>350</v>
      </c>
      <c r="E11" s="40">
        <v>350</v>
      </c>
      <c r="F11" s="40">
        <v>350</v>
      </c>
      <c r="G11" s="40">
        <v>350</v>
      </c>
      <c r="H11" s="40">
        <v>350</v>
      </c>
      <c r="I11" s="18" t="s">
        <v>113</v>
      </c>
      <c r="J11" t="str">
        <f t="shared" ca="1" si="1"/>
        <v>Dsp1 [mm] = 320</v>
      </c>
      <c r="W11" s="36" t="s">
        <v>114</v>
      </c>
      <c r="X11" s="37" t="s">
        <v>115</v>
      </c>
      <c r="Y11" s="37" t="s">
        <v>116</v>
      </c>
    </row>
    <row r="12" spans="2:25" ht="18.75" thickBot="1" x14ac:dyDescent="0.3">
      <c r="B12" s="17" t="s">
        <v>117</v>
      </c>
      <c r="C12" s="40">
        <v>320</v>
      </c>
      <c r="D12" s="40">
        <v>320</v>
      </c>
      <c r="E12" s="40">
        <v>320</v>
      </c>
      <c r="F12" s="40">
        <v>320</v>
      </c>
      <c r="G12" s="40">
        <v>320</v>
      </c>
      <c r="H12" s="40">
        <v>320</v>
      </c>
      <c r="I12" s="18" t="s">
        <v>118</v>
      </c>
      <c r="J12" t="str">
        <f t="shared" ca="1" si="1"/>
        <v>Dsp2 [mm] = 320</v>
      </c>
      <c r="W12" s="36" t="s">
        <v>119</v>
      </c>
      <c r="X12" s="37" t="s">
        <v>120</v>
      </c>
      <c r="Y12" s="37" t="s">
        <v>121</v>
      </c>
    </row>
    <row r="13" spans="2:25" ht="18" x14ac:dyDescent="0.25">
      <c r="B13" s="17" t="s">
        <v>122</v>
      </c>
      <c r="C13" s="40">
        <v>0.1</v>
      </c>
      <c r="D13" s="40">
        <v>0.1</v>
      </c>
      <c r="E13" s="40">
        <v>0.1</v>
      </c>
      <c r="F13" s="40">
        <v>0.1</v>
      </c>
      <c r="G13" s="40">
        <v>0.1</v>
      </c>
      <c r="H13" s="40">
        <v>0.1</v>
      </c>
      <c r="I13" s="18" t="s">
        <v>123</v>
      </c>
      <c r="J13" t="str">
        <f t="shared" ca="1" si="1"/>
        <v>ssp1 [mm] = 0.1</v>
      </c>
    </row>
    <row r="14" spans="2:25" ht="18.75" thickBot="1" x14ac:dyDescent="0.3">
      <c r="B14" s="17" t="s">
        <v>124</v>
      </c>
      <c r="C14" s="40">
        <v>0.1</v>
      </c>
      <c r="D14" s="40">
        <v>0.1</v>
      </c>
      <c r="E14" s="40">
        <v>0.1</v>
      </c>
      <c r="F14" s="40">
        <v>0.1</v>
      </c>
      <c r="G14" s="40">
        <v>0.1</v>
      </c>
      <c r="H14" s="40">
        <v>0.1</v>
      </c>
      <c r="I14" s="18" t="s">
        <v>125</v>
      </c>
      <c r="J14" t="str">
        <f t="shared" ca="1" si="1"/>
        <v>ssp2 [mm] = 0.1</v>
      </c>
      <c r="W14" s="107" t="s">
        <v>126</v>
      </c>
      <c r="X14" s="107"/>
      <c r="Y14" s="107"/>
    </row>
    <row r="15" spans="2:25" ht="18.75" thickBot="1" x14ac:dyDescent="0.3">
      <c r="B15" s="17" t="s">
        <v>127</v>
      </c>
      <c r="C15" s="40">
        <v>25</v>
      </c>
      <c r="D15" s="40">
        <v>25</v>
      </c>
      <c r="E15" s="40">
        <v>25</v>
      </c>
      <c r="F15" s="40">
        <v>25</v>
      </c>
      <c r="G15" s="40">
        <v>25</v>
      </c>
      <c r="H15" s="40">
        <v>25</v>
      </c>
      <c r="I15" s="18" t="s">
        <v>128</v>
      </c>
      <c r="J15" t="str">
        <f t="shared" ca="1" si="1"/>
        <v>Lsp1 [mm] = 25</v>
      </c>
      <c r="W15" s="34" t="s">
        <v>129</v>
      </c>
      <c r="X15" s="35" t="s">
        <v>115</v>
      </c>
      <c r="Y15" s="35" t="s">
        <v>116</v>
      </c>
    </row>
    <row r="16" spans="2:25" ht="18" x14ac:dyDescent="0.25">
      <c r="B16" s="17" t="s">
        <v>130</v>
      </c>
      <c r="C16" s="40">
        <v>25</v>
      </c>
      <c r="D16" s="40">
        <v>25</v>
      </c>
      <c r="E16" s="40">
        <v>25</v>
      </c>
      <c r="F16" s="40">
        <v>25</v>
      </c>
      <c r="G16" s="40">
        <v>25</v>
      </c>
      <c r="H16" s="40">
        <v>25</v>
      </c>
      <c r="I16" s="18" t="s">
        <v>131</v>
      </c>
      <c r="J16" t="str">
        <f t="shared" ca="1" si="1"/>
        <v>Lsp2 [mm] = 25</v>
      </c>
      <c r="W16" s="38" t="s">
        <v>132</v>
      </c>
      <c r="X16" s="46">
        <v>0.01</v>
      </c>
      <c r="Y16" s="46">
        <v>0.03</v>
      </c>
    </row>
    <row r="17" spans="2:25" ht="18" x14ac:dyDescent="0.25">
      <c r="B17" s="17" t="s">
        <v>32</v>
      </c>
      <c r="C17" s="40">
        <v>0.75</v>
      </c>
      <c r="D17" s="40">
        <v>0.75</v>
      </c>
      <c r="E17" s="40">
        <v>0.75</v>
      </c>
      <c r="F17" s="40">
        <v>0.75</v>
      </c>
      <c r="G17" s="40">
        <v>0.75</v>
      </c>
      <c r="H17" s="40">
        <v>0.75</v>
      </c>
      <c r="I17" s="21" t="s">
        <v>33</v>
      </c>
      <c r="W17" s="38" t="s">
        <v>133</v>
      </c>
      <c r="X17" s="47"/>
      <c r="Y17" s="47"/>
    </row>
    <row r="18" spans="2:25" ht="15.75" thickBot="1" x14ac:dyDescent="0.3">
      <c r="W18" s="36" t="s">
        <v>134</v>
      </c>
      <c r="X18" s="48"/>
      <c r="Y18" s="48"/>
    </row>
    <row r="19" spans="2:25" x14ac:dyDescent="0.25">
      <c r="B19" s="99" t="s">
        <v>34</v>
      </c>
      <c r="C19" s="100"/>
      <c r="D19" s="100"/>
      <c r="E19" s="100"/>
      <c r="F19" s="100"/>
      <c r="G19" s="100"/>
      <c r="H19" s="100"/>
      <c r="I19" s="101"/>
      <c r="W19" s="38" t="s">
        <v>135</v>
      </c>
      <c r="X19" s="46">
        <v>5.0000000000000001E-3</v>
      </c>
      <c r="Y19" s="46">
        <v>1.4999999999999999E-2</v>
      </c>
    </row>
    <row r="20" spans="2:25" x14ac:dyDescent="0.25">
      <c r="B20" s="17" t="s">
        <v>35</v>
      </c>
      <c r="C20" s="42">
        <v>2980</v>
      </c>
      <c r="D20" s="42">
        <v>2980</v>
      </c>
      <c r="E20" s="42">
        <v>2980</v>
      </c>
      <c r="F20" s="42">
        <v>2980</v>
      </c>
      <c r="G20" s="42">
        <v>2980</v>
      </c>
      <c r="H20" s="42">
        <v>2980</v>
      </c>
      <c r="I20" s="18" t="s">
        <v>36</v>
      </c>
      <c r="W20" s="38" t="s">
        <v>136</v>
      </c>
      <c r="X20" s="47"/>
      <c r="Y20" s="47"/>
    </row>
    <row r="21" spans="2:25" ht="17.25" thickBot="1" x14ac:dyDescent="0.3">
      <c r="B21" s="22" t="s">
        <v>37</v>
      </c>
      <c r="C21" s="40">
        <v>850</v>
      </c>
      <c r="D21" s="40">
        <v>850</v>
      </c>
      <c r="E21" s="40">
        <v>850</v>
      </c>
      <c r="F21" s="40">
        <v>850</v>
      </c>
      <c r="G21" s="40">
        <v>850</v>
      </c>
      <c r="H21" s="40">
        <v>850</v>
      </c>
      <c r="I21" s="18" t="s">
        <v>38</v>
      </c>
      <c r="W21" s="36" t="s">
        <v>137</v>
      </c>
      <c r="X21" s="48"/>
      <c r="Y21" s="48"/>
    </row>
    <row r="22" spans="2:25" ht="16.5" x14ac:dyDescent="0.25">
      <c r="B22" s="22" t="s">
        <v>330</v>
      </c>
      <c r="C22" s="41">
        <v>1</v>
      </c>
      <c r="D22" s="41">
        <v>1</v>
      </c>
      <c r="E22" s="41">
        <v>1</v>
      </c>
      <c r="F22" s="41">
        <v>1</v>
      </c>
      <c r="G22" s="41">
        <v>1</v>
      </c>
      <c r="H22" s="41">
        <v>1</v>
      </c>
      <c r="I22" s="18" t="s">
        <v>39</v>
      </c>
      <c r="W22" s="38" t="s">
        <v>138</v>
      </c>
      <c r="X22" s="46">
        <v>5.0000000000000001E-3</v>
      </c>
      <c r="Y22" s="46">
        <v>0.01</v>
      </c>
    </row>
    <row r="23" spans="2:25" x14ac:dyDescent="0.25">
      <c r="B23" s="17" t="s">
        <v>42</v>
      </c>
      <c r="C23" s="40">
        <v>200</v>
      </c>
      <c r="D23" s="40">
        <v>200</v>
      </c>
      <c r="E23" s="40">
        <v>200</v>
      </c>
      <c r="F23" s="40">
        <v>200</v>
      </c>
      <c r="G23" s="40">
        <v>200</v>
      </c>
      <c r="H23" s="40">
        <v>200</v>
      </c>
      <c r="I23" s="18" t="s">
        <v>43</v>
      </c>
      <c r="W23" s="38" t="s">
        <v>139</v>
      </c>
      <c r="X23" s="47"/>
      <c r="Y23" s="47"/>
    </row>
    <row r="24" spans="2:25" ht="18.75" thickBot="1" x14ac:dyDescent="0.3">
      <c r="B24" s="17" t="s">
        <v>140</v>
      </c>
      <c r="C24" s="41">
        <v>0.02</v>
      </c>
      <c r="D24" s="41">
        <v>0.02</v>
      </c>
      <c r="E24" s="41">
        <v>0.02</v>
      </c>
      <c r="F24" s="41">
        <v>0.02</v>
      </c>
      <c r="G24" s="41">
        <v>0.02</v>
      </c>
      <c r="H24" s="41">
        <v>0.02</v>
      </c>
      <c r="I24" s="21" t="s">
        <v>141</v>
      </c>
      <c r="W24" s="36" t="s">
        <v>142</v>
      </c>
      <c r="X24" s="48"/>
      <c r="Y24" s="48"/>
    </row>
    <row r="26" spans="2:25" x14ac:dyDescent="0.25">
      <c r="B26" s="99" t="s">
        <v>143</v>
      </c>
      <c r="C26" s="100"/>
      <c r="D26" s="100"/>
      <c r="E26" s="100"/>
      <c r="F26" s="100"/>
      <c r="G26" s="100"/>
      <c r="H26" s="100"/>
      <c r="I26" s="101"/>
    </row>
    <row r="27" spans="2:25" ht="18" x14ac:dyDescent="0.25">
      <c r="B27" s="17" t="s">
        <v>332</v>
      </c>
      <c r="C27" s="27">
        <f t="shared" ref="C27" si="2">C21*9.81*C23/10^5*C17</f>
        <v>12.50775</v>
      </c>
      <c r="D27" s="27">
        <f t="shared" ref="D27:H27" si="3">D21*9.81*D23/10^5*D17</f>
        <v>12.50775</v>
      </c>
      <c r="E27" s="27">
        <f t="shared" si="3"/>
        <v>12.50775</v>
      </c>
      <c r="F27" s="27">
        <f t="shared" si="3"/>
        <v>12.50775</v>
      </c>
      <c r="G27" s="27">
        <f t="shared" si="3"/>
        <v>12.50775</v>
      </c>
      <c r="H27" s="27">
        <f t="shared" si="3"/>
        <v>12.50775</v>
      </c>
      <c r="I27" s="18" t="s">
        <v>58</v>
      </c>
      <c r="J27" t="str">
        <f ca="1">B27 &amp; " = " &amp; ROUND(OFFSET(B27,0,$I$8),1)</f>
        <v>pLA [bar] = 12.5</v>
      </c>
    </row>
    <row r="28" spans="2:25" ht="18" x14ac:dyDescent="0.25">
      <c r="B28" s="17" t="s">
        <v>59</v>
      </c>
      <c r="C28" s="27">
        <f t="shared" ref="C28" si="4">+C20*2*PI()/60*(C10/2000)</f>
        <v>60.852649700034299</v>
      </c>
      <c r="D28" s="27">
        <f t="shared" ref="D28:H28" si="5">+D20*2*PI()/60*(D10/2000)</f>
        <v>63.97329840260015</v>
      </c>
      <c r="E28" s="27">
        <f t="shared" si="5"/>
        <v>65.53362275388308</v>
      </c>
      <c r="F28" s="27">
        <f t="shared" si="5"/>
        <v>67.093947105166009</v>
      </c>
      <c r="G28" s="27">
        <f t="shared" si="5"/>
        <v>68.654271456448953</v>
      </c>
      <c r="H28" s="27">
        <f t="shared" si="5"/>
        <v>70.214595807731882</v>
      </c>
      <c r="I28" s="18" t="s">
        <v>60</v>
      </c>
    </row>
    <row r="29" spans="2:25" x14ac:dyDescent="0.25">
      <c r="B29" s="17" t="s">
        <v>61</v>
      </c>
      <c r="C29" s="30">
        <f t="shared" ref="C29" si="6">+C28*(C10/1000)/2/(C22*10^-6)</f>
        <v>11866266.691506688</v>
      </c>
      <c r="D29" s="30">
        <f t="shared" ref="D29:H29" si="7">+D28*(D10/1000)/2/(D22*10^-6)</f>
        <v>13114526.17253303</v>
      </c>
      <c r="E29" s="30">
        <f t="shared" si="7"/>
        <v>13762060.778315447</v>
      </c>
      <c r="F29" s="30">
        <f t="shared" si="7"/>
        <v>14425198.627610693</v>
      </c>
      <c r="G29" s="30">
        <f t="shared" si="7"/>
        <v>15103939.720418772</v>
      </c>
      <c r="H29" s="30">
        <f t="shared" si="7"/>
        <v>15798284.056739673</v>
      </c>
      <c r="I29" s="21" t="s">
        <v>62</v>
      </c>
    </row>
    <row r="30" spans="2:25" ht="18" x14ac:dyDescent="0.25">
      <c r="B30" s="17" t="s">
        <v>384</v>
      </c>
      <c r="C30" s="29">
        <f t="shared" ref="C30" si="8">C29^0.3*C13*C11/C10^2*(C13/C15)^0.5</f>
        <v>1.7633762668709211E-3</v>
      </c>
      <c r="D30" s="29">
        <f t="shared" ref="D30:H30" si="9">D29^0.3*D13*D11/D10^2*(D13/D15)^0.5</f>
        <v>1.7982750047815543E-3</v>
      </c>
      <c r="E30" s="29">
        <f t="shared" si="9"/>
        <v>1.7386193174472294E-3</v>
      </c>
      <c r="F30" s="29">
        <f t="shared" si="9"/>
        <v>1.6822776279221219E-3</v>
      </c>
      <c r="G30" s="29">
        <f t="shared" si="9"/>
        <v>1.6289950332082877E-3</v>
      </c>
      <c r="H30" s="29">
        <f t="shared" si="9"/>
        <v>1.5785414415744794E-3</v>
      </c>
      <c r="I30" s="18" t="s">
        <v>383</v>
      </c>
    </row>
    <row r="31" spans="2:25" ht="18" x14ac:dyDescent="0.25">
      <c r="B31" s="17" t="s">
        <v>385</v>
      </c>
      <c r="C31" s="29">
        <f>C29^0.3*C14*C12/C10^2*(C14/C16)^0.5</f>
        <v>1.7633762668709211E-3</v>
      </c>
      <c r="D31" s="29">
        <f t="shared" ref="D31:H31" si="10">D29^0.3*D14*D12/D10^2*(D14/D16)^0.5</f>
        <v>1.6441371472288495E-3</v>
      </c>
      <c r="E31" s="29">
        <f t="shared" si="10"/>
        <v>1.5895948045231809E-3</v>
      </c>
      <c r="F31" s="29">
        <f t="shared" si="10"/>
        <v>1.5380824026716543E-3</v>
      </c>
      <c r="G31" s="29">
        <f t="shared" si="10"/>
        <v>1.4893668875047201E-3</v>
      </c>
      <c r="H31" s="29">
        <f t="shared" si="10"/>
        <v>1.443237889439524E-3</v>
      </c>
      <c r="I31" s="18" t="s">
        <v>387</v>
      </c>
    </row>
    <row r="32" spans="2:25" ht="18" x14ac:dyDescent="0.25">
      <c r="B32" s="17" t="s">
        <v>386</v>
      </c>
      <c r="C32" s="31">
        <f>0.9*C30^0.087</f>
        <v>0.51841137669097681</v>
      </c>
      <c r="D32" s="31">
        <f t="shared" ref="D32:H32" si="11">0.9*D30^0.087</f>
        <v>0.519296016103727</v>
      </c>
      <c r="E32" s="31">
        <f t="shared" si="11"/>
        <v>0.5177740744314524</v>
      </c>
      <c r="F32" s="31">
        <f t="shared" si="11"/>
        <v>0.51629225086091934</v>
      </c>
      <c r="G32" s="31">
        <f t="shared" si="11"/>
        <v>0.51484859104549952</v>
      </c>
      <c r="H32" s="31">
        <f t="shared" si="11"/>
        <v>0.51344127757566727</v>
      </c>
      <c r="I32" s="18" t="s">
        <v>388</v>
      </c>
    </row>
    <row r="33" spans="2:9" ht="18" x14ac:dyDescent="0.25">
      <c r="B33" s="17" t="s">
        <v>389</v>
      </c>
      <c r="C33" s="31">
        <f>0.9*C31^0.087</f>
        <v>0.51841137669097681</v>
      </c>
      <c r="D33" s="31">
        <f t="shared" ref="D33:H33" si="12">0.9*D31^0.087</f>
        <v>0.51526319138194709</v>
      </c>
      <c r="E33" s="31">
        <f t="shared" si="12"/>
        <v>0.5137530690262293</v>
      </c>
      <c r="F33" s="31">
        <f t="shared" si="12"/>
        <v>0.51228275321724903</v>
      </c>
      <c r="G33" s="31">
        <f t="shared" si="12"/>
        <v>0.51085030478572757</v>
      </c>
      <c r="H33" s="31">
        <f t="shared" si="12"/>
        <v>0.50945392043604343</v>
      </c>
      <c r="I33" s="21" t="s">
        <v>390</v>
      </c>
    </row>
    <row r="35" spans="2:9" x14ac:dyDescent="0.25">
      <c r="B35" s="99" t="s">
        <v>342</v>
      </c>
      <c r="C35" s="100"/>
      <c r="D35" s="100"/>
      <c r="E35" s="100"/>
      <c r="F35" s="100"/>
      <c r="G35" s="100"/>
      <c r="H35" s="100"/>
      <c r="I35" s="101"/>
    </row>
    <row r="36" spans="2:9" ht="18" x14ac:dyDescent="0.25">
      <c r="B36" s="19" t="s">
        <v>210</v>
      </c>
      <c r="C36" s="44">
        <v>1.2</v>
      </c>
      <c r="D36" s="44">
        <v>1.2</v>
      </c>
      <c r="E36" s="44">
        <v>1.2</v>
      </c>
      <c r="F36" s="44">
        <v>1.2</v>
      </c>
      <c r="G36" s="44">
        <v>1.2</v>
      </c>
      <c r="H36" s="44">
        <v>1.2</v>
      </c>
      <c r="I36" s="18" t="s">
        <v>211</v>
      </c>
    </row>
    <row r="37" spans="2:9" ht="18" x14ac:dyDescent="0.25">
      <c r="B37" s="19" t="s">
        <v>212</v>
      </c>
      <c r="C37" s="43">
        <v>0</v>
      </c>
      <c r="D37" s="43">
        <v>0</v>
      </c>
      <c r="E37" s="43">
        <v>0</v>
      </c>
      <c r="F37" s="43">
        <v>0</v>
      </c>
      <c r="G37" s="43">
        <v>0</v>
      </c>
      <c r="H37" s="43">
        <v>0</v>
      </c>
      <c r="I37" s="18" t="s">
        <v>213</v>
      </c>
    </row>
    <row r="38" spans="2:9" x14ac:dyDescent="0.25">
      <c r="B38" s="19" t="s">
        <v>217</v>
      </c>
      <c r="C38" s="43" t="s">
        <v>218</v>
      </c>
      <c r="D38" s="43" t="s">
        <v>218</v>
      </c>
      <c r="E38" s="43" t="s">
        <v>218</v>
      </c>
      <c r="F38" s="43" t="s">
        <v>218</v>
      </c>
      <c r="G38" s="43" t="s">
        <v>371</v>
      </c>
      <c r="H38" s="43" t="s">
        <v>218</v>
      </c>
      <c r="I38" s="18" t="s">
        <v>219</v>
      </c>
    </row>
    <row r="39" spans="2:9" x14ac:dyDescent="0.25">
      <c r="B39" s="19" t="s">
        <v>220</v>
      </c>
      <c r="C39" s="41"/>
      <c r="D39" s="41">
        <v>0.08</v>
      </c>
      <c r="E39" s="41">
        <v>0.08</v>
      </c>
      <c r="F39" s="41">
        <v>0.08</v>
      </c>
      <c r="G39" s="41">
        <v>0.08</v>
      </c>
      <c r="H39" s="41">
        <v>0.08</v>
      </c>
      <c r="I39" s="18" t="s">
        <v>221</v>
      </c>
    </row>
    <row r="40" spans="2:9" x14ac:dyDescent="0.25">
      <c r="B40" s="19" t="s">
        <v>115</v>
      </c>
      <c r="C40" s="31">
        <f>0.135*C39/C15</f>
        <v>0</v>
      </c>
      <c r="D40" s="31">
        <f>0.135*D39/D13</f>
        <v>0.108</v>
      </c>
      <c r="E40" s="31">
        <f>0.135*E39/E13</f>
        <v>0.108</v>
      </c>
      <c r="F40" s="31">
        <f>0.135*F39/F13</f>
        <v>0.108</v>
      </c>
      <c r="G40" s="31">
        <f>0.135*G39/G13</f>
        <v>0.108</v>
      </c>
      <c r="H40" s="31">
        <f>0.135*H39/H13</f>
        <v>0.108</v>
      </c>
      <c r="I40" s="18" t="s">
        <v>222</v>
      </c>
    </row>
    <row r="41" spans="2:9" ht="18" x14ac:dyDescent="0.25">
      <c r="B41" s="17" t="s">
        <v>147</v>
      </c>
      <c r="C41" s="31">
        <f>+C11/C10</f>
        <v>0.82051282051282048</v>
      </c>
      <c r="D41" s="31">
        <f t="shared" ref="D41:H41" si="13">+D11/D10</f>
        <v>0.85365853658536583</v>
      </c>
      <c r="E41" s="31">
        <f t="shared" si="13"/>
        <v>0.83333333333333337</v>
      </c>
      <c r="F41" s="31">
        <f t="shared" si="13"/>
        <v>0.81395348837209303</v>
      </c>
      <c r="G41" s="31">
        <f t="shared" si="13"/>
        <v>0.79545454545454541</v>
      </c>
      <c r="H41" s="31">
        <f t="shared" si="13"/>
        <v>0.77777777777777779</v>
      </c>
      <c r="I41" s="18" t="s">
        <v>345</v>
      </c>
    </row>
    <row r="42" spans="2:9" ht="18" hidden="1" outlineLevel="1" x14ac:dyDescent="0.25">
      <c r="B42" s="19" t="s">
        <v>223</v>
      </c>
      <c r="C42" s="27">
        <f>C54/(PI()*C11*C13)/3600*1000000</f>
        <v>6.7628233122721522</v>
      </c>
      <c r="D42" s="27">
        <f t="shared" ref="D42:H42" si="14">D54/(PI()*D11*D13)/3600*1000000</f>
        <v>5.8748121013497254</v>
      </c>
      <c r="E42" s="27">
        <f t="shared" si="14"/>
        <v>5.7600800981600324</v>
      </c>
      <c r="F42" s="27">
        <f t="shared" si="14"/>
        <v>5.643680580641643</v>
      </c>
      <c r="G42" s="27">
        <f t="shared" si="14"/>
        <v>5.5256053668338057</v>
      </c>
      <c r="H42" s="27">
        <f t="shared" si="14"/>
        <v>5.405847577844173</v>
      </c>
      <c r="I42" s="18" t="s">
        <v>224</v>
      </c>
    </row>
    <row r="43" spans="2:9" hidden="1" outlineLevel="1" x14ac:dyDescent="0.25">
      <c r="B43" s="19" t="s">
        <v>61</v>
      </c>
      <c r="C43" s="30">
        <f>2*C13*C42/(C22*10^-6)/1000</f>
        <v>1352.5646624544304</v>
      </c>
      <c r="D43" s="30">
        <f t="shared" ref="D43:H43" si="15">2*D13*D42/(D22*10^-6)/1000</f>
        <v>1174.9624202699451</v>
      </c>
      <c r="E43" s="30">
        <f t="shared" si="15"/>
        <v>1152.0160196320069</v>
      </c>
      <c r="F43" s="30">
        <f t="shared" si="15"/>
        <v>1128.7361161283288</v>
      </c>
      <c r="G43" s="30">
        <f t="shared" si="15"/>
        <v>1105.1210733667613</v>
      </c>
      <c r="H43" s="30">
        <f t="shared" si="15"/>
        <v>1081.1695155688344</v>
      </c>
      <c r="I43" s="18" t="s">
        <v>225</v>
      </c>
    </row>
    <row r="44" spans="2:9" ht="18" hidden="1" outlineLevel="1" x14ac:dyDescent="0.25">
      <c r="B44" s="19" t="s">
        <v>226</v>
      </c>
      <c r="C44" s="30">
        <f>2*C13*(PI()*C11*C20/60)/(C22*10^-6)/1000000</f>
        <v>9986.0758482107558</v>
      </c>
      <c r="D44" s="30">
        <f t="shared" ref="D44:H44" si="16">2*D13*(PI()*D11*D20/60)/(D22*10^-6)/1000000</f>
        <v>10922.270458980514</v>
      </c>
      <c r="E44" s="30">
        <f t="shared" si="16"/>
        <v>10922.270458980514</v>
      </c>
      <c r="F44" s="30">
        <f t="shared" si="16"/>
        <v>10922.270458980514</v>
      </c>
      <c r="G44" s="30">
        <f t="shared" si="16"/>
        <v>10922.270458980514</v>
      </c>
      <c r="H44" s="30">
        <f t="shared" si="16"/>
        <v>10922.270458980514</v>
      </c>
      <c r="I44" s="18" t="s">
        <v>227</v>
      </c>
    </row>
    <row r="45" spans="2:9" ht="18" hidden="1" outlineLevel="1" x14ac:dyDescent="0.25">
      <c r="B45" s="19" t="s">
        <v>228</v>
      </c>
      <c r="C45" s="28">
        <f>96/C43*(1-0.6*C37/C13)</f>
        <v>7.0976273937094936E-2</v>
      </c>
      <c r="D45" s="28">
        <f t="shared" ref="D45:H45" si="17">96/D43*(1-0.6*D37/D13)</f>
        <v>8.1704740801790243E-2</v>
      </c>
      <c r="E45" s="28">
        <f t="shared" si="17"/>
        <v>8.3332174521900892E-2</v>
      </c>
      <c r="F45" s="28">
        <f t="shared" si="17"/>
        <v>8.5050880031454154E-2</v>
      </c>
      <c r="G45" s="28">
        <f t="shared" si="17"/>
        <v>8.6868310010173949E-2</v>
      </c>
      <c r="H45" s="28">
        <f t="shared" si="17"/>
        <v>8.8792736585337068E-2</v>
      </c>
      <c r="I45" s="18" t="s">
        <v>229</v>
      </c>
    </row>
    <row r="46" spans="2:9" ht="18" hidden="1" outlineLevel="1" x14ac:dyDescent="0.25">
      <c r="B46" s="19" t="s">
        <v>230</v>
      </c>
      <c r="C46" s="28">
        <f t="shared" ref="C46" si="18">C45*(1+0.2*(C44/2000)^2)^1.03</f>
        <v>0.44830171737283236</v>
      </c>
      <c r="D46" s="28">
        <f t="shared" ref="D46:H46" si="19">D45*(1+0.2*(D44/2000)^2)^1.03</f>
        <v>0.60317473230014051</v>
      </c>
      <c r="E46" s="28">
        <f t="shared" si="19"/>
        <v>0.61518905226286236</v>
      </c>
      <c r="F46" s="28">
        <f t="shared" si="19"/>
        <v>0.62787717446304747</v>
      </c>
      <c r="G46" s="28">
        <f t="shared" si="19"/>
        <v>0.64129411734948205</v>
      </c>
      <c r="H46" s="28">
        <f t="shared" si="19"/>
        <v>0.6555009488370358</v>
      </c>
      <c r="I46" s="18" t="s">
        <v>231</v>
      </c>
    </row>
    <row r="47" spans="2:9" ht="18" hidden="1" outlineLevel="1" x14ac:dyDescent="0.25">
      <c r="B47" s="19" t="s">
        <v>228</v>
      </c>
      <c r="C47" s="28">
        <f t="shared" ref="C47" si="20">0.31/(LOG(C40+6.5/C43))^2</f>
        <v>5.768237719840124E-2</v>
      </c>
      <c r="D47" s="28">
        <f t="shared" ref="D47:H47" si="21">0.31/(LOG(D40+6.5/D43))^2</f>
        <v>0.34722191697458238</v>
      </c>
      <c r="E47" s="28">
        <f t="shared" si="21"/>
        <v>0.34753176649069822</v>
      </c>
      <c r="F47" s="28">
        <f t="shared" si="21"/>
        <v>0.34785911719092188</v>
      </c>
      <c r="G47" s="28">
        <f t="shared" si="21"/>
        <v>0.34820540980899689</v>
      </c>
      <c r="H47" s="28">
        <f t="shared" si="21"/>
        <v>0.34857224490090366</v>
      </c>
      <c r="I47" s="18" t="s">
        <v>232</v>
      </c>
    </row>
    <row r="48" spans="2:9" ht="18" hidden="1" outlineLevel="1" x14ac:dyDescent="0.25">
      <c r="B48" s="19" t="s">
        <v>233</v>
      </c>
      <c r="C48" s="28">
        <f t="shared" ref="C48" si="22">C47*(1+0.19*(C44/C43)^2)^0.375</f>
        <v>0.14347119280243101</v>
      </c>
      <c r="D48" s="28">
        <f t="shared" ref="D48:H48" si="23">D47*(1+0.19*(D44/D43)^2)^0.375</f>
        <v>1.0138774506656087</v>
      </c>
      <c r="E48" s="28">
        <f t="shared" si="23"/>
        <v>1.029046268257378</v>
      </c>
      <c r="F48" s="28">
        <f t="shared" si="23"/>
        <v>1.0450391464731912</v>
      </c>
      <c r="G48" s="28">
        <f t="shared" si="23"/>
        <v>1.0619213272156895</v>
      </c>
      <c r="H48" s="28">
        <f t="shared" si="23"/>
        <v>1.0797650779507049</v>
      </c>
      <c r="I48" s="18" t="s">
        <v>234</v>
      </c>
    </row>
    <row r="49" spans="2:10" hidden="1" outlineLevel="1" x14ac:dyDescent="0.25">
      <c r="B49" s="19" t="s">
        <v>235</v>
      </c>
      <c r="C49" s="28">
        <f t="shared" ref="C49" si="24">IF(C43&gt;2000,C48,C46)</f>
        <v>0.44830171737283236</v>
      </c>
      <c r="D49" s="28">
        <f t="shared" ref="D49:H49" si="25">IF(D43&gt;2000,D48,D46)</f>
        <v>0.60317473230014051</v>
      </c>
      <c r="E49" s="28">
        <f t="shared" si="25"/>
        <v>0.61518905226286236</v>
      </c>
      <c r="F49" s="28">
        <f t="shared" si="25"/>
        <v>0.62787717446304747</v>
      </c>
      <c r="G49" s="28">
        <f t="shared" si="25"/>
        <v>0.64129411734948205</v>
      </c>
      <c r="H49" s="28">
        <f t="shared" si="25"/>
        <v>0.6555009488370358</v>
      </c>
      <c r="I49" s="18" t="s">
        <v>236</v>
      </c>
    </row>
    <row r="50" spans="2:10" ht="18" hidden="1" outlineLevel="1" x14ac:dyDescent="0.25">
      <c r="B50" s="19" t="s">
        <v>246</v>
      </c>
      <c r="C50" s="28">
        <f t="shared" ref="C50" si="26">+C52-C51</f>
        <v>0</v>
      </c>
      <c r="D50" s="28">
        <f t="shared" ref="D50:H50" si="27">+D52-D51</f>
        <v>0</v>
      </c>
      <c r="E50" s="28">
        <f t="shared" si="27"/>
        <v>-4.2861965177110051E-7</v>
      </c>
      <c r="F50" s="28">
        <f t="shared" si="27"/>
        <v>-1.0781565862316711E-7</v>
      </c>
      <c r="G50" s="28">
        <f t="shared" si="27"/>
        <v>0</v>
      </c>
      <c r="H50" s="28">
        <f t="shared" si="27"/>
        <v>0</v>
      </c>
      <c r="I50" s="18" t="s">
        <v>247</v>
      </c>
    </row>
    <row r="51" spans="2:10" ht="18" hidden="1" outlineLevel="1" x14ac:dyDescent="0.25">
      <c r="B51" s="19" t="s">
        <v>361</v>
      </c>
      <c r="C51" s="31">
        <f>C$27-C32^2*C$28^2/2*(1-C41^2)*10^-5*C$21</f>
        <v>11.12569877913521</v>
      </c>
      <c r="D51" s="31">
        <f t="shared" ref="D51:H51" si="28">D$27-D32^2*D$28^2/2*(1-D41^2)*10^-5*D$21</f>
        <v>11.23537968831091</v>
      </c>
      <c r="E51" s="31">
        <f t="shared" si="28"/>
        <v>11.012588622368844</v>
      </c>
      <c r="F51" s="31">
        <f t="shared" si="28"/>
        <v>10.786695964944498</v>
      </c>
      <c r="G51" s="31">
        <f t="shared" si="28"/>
        <v>10.557692754119813</v>
      </c>
      <c r="H51" s="31">
        <f t="shared" si="28"/>
        <v>10.325571610336018</v>
      </c>
      <c r="I51" s="18" t="s">
        <v>357</v>
      </c>
    </row>
    <row r="52" spans="2:10" ht="18" collapsed="1" x14ac:dyDescent="0.25">
      <c r="B52" s="19" t="s">
        <v>276</v>
      </c>
      <c r="C52" s="31">
        <f>C21/2*(C42^2*(C36+C49*C15/(2*C13)))*0.00001</f>
        <v>11.125698779135213</v>
      </c>
      <c r="D52" s="31">
        <f t="shared" ref="D52:H52" si="29">D21/2*(D42^2*(D36+D49*D15/(2*D13)))*0.00001</f>
        <v>11.235379688310912</v>
      </c>
      <c r="E52" s="31">
        <f t="shared" si="29"/>
        <v>11.012588193749192</v>
      </c>
      <c r="F52" s="31">
        <f t="shared" si="29"/>
        <v>10.786695857128839</v>
      </c>
      <c r="G52" s="31">
        <f t="shared" si="29"/>
        <v>10.557692754119813</v>
      </c>
      <c r="H52" s="31">
        <f t="shared" si="29"/>
        <v>10.325571610336018</v>
      </c>
      <c r="I52" s="18" t="s">
        <v>238</v>
      </c>
      <c r="J52" t="str">
        <f ca="1">B52 &amp; " = " &amp; ROUND(OFFSET(B52,0,$I$8),1)</f>
        <v>∆psp1 [bar] = 11.1</v>
      </c>
    </row>
    <row r="53" spans="2:10" ht="18" x14ac:dyDescent="0.25">
      <c r="B53" s="17" t="s">
        <v>282</v>
      </c>
      <c r="C53" s="31">
        <f t="shared" ref="C53" si="30">+C52</f>
        <v>11.125698779135213</v>
      </c>
      <c r="D53" s="31">
        <f t="shared" ref="D53:H53" si="31">+D52</f>
        <v>11.235379688310912</v>
      </c>
      <c r="E53" s="31">
        <f t="shared" si="31"/>
        <v>11.012588193749192</v>
      </c>
      <c r="F53" s="31">
        <f t="shared" si="31"/>
        <v>10.786695857128839</v>
      </c>
      <c r="G53" s="31">
        <f t="shared" si="31"/>
        <v>10.557692754119813</v>
      </c>
      <c r="H53" s="31">
        <f t="shared" si="31"/>
        <v>10.325571610336018</v>
      </c>
      <c r="I53" s="18" t="s">
        <v>346</v>
      </c>
      <c r="J53" t="str">
        <f ca="1">B53 &amp; " = " &amp; ROUND(OFFSET(B53,0,$I$8),1)</f>
        <v>psp1  [barg] = 11.1</v>
      </c>
    </row>
    <row r="54" spans="2:10" ht="18" x14ac:dyDescent="0.25">
      <c r="B54" s="19" t="s">
        <v>280</v>
      </c>
      <c r="C54" s="31">
        <v>2.4475433512734703</v>
      </c>
      <c r="D54" s="31">
        <v>2.3254895838914096</v>
      </c>
      <c r="E54" s="31">
        <v>2.2800739903790097</v>
      </c>
      <c r="F54" s="31">
        <v>2.2339983268702466</v>
      </c>
      <c r="G54" s="31">
        <v>2.1872593546122587</v>
      </c>
      <c r="H54" s="31">
        <v>2.1398543506596601</v>
      </c>
      <c r="I54" s="18" t="s">
        <v>251</v>
      </c>
      <c r="J54" t="str">
        <f ca="1">B54 &amp; " = " &amp; ROUND(OFFSET(B54,0,$I$8),1)</f>
        <v>Qsp1 [m3/h] = 2.4</v>
      </c>
    </row>
    <row r="56" spans="2:10" x14ac:dyDescent="0.25">
      <c r="B56" s="99" t="s">
        <v>343</v>
      </c>
      <c r="C56" s="100"/>
      <c r="D56" s="100"/>
      <c r="E56" s="100"/>
      <c r="F56" s="100"/>
      <c r="G56" s="100"/>
      <c r="H56" s="100"/>
      <c r="I56" s="101"/>
    </row>
    <row r="57" spans="2:10" ht="18" x14ac:dyDescent="0.25">
      <c r="B57" s="19" t="s">
        <v>210</v>
      </c>
      <c r="C57" s="44">
        <v>1.2</v>
      </c>
      <c r="D57" s="44">
        <v>1.2</v>
      </c>
      <c r="E57" s="44">
        <v>1.2</v>
      </c>
      <c r="F57" s="44">
        <v>1.2</v>
      </c>
      <c r="G57" s="44">
        <v>1.2</v>
      </c>
      <c r="H57" s="44">
        <v>1.2</v>
      </c>
      <c r="I57" s="18" t="s">
        <v>211</v>
      </c>
    </row>
    <row r="58" spans="2:10" ht="18" x14ac:dyDescent="0.25">
      <c r="B58" s="19" t="s">
        <v>212</v>
      </c>
      <c r="C58" s="43">
        <v>0</v>
      </c>
      <c r="D58" s="43">
        <v>0</v>
      </c>
      <c r="E58" s="43">
        <v>0</v>
      </c>
      <c r="F58" s="43">
        <v>0</v>
      </c>
      <c r="G58" s="43">
        <v>0</v>
      </c>
      <c r="H58" s="43">
        <v>0</v>
      </c>
      <c r="I58" s="18" t="s">
        <v>213</v>
      </c>
    </row>
    <row r="59" spans="2:10" x14ac:dyDescent="0.25">
      <c r="B59" s="19" t="s">
        <v>217</v>
      </c>
      <c r="C59" s="43" t="s">
        <v>218</v>
      </c>
      <c r="D59" s="43" t="s">
        <v>218</v>
      </c>
      <c r="E59" s="43" t="s">
        <v>218</v>
      </c>
      <c r="F59" s="43" t="s">
        <v>218</v>
      </c>
      <c r="G59" s="43" t="s">
        <v>218</v>
      </c>
      <c r="H59" s="43" t="s">
        <v>378</v>
      </c>
      <c r="I59" s="18" t="s">
        <v>219</v>
      </c>
    </row>
    <row r="60" spans="2:10" x14ac:dyDescent="0.25">
      <c r="B60" s="19" t="s">
        <v>220</v>
      </c>
      <c r="C60" s="41"/>
      <c r="D60" s="41">
        <v>0.08</v>
      </c>
      <c r="E60" s="41">
        <v>0.08</v>
      </c>
      <c r="F60" s="41">
        <v>0.08</v>
      </c>
      <c r="G60" s="41">
        <v>0.08</v>
      </c>
      <c r="H60" s="31" t="s">
        <v>372</v>
      </c>
      <c r="I60" s="18" t="s">
        <v>221</v>
      </c>
    </row>
    <row r="61" spans="2:10" x14ac:dyDescent="0.25">
      <c r="B61" s="19" t="s">
        <v>115</v>
      </c>
      <c r="C61" s="31">
        <f>0.135*C60/C14</f>
        <v>0</v>
      </c>
      <c r="D61" s="31">
        <f t="shared" ref="D61:G61" si="32">0.135*D60/D14</f>
        <v>0.108</v>
      </c>
      <c r="E61" s="31">
        <f t="shared" si="32"/>
        <v>0.108</v>
      </c>
      <c r="F61" s="31">
        <f t="shared" si="32"/>
        <v>0.108</v>
      </c>
      <c r="G61" s="31">
        <f t="shared" si="32"/>
        <v>0.108</v>
      </c>
      <c r="H61" s="41">
        <v>1.4999999999999999E-2</v>
      </c>
      <c r="I61" s="18" t="s">
        <v>379</v>
      </c>
    </row>
    <row r="62" spans="2:10" ht="18" x14ac:dyDescent="0.25">
      <c r="B62" s="17" t="s">
        <v>148</v>
      </c>
      <c r="C62" s="31">
        <f>C12/C10</f>
        <v>0.82051282051282048</v>
      </c>
      <c r="D62" s="31">
        <f t="shared" ref="D62:H62" si="33">D12/D10</f>
        <v>0.78048780487804881</v>
      </c>
      <c r="E62" s="31">
        <f t="shared" si="33"/>
        <v>0.76190476190476186</v>
      </c>
      <c r="F62" s="31">
        <f t="shared" si="33"/>
        <v>0.7441860465116279</v>
      </c>
      <c r="G62" s="31">
        <f t="shared" si="33"/>
        <v>0.72727272727272729</v>
      </c>
      <c r="H62" s="31">
        <f t="shared" si="33"/>
        <v>0.71111111111111114</v>
      </c>
      <c r="I62" s="21" t="s">
        <v>344</v>
      </c>
    </row>
    <row r="63" spans="2:10" ht="18" hidden="1" outlineLevel="1" x14ac:dyDescent="0.25">
      <c r="B63" s="19" t="s">
        <v>223</v>
      </c>
      <c r="C63" s="27">
        <f>C75/(PI()*C12*C14)/3600*1000000</f>
        <v>6.7628233122721495</v>
      </c>
      <c r="D63" s="27">
        <f t="shared" ref="D63:H63" si="34">D75/(PI()*D12*D14)/3600*1000000</f>
        <v>6.4939910836501005</v>
      </c>
      <c r="E63" s="27">
        <f t="shared" si="34"/>
        <v>6.3630351817236654</v>
      </c>
      <c r="F63" s="27">
        <f t="shared" si="34"/>
        <v>6.2300657542391313</v>
      </c>
      <c r="G63" s="27">
        <f t="shared" si="34"/>
        <v>6.0950745128645121</v>
      </c>
      <c r="H63" s="27">
        <f t="shared" si="34"/>
        <v>5.9580548895908247</v>
      </c>
      <c r="I63" s="18" t="s">
        <v>224</v>
      </c>
    </row>
    <row r="64" spans="2:10" hidden="1" outlineLevel="1" x14ac:dyDescent="0.25">
      <c r="B64" s="19" t="s">
        <v>61</v>
      </c>
      <c r="C64" s="30">
        <f>2*C14*C63/(C22*10^-6)/1000</f>
        <v>1352.5646624544302</v>
      </c>
      <c r="D64" s="30">
        <f t="shared" ref="D64:H64" si="35">2*D14*D63/(D22*10^-6)/1000</f>
        <v>1298.7982167300202</v>
      </c>
      <c r="E64" s="30">
        <f t="shared" si="35"/>
        <v>1272.6070363447334</v>
      </c>
      <c r="F64" s="30">
        <f t="shared" si="35"/>
        <v>1246.0131508478264</v>
      </c>
      <c r="G64" s="30">
        <f t="shared" si="35"/>
        <v>1219.0149025729027</v>
      </c>
      <c r="H64" s="30">
        <f t="shared" si="35"/>
        <v>1191.610977918165</v>
      </c>
      <c r="I64" s="18" t="s">
        <v>225</v>
      </c>
    </row>
    <row r="65" spans="2:10" ht="18" hidden="1" outlineLevel="1" x14ac:dyDescent="0.25">
      <c r="B65" s="19" t="s">
        <v>226</v>
      </c>
      <c r="C65" s="30">
        <f>2*C14*(PI()*C12*C20/60)/(C22*10^-6)/1000000</f>
        <v>9986.0758482107558</v>
      </c>
      <c r="D65" s="30">
        <f t="shared" ref="D65:H65" si="36">2*D14*(PI()*D12*D20/60)/(D22*10^-6)/1000000</f>
        <v>9986.0758482107558</v>
      </c>
      <c r="E65" s="30">
        <f t="shared" si="36"/>
        <v>9986.0758482107558</v>
      </c>
      <c r="F65" s="30">
        <f t="shared" si="36"/>
        <v>9986.0758482107558</v>
      </c>
      <c r="G65" s="30">
        <f t="shared" si="36"/>
        <v>9986.0758482107558</v>
      </c>
      <c r="H65" s="30">
        <f t="shared" si="36"/>
        <v>9986.0758482107558</v>
      </c>
      <c r="I65" s="18" t="s">
        <v>227</v>
      </c>
    </row>
    <row r="66" spans="2:10" ht="18" hidden="1" outlineLevel="1" x14ac:dyDescent="0.25">
      <c r="B66" s="19" t="s">
        <v>228</v>
      </c>
      <c r="C66" s="28">
        <f>96/C64*(1-0.6*C58/C13)</f>
        <v>7.097627393709495E-2</v>
      </c>
      <c r="D66" s="28">
        <f t="shared" ref="D66:H66" si="37">96/D64*(1-0.6*D58/D13)</f>
        <v>7.3914483992516461E-2</v>
      </c>
      <c r="E66" s="28">
        <f t="shared" si="37"/>
        <v>7.5435697947842245E-2</v>
      </c>
      <c r="F66" s="28">
        <f t="shared" si="37"/>
        <v>7.7045735781101979E-2</v>
      </c>
      <c r="G66" s="28">
        <f t="shared" si="37"/>
        <v>7.8752113528209114E-2</v>
      </c>
      <c r="H66" s="28">
        <f t="shared" si="37"/>
        <v>8.05632054244073E-2</v>
      </c>
      <c r="I66" s="18" t="s">
        <v>229</v>
      </c>
    </row>
    <row r="67" spans="2:10" ht="18" hidden="1" outlineLevel="1" x14ac:dyDescent="0.25">
      <c r="B67" s="19" t="s">
        <v>230</v>
      </c>
      <c r="C67" s="28">
        <f t="shared" ref="C67" si="38">C66*(1+0.2*(C65/2000)^2)^1.03</f>
        <v>0.44830171737283248</v>
      </c>
      <c r="D67" s="28">
        <f t="shared" ref="D67:H67" si="39">D66*(1+0.2*(D65/2000)^2)^1.03</f>
        <v>0.46686009668441769</v>
      </c>
      <c r="E67" s="28">
        <f t="shared" si="39"/>
        <v>0.47646841775898524</v>
      </c>
      <c r="F67" s="28">
        <f t="shared" si="39"/>
        <v>0.48663776993328051</v>
      </c>
      <c r="G67" s="28">
        <f t="shared" si="39"/>
        <v>0.49741562613904433</v>
      </c>
      <c r="H67" s="28">
        <f t="shared" si="39"/>
        <v>0.50885487988326394</v>
      </c>
      <c r="I67" s="18" t="s">
        <v>231</v>
      </c>
    </row>
    <row r="68" spans="2:10" ht="18" hidden="1" outlineLevel="1" x14ac:dyDescent="0.25">
      <c r="B68" s="19" t="s">
        <v>228</v>
      </c>
      <c r="C68" s="28">
        <f t="shared" ref="C68" si="40">0.31/(LOG(C61+6.5/C64))^2</f>
        <v>5.768237719840124E-2</v>
      </c>
      <c r="D68" s="28">
        <f t="shared" ref="D68:H68" si="41">0.31/(LOG(D61+6.5/D64))^2</f>
        <v>0.34574029425904035</v>
      </c>
      <c r="E68" s="28">
        <f t="shared" si="41"/>
        <v>0.34602940823081418</v>
      </c>
      <c r="F68" s="28">
        <f t="shared" si="41"/>
        <v>0.34633551160327264</v>
      </c>
      <c r="G68" s="28">
        <f t="shared" si="41"/>
        <v>0.34666005265142941</v>
      </c>
      <c r="H68" s="28">
        <f t="shared" si="41"/>
        <v>0.10864183776526408</v>
      </c>
      <c r="I68" s="18" t="s">
        <v>232</v>
      </c>
    </row>
    <row r="69" spans="2:10" ht="18" hidden="1" outlineLevel="1" x14ac:dyDescent="0.25">
      <c r="B69" s="19" t="s">
        <v>233</v>
      </c>
      <c r="C69" s="28">
        <f t="shared" ref="C69" si="42">C68*(1+0.19*(C65/C64)^2)^0.375</f>
        <v>0.14347119280243104</v>
      </c>
      <c r="D69" s="28">
        <f t="shared" ref="D69:H69" si="43">D68*(1+0.19*(D65/D64)^2)^0.375</f>
        <v>0.88422447962864381</v>
      </c>
      <c r="E69" s="28">
        <f t="shared" si="43"/>
        <v>0.89748796482483773</v>
      </c>
      <c r="F69" s="28">
        <f t="shared" si="43"/>
        <v>0.91150732167538528</v>
      </c>
      <c r="G69" s="28">
        <f t="shared" si="43"/>
        <v>0.92634457738069531</v>
      </c>
      <c r="H69" s="28">
        <f t="shared" si="43"/>
        <v>0.29494726581214958</v>
      </c>
      <c r="I69" s="18" t="s">
        <v>234</v>
      </c>
    </row>
    <row r="70" spans="2:10" hidden="1" outlineLevel="1" x14ac:dyDescent="0.25">
      <c r="B70" s="19" t="s">
        <v>235</v>
      </c>
      <c r="C70" s="28">
        <f t="shared" ref="C70" si="44">IF(C64&gt;2000,C69,C67)</f>
        <v>0.44830171737283248</v>
      </c>
      <c r="D70" s="28">
        <f t="shared" ref="D70:H70" si="45">IF(D64&gt;2000,D69,D67)</f>
        <v>0.46686009668441769</v>
      </c>
      <c r="E70" s="28">
        <f t="shared" si="45"/>
        <v>0.47646841775898524</v>
      </c>
      <c r="F70" s="28">
        <f t="shared" si="45"/>
        <v>0.48663776993328051</v>
      </c>
      <c r="G70" s="28">
        <f t="shared" si="45"/>
        <v>0.49741562613904433</v>
      </c>
      <c r="H70" s="28">
        <f t="shared" si="45"/>
        <v>0.50885487988326394</v>
      </c>
      <c r="I70" s="18" t="s">
        <v>236</v>
      </c>
    </row>
    <row r="71" spans="2:10" ht="18" hidden="1" outlineLevel="1" x14ac:dyDescent="0.25">
      <c r="B71" s="19" t="s">
        <v>246</v>
      </c>
      <c r="C71" s="28">
        <f t="shared" ref="C71" si="46">+C73-C72</f>
        <v>0</v>
      </c>
      <c r="D71" s="28">
        <f t="shared" ref="D71:H71" si="47">+D73-D72</f>
        <v>0</v>
      </c>
      <c r="E71" s="28">
        <f t="shared" si="47"/>
        <v>-7.2641585902033512E-7</v>
      </c>
      <c r="F71" s="28">
        <f t="shared" si="47"/>
        <v>-1.8067680507272144E-7</v>
      </c>
      <c r="G71" s="28">
        <f t="shared" si="47"/>
        <v>0</v>
      </c>
      <c r="H71" s="28">
        <f t="shared" si="47"/>
        <v>0</v>
      </c>
      <c r="I71" s="18" t="s">
        <v>247</v>
      </c>
    </row>
    <row r="72" spans="2:10" ht="18" hidden="1" outlineLevel="1" x14ac:dyDescent="0.25">
      <c r="B72" s="19" t="s">
        <v>362</v>
      </c>
      <c r="C72" s="31">
        <f>C27-C32^2*C28^2/2*(1-C62^2)*10^-5*C21</f>
        <v>11.12569877913521</v>
      </c>
      <c r="D72" s="31">
        <f t="shared" ref="D72:H72" si="48">D27-D32^2*D28^2/2*(1-D62^2)*10^-5*D21</f>
        <v>10.674532248290062</v>
      </c>
      <c r="E72" s="31">
        <f t="shared" si="48"/>
        <v>10.455023804365387</v>
      </c>
      <c r="F72" s="31">
        <f t="shared" si="48"/>
        <v>10.232317982498735</v>
      </c>
      <c r="G72" s="31">
        <f t="shared" si="48"/>
        <v>10.006410747900521</v>
      </c>
      <c r="H72" s="31">
        <f t="shared" si="48"/>
        <v>9.7772992899329427</v>
      </c>
      <c r="I72" s="18" t="s">
        <v>357</v>
      </c>
    </row>
    <row r="73" spans="2:10" ht="18" collapsed="1" x14ac:dyDescent="0.25">
      <c r="B73" s="19" t="s">
        <v>317</v>
      </c>
      <c r="C73" s="31">
        <f>C21/2*(C63^2*(C57+C70*C16/(2*C14)))*0.00001</f>
        <v>11.125698779135206</v>
      </c>
      <c r="D73" s="31">
        <f t="shared" ref="D73:H73" si="49">D21/2*(D63^2*(D57+D70*D16/(2*D14)))*0.00001</f>
        <v>10.674532248290063</v>
      </c>
      <c r="E73" s="31">
        <f t="shared" si="49"/>
        <v>10.455023077949528</v>
      </c>
      <c r="F73" s="31">
        <f t="shared" si="49"/>
        <v>10.23231780182193</v>
      </c>
      <c r="G73" s="31">
        <f t="shared" si="49"/>
        <v>10.006410747900516</v>
      </c>
      <c r="H73" s="31">
        <f t="shared" si="49"/>
        <v>9.7772992899329481</v>
      </c>
      <c r="I73" s="18" t="s">
        <v>238</v>
      </c>
      <c r="J73" t="str">
        <f ca="1">B73 &amp; " = " &amp; ROUND(OFFSET(B73,0,$I$8),1)</f>
        <v>∆psp2 [bar] = 11.1</v>
      </c>
    </row>
    <row r="74" spans="2:10" ht="18" x14ac:dyDescent="0.25">
      <c r="B74" s="17" t="s">
        <v>290</v>
      </c>
      <c r="C74" s="31">
        <f t="shared" ref="C74" si="50">+C73</f>
        <v>11.125698779135206</v>
      </c>
      <c r="D74" s="31">
        <f t="shared" ref="D74:H74" si="51">+D73</f>
        <v>10.674532248290063</v>
      </c>
      <c r="E74" s="31">
        <f t="shared" si="51"/>
        <v>10.455023077949528</v>
      </c>
      <c r="F74" s="31">
        <f t="shared" si="51"/>
        <v>10.23231780182193</v>
      </c>
      <c r="G74" s="31">
        <f t="shared" si="51"/>
        <v>10.006410747900516</v>
      </c>
      <c r="H74" s="31">
        <f t="shared" si="51"/>
        <v>9.7772992899329481</v>
      </c>
      <c r="I74" s="18" t="s">
        <v>346</v>
      </c>
      <c r="J74" t="str">
        <f ca="1">B74 &amp; " = " &amp; ROUND(OFFSET(B74,0,$I$8),1)</f>
        <v>psp2  [barg] = 11.1</v>
      </c>
    </row>
    <row r="75" spans="2:10" ht="18" x14ac:dyDescent="0.25">
      <c r="B75" s="19" t="s">
        <v>289</v>
      </c>
      <c r="C75" s="31">
        <v>2.4475433512734694</v>
      </c>
      <c r="D75" s="31">
        <v>2.3502498832365437</v>
      </c>
      <c r="E75" s="31">
        <v>2.3028554397814802</v>
      </c>
      <c r="F75" s="31">
        <v>2.254732278324366</v>
      </c>
      <c r="G75" s="31">
        <v>2.2058773992227567</v>
      </c>
      <c r="H75" s="31">
        <v>2.1562884254388419</v>
      </c>
      <c r="I75" s="21" t="s">
        <v>251</v>
      </c>
      <c r="J75" t="str">
        <f ca="1">B75 &amp; " = " &amp; ROUND(OFFSET(B75,0,$I$8),1)</f>
        <v>Qsp2 [m3/h] = 2.4</v>
      </c>
    </row>
    <row r="77" spans="2:10" x14ac:dyDescent="0.25">
      <c r="B77" s="99" t="s">
        <v>149</v>
      </c>
      <c r="C77" s="100"/>
      <c r="D77" s="100"/>
      <c r="E77" s="100"/>
      <c r="F77" s="100"/>
      <c r="G77" s="100"/>
      <c r="H77" s="100"/>
      <c r="I77" s="101"/>
    </row>
    <row r="78" spans="2:10" ht="18" x14ac:dyDescent="0.25">
      <c r="B78" s="17" t="s">
        <v>380</v>
      </c>
      <c r="C78" s="30">
        <f>-PI()/4*(C10/1000)^2*(C27*10^5*(1-C41^2)-C21/4*C28^2*C32^2*(1-C41^2)^2)</f>
        <v>-46125.74315571296</v>
      </c>
      <c r="D78" s="30">
        <f t="shared" ref="D78:H78" si="52">-PI()/4*(D10/1000)^2*(D27*10^5*(1-D41^2)-D21/4*D28^2*D32^2*(1-D41^2)^2)</f>
        <v>-42517.007827155547</v>
      </c>
      <c r="E78" s="30">
        <f t="shared" si="52"/>
        <v>-49784.278888752822</v>
      </c>
      <c r="F78" s="30">
        <f t="shared" si="52"/>
        <v>-57081.695044072942</v>
      </c>
      <c r="G78" s="30">
        <f t="shared" si="52"/>
        <v>-64400.802920358299</v>
      </c>
      <c r="H78" s="30">
        <f t="shared" si="52"/>
        <v>-71732.995428084701</v>
      </c>
      <c r="I78" s="21" t="s">
        <v>391</v>
      </c>
      <c r="J78" t="str">
        <f ca="1">"(" &amp; B78&amp;" = " &amp; ABS(ROUND(OFFSET(B78,0,$I$8),0)) &amp; ")"</f>
        <v>(Fsp1 [N] = 46126)</v>
      </c>
    </row>
    <row r="79" spans="2:10" ht="18" x14ac:dyDescent="0.25">
      <c r="B79" s="17" t="s">
        <v>381</v>
      </c>
      <c r="C79" s="30">
        <f>PI()/4*(C10/1000)^2*(C27*10^5*(1-C62^2)-C21/4*C28^2*C33^2*(1-C62^2)^2)</f>
        <v>46125.74315571296</v>
      </c>
      <c r="D79" s="30">
        <f>PI()/4*(D10/1000)^2*(D27*10^5*(1-D62^2)-D21/4*D28^2*D32^2*(1-D62^2)^2)</f>
        <v>59811.052445337795</v>
      </c>
      <c r="E79" s="30">
        <f>PI()/4*(E10/1000)^2*(E27*10^5*(1-E62^2)-E21/4*E28^2*E32^2*(1-E62^2)^2)</f>
        <v>66729.205378100567</v>
      </c>
      <c r="F79" s="30">
        <f>PI()/4*(F10/1000)^2*(F27*10^5*(1-F62^2)-F21/4*F28^2*F32^2*(1-F62^2)^2)</f>
        <v>73672.531469573951</v>
      </c>
      <c r="G79" s="30">
        <f>PI()/4*(G10/1000)^2*(G27*10^5*(1-G62^2)-G21/4*G28^2*G32^2*(1-G62^2)^2)</f>
        <v>80632.567088372118</v>
      </c>
      <c r="H79" s="30">
        <f>PI()/4*(H10/1000)^2*(H27*10^5*(1-H62^2)-H21/4*H28^2*H32^2*(1-H62^2)^2)</f>
        <v>87600.697101592406</v>
      </c>
      <c r="I79" s="21" t="s">
        <v>392</v>
      </c>
      <c r="J79" t="str">
        <f ca="1">"(" &amp; B79&amp;" = " &amp; ABS(ROUND(OFFSET(B79,0,$I$8),0)) &amp; ")"</f>
        <v>(Fsp2 [N] = 46126)</v>
      </c>
    </row>
    <row r="80" spans="2:10" x14ac:dyDescent="0.25">
      <c r="B80" s="17" t="s">
        <v>376</v>
      </c>
      <c r="C80" s="30">
        <f t="shared" ref="C80:G80" si="53">IF(C11/C12=1,C24*C21/2*C28^2*(C10^2-C11^2)/10^9,C79+C78)</f>
        <v>1.5643513499063473</v>
      </c>
      <c r="D80" s="30">
        <f t="shared" si="53"/>
        <v>17294.044618182248</v>
      </c>
      <c r="E80" s="30">
        <f t="shared" si="53"/>
        <v>16944.926489347745</v>
      </c>
      <c r="F80" s="30">
        <f t="shared" si="53"/>
        <v>16590.836425501009</v>
      </c>
      <c r="G80" s="30">
        <f t="shared" si="53"/>
        <v>16231.764168013819</v>
      </c>
      <c r="H80" s="30">
        <f>IF(H11/H12=1,H24*H21/2*H28^2*(H10^2-H11^2)/10^9,H79+H78)</f>
        <v>15867.701673507705</v>
      </c>
      <c r="I80" s="21" t="s">
        <v>393</v>
      </c>
      <c r="J80" t="str">
        <f ca="1">B80 &amp; " = " &amp; ROUND(OFFSET(B80,0,$I$8),0)</f>
        <v>F [N] = 2</v>
      </c>
    </row>
    <row r="82" spans="3:8" x14ac:dyDescent="0.25">
      <c r="C82" s="56"/>
      <c r="D82" s="56"/>
      <c r="E82" s="56"/>
      <c r="F82" s="56"/>
      <c r="G82" s="56"/>
      <c r="H82" s="56"/>
    </row>
  </sheetData>
  <mergeCells count="13">
    <mergeCell ref="B35:I35"/>
    <mergeCell ref="B77:I77"/>
    <mergeCell ref="B19:I19"/>
    <mergeCell ref="B26:I26"/>
    <mergeCell ref="B56:I56"/>
    <mergeCell ref="W14:Y14"/>
    <mergeCell ref="B9:I9"/>
    <mergeCell ref="B2:C2"/>
    <mergeCell ref="B3:C3"/>
    <mergeCell ref="B4:C4"/>
    <mergeCell ref="B5:C5"/>
    <mergeCell ref="B6:C6"/>
    <mergeCell ref="W9:Y9"/>
  </mergeCells>
  <dataValidations disablePrompts="1" count="4">
    <dataValidation type="decimal" allowBlank="1" showInputMessage="1" showErrorMessage="1" sqref="C36:H36 C57:H57" xr:uid="{EB81CBD5-BC69-45CE-8235-5D8AB9262712}">
      <formula1>1</formula1>
      <formula2>1.2</formula2>
    </dataValidation>
    <dataValidation type="list" allowBlank="1" showInputMessage="1" showErrorMessage="1" sqref="C38:H38 C59:H59" xr:uid="{FAB1E01C-98A4-4F8C-9F1B-470CBA87EA08}">
      <formula1>"rough, serrated, isotropic pattern"</formula1>
    </dataValidation>
    <dataValidation type="list" allowBlank="1" showInputMessage="1" showErrorMessage="1" errorTitle="Error" error="Select the case to be studied." sqref="I8" xr:uid="{3CBA8172-6478-4254-9046-49724FBE9B36}">
      <formula1>$C$8:$H$8</formula1>
    </dataValidation>
    <dataValidation type="decimal" allowBlank="1" showInputMessage="1" showErrorMessage="1" errorTitle="Error" error="Input out of range 0.01 - 0.03. Please select it within this range." sqref="H61" xr:uid="{DFFB3414-78A3-4165-94EF-4B4F81DC431C}">
      <formula1>0.01</formula1>
      <formula2>0.03</formula2>
    </dataValidation>
  </dataValidations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 siz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9" r:id="rId6" name="CommandButton2">
          <controlPr defaultSize="0" autoLine="0" r:id="rId7">
            <anchor moveWithCells="1" sizeWithCells="1">
              <from>
                <xdr:col>2</xdr:col>
                <xdr:colOff>1047750</xdr:colOff>
                <xdr:row>7</xdr:row>
                <xdr:rowOff>0</xdr:rowOff>
              </from>
              <to>
                <xdr:col>3</xdr:col>
                <xdr:colOff>1047750</xdr:colOff>
                <xdr:row>8</xdr:row>
                <xdr:rowOff>0</xdr:rowOff>
              </to>
            </anchor>
          </controlPr>
        </control>
      </mc:Choice>
      <mc:Fallback>
        <control shapeId="3079" r:id="rId6" name="CommandButton2"/>
      </mc:Fallback>
    </mc:AlternateContent>
    <mc:AlternateContent xmlns:mc="http://schemas.openxmlformats.org/markup-compatibility/2006">
      <mc:Choice Requires="x14">
        <control shapeId="3080" r:id="rId8" name="CommandButton3">
          <controlPr defaultSize="0" autoLine="0" r:id="rId9">
            <anchor moveWithCells="1" siz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080" r:id="rId8" name="CommandButton3"/>
      </mc:Fallback>
    </mc:AlternateContent>
    <mc:AlternateContent xmlns:mc="http://schemas.openxmlformats.org/markup-compatibility/2006">
      <mc:Choice Requires="x14">
        <control shapeId="3081" r:id="rId10" name="CommandButton4">
          <controlPr defaultSize="0" autoLine="0" r:id="rId11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081" r:id="rId10" name="CommandButton4"/>
      </mc:Fallback>
    </mc:AlternateContent>
    <mc:AlternateContent xmlns:mc="http://schemas.openxmlformats.org/markup-compatibility/2006">
      <mc:Choice Requires="x14">
        <control shapeId="3082" r:id="rId12" name="CommandButton5">
          <controlPr defaultSize="0" autoLine="0" r:id="rId13">
            <anchor moveWithCells="1" sizeWithCells="1">
              <from>
                <xdr:col>6</xdr:col>
                <xdr:colOff>0</xdr:colOff>
                <xdr:row>7</xdr:row>
                <xdr:rowOff>0</xdr:rowOff>
              </from>
              <to>
                <xdr:col>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082" r:id="rId12" name="CommandButton5"/>
      </mc:Fallback>
    </mc:AlternateContent>
    <mc:AlternateContent xmlns:mc="http://schemas.openxmlformats.org/markup-compatibility/2006">
      <mc:Choice Requires="x14">
        <control shapeId="3083" r:id="rId14" name="CommandButton6">
          <controlPr defaultSize="0" autoLine="0" r:id="rId15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083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395D-AAF8-48E7-B879-372874B5F43F}">
  <sheetPr codeName="Foglio5"/>
  <dimension ref="B2:K87"/>
  <sheetViews>
    <sheetView zoomScaleNormal="100" workbookViewId="0">
      <selection activeCell="D40" sqref="D40"/>
    </sheetView>
  </sheetViews>
  <sheetFormatPr defaultRowHeight="15" outlineLevelRow="1" outlineLevelCol="1" x14ac:dyDescent="0.25"/>
  <cols>
    <col min="1" max="1" width="3.7109375" customWidth="1"/>
    <col min="2" max="2" width="10.7109375" bestFit="1" customWidth="1"/>
    <col min="3" max="8" width="15.7109375" customWidth="1"/>
    <col min="9" max="9" width="83.7109375" bestFit="1" customWidth="1"/>
    <col min="10" max="10" width="15" hidden="1" customWidth="1" outlineLevel="1"/>
    <col min="11" max="11" width="3.7109375" customWidth="1" collapsed="1"/>
  </cols>
  <sheetData>
    <row r="2" spans="2:10" x14ac:dyDescent="0.25">
      <c r="B2" s="102" t="s">
        <v>7</v>
      </c>
      <c r="C2" s="102"/>
    </row>
    <row r="3" spans="2:10" x14ac:dyDescent="0.25">
      <c r="B3" s="103" t="s">
        <v>8</v>
      </c>
      <c r="C3" s="103"/>
    </row>
    <row r="4" spans="2:10" x14ac:dyDescent="0.25">
      <c r="B4" s="104" t="s">
        <v>9</v>
      </c>
      <c r="C4" s="104"/>
    </row>
    <row r="5" spans="2:10" x14ac:dyDescent="0.25">
      <c r="B5" s="105" t="s">
        <v>10</v>
      </c>
      <c r="C5" s="105"/>
      <c r="D5" s="54"/>
      <c r="E5" s="54"/>
      <c r="F5" s="54"/>
      <c r="G5" s="54"/>
      <c r="H5" s="54"/>
    </row>
    <row r="6" spans="2:10" x14ac:dyDescent="0.25">
      <c r="B6" s="106" t="s">
        <v>11</v>
      </c>
      <c r="C6" s="106"/>
      <c r="D6" s="55"/>
      <c r="E6" s="55"/>
      <c r="F6" s="55"/>
      <c r="G6" s="55"/>
      <c r="H6" s="55"/>
    </row>
    <row r="7" spans="2:10" x14ac:dyDescent="0.25">
      <c r="C7" s="51"/>
      <c r="D7" s="51"/>
      <c r="E7" s="51"/>
      <c r="F7" s="51"/>
      <c r="G7" s="51"/>
      <c r="H7" s="51"/>
      <c r="I7" s="49" t="s">
        <v>377</v>
      </c>
    </row>
    <row r="8" spans="2:10" ht="54.95" customHeight="1" x14ac:dyDescent="0.25">
      <c r="B8" s="49" t="s">
        <v>374</v>
      </c>
      <c r="C8" s="52">
        <v>1</v>
      </c>
      <c r="D8" s="52">
        <v>2</v>
      </c>
      <c r="E8" s="52">
        <v>3</v>
      </c>
      <c r="F8" s="52">
        <v>4</v>
      </c>
      <c r="G8" s="52">
        <v>5</v>
      </c>
      <c r="H8" s="52">
        <v>6</v>
      </c>
      <c r="I8" s="53">
        <v>6</v>
      </c>
    </row>
    <row r="9" spans="2:10" x14ac:dyDescent="0.25">
      <c r="B9" s="99" t="s">
        <v>12</v>
      </c>
      <c r="C9" s="100"/>
      <c r="D9" s="100"/>
      <c r="E9" s="100"/>
      <c r="F9" s="100"/>
      <c r="G9" s="100"/>
      <c r="H9" s="100"/>
      <c r="I9" s="101"/>
      <c r="J9" t="str">
        <f>+"CASE " &amp; I8</f>
        <v>CASE 6</v>
      </c>
    </row>
    <row r="10" spans="2:10" ht="18" x14ac:dyDescent="0.25">
      <c r="B10" s="17" t="s">
        <v>13</v>
      </c>
      <c r="C10" s="40">
        <v>410</v>
      </c>
      <c r="D10" s="40">
        <v>420</v>
      </c>
      <c r="E10" s="40">
        <v>430</v>
      </c>
      <c r="F10" s="40">
        <v>44</v>
      </c>
      <c r="G10" s="40">
        <v>450</v>
      </c>
      <c r="H10" s="40">
        <v>460</v>
      </c>
      <c r="I10" s="18" t="s">
        <v>14</v>
      </c>
      <c r="J10" t="str">
        <f ca="1">B10 &amp; " = " &amp; OFFSET(B10,0,$I$8)</f>
        <v>D2 [mm] = 460</v>
      </c>
    </row>
    <row r="11" spans="2:10" ht="18" x14ac:dyDescent="0.25">
      <c r="B11" s="17" t="s">
        <v>151</v>
      </c>
      <c r="C11" s="40">
        <v>120</v>
      </c>
      <c r="D11" s="40">
        <v>120</v>
      </c>
      <c r="E11" s="40">
        <v>120</v>
      </c>
      <c r="F11" s="40">
        <v>120</v>
      </c>
      <c r="G11" s="40">
        <v>120</v>
      </c>
      <c r="H11" s="40">
        <v>120</v>
      </c>
      <c r="I11" s="18" t="s">
        <v>152</v>
      </c>
      <c r="J11" t="str">
        <f t="shared" ref="J11:J17" ca="1" si="0">B11 &amp; " = " &amp; OFFSET(B11,0,$I$8)</f>
        <v>Dcb [mm] = 120</v>
      </c>
    </row>
    <row r="12" spans="2:10" ht="18" x14ac:dyDescent="0.25">
      <c r="B12" s="17" t="s">
        <v>16</v>
      </c>
      <c r="C12" s="40">
        <v>250</v>
      </c>
      <c r="D12" s="40">
        <v>250</v>
      </c>
      <c r="E12" s="40">
        <v>250</v>
      </c>
      <c r="F12" s="40">
        <v>250</v>
      </c>
      <c r="G12" s="40">
        <v>250</v>
      </c>
      <c r="H12" s="40">
        <v>250</v>
      </c>
      <c r="I12" s="18" t="s">
        <v>17</v>
      </c>
      <c r="J12" t="str">
        <f t="shared" ca="1" si="0"/>
        <v>Dsp [mm] = 250</v>
      </c>
    </row>
    <row r="13" spans="2:10" ht="18" x14ac:dyDescent="0.25">
      <c r="B13" s="17" t="s">
        <v>153</v>
      </c>
      <c r="C13" s="40">
        <v>80</v>
      </c>
      <c r="D13" s="40">
        <v>80</v>
      </c>
      <c r="E13" s="40">
        <v>80</v>
      </c>
      <c r="F13" s="40">
        <v>80</v>
      </c>
      <c r="G13" s="40">
        <v>80</v>
      </c>
      <c r="H13" s="40">
        <v>80</v>
      </c>
      <c r="I13" s="18" t="s">
        <v>154</v>
      </c>
      <c r="J13" t="str">
        <f t="shared" ca="1" si="0"/>
        <v>Dh [mm] = 80</v>
      </c>
    </row>
    <row r="14" spans="2:10" ht="18" x14ac:dyDescent="0.25">
      <c r="B14" s="17" t="s">
        <v>155</v>
      </c>
      <c r="C14" s="41">
        <v>0.19</v>
      </c>
      <c r="D14" s="41">
        <v>0.19</v>
      </c>
      <c r="E14" s="41">
        <v>0.19</v>
      </c>
      <c r="F14" s="41">
        <v>0.19</v>
      </c>
      <c r="G14" s="41">
        <v>0.19</v>
      </c>
      <c r="H14" s="41">
        <v>0.19</v>
      </c>
      <c r="I14" s="18" t="s">
        <v>156</v>
      </c>
      <c r="J14" t="str">
        <f t="shared" ca="1" si="0"/>
        <v>scb [mm] = 0.19</v>
      </c>
    </row>
    <row r="15" spans="2:10" ht="18" x14ac:dyDescent="0.25">
      <c r="B15" s="17" t="s">
        <v>24</v>
      </c>
      <c r="C15" s="41">
        <v>0.19</v>
      </c>
      <c r="D15" s="41">
        <v>0.19</v>
      </c>
      <c r="E15" s="41">
        <v>0.19</v>
      </c>
      <c r="F15" s="41">
        <v>0.19</v>
      </c>
      <c r="G15" s="41">
        <v>0.19</v>
      </c>
      <c r="H15" s="41">
        <v>0.19</v>
      </c>
      <c r="I15" s="18" t="s">
        <v>25</v>
      </c>
      <c r="J15" t="str">
        <f t="shared" ca="1" si="0"/>
        <v>ssp [mm] = 0.19</v>
      </c>
    </row>
    <row r="16" spans="2:10" ht="18" x14ac:dyDescent="0.25">
      <c r="B16" s="17" t="s">
        <v>157</v>
      </c>
      <c r="C16" s="40">
        <v>48</v>
      </c>
      <c r="D16" s="40">
        <v>48</v>
      </c>
      <c r="E16" s="40">
        <v>48</v>
      </c>
      <c r="F16" s="40">
        <v>48</v>
      </c>
      <c r="G16" s="40">
        <v>48</v>
      </c>
      <c r="H16" s="40">
        <v>48</v>
      </c>
      <c r="I16" s="18" t="s">
        <v>158</v>
      </c>
      <c r="J16" t="str">
        <f t="shared" ca="1" si="0"/>
        <v>Lcb [mm] = 48</v>
      </c>
    </row>
    <row r="17" spans="2:10" ht="18" x14ac:dyDescent="0.25">
      <c r="B17" s="17" t="s">
        <v>28</v>
      </c>
      <c r="C17" s="40">
        <v>48</v>
      </c>
      <c r="D17" s="40">
        <v>48</v>
      </c>
      <c r="E17" s="40">
        <v>48</v>
      </c>
      <c r="F17" s="40">
        <v>48</v>
      </c>
      <c r="G17" s="40">
        <v>48</v>
      </c>
      <c r="H17" s="40">
        <v>48</v>
      </c>
      <c r="I17" s="18" t="s">
        <v>29</v>
      </c>
      <c r="J17" t="str">
        <f t="shared" ca="1" si="0"/>
        <v>Lsp [mm] = 48</v>
      </c>
    </row>
    <row r="18" spans="2:10" ht="18" x14ac:dyDescent="0.25">
      <c r="B18" s="17" t="s">
        <v>32</v>
      </c>
      <c r="C18" s="40">
        <v>0.7</v>
      </c>
      <c r="D18" s="40">
        <v>0.7</v>
      </c>
      <c r="E18" s="40">
        <v>0.7</v>
      </c>
      <c r="F18" s="40">
        <v>0.7</v>
      </c>
      <c r="G18" s="40">
        <v>0.7</v>
      </c>
      <c r="H18" s="40">
        <v>0.7</v>
      </c>
      <c r="I18" s="21" t="s">
        <v>33</v>
      </c>
    </row>
    <row r="20" spans="2:10" x14ac:dyDescent="0.25">
      <c r="B20" s="99" t="s">
        <v>34</v>
      </c>
      <c r="C20" s="100"/>
      <c r="D20" s="100"/>
      <c r="E20" s="100"/>
      <c r="F20" s="100"/>
      <c r="G20" s="100"/>
      <c r="H20" s="100"/>
      <c r="I20" s="101"/>
    </row>
    <row r="21" spans="2:10" x14ac:dyDescent="0.25">
      <c r="B21" s="17" t="s">
        <v>35</v>
      </c>
      <c r="C21" s="40">
        <v>3000</v>
      </c>
      <c r="D21" s="40">
        <v>3000</v>
      </c>
      <c r="E21" s="40">
        <v>3000</v>
      </c>
      <c r="F21" s="40">
        <v>3000</v>
      </c>
      <c r="G21" s="40">
        <v>3000</v>
      </c>
      <c r="H21" s="40">
        <v>3000</v>
      </c>
      <c r="I21" s="18" t="s">
        <v>36</v>
      </c>
    </row>
    <row r="22" spans="2:10" ht="16.5" x14ac:dyDescent="0.25">
      <c r="B22" s="22" t="s">
        <v>37</v>
      </c>
      <c r="C22" s="40">
        <v>1000</v>
      </c>
      <c r="D22" s="40">
        <v>1000</v>
      </c>
      <c r="E22" s="40">
        <v>1000</v>
      </c>
      <c r="F22" s="40">
        <v>1000</v>
      </c>
      <c r="G22" s="40">
        <v>1000</v>
      </c>
      <c r="H22" s="40">
        <v>1000</v>
      </c>
      <c r="I22" s="18" t="s">
        <v>38</v>
      </c>
    </row>
    <row r="23" spans="2:10" ht="16.5" x14ac:dyDescent="0.25">
      <c r="B23" s="22" t="s">
        <v>330</v>
      </c>
      <c r="C23" s="41">
        <v>1</v>
      </c>
      <c r="D23" s="41">
        <v>1</v>
      </c>
      <c r="E23" s="41">
        <v>1</v>
      </c>
      <c r="F23" s="41">
        <v>1</v>
      </c>
      <c r="G23" s="41">
        <v>1</v>
      </c>
      <c r="H23" s="41">
        <v>1</v>
      </c>
      <c r="I23" s="18" t="s">
        <v>39</v>
      </c>
    </row>
    <row r="24" spans="2:10" x14ac:dyDescent="0.25">
      <c r="B24" s="17" t="s">
        <v>42</v>
      </c>
      <c r="C24" s="40">
        <v>159.35</v>
      </c>
      <c r="D24" s="40">
        <v>159.35</v>
      </c>
      <c r="E24" s="40">
        <v>159.35</v>
      </c>
      <c r="F24" s="40">
        <v>159.35</v>
      </c>
      <c r="G24" s="40">
        <v>159.35</v>
      </c>
      <c r="H24" s="40">
        <v>159.35</v>
      </c>
      <c r="I24" s="18" t="s">
        <v>43</v>
      </c>
    </row>
    <row r="25" spans="2:10" ht="18" x14ac:dyDescent="0.25">
      <c r="B25" s="17" t="s">
        <v>159</v>
      </c>
      <c r="C25" s="42">
        <v>4</v>
      </c>
      <c r="D25" s="42">
        <v>4</v>
      </c>
      <c r="E25" s="42">
        <v>4</v>
      </c>
      <c r="F25" s="42">
        <v>4</v>
      </c>
      <c r="G25" s="42">
        <v>4</v>
      </c>
      <c r="H25" s="42">
        <v>4</v>
      </c>
      <c r="I25" s="21" t="s">
        <v>160</v>
      </c>
    </row>
    <row r="27" spans="2:10" x14ac:dyDescent="0.25">
      <c r="B27" s="99" t="s">
        <v>143</v>
      </c>
      <c r="C27" s="100"/>
      <c r="D27" s="100"/>
      <c r="E27" s="100"/>
      <c r="F27" s="100"/>
      <c r="G27" s="100"/>
      <c r="H27" s="100"/>
      <c r="I27" s="101"/>
    </row>
    <row r="28" spans="2:10" ht="18" x14ac:dyDescent="0.25">
      <c r="B28" s="17" t="s">
        <v>331</v>
      </c>
      <c r="C28" s="27">
        <f t="shared" ref="C28:H28" si="1">C22*9.81*C24/10^5*C18</f>
        <v>10.9425645</v>
      </c>
      <c r="D28" s="27">
        <f t="shared" si="1"/>
        <v>10.9425645</v>
      </c>
      <c r="E28" s="27">
        <f t="shared" si="1"/>
        <v>10.9425645</v>
      </c>
      <c r="F28" s="27">
        <f t="shared" si="1"/>
        <v>10.9425645</v>
      </c>
      <c r="G28" s="27">
        <f t="shared" si="1"/>
        <v>10.9425645</v>
      </c>
      <c r="H28" s="27">
        <f t="shared" si="1"/>
        <v>10.9425645</v>
      </c>
      <c r="I28" s="18" t="s">
        <v>161</v>
      </c>
      <c r="J28" t="str">
        <f ca="1">B28&amp;" = "&amp;ROUND(OFFSET(B28,0,$I$8),1)</f>
        <v>pLA1 [bar] = 10.9</v>
      </c>
    </row>
    <row r="29" spans="2:10" ht="18" x14ac:dyDescent="0.25">
      <c r="B29" s="17" t="s">
        <v>347</v>
      </c>
      <c r="C29" s="27">
        <f t="shared" ref="C29:H29" si="2">C22*9.81*C24/10^5*(C25+C18)</f>
        <v>73.471504499999995</v>
      </c>
      <c r="D29" s="27">
        <f t="shared" si="2"/>
        <v>73.471504499999995</v>
      </c>
      <c r="E29" s="27">
        <f t="shared" si="2"/>
        <v>73.471504499999995</v>
      </c>
      <c r="F29" s="27">
        <f t="shared" si="2"/>
        <v>73.471504499999995</v>
      </c>
      <c r="G29" s="27">
        <f t="shared" si="2"/>
        <v>73.471504499999995</v>
      </c>
      <c r="H29" s="27">
        <f t="shared" si="2"/>
        <v>73.471504499999995</v>
      </c>
      <c r="I29" s="18" t="s">
        <v>370</v>
      </c>
      <c r="J29" t="str">
        <f ca="1">B29&amp;" = "&amp;ROUND(OFFSET(B29,0,$I$8),1)</f>
        <v>pLA2 [barg] = 73.5</v>
      </c>
    </row>
    <row r="30" spans="2:10" ht="18" x14ac:dyDescent="0.25">
      <c r="B30" s="17" t="s">
        <v>348</v>
      </c>
      <c r="C30" s="27">
        <f t="shared" ref="C30:H30" si="3">C22*9.81*C24/10^5*(C25)</f>
        <v>62.528939999999999</v>
      </c>
      <c r="D30" s="27">
        <f t="shared" si="3"/>
        <v>62.528939999999999</v>
      </c>
      <c r="E30" s="27">
        <f t="shared" si="3"/>
        <v>62.528939999999999</v>
      </c>
      <c r="F30" s="27">
        <f t="shared" si="3"/>
        <v>62.528939999999999</v>
      </c>
      <c r="G30" s="27">
        <f t="shared" si="3"/>
        <v>62.528939999999999</v>
      </c>
      <c r="H30" s="27">
        <f t="shared" si="3"/>
        <v>62.528939999999999</v>
      </c>
      <c r="I30" s="18" t="s">
        <v>162</v>
      </c>
      <c r="J30" t="str">
        <f ca="1">B30&amp;" = "&amp;ROUND(OFFSET(B30,0,$I$8),1)</f>
        <v>pS2 [barg] = 62.5</v>
      </c>
    </row>
    <row r="31" spans="2:10" ht="18" x14ac:dyDescent="0.25">
      <c r="B31" s="17" t="s">
        <v>59</v>
      </c>
      <c r="C31" s="27">
        <f t="shared" ref="C31:H31" si="4">+C21*2*PI()/60*(C10/2000)</f>
        <v>64.402649398590754</v>
      </c>
      <c r="D31" s="27">
        <f t="shared" si="4"/>
        <v>65.973445725385659</v>
      </c>
      <c r="E31" s="27">
        <f t="shared" si="4"/>
        <v>67.54424205218055</v>
      </c>
      <c r="F31" s="27">
        <f t="shared" si="4"/>
        <v>6.9115038378975449</v>
      </c>
      <c r="G31" s="27">
        <f t="shared" si="4"/>
        <v>70.685834705770347</v>
      </c>
      <c r="H31" s="27">
        <f t="shared" si="4"/>
        <v>72.256631032565252</v>
      </c>
      <c r="I31" s="18" t="s">
        <v>60</v>
      </c>
    </row>
    <row r="32" spans="2:10" x14ac:dyDescent="0.25">
      <c r="B32" s="17" t="s">
        <v>61</v>
      </c>
      <c r="C32" s="30">
        <f t="shared" ref="C32:H32" si="5">+C31*(C10/1000)/2/(C23*10^-6)</f>
        <v>13202543.126711104</v>
      </c>
      <c r="D32" s="30">
        <f t="shared" si="5"/>
        <v>13854423.602330988</v>
      </c>
      <c r="E32" s="30">
        <f t="shared" si="5"/>
        <v>14522012.041218819</v>
      </c>
      <c r="F32" s="30">
        <f t="shared" si="5"/>
        <v>152053.084433746</v>
      </c>
      <c r="G32" s="30">
        <f t="shared" si="5"/>
        <v>15904312.80879833</v>
      </c>
      <c r="H32" s="30">
        <f t="shared" si="5"/>
        <v>16619025.13749001</v>
      </c>
      <c r="I32" s="21" t="s">
        <v>62</v>
      </c>
    </row>
    <row r="34" spans="2:9" x14ac:dyDescent="0.25">
      <c r="B34" s="99" t="s">
        <v>163</v>
      </c>
      <c r="C34" s="100"/>
      <c r="D34" s="100"/>
      <c r="E34" s="100"/>
      <c r="F34" s="100"/>
      <c r="G34" s="100"/>
      <c r="H34" s="100"/>
      <c r="I34" s="101"/>
    </row>
    <row r="35" spans="2:9" ht="18" x14ac:dyDescent="0.25">
      <c r="B35" s="19" t="s">
        <v>210</v>
      </c>
      <c r="C35" s="44">
        <v>1.2</v>
      </c>
      <c r="D35" s="44">
        <v>1.2</v>
      </c>
      <c r="E35" s="44">
        <v>1.2</v>
      </c>
      <c r="F35" s="44">
        <v>1.2</v>
      </c>
      <c r="G35" s="44">
        <v>1.2</v>
      </c>
      <c r="H35" s="44">
        <v>1.2</v>
      </c>
      <c r="I35" s="18" t="s">
        <v>211</v>
      </c>
    </row>
    <row r="36" spans="2:9" ht="18" x14ac:dyDescent="0.25">
      <c r="B36" s="19" t="s">
        <v>212</v>
      </c>
      <c r="C36" s="43">
        <v>0</v>
      </c>
      <c r="D36" s="43">
        <v>0</v>
      </c>
      <c r="E36" s="43">
        <v>0</v>
      </c>
      <c r="F36" s="43">
        <v>0</v>
      </c>
      <c r="G36" s="43">
        <v>0</v>
      </c>
      <c r="H36" s="43">
        <v>0</v>
      </c>
      <c r="I36" s="18" t="s">
        <v>213</v>
      </c>
    </row>
    <row r="37" spans="2:9" x14ac:dyDescent="0.25">
      <c r="B37" s="19" t="s">
        <v>217</v>
      </c>
      <c r="C37" s="43" t="s">
        <v>371</v>
      </c>
      <c r="D37" s="43" t="s">
        <v>371</v>
      </c>
      <c r="E37" s="43" t="s">
        <v>218</v>
      </c>
      <c r="F37" s="43" t="s">
        <v>218</v>
      </c>
      <c r="G37" s="43" t="s">
        <v>218</v>
      </c>
      <c r="H37" s="43" t="s">
        <v>218</v>
      </c>
      <c r="I37" s="18" t="s">
        <v>219</v>
      </c>
    </row>
    <row r="38" spans="2:9" x14ac:dyDescent="0.25">
      <c r="B38" s="19" t="s">
        <v>220</v>
      </c>
      <c r="C38" s="31" t="s">
        <v>372</v>
      </c>
      <c r="D38" s="31" t="s">
        <v>372</v>
      </c>
      <c r="E38" s="41"/>
      <c r="F38" s="41"/>
      <c r="G38" s="41"/>
      <c r="H38" s="41"/>
      <c r="I38" s="18" t="s">
        <v>221</v>
      </c>
    </row>
    <row r="39" spans="2:9" x14ac:dyDescent="0.25">
      <c r="B39" s="19" t="s">
        <v>115</v>
      </c>
      <c r="C39" s="41"/>
      <c r="D39" s="41">
        <v>0.01</v>
      </c>
      <c r="E39" s="31">
        <f>0.135*E38/E14</f>
        <v>0</v>
      </c>
      <c r="F39" s="31">
        <f>0.135*F38/F14</f>
        <v>0</v>
      </c>
      <c r="G39" s="31">
        <f>0.135*G38/G14</f>
        <v>0</v>
      </c>
      <c r="H39" s="31">
        <f>0.135*H38/H14</f>
        <v>0</v>
      </c>
      <c r="I39" s="18" t="s">
        <v>222</v>
      </c>
    </row>
    <row r="40" spans="2:9" ht="18" x14ac:dyDescent="0.25">
      <c r="B40" s="17" t="s">
        <v>164</v>
      </c>
      <c r="C40" s="29">
        <f t="shared" ref="C40:H40" si="6">C32^0.3*C14*C11/C10^2*(C14/C16)^0.5</f>
        <v>1.1676712674786891E-3</v>
      </c>
      <c r="D40" s="29">
        <f t="shared" si="6"/>
        <v>1.1289351276464819E-3</v>
      </c>
      <c r="E40" s="29">
        <f t="shared" si="6"/>
        <v>1.0923508611440031E-3</v>
      </c>
      <c r="F40" s="29">
        <f t="shared" si="6"/>
        <v>2.6569552884751997E-2</v>
      </c>
      <c r="G40" s="29">
        <f t="shared" si="6"/>
        <v>1.0249919956346267E-3</v>
      </c>
      <c r="H40" s="29">
        <f t="shared" si="6"/>
        <v>9.9393281417484831E-4</v>
      </c>
      <c r="I40" s="18" t="s">
        <v>66</v>
      </c>
    </row>
    <row r="41" spans="2:9" ht="18" x14ac:dyDescent="0.25">
      <c r="B41" s="17" t="s">
        <v>145</v>
      </c>
      <c r="C41" s="31">
        <f t="shared" ref="C41:H41" si="7">0.9*C40^0.087</f>
        <v>0.50014899572427074</v>
      </c>
      <c r="D41" s="31">
        <f t="shared" si="7"/>
        <v>0.49868316973036014</v>
      </c>
      <c r="E41" s="31">
        <f t="shared" si="7"/>
        <v>0.49725598263926069</v>
      </c>
      <c r="F41" s="31">
        <f t="shared" si="7"/>
        <v>0.65639299684286212</v>
      </c>
      <c r="G41" s="31">
        <f t="shared" si="7"/>
        <v>0.49451012790277699</v>
      </c>
      <c r="H41" s="31">
        <f t="shared" si="7"/>
        <v>0.49318807941233339</v>
      </c>
      <c r="I41" s="18" t="s">
        <v>165</v>
      </c>
    </row>
    <row r="42" spans="2:9" ht="18" x14ac:dyDescent="0.25">
      <c r="B42" s="17" t="s">
        <v>166</v>
      </c>
      <c r="C42" s="31">
        <f t="shared" ref="C42:H42" si="8">0.24*C40^-0.096</f>
        <v>0.45893213088661139</v>
      </c>
      <c r="D42" s="31">
        <f t="shared" si="8"/>
        <v>0.4604208889231986</v>
      </c>
      <c r="E42" s="31">
        <f t="shared" si="8"/>
        <v>0.46187927431138981</v>
      </c>
      <c r="F42" s="31">
        <f t="shared" si="8"/>
        <v>0.33999329630667591</v>
      </c>
      <c r="G42" s="31">
        <f t="shared" si="8"/>
        <v>0.46471006221377148</v>
      </c>
      <c r="H42" s="31">
        <f t="shared" si="8"/>
        <v>0.46608482900884424</v>
      </c>
      <c r="I42" s="18" t="s">
        <v>167</v>
      </c>
    </row>
    <row r="43" spans="2:9" ht="18" x14ac:dyDescent="0.25">
      <c r="B43" s="17" t="s">
        <v>168</v>
      </c>
      <c r="C43" s="31">
        <f t="shared" ref="C43:H43" si="9">+C11/C10</f>
        <v>0.29268292682926828</v>
      </c>
      <c r="D43" s="31">
        <f t="shared" si="9"/>
        <v>0.2857142857142857</v>
      </c>
      <c r="E43" s="31">
        <f t="shared" si="9"/>
        <v>0.27906976744186046</v>
      </c>
      <c r="F43" s="31">
        <f t="shared" si="9"/>
        <v>2.7272727272727271</v>
      </c>
      <c r="G43" s="31">
        <f t="shared" si="9"/>
        <v>0.26666666666666666</v>
      </c>
      <c r="H43" s="31">
        <f t="shared" si="9"/>
        <v>0.2608695652173913</v>
      </c>
      <c r="I43" s="21" t="s">
        <v>169</v>
      </c>
    </row>
    <row r="44" spans="2:9" ht="18" hidden="1" outlineLevel="1" x14ac:dyDescent="0.25">
      <c r="B44" s="19" t="s">
        <v>223</v>
      </c>
      <c r="C44" s="27">
        <f t="shared" ref="C44:H44" si="10">C56/(PI()*C11*C14)/3600*1000000</f>
        <v>14.98217340776343</v>
      </c>
      <c r="D44" s="27">
        <f t="shared" si="10"/>
        <v>32.870191903304345</v>
      </c>
      <c r="E44" s="27">
        <f t="shared" si="10"/>
        <v>14.314219845490246</v>
      </c>
      <c r="F44" s="27">
        <f t="shared" si="10"/>
        <v>19.892714039976099</v>
      </c>
      <c r="G44" s="27">
        <f t="shared" si="10"/>
        <v>13.576808667297946</v>
      </c>
      <c r="H44" s="27">
        <f t="shared" si="10"/>
        <v>13.179019730693552</v>
      </c>
      <c r="I44" s="18" t="s">
        <v>224</v>
      </c>
    </row>
    <row r="45" spans="2:9" hidden="1" outlineLevel="1" x14ac:dyDescent="0.25">
      <c r="B45" s="19" t="s">
        <v>61</v>
      </c>
      <c r="C45" s="30">
        <f t="shared" ref="C45:H45" si="11">2*C14*C44/(C23*10^-6)/1000</f>
        <v>5693.2258949501038</v>
      </c>
      <c r="D45" s="30">
        <f t="shared" si="11"/>
        <v>12490.672923255652</v>
      </c>
      <c r="E45" s="30">
        <f t="shared" si="11"/>
        <v>5439.4035412862931</v>
      </c>
      <c r="F45" s="30">
        <f t="shared" si="11"/>
        <v>7559.231335190917</v>
      </c>
      <c r="G45" s="30">
        <f t="shared" si="11"/>
        <v>5159.1872935732199</v>
      </c>
      <c r="H45" s="30">
        <f t="shared" si="11"/>
        <v>5008.0274976635501</v>
      </c>
      <c r="I45" s="18" t="s">
        <v>225</v>
      </c>
    </row>
    <row r="46" spans="2:9" ht="18" hidden="1" outlineLevel="1" x14ac:dyDescent="0.25">
      <c r="B46" s="19" t="s">
        <v>226</v>
      </c>
      <c r="C46" s="30">
        <f t="shared" ref="C46:H46" si="12">2*C14*(PI()*C11*C21/60)/(C23*10^-6)/1000000</f>
        <v>7162.8312501847267</v>
      </c>
      <c r="D46" s="30">
        <f t="shared" si="12"/>
        <v>7162.8312501847267</v>
      </c>
      <c r="E46" s="30">
        <f t="shared" si="12"/>
        <v>7162.8312501847267</v>
      </c>
      <c r="F46" s="30">
        <f t="shared" si="12"/>
        <v>7162.8312501847267</v>
      </c>
      <c r="G46" s="30">
        <f t="shared" si="12"/>
        <v>7162.8312501847267</v>
      </c>
      <c r="H46" s="30">
        <f t="shared" si="12"/>
        <v>7162.8312501847267</v>
      </c>
      <c r="I46" s="18" t="s">
        <v>227</v>
      </c>
    </row>
    <row r="47" spans="2:9" ht="18" hidden="1" outlineLevel="1" x14ac:dyDescent="0.25">
      <c r="B47" s="19" t="s">
        <v>228</v>
      </c>
      <c r="C47" s="28">
        <f t="shared" ref="C47:H47" si="13">96/C45*(1-0.6*C36/C14)</f>
        <v>1.6862144901917925E-2</v>
      </c>
      <c r="D47" s="28">
        <f t="shared" si="13"/>
        <v>7.6857348350914886E-3</v>
      </c>
      <c r="E47" s="28">
        <f t="shared" si="13"/>
        <v>1.764899391474423E-2</v>
      </c>
      <c r="F47" s="28">
        <f t="shared" si="13"/>
        <v>1.2699703943850187E-2</v>
      </c>
      <c r="G47" s="28">
        <f t="shared" si="13"/>
        <v>1.8607581880112557E-2</v>
      </c>
      <c r="H47" s="28">
        <f t="shared" si="13"/>
        <v>1.9169223820114392E-2</v>
      </c>
      <c r="I47" s="18" t="s">
        <v>229</v>
      </c>
    </row>
    <row r="48" spans="2:9" ht="18" hidden="1" outlineLevel="1" x14ac:dyDescent="0.25">
      <c r="B48" s="19" t="s">
        <v>230</v>
      </c>
      <c r="C48" s="28">
        <f t="shared" ref="C48:H48" si="14">C47*(1+0.2*(C46/2000)^2)^1.03</f>
        <v>6.2455793305349436E-2</v>
      </c>
      <c r="D48" s="28">
        <f t="shared" si="14"/>
        <v>2.8467236466791359E-2</v>
      </c>
      <c r="E48" s="28">
        <f t="shared" si="14"/>
        <v>6.5370207787815923E-2</v>
      </c>
      <c r="F48" s="28">
        <f t="shared" si="14"/>
        <v>4.7038504838493117E-2</v>
      </c>
      <c r="G48" s="28">
        <f t="shared" si="14"/>
        <v>6.892072714216152E-2</v>
      </c>
      <c r="H48" s="28">
        <f t="shared" si="14"/>
        <v>7.1000995881423765E-2</v>
      </c>
      <c r="I48" s="18" t="s">
        <v>231</v>
      </c>
    </row>
    <row r="49" spans="2:10" ht="18" hidden="1" outlineLevel="1" x14ac:dyDescent="0.25">
      <c r="B49" s="19" t="s">
        <v>228</v>
      </c>
      <c r="C49" s="28">
        <f t="shared" ref="C49:H49" si="15">0.31/(LOG(C39+6.5/C45))^2</f>
        <v>3.5805106408359391E-2</v>
      </c>
      <c r="D49" s="28">
        <f t="shared" si="15"/>
        <v>7.9236096124303018E-2</v>
      </c>
      <c r="E49" s="28">
        <f t="shared" si="15"/>
        <v>3.6292063607296768E-2</v>
      </c>
      <c r="F49" s="28">
        <f t="shared" si="15"/>
        <v>3.2986849565609253E-2</v>
      </c>
      <c r="G49" s="28">
        <f t="shared" si="15"/>
        <v>3.6869322809778719E-2</v>
      </c>
      <c r="H49" s="28">
        <f t="shared" si="15"/>
        <v>3.7199948397361723E-2</v>
      </c>
      <c r="I49" s="18" t="s">
        <v>232</v>
      </c>
    </row>
    <row r="50" spans="2:10" ht="18" hidden="1" outlineLevel="1" x14ac:dyDescent="0.25">
      <c r="B50" s="19" t="s">
        <v>233</v>
      </c>
      <c r="C50" s="28">
        <f t="shared" ref="C50:H50" si="16">C49*(1+0.19*(C46/C45)^2)^0.375</f>
        <v>3.9515520450835021E-2</v>
      </c>
      <c r="D50" s="28">
        <f t="shared" si="16"/>
        <v>8.1057570881246127E-2</v>
      </c>
      <c r="E50" s="28">
        <f t="shared" si="16"/>
        <v>4.0382345902475136E-2</v>
      </c>
      <c r="F50" s="28">
        <f t="shared" si="16"/>
        <v>3.4993986464312336E-2</v>
      </c>
      <c r="G50" s="28">
        <f t="shared" si="16"/>
        <v>4.1446441535048208E-2</v>
      </c>
      <c r="H50" s="28">
        <f t="shared" si="16"/>
        <v>4.2074395614310922E-2</v>
      </c>
      <c r="I50" s="18" t="s">
        <v>234</v>
      </c>
    </row>
    <row r="51" spans="2:10" hidden="1" outlineLevel="1" x14ac:dyDescent="0.25">
      <c r="B51" s="19" t="s">
        <v>235</v>
      </c>
      <c r="C51" s="28">
        <f t="shared" ref="C51:H51" si="17">IF(C45&gt;2000,C50,C48)</f>
        <v>3.9515520450835021E-2</v>
      </c>
      <c r="D51" s="28">
        <f t="shared" si="17"/>
        <v>8.1057570881246127E-2</v>
      </c>
      <c r="E51" s="28">
        <f t="shared" si="17"/>
        <v>4.0382345902475136E-2</v>
      </c>
      <c r="F51" s="28">
        <f t="shared" si="17"/>
        <v>3.4993986464312336E-2</v>
      </c>
      <c r="G51" s="28">
        <f t="shared" si="17"/>
        <v>4.1446441535048208E-2</v>
      </c>
      <c r="H51" s="28">
        <f t="shared" si="17"/>
        <v>4.2074395614310922E-2</v>
      </c>
      <c r="I51" s="18" t="s">
        <v>236</v>
      </c>
    </row>
    <row r="52" spans="2:10" ht="18" hidden="1" outlineLevel="1" x14ac:dyDescent="0.25">
      <c r="B52" s="19" t="s">
        <v>246</v>
      </c>
      <c r="C52" s="28">
        <f t="shared" ref="C52:H52" si="18">+C53-(C54-C55)</f>
        <v>-54.830549572666023</v>
      </c>
      <c r="D52" s="28">
        <f t="shared" si="18"/>
        <v>-2.7577300443226704E-8</v>
      </c>
      <c r="E52" s="28">
        <f t="shared" si="18"/>
        <v>-55.360011512651155</v>
      </c>
      <c r="F52" s="28">
        <f t="shared" si="18"/>
        <v>-51.893390918593951</v>
      </c>
      <c r="G52" s="28">
        <f t="shared" si="18"/>
        <v>-55.934480683583736</v>
      </c>
      <c r="H52" s="28">
        <f t="shared" si="18"/>
        <v>-56.238866421832526</v>
      </c>
      <c r="I52" s="18" t="s">
        <v>247</v>
      </c>
    </row>
    <row r="53" spans="2:10" ht="18" collapsed="1" x14ac:dyDescent="0.25">
      <c r="B53" s="19" t="s">
        <v>303</v>
      </c>
      <c r="C53" s="31">
        <f t="shared" ref="C53:H53" si="19">C22/2*(C44^2*(C35+C51*C16/(2*C14)))*0.00001</f>
        <v>6.9488174444602242</v>
      </c>
      <c r="D53" s="31">
        <f t="shared" si="19"/>
        <v>61.795505436031071</v>
      </c>
      <c r="E53" s="31">
        <f t="shared" si="19"/>
        <v>6.4552026509040212</v>
      </c>
      <c r="F53" s="31">
        <f t="shared" si="19"/>
        <v>11.120313803191021</v>
      </c>
      <c r="G53" s="31">
        <f t="shared" si="19"/>
        <v>5.9311225234315454</v>
      </c>
      <c r="H53" s="31">
        <f t="shared" si="19"/>
        <v>5.6575448924850145</v>
      </c>
      <c r="I53" s="18" t="s">
        <v>304</v>
      </c>
      <c r="J53" t="str">
        <f ca="1">B53&amp;" = "&amp;ROUND(OFFSET(B53,0,$I$8),1)</f>
        <v>∆pcb [bar] = 5.7</v>
      </c>
    </row>
    <row r="54" spans="2:10" ht="18" x14ac:dyDescent="0.25">
      <c r="B54" s="19" t="s">
        <v>350</v>
      </c>
      <c r="C54" s="31">
        <f t="shared" ref="C54:H54" si="20">C29-C41^2*C31^2/2*(1-C43^2)*10^-5*C22</f>
        <v>68.728184461586466</v>
      </c>
      <c r="D54" s="31">
        <f t="shared" si="20"/>
        <v>68.501300717969571</v>
      </c>
      <c r="E54" s="31">
        <f t="shared" si="20"/>
        <v>68.270416814459196</v>
      </c>
      <c r="F54" s="31">
        <f t="shared" si="20"/>
        <v>74.134018524976</v>
      </c>
      <c r="G54" s="31">
        <f t="shared" si="20"/>
        <v>67.796725730446823</v>
      </c>
      <c r="H54" s="31">
        <f t="shared" si="20"/>
        <v>67.553956206802553</v>
      </c>
      <c r="I54" s="18" t="s">
        <v>309</v>
      </c>
      <c r="J54" t="str">
        <f ca="1">B54&amp;" = "&amp;ROUND(OFFSET(B54,0,$I$8),1)</f>
        <v>pLA2* [barg] = 67.6</v>
      </c>
    </row>
    <row r="55" spans="2:10" ht="18" x14ac:dyDescent="0.25">
      <c r="B55" s="19" t="s">
        <v>349</v>
      </c>
      <c r="C55" s="31">
        <f>C28-C42^2*C31^2/2*(1-C43^2)*10^-5*C22</f>
        <v>6.9488174444602206</v>
      </c>
      <c r="D55" s="31">
        <f t="shared" ref="D55:H55" si="21">D28-D42^2*D31^2/2*(1-D43^2)*10^-5*D22</f>
        <v>6.7057952543612007</v>
      </c>
      <c r="E55" s="31">
        <f t="shared" si="21"/>
        <v>6.4552026509040177</v>
      </c>
      <c r="F55" s="31">
        <f t="shared" si="21"/>
        <v>11.120313803191031</v>
      </c>
      <c r="G55" s="31">
        <f t="shared" si="21"/>
        <v>5.9311225234315428</v>
      </c>
      <c r="H55" s="31">
        <f t="shared" si="21"/>
        <v>5.6575448924850127</v>
      </c>
      <c r="I55" s="18" t="s">
        <v>311</v>
      </c>
      <c r="J55" t="str">
        <f ca="1">B55&amp;" = "&amp;ROUND(OFFSET(B55,0,$I$8),1)</f>
        <v>pLA1* [barg] = 5.7</v>
      </c>
    </row>
    <row r="56" spans="2:10" ht="18" x14ac:dyDescent="0.25">
      <c r="B56" s="19" t="s">
        <v>306</v>
      </c>
      <c r="C56" s="31">
        <v>3.8633320757093221</v>
      </c>
      <c r="D56" s="31">
        <v>8.4759709595240658</v>
      </c>
      <c r="E56" s="31">
        <v>3.6910922843265097</v>
      </c>
      <c r="F56" s="31">
        <v>5.1295735359550534</v>
      </c>
      <c r="G56" s="31">
        <v>3.5009420183964215</v>
      </c>
      <c r="H56" s="31">
        <v>3.3983673974572639</v>
      </c>
      <c r="I56" s="21" t="s">
        <v>251</v>
      </c>
      <c r="J56" t="str">
        <f ca="1">B56&amp;" = "&amp;ROUND(OFFSET(B56,0,$I$8),1)</f>
        <v>Qcb [m3/h] = 3.4</v>
      </c>
    </row>
    <row r="58" spans="2:10" x14ac:dyDescent="0.25">
      <c r="B58" s="99" t="s">
        <v>144</v>
      </c>
      <c r="C58" s="100"/>
      <c r="D58" s="100"/>
      <c r="E58" s="100"/>
      <c r="F58" s="100"/>
      <c r="G58" s="100"/>
      <c r="H58" s="100"/>
      <c r="I58" s="101"/>
    </row>
    <row r="59" spans="2:10" ht="18" x14ac:dyDescent="0.25">
      <c r="B59" s="19" t="s">
        <v>210</v>
      </c>
      <c r="C59" s="44">
        <v>1.2</v>
      </c>
      <c r="D59" s="44">
        <v>1.2</v>
      </c>
      <c r="E59" s="44">
        <v>1.2</v>
      </c>
      <c r="F59" s="44">
        <v>1.2</v>
      </c>
      <c r="G59" s="44">
        <v>1.2</v>
      </c>
      <c r="H59" s="44">
        <v>1.2</v>
      </c>
      <c r="I59" s="18" t="s">
        <v>211</v>
      </c>
    </row>
    <row r="60" spans="2:10" ht="18" x14ac:dyDescent="0.25">
      <c r="B60" s="19" t="s">
        <v>212</v>
      </c>
      <c r="C60" s="43">
        <v>0</v>
      </c>
      <c r="D60" s="43">
        <v>0</v>
      </c>
      <c r="E60" s="43">
        <v>0</v>
      </c>
      <c r="F60" s="43">
        <v>0</v>
      </c>
      <c r="G60" s="43">
        <v>0</v>
      </c>
      <c r="H60" s="43">
        <v>0</v>
      </c>
      <c r="I60" s="18" t="s">
        <v>213</v>
      </c>
    </row>
    <row r="61" spans="2:10" x14ac:dyDescent="0.25">
      <c r="B61" s="19" t="s">
        <v>217</v>
      </c>
      <c r="C61" s="43" t="s">
        <v>378</v>
      </c>
      <c r="D61" s="43" t="s">
        <v>218</v>
      </c>
      <c r="E61" s="43" t="s">
        <v>218</v>
      </c>
      <c r="F61" s="43" t="s">
        <v>218</v>
      </c>
      <c r="G61" s="43" t="s">
        <v>218</v>
      </c>
      <c r="H61" s="43" t="s">
        <v>218</v>
      </c>
      <c r="I61" s="18" t="s">
        <v>219</v>
      </c>
    </row>
    <row r="62" spans="2:10" x14ac:dyDescent="0.25">
      <c r="B62" s="19" t="s">
        <v>220</v>
      </c>
      <c r="C62" s="31" t="s">
        <v>372</v>
      </c>
      <c r="D62" s="41">
        <v>0.08</v>
      </c>
      <c r="E62" s="41">
        <v>0.08</v>
      </c>
      <c r="F62" s="41">
        <v>0.08</v>
      </c>
      <c r="G62" s="41">
        <v>0.08</v>
      </c>
      <c r="H62" s="41">
        <v>0.08</v>
      </c>
      <c r="I62" s="18" t="s">
        <v>221</v>
      </c>
    </row>
    <row r="63" spans="2:10" x14ac:dyDescent="0.25">
      <c r="B63" s="19" t="s">
        <v>115</v>
      </c>
      <c r="C63" s="41"/>
      <c r="D63" s="31">
        <f>0.135*D62/D16</f>
        <v>2.2500000000000002E-4</v>
      </c>
      <c r="E63" s="31">
        <f>0.135*E62/E16</f>
        <v>2.2500000000000002E-4</v>
      </c>
      <c r="F63" s="31">
        <f>0.135*F62/F15</f>
        <v>5.6842105263157895E-2</v>
      </c>
      <c r="G63" s="31">
        <f>0.135*G62/G15</f>
        <v>5.6842105263157895E-2</v>
      </c>
      <c r="H63" s="31">
        <f>0.135*H62/H15</f>
        <v>5.6842105263157895E-2</v>
      </c>
      <c r="I63" s="18" t="s">
        <v>379</v>
      </c>
    </row>
    <row r="64" spans="2:10" ht="18" x14ac:dyDescent="0.25">
      <c r="B64" s="17" t="s">
        <v>164</v>
      </c>
      <c r="C64" s="29">
        <f t="shared" ref="C64:H64" si="22">C32^0.3*C15*C12/C10^2*(C14/C17)^0.5</f>
        <v>2.4326484739139354E-3</v>
      </c>
      <c r="D64" s="29">
        <f t="shared" si="22"/>
        <v>2.3519481825968369E-3</v>
      </c>
      <c r="E64" s="29">
        <f t="shared" si="22"/>
        <v>2.2757309607166734E-3</v>
      </c>
      <c r="F64" s="29">
        <f t="shared" si="22"/>
        <v>5.5353235176566672E-2</v>
      </c>
      <c r="G64" s="29">
        <f t="shared" si="22"/>
        <v>2.1353999909054723E-3</v>
      </c>
      <c r="H64" s="29">
        <f t="shared" si="22"/>
        <v>2.070693362864267E-3</v>
      </c>
      <c r="I64" s="18" t="s">
        <v>66</v>
      </c>
    </row>
    <row r="65" spans="2:10" ht="18" x14ac:dyDescent="0.25">
      <c r="B65" s="17" t="s">
        <v>145</v>
      </c>
      <c r="C65" s="31">
        <f t="shared" ref="C65:H65" si="23">0.9*C64^0.087</f>
        <v>0.53312790312203706</v>
      </c>
      <c r="D65" s="31">
        <f t="shared" si="23"/>
        <v>0.53156542325072653</v>
      </c>
      <c r="E65" s="31">
        <f t="shared" si="23"/>
        <v>0.53004413006060647</v>
      </c>
      <c r="F65" s="31">
        <f t="shared" si="23"/>
        <v>0.69967434708945342</v>
      </c>
      <c r="G65" s="31">
        <f t="shared" si="23"/>
        <v>0.5271172186992843</v>
      </c>
      <c r="H65" s="31">
        <f t="shared" si="23"/>
        <v>0.52570799675630064</v>
      </c>
      <c r="I65" s="18" t="s">
        <v>146</v>
      </c>
    </row>
    <row r="66" spans="2:10" ht="18" x14ac:dyDescent="0.25">
      <c r="B66" s="17" t="s">
        <v>71</v>
      </c>
      <c r="C66" s="31">
        <f t="shared" ref="C66:H66" si="24">+C12/C10</f>
        <v>0.6097560975609756</v>
      </c>
      <c r="D66" s="31">
        <f t="shared" si="24"/>
        <v>0.59523809523809523</v>
      </c>
      <c r="E66" s="31">
        <f t="shared" si="24"/>
        <v>0.58139534883720934</v>
      </c>
      <c r="F66" s="31">
        <f t="shared" si="24"/>
        <v>5.6818181818181817</v>
      </c>
      <c r="G66" s="31">
        <f t="shared" si="24"/>
        <v>0.55555555555555558</v>
      </c>
      <c r="H66" s="31">
        <f t="shared" si="24"/>
        <v>0.54347826086956519</v>
      </c>
      <c r="I66" s="21" t="s">
        <v>72</v>
      </c>
    </row>
    <row r="67" spans="2:10" ht="18" hidden="1" outlineLevel="1" x14ac:dyDescent="0.25">
      <c r="B67" s="19" t="s">
        <v>223</v>
      </c>
      <c r="C67" s="27">
        <f t="shared" ref="C67:H67" si="25">C79/(PI()*C12*C15)/3600*1000000</f>
        <v>3.4356354015577666</v>
      </c>
      <c r="D67" s="27">
        <f t="shared" si="25"/>
        <v>3.3098008940925148</v>
      </c>
      <c r="E67" s="27">
        <f t="shared" si="25"/>
        <v>3.1818734894185243</v>
      </c>
      <c r="F67" s="27">
        <f t="shared" si="25"/>
        <v>6.185316088809321</v>
      </c>
      <c r="G67" s="27">
        <f t="shared" si="25"/>
        <v>2.9197356596757245</v>
      </c>
      <c r="H67" s="27">
        <f t="shared" si="25"/>
        <v>2.7855235928771687</v>
      </c>
      <c r="I67" s="18" t="s">
        <v>224</v>
      </c>
    </row>
    <row r="68" spans="2:10" hidden="1" outlineLevel="1" x14ac:dyDescent="0.25">
      <c r="B68" s="19" t="s">
        <v>61</v>
      </c>
      <c r="C68" s="30">
        <f t="shared" ref="C68:H68" si="26">2*C15*C67/(C23*10^-6)/1000</f>
        <v>1305.5414525919514</v>
      </c>
      <c r="D68" s="30">
        <f t="shared" si="26"/>
        <v>1257.7243397551556</v>
      </c>
      <c r="E68" s="30">
        <f t="shared" si="26"/>
        <v>1209.1119259790394</v>
      </c>
      <c r="F68" s="30">
        <f t="shared" si="26"/>
        <v>2350.4201137475425</v>
      </c>
      <c r="G68" s="30">
        <f t="shared" si="26"/>
        <v>1109.4995506767755</v>
      </c>
      <c r="H68" s="30">
        <f t="shared" si="26"/>
        <v>1058.4989652933241</v>
      </c>
      <c r="I68" s="18" t="s">
        <v>225</v>
      </c>
    </row>
    <row r="69" spans="2:10" ht="18" hidden="1" outlineLevel="1" x14ac:dyDescent="0.25">
      <c r="B69" s="19" t="s">
        <v>226</v>
      </c>
      <c r="C69" s="30">
        <f t="shared" ref="C69:H69" si="27">2*C15*(PI()*C12*C21/60)/(C23*10^-6)/1000000</f>
        <v>14922.565104551517</v>
      </c>
      <c r="D69" s="30">
        <f t="shared" si="27"/>
        <v>14922.565104551517</v>
      </c>
      <c r="E69" s="30">
        <f t="shared" si="27"/>
        <v>14922.565104551517</v>
      </c>
      <c r="F69" s="30">
        <f t="shared" si="27"/>
        <v>14922.565104551517</v>
      </c>
      <c r="G69" s="30">
        <f t="shared" si="27"/>
        <v>14922.565104551517</v>
      </c>
      <c r="H69" s="30">
        <f t="shared" si="27"/>
        <v>14922.565104551517</v>
      </c>
      <c r="I69" s="18" t="s">
        <v>227</v>
      </c>
    </row>
    <row r="70" spans="2:10" ht="18" hidden="1" outlineLevel="1" x14ac:dyDescent="0.25">
      <c r="B70" s="19" t="s">
        <v>228</v>
      </c>
      <c r="C70" s="28">
        <f t="shared" ref="C70:H70" si="28">96/C68*(1-0.6*C60/C15)</f>
        <v>7.3532709213795386E-2</v>
      </c>
      <c r="D70" s="28">
        <f t="shared" si="28"/>
        <v>7.6328331229312596E-2</v>
      </c>
      <c r="E70" s="28">
        <f t="shared" si="28"/>
        <v>7.939711612906894E-2</v>
      </c>
      <c r="F70" s="28">
        <f t="shared" si="28"/>
        <v>4.0843762116609984E-2</v>
      </c>
      <c r="G70" s="28">
        <f t="shared" si="28"/>
        <v>8.6525496960716805E-2</v>
      </c>
      <c r="H70" s="28">
        <f t="shared" si="28"/>
        <v>9.0694467493784584E-2</v>
      </c>
      <c r="I70" s="18" t="s">
        <v>229</v>
      </c>
    </row>
    <row r="71" spans="2:10" ht="18" hidden="1" outlineLevel="1" x14ac:dyDescent="0.25">
      <c r="B71" s="19" t="s">
        <v>230</v>
      </c>
      <c r="C71" s="28">
        <f t="shared" ref="C71:H71" si="29">C70*(1+0.2*(C69/2000)^2)^1.03</f>
        <v>0.96163467276840175</v>
      </c>
      <c r="D71" s="28">
        <f t="shared" si="29"/>
        <v>0.99819482526135073</v>
      </c>
      <c r="E71" s="28">
        <f t="shared" si="29"/>
        <v>1.0383273050030351</v>
      </c>
      <c r="F71" s="28">
        <f t="shared" si="29"/>
        <v>0.53414022463717437</v>
      </c>
      <c r="G71" s="28">
        <f t="shared" si="29"/>
        <v>1.1315497395046623</v>
      </c>
      <c r="H71" s="28">
        <f t="shared" si="29"/>
        <v>1.1860700564794056</v>
      </c>
      <c r="I71" s="18" t="s">
        <v>231</v>
      </c>
    </row>
    <row r="72" spans="2:10" ht="18" hidden="1" outlineLevel="1" x14ac:dyDescent="0.25">
      <c r="B72" s="19" t="s">
        <v>228</v>
      </c>
      <c r="C72" s="28" t="e">
        <f t="shared" ref="C72:H72" si="30">0.31/(LOG(C62+6.5/C68))^2</f>
        <v>#VALUE!</v>
      </c>
      <c r="D72" s="28">
        <f t="shared" si="30"/>
        <v>0.27090613759144549</v>
      </c>
      <c r="E72" s="28">
        <f t="shared" si="30"/>
        <v>0.27144293340141101</v>
      </c>
      <c r="F72" s="28">
        <f t="shared" si="30"/>
        <v>0.26471959113912769</v>
      </c>
      <c r="G72" s="28">
        <f t="shared" si="30"/>
        <v>0.27269094602818444</v>
      </c>
      <c r="H72" s="28">
        <f t="shared" si="30"/>
        <v>0.27342155650320404</v>
      </c>
      <c r="I72" s="18" t="s">
        <v>232</v>
      </c>
    </row>
    <row r="73" spans="2:10" ht="18" hidden="1" outlineLevel="1" x14ac:dyDescent="0.25">
      <c r="B73" s="19" t="s">
        <v>233</v>
      </c>
      <c r="C73" s="28" t="e">
        <f t="shared" ref="C73:H73" si="31">C72*(1+0.19*(C69/C68)^2)^0.375</f>
        <v>#VALUE!</v>
      </c>
      <c r="D73" s="28">
        <f t="shared" si="31"/>
        <v>0.94193924034572873</v>
      </c>
      <c r="E73" s="28">
        <f t="shared" si="31"/>
        <v>0.97112746384040061</v>
      </c>
      <c r="F73" s="28">
        <f t="shared" si="31"/>
        <v>0.59474256938646075</v>
      </c>
      <c r="G73" s="28">
        <f t="shared" si="31"/>
        <v>1.0385115566308996</v>
      </c>
      <c r="H73" s="28">
        <f t="shared" si="31"/>
        <v>1.0776724623255354</v>
      </c>
      <c r="I73" s="18" t="s">
        <v>234</v>
      </c>
    </row>
    <row r="74" spans="2:10" hidden="1" outlineLevel="1" x14ac:dyDescent="0.25">
      <c r="B74" s="19" t="s">
        <v>235</v>
      </c>
      <c r="C74" s="28">
        <f t="shared" ref="C74:H74" si="32">IF(C68&gt;2000,C73,C71)</f>
        <v>0.96163467276840175</v>
      </c>
      <c r="D74" s="28">
        <f t="shared" si="32"/>
        <v>0.99819482526135073</v>
      </c>
      <c r="E74" s="28">
        <f t="shared" si="32"/>
        <v>1.0383273050030351</v>
      </c>
      <c r="F74" s="28">
        <f t="shared" si="32"/>
        <v>0.59474256938646075</v>
      </c>
      <c r="G74" s="28">
        <f t="shared" si="32"/>
        <v>1.1315497395046623</v>
      </c>
      <c r="H74" s="28">
        <f t="shared" si="32"/>
        <v>1.1860700564794056</v>
      </c>
      <c r="I74" s="18" t="s">
        <v>236</v>
      </c>
    </row>
    <row r="75" spans="2:10" ht="18" hidden="1" outlineLevel="1" x14ac:dyDescent="0.25">
      <c r="B75" s="19" t="s">
        <v>246</v>
      </c>
      <c r="C75" s="28">
        <f t="shared" ref="C75:H75" si="33">+C77-C76</f>
        <v>0</v>
      </c>
      <c r="D75" s="28">
        <f t="shared" si="33"/>
        <v>0</v>
      </c>
      <c r="E75" s="28">
        <f t="shared" si="33"/>
        <v>0</v>
      </c>
      <c r="F75" s="28">
        <f t="shared" si="33"/>
        <v>0</v>
      </c>
      <c r="G75" s="28">
        <f t="shared" si="33"/>
        <v>0</v>
      </c>
      <c r="H75" s="28">
        <f t="shared" si="33"/>
        <v>0</v>
      </c>
      <c r="I75" s="18" t="s">
        <v>247</v>
      </c>
    </row>
    <row r="76" spans="2:10" ht="18" collapsed="1" x14ac:dyDescent="0.25">
      <c r="B76" s="19" t="s">
        <v>237</v>
      </c>
      <c r="C76" s="31">
        <f t="shared" ref="C76:H76" si="34">C22/2*(C67^2*(C59+C74*C17/(2*C15)))*0.00001</f>
        <v>7.2397112254112734</v>
      </c>
      <c r="D76" s="31">
        <f t="shared" si="34"/>
        <v>6.9720486893575204</v>
      </c>
      <c r="E76" s="31">
        <f t="shared" si="34"/>
        <v>6.7001291310127202</v>
      </c>
      <c r="F76" s="31">
        <f t="shared" si="34"/>
        <v>14.600332966690624</v>
      </c>
      <c r="G76" s="31">
        <f t="shared" si="34"/>
        <v>6.1435484753486511</v>
      </c>
      <c r="H76" s="31">
        <f t="shared" si="34"/>
        <v>5.8589036616827492</v>
      </c>
      <c r="I76" s="18" t="s">
        <v>351</v>
      </c>
      <c r="J76" t="str">
        <f ca="1">B76&amp;" = "&amp;ROUND(OFFSET(B76,0,$I$8),1)</f>
        <v>∆psp [bar] = 5.9</v>
      </c>
    </row>
    <row r="77" spans="2:10" ht="18" x14ac:dyDescent="0.25">
      <c r="B77" s="19" t="s">
        <v>352</v>
      </c>
      <c r="C77" s="31">
        <f t="shared" ref="C77:H77" si="35">C28-C65^2*C31^2/2*(1-C66^2)*10^-5*C22</f>
        <v>7.2397112254112734</v>
      </c>
      <c r="D77" s="31">
        <f t="shared" si="35"/>
        <v>6.9720486893575213</v>
      </c>
      <c r="E77" s="31">
        <f t="shared" si="35"/>
        <v>6.7001291310127229</v>
      </c>
      <c r="F77" s="31">
        <f t="shared" si="35"/>
        <v>14.600332966690631</v>
      </c>
      <c r="G77" s="31">
        <f t="shared" si="35"/>
        <v>6.143548475348652</v>
      </c>
      <c r="H77" s="31">
        <f t="shared" si="35"/>
        <v>5.8589036616827492</v>
      </c>
      <c r="I77" s="18" t="s">
        <v>346</v>
      </c>
      <c r="J77" t="str">
        <f ca="1">B77&amp;" = "&amp;ROUND(OFFSET(B77,0,$I$8),1)</f>
        <v>psp1 [barg] = 5.9</v>
      </c>
    </row>
    <row r="78" spans="2:10" ht="18" x14ac:dyDescent="0.25">
      <c r="B78" s="19" t="s">
        <v>353</v>
      </c>
      <c r="C78" s="31">
        <f t="shared" ref="C78:H78" si="36">C29-C65^2*C31^2/2*(1-C66^2)*10^-5*C22</f>
        <v>69.768651225411261</v>
      </c>
      <c r="D78" s="31">
        <f t="shared" si="36"/>
        <v>69.500988689357513</v>
      </c>
      <c r="E78" s="31">
        <f t="shared" si="36"/>
        <v>69.229069131012722</v>
      </c>
      <c r="F78" s="31">
        <f t="shared" si="36"/>
        <v>77.129272966690621</v>
      </c>
      <c r="G78" s="31">
        <f t="shared" si="36"/>
        <v>68.672488475348644</v>
      </c>
      <c r="H78" s="31">
        <f t="shared" si="36"/>
        <v>68.387843661682751</v>
      </c>
      <c r="I78" s="18" t="s">
        <v>354</v>
      </c>
      <c r="J78" t="str">
        <f ca="1">B78&amp;" = "&amp;ROUND(OFFSET(B78,0,$I$8),1)</f>
        <v>psp2 [barg] = 68.4</v>
      </c>
    </row>
    <row r="79" spans="2:10" ht="18" x14ac:dyDescent="0.25">
      <c r="B79" s="19" t="s">
        <v>250</v>
      </c>
      <c r="C79" s="31">
        <v>1.8456657463889199</v>
      </c>
      <c r="D79" s="31">
        <v>1.7780658957071414</v>
      </c>
      <c r="E79" s="31">
        <v>1.7093417148106</v>
      </c>
      <c r="F79" s="31">
        <v>3.3228281529895338</v>
      </c>
      <c r="G79" s="31">
        <v>1.5685180369053002</v>
      </c>
      <c r="H79" s="31">
        <v>1.4964176579390571</v>
      </c>
      <c r="I79" s="21" t="s">
        <v>251</v>
      </c>
      <c r="J79" t="str">
        <f ca="1">B79&amp;" = "&amp;ROUND(OFFSET(B79,0,$I$8),1)</f>
        <v>Qsp [m3/h] = 1.5</v>
      </c>
    </row>
    <row r="81" spans="2:10" x14ac:dyDescent="0.25">
      <c r="B81" s="99" t="s">
        <v>149</v>
      </c>
      <c r="C81" s="100"/>
      <c r="D81" s="100"/>
      <c r="E81" s="100"/>
      <c r="F81" s="100"/>
      <c r="G81" s="100"/>
      <c r="H81" s="100"/>
      <c r="I81" s="101"/>
    </row>
    <row r="82" spans="2:10" ht="18" x14ac:dyDescent="0.25">
      <c r="B82" s="17" t="s">
        <v>170</v>
      </c>
      <c r="C82" s="30">
        <f t="shared" ref="C82:H82" si="37">-PI()*(C10/2000)^2*((1-C66^2)*C28*10^5-C22/4*C31^2*C65^2*(1-C66^2)^2)</f>
        <v>-75400.121074734823</v>
      </c>
      <c r="D82" s="30">
        <f t="shared" si="37"/>
        <v>-80129.243970828975</v>
      </c>
      <c r="E82" s="30">
        <f t="shared" si="37"/>
        <v>-84802.019752109263</v>
      </c>
      <c r="F82" s="30">
        <f t="shared" si="37"/>
        <v>60749.764196745367</v>
      </c>
      <c r="G82" s="30">
        <f t="shared" si="37"/>
        <v>-93935.812253080992</v>
      </c>
      <c r="H82" s="30">
        <f t="shared" si="37"/>
        <v>-98375.003873602036</v>
      </c>
      <c r="I82" s="18" t="s">
        <v>171</v>
      </c>
      <c r="J82" t="str">
        <f ca="1">"(" &amp; B82&amp;" = " &amp; ABS(ROUND(OFFSET(B82,0,$I$8),0)) &amp; ")"</f>
        <v>(FFS1 [N] = 98375)</v>
      </c>
    </row>
    <row r="83" spans="2:10" ht="18" x14ac:dyDescent="0.25">
      <c r="B83" s="17" t="s">
        <v>172</v>
      </c>
      <c r="C83" s="30">
        <f t="shared" ref="C83:H83" si="38">PI()*(C10/2000)^2*((1-C66^2)*C29*10^5-C22/4*C31^2*C65^2*(1-C66^2)^2)</f>
        <v>594002.93162233313</v>
      </c>
      <c r="D83" s="30">
        <f t="shared" si="38"/>
        <v>639493.44966563431</v>
      </c>
      <c r="E83" s="30">
        <f t="shared" si="38"/>
        <v>685909.82288682554</v>
      </c>
      <c r="F83" s="30">
        <f t="shared" si="38"/>
        <v>-358180.2624733054</v>
      </c>
      <c r="G83" s="30">
        <f t="shared" si="38"/>
        <v>781477.41714573046</v>
      </c>
      <c r="H83" s="30">
        <f t="shared" si="38"/>
        <v>830606.8130842736</v>
      </c>
      <c r="I83" s="18" t="s">
        <v>173</v>
      </c>
      <c r="J83" t="str">
        <f t="shared" ref="J83:J86" ca="1" si="39">"(" &amp; B83&amp;" = " &amp; ABS(ROUND(OFFSET(B83,0,$I$8),0)) &amp; ")"</f>
        <v>(FFS2 [N] = 830607)</v>
      </c>
    </row>
    <row r="84" spans="2:10" ht="18" x14ac:dyDescent="0.25">
      <c r="B84" s="17" t="s">
        <v>174</v>
      </c>
      <c r="C84" s="30">
        <f t="shared" ref="C84:H84" si="40">+PI()*(C10/2000)^2*((1-C43^2)*C28*10^5-C22/4*C31^2*C42^2*(1-C43^2)^2)</f>
        <v>107988.53272482684</v>
      </c>
      <c r="D84" s="30">
        <f t="shared" si="40"/>
        <v>112274.0136382271</v>
      </c>
      <c r="E84" s="30">
        <f t="shared" si="40"/>
        <v>116487.08648324842</v>
      </c>
      <c r="F84" s="30">
        <f t="shared" si="40"/>
        <v>-10798.899402239818</v>
      </c>
      <c r="G84" s="30">
        <f t="shared" si="40"/>
        <v>124640.35311468675</v>
      </c>
      <c r="H84" s="30">
        <f t="shared" si="40"/>
        <v>128551.676930477</v>
      </c>
      <c r="I84" s="18" t="s">
        <v>175</v>
      </c>
      <c r="J84" t="str">
        <f t="shared" ca="1" si="39"/>
        <v>(FRS1 [N] = 128552)</v>
      </c>
    </row>
    <row r="85" spans="2:10" ht="18" x14ac:dyDescent="0.25">
      <c r="B85" s="17" t="s">
        <v>176</v>
      </c>
      <c r="C85" s="30">
        <f t="shared" ref="C85:H85" si="41">-PI()*(C10/2000)^2*((1-C43^2)*C29*10^5-C22/4*C31^2*C41^2*(1-C43^2)^2)</f>
        <v>-858286.73338691972</v>
      </c>
      <c r="D85" s="30">
        <f t="shared" si="41"/>
        <v>-903191.96181167336</v>
      </c>
      <c r="E85" s="30">
        <f t="shared" si="41"/>
        <v>-949035.77586973587</v>
      </c>
      <c r="F85" s="30">
        <f t="shared" si="41"/>
        <v>72247.019289915886</v>
      </c>
      <c r="G85" s="30">
        <f t="shared" si="41"/>
        <v>-1043501.7595952145</v>
      </c>
      <c r="H85" s="30">
        <f t="shared" si="41"/>
        <v>-1092104.819017621</v>
      </c>
      <c r="I85" s="18" t="s">
        <v>177</v>
      </c>
      <c r="J85" t="str">
        <f t="shared" ca="1" si="39"/>
        <v>(FRS2 [N] = 1092105)</v>
      </c>
    </row>
    <row r="86" spans="2:10" ht="18" x14ac:dyDescent="0.25">
      <c r="B86" s="17" t="s">
        <v>77</v>
      </c>
      <c r="C86" s="30">
        <f t="shared" ref="C86:H86" si="42">PI()/4*((C12/1000)^2-(C13/1000)^2)*C30*10^5</f>
        <v>275507.74310341157</v>
      </c>
      <c r="D86" s="30">
        <f t="shared" si="42"/>
        <v>275507.74310341157</v>
      </c>
      <c r="E86" s="30">
        <f t="shared" si="42"/>
        <v>275507.74310341157</v>
      </c>
      <c r="F86" s="30">
        <f t="shared" si="42"/>
        <v>275507.74310341157</v>
      </c>
      <c r="G86" s="30">
        <f t="shared" si="42"/>
        <v>275507.74310341157</v>
      </c>
      <c r="H86" s="30">
        <f t="shared" si="42"/>
        <v>275507.74310341157</v>
      </c>
      <c r="I86" s="21" t="s">
        <v>178</v>
      </c>
      <c r="J86" t="str">
        <f t="shared" ca="1" si="39"/>
        <v>(FHUB [N] = 275508)</v>
      </c>
    </row>
    <row r="87" spans="2:10" x14ac:dyDescent="0.25">
      <c r="B87" s="17" t="s">
        <v>83</v>
      </c>
      <c r="C87" s="30">
        <f t="shared" ref="C87:H87" si="43">+C84+C85+C82+C83+C86</f>
        <v>43812.352988916973</v>
      </c>
      <c r="D87" s="30">
        <f t="shared" si="43"/>
        <v>43954.000624770706</v>
      </c>
      <c r="E87" s="30">
        <f t="shared" si="43"/>
        <v>44066.856851640332</v>
      </c>
      <c r="F87" s="30">
        <f t="shared" si="43"/>
        <v>39525.364714527619</v>
      </c>
      <c r="G87" s="30">
        <f t="shared" si="43"/>
        <v>44187.941515533312</v>
      </c>
      <c r="H87" s="30">
        <f t="shared" si="43"/>
        <v>44186.410226939071</v>
      </c>
      <c r="I87" s="21" t="s">
        <v>179</v>
      </c>
      <c r="J87" t="str">
        <f ca="1">B87&amp;" = "&amp;ROUND(OFFSET(B87,0,$I$8),0)</f>
        <v>F[N] = 44186</v>
      </c>
    </row>
  </sheetData>
  <mergeCells count="11">
    <mergeCell ref="B2:C2"/>
    <mergeCell ref="B3:C3"/>
    <mergeCell ref="B4:C4"/>
    <mergeCell ref="B5:C5"/>
    <mergeCell ref="B6:C6"/>
    <mergeCell ref="B9:I9"/>
    <mergeCell ref="B27:I27"/>
    <mergeCell ref="B34:I34"/>
    <mergeCell ref="B58:I58"/>
    <mergeCell ref="B81:I81"/>
    <mergeCell ref="B20:I20"/>
  </mergeCells>
  <dataValidations count="5">
    <dataValidation type="decimal" allowBlank="1" showInputMessage="1" showErrorMessage="1" sqref="C59:H59 C35:H35" xr:uid="{33F4299B-DE7C-4000-9E33-C0C8382335F8}">
      <formula1>1</formula1>
      <formula2>1.2</formula2>
    </dataValidation>
    <dataValidation type="list" allowBlank="1" showInputMessage="1" showErrorMessage="1" sqref="C61:H61 C37:H37" xr:uid="{73ABE939-7124-4F1B-83FC-0B68E2D0E9E3}">
      <formula1>"rough, serrated, isotropic pattern"</formula1>
    </dataValidation>
    <dataValidation type="list" allowBlank="1" showInputMessage="1" showErrorMessage="1" errorTitle="Error" error="Select the case to be studied." sqref="I8" xr:uid="{C6C46801-DB25-4728-9276-40DCC391CBC7}">
      <formula1>$C$8:$H$8</formula1>
    </dataValidation>
    <dataValidation type="decimal" allowBlank="1" showInputMessage="1" showErrorMessage="1" errorTitle="Error" error="Input out of range 0.01 - 0.03. Please select it within this range." sqref="C63" xr:uid="{A7354781-98BC-4B28-95D0-6B3CB4C80073}">
      <formula1>0.005</formula1>
      <formula2>0.01</formula2>
    </dataValidation>
    <dataValidation type="decimal" allowBlank="1" showInputMessage="1" showErrorMessage="1" errorTitle="Error" error="Input out of range 0.005 - 0.01. Please select it within this range." sqref="C39:D39" xr:uid="{FDD2F7AA-5179-4B2C-8B4C-48DB8A9F5448}">
      <formula1>0.005</formula1>
      <formula2>0.01</formula2>
    </dataValidation>
  </dataValidations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9" r:id="rId6" name="CommandButton2">
          <controlPr defaultSize="0" autoLine="0" r:id="rId7">
            <anchor moveWithCells="1" sizeWithCells="1">
              <from>
                <xdr:col>3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4099" r:id="rId6" name="CommandButton2"/>
      </mc:Fallback>
    </mc:AlternateContent>
    <mc:AlternateContent xmlns:mc="http://schemas.openxmlformats.org/markup-compatibility/2006">
      <mc:Choice Requires="x14">
        <control shapeId="4100" r:id="rId8" name="CommandButton3">
          <controlPr defaultSize="0" autoLine="0" r:id="rId9">
            <anchor moveWithCells="1" sizeWithCells="1">
              <from>
                <xdr:col>3</xdr:col>
                <xdr:colOff>1047750</xdr:colOff>
                <xdr:row>7</xdr:row>
                <xdr:rowOff>0</xdr:rowOff>
              </from>
              <to>
                <xdr:col>4</xdr:col>
                <xdr:colOff>1047750</xdr:colOff>
                <xdr:row>8</xdr:row>
                <xdr:rowOff>0</xdr:rowOff>
              </to>
            </anchor>
          </controlPr>
        </control>
      </mc:Choice>
      <mc:Fallback>
        <control shapeId="4100" r:id="rId8" name="CommandButton3"/>
      </mc:Fallback>
    </mc:AlternateContent>
    <mc:AlternateContent xmlns:mc="http://schemas.openxmlformats.org/markup-compatibility/2006">
      <mc:Choice Requires="x14">
        <control shapeId="4101" r:id="rId10" name="CommandButton4">
          <controlPr defaultSize="0" autoLine="0" r:id="rId11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4101" r:id="rId10" name="CommandButton4"/>
      </mc:Fallback>
    </mc:AlternateContent>
    <mc:AlternateContent xmlns:mc="http://schemas.openxmlformats.org/markup-compatibility/2006">
      <mc:Choice Requires="x14">
        <control shapeId="4102" r:id="rId12" name="CommandButton5">
          <controlPr defaultSize="0" autoLine="0" r:id="rId13">
            <anchor moveWithCells="1" sizeWithCells="1">
              <from>
                <xdr:col>6</xdr:col>
                <xdr:colOff>0</xdr:colOff>
                <xdr:row>7</xdr:row>
                <xdr:rowOff>0</xdr:rowOff>
              </from>
              <to>
                <xdr:col>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4102" r:id="rId12" name="CommandButton5"/>
      </mc:Fallback>
    </mc:AlternateContent>
    <mc:AlternateContent xmlns:mc="http://schemas.openxmlformats.org/markup-compatibility/2006">
      <mc:Choice Requires="x14">
        <control shapeId="4103" r:id="rId14" name="CommandButton6">
          <controlPr defaultSize="0" autoLine="0" r:id="rId15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4103" r:id="rId14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28CBA-829D-408E-99EA-FAC805AF6316}">
  <sheetPr codeName="Foglio2"/>
  <dimension ref="B1:X106"/>
  <sheetViews>
    <sheetView zoomScaleNormal="100" workbookViewId="0">
      <selection activeCell="C10" sqref="C10"/>
    </sheetView>
  </sheetViews>
  <sheetFormatPr defaultRowHeight="15" outlineLevelRow="1" outlineLevelCol="1" x14ac:dyDescent="0.25"/>
  <cols>
    <col min="1" max="1" width="3.7109375" customWidth="1"/>
    <col min="2" max="2" width="17.7109375" bestFit="1" customWidth="1"/>
    <col min="3" max="3" width="17.28515625" bestFit="1" customWidth="1"/>
    <col min="4" max="4" width="89.85546875" bestFit="1" customWidth="1"/>
    <col min="5" max="5" width="15" hidden="1" customWidth="1" outlineLevel="1"/>
    <col min="6" max="6" width="3.7109375" customWidth="1" collapsed="1"/>
    <col min="8" max="8" width="12.7109375" bestFit="1" customWidth="1"/>
    <col min="9" max="9" width="15.140625" bestFit="1" customWidth="1"/>
    <col min="20" max="20" width="7.5703125" hidden="1" customWidth="1" outlineLevel="1"/>
    <col min="21" max="21" width="13.5703125" hidden="1" customWidth="1" outlineLevel="1"/>
    <col min="22" max="22" width="7.5703125" hidden="1" customWidth="1" outlineLevel="1"/>
    <col min="23" max="23" width="13.5703125" hidden="1" customWidth="1" outlineLevel="1"/>
    <col min="24" max="24" width="9.140625" collapsed="1"/>
  </cols>
  <sheetData>
    <row r="1" spans="2:23" x14ac:dyDescent="0.25">
      <c r="T1" s="108" t="s">
        <v>180</v>
      </c>
      <c r="U1" s="108"/>
      <c r="V1" s="108" t="s">
        <v>181</v>
      </c>
      <c r="W1" s="108"/>
    </row>
    <row r="2" spans="2:23" x14ac:dyDescent="0.25">
      <c r="B2" s="102" t="s">
        <v>7</v>
      </c>
      <c r="C2" s="102"/>
      <c r="T2" s="16" t="s">
        <v>182</v>
      </c>
      <c r="U2" s="16" t="s">
        <v>183</v>
      </c>
      <c r="V2" s="16" t="s">
        <v>182</v>
      </c>
      <c r="W2" s="16" t="s">
        <v>183</v>
      </c>
    </row>
    <row r="3" spans="2:23" x14ac:dyDescent="0.25">
      <c r="B3" s="103" t="s">
        <v>8</v>
      </c>
      <c r="C3" s="103"/>
      <c r="T3">
        <v>430</v>
      </c>
      <c r="U3">
        <v>13.832099999999999</v>
      </c>
      <c r="V3">
        <v>210</v>
      </c>
      <c r="W3">
        <v>9.8216266277363413</v>
      </c>
    </row>
    <row r="4" spans="2:23" x14ac:dyDescent="0.25">
      <c r="B4" s="104" t="s">
        <v>9</v>
      </c>
      <c r="C4" s="104"/>
      <c r="T4">
        <v>428.49494949494954</v>
      </c>
      <c r="U4">
        <v>13.79579121282589</v>
      </c>
      <c r="V4">
        <v>212.2222222222222</v>
      </c>
      <c r="W4">
        <v>9.8479930678665681</v>
      </c>
    </row>
    <row r="5" spans="2:23" x14ac:dyDescent="0.25">
      <c r="B5" s="105" t="s">
        <v>10</v>
      </c>
      <c r="C5" s="105"/>
      <c r="T5">
        <v>426.98989898989902</v>
      </c>
      <c r="U5">
        <v>13.759609733467643</v>
      </c>
      <c r="V5">
        <v>214.44444444444443</v>
      </c>
      <c r="W5">
        <v>9.8746370494718487</v>
      </c>
    </row>
    <row r="6" spans="2:23" x14ac:dyDescent="0.25">
      <c r="B6" s="106" t="s">
        <v>11</v>
      </c>
      <c r="C6" s="106"/>
      <c r="T6">
        <v>425.48484848484856</v>
      </c>
      <c r="U6">
        <v>13.723555561925258</v>
      </c>
      <c r="V6">
        <v>216.66666666666666</v>
      </c>
      <c r="W6">
        <v>9.9015585725521866</v>
      </c>
    </row>
    <row r="7" spans="2:23" x14ac:dyDescent="0.25">
      <c r="T7">
        <v>423.97979797979804</v>
      </c>
      <c r="U7">
        <v>13.687628698198733</v>
      </c>
      <c r="V7">
        <v>218.88888888888891</v>
      </c>
      <c r="W7">
        <v>9.9287576371075783</v>
      </c>
    </row>
    <row r="8" spans="2:23" x14ac:dyDescent="0.25">
      <c r="B8" s="99" t="s">
        <v>184</v>
      </c>
      <c r="C8" s="100"/>
      <c r="D8" s="101"/>
      <c r="T8">
        <v>422.47474747474757</v>
      </c>
      <c r="U8">
        <v>13.65182914228807</v>
      </c>
      <c r="V8">
        <v>221.11111111111114</v>
      </c>
      <c r="W8">
        <v>9.9562342431380255</v>
      </c>
    </row>
    <row r="9" spans="2:23" ht="18" x14ac:dyDescent="0.25">
      <c r="B9" s="17" t="s">
        <v>13</v>
      </c>
      <c r="C9" s="40">
        <v>430</v>
      </c>
      <c r="D9" s="18" t="s">
        <v>14</v>
      </c>
      <c r="E9" t="str">
        <f t="shared" ref="E9:E15" si="0">B9 &amp; " = " &amp; C9</f>
        <v>D2 [mm] = 430</v>
      </c>
      <c r="T9">
        <v>420.96969696969705</v>
      </c>
      <c r="U9">
        <v>13.616156894193269</v>
      </c>
      <c r="V9">
        <v>223.3333333333334</v>
      </c>
      <c r="W9">
        <v>9.9839883906435283</v>
      </c>
    </row>
    <row r="10" spans="2:23" ht="18" x14ac:dyDescent="0.25">
      <c r="B10" s="17" t="s">
        <v>16</v>
      </c>
      <c r="C10" s="40">
        <v>281</v>
      </c>
      <c r="D10" s="18" t="s">
        <v>17</v>
      </c>
      <c r="E10" t="str">
        <f t="shared" si="0"/>
        <v>Dsp [mm] = 281</v>
      </c>
      <c r="T10">
        <v>419.46464646464659</v>
      </c>
      <c r="U10">
        <v>13.58061195391433</v>
      </c>
      <c r="V10">
        <v>225.55555555555563</v>
      </c>
      <c r="W10">
        <v>10.012020079624083</v>
      </c>
    </row>
    <row r="11" spans="2:23" ht="18" x14ac:dyDescent="0.25">
      <c r="B11" s="17" t="s">
        <v>19</v>
      </c>
      <c r="C11" s="40">
        <v>210</v>
      </c>
      <c r="D11" s="18" t="s">
        <v>20</v>
      </c>
      <c r="E11" t="str">
        <f t="shared" si="0"/>
        <v>DD [mm] = 210</v>
      </c>
      <c r="T11">
        <v>417.95959595959607</v>
      </c>
      <c r="U11">
        <v>13.545194321451252</v>
      </c>
      <c r="V11">
        <v>227.77777777777789</v>
      </c>
      <c r="W11">
        <v>10.040329310079695</v>
      </c>
    </row>
    <row r="12" spans="2:23" ht="18" x14ac:dyDescent="0.25">
      <c r="B12" s="17" t="s">
        <v>21</v>
      </c>
      <c r="C12" s="40">
        <v>100</v>
      </c>
      <c r="D12" s="18" t="s">
        <v>22</v>
      </c>
      <c r="E12" t="str">
        <f t="shared" si="0"/>
        <v>DFH [mm] = 100</v>
      </c>
      <c r="T12">
        <v>416.45454545454561</v>
      </c>
      <c r="U12">
        <v>13.509903996804034</v>
      </c>
      <c r="V12">
        <v>230.00000000000011</v>
      </c>
      <c r="W12">
        <v>10.068916082010363</v>
      </c>
    </row>
    <row r="13" spans="2:23" ht="18" x14ac:dyDescent="0.25">
      <c r="B13" s="17" t="s">
        <v>23</v>
      </c>
      <c r="C13" s="40">
        <v>120</v>
      </c>
      <c r="D13" s="18" t="s">
        <v>185</v>
      </c>
      <c r="E13" t="str">
        <f t="shared" si="0"/>
        <v>DRH [mm] = 120</v>
      </c>
      <c r="T13">
        <v>414.94949494949509</v>
      </c>
      <c r="U13">
        <v>13.47474097997268</v>
      </c>
      <c r="V13">
        <v>232.22222222222237</v>
      </c>
      <c r="W13">
        <v>10.097780395416084</v>
      </c>
    </row>
    <row r="14" spans="2:23" ht="18" x14ac:dyDescent="0.25">
      <c r="B14" s="17" t="s">
        <v>24</v>
      </c>
      <c r="C14" s="41">
        <v>0.28999999999999998</v>
      </c>
      <c r="D14" s="18" t="s">
        <v>25</v>
      </c>
      <c r="E14" t="str">
        <f t="shared" si="0"/>
        <v>ssp [mm] = 0.29</v>
      </c>
      <c r="T14">
        <v>413.44444444444463</v>
      </c>
      <c r="U14">
        <v>13.439705270957186</v>
      </c>
      <c r="V14">
        <v>234.4444444444446</v>
      </c>
      <c r="W14">
        <v>10.126922250296861</v>
      </c>
    </row>
    <row r="15" spans="2:23" ht="18" x14ac:dyDescent="0.25">
      <c r="B15" s="17" t="s">
        <v>26</v>
      </c>
      <c r="C15" s="41">
        <v>0.28999999999999998</v>
      </c>
      <c r="D15" s="18" t="s">
        <v>27</v>
      </c>
      <c r="E15" t="str">
        <f t="shared" si="0"/>
        <v>sD [mm] = 0.29</v>
      </c>
      <c r="T15">
        <v>411.93939393939411</v>
      </c>
      <c r="U15">
        <v>13.404796869757552</v>
      </c>
      <c r="V15">
        <v>236.66666666666686</v>
      </c>
      <c r="W15">
        <v>10.156341646652693</v>
      </c>
    </row>
    <row r="16" spans="2:23" ht="18" x14ac:dyDescent="0.25">
      <c r="B16" s="17" t="s">
        <v>28</v>
      </c>
      <c r="C16" s="40">
        <v>25</v>
      </c>
      <c r="D16" s="18" t="s">
        <v>29</v>
      </c>
      <c r="T16">
        <v>410.43434343434365</v>
      </c>
      <c r="U16">
        <v>13.370015776373782</v>
      </c>
      <c r="V16">
        <v>238.88888888888908</v>
      </c>
      <c r="W16">
        <v>10.186038584483581</v>
      </c>
    </row>
    <row r="17" spans="2:23" ht="18" x14ac:dyDescent="0.25">
      <c r="B17" s="17" t="s">
        <v>30</v>
      </c>
      <c r="C17" s="40">
        <v>35</v>
      </c>
      <c r="D17" s="18" t="s">
        <v>31</v>
      </c>
      <c r="T17">
        <v>408.92929292929313</v>
      </c>
      <c r="U17">
        <v>13.335361990805874</v>
      </c>
      <c r="V17">
        <v>241.11111111111134</v>
      </c>
      <c r="W17">
        <v>10.216013063789525</v>
      </c>
    </row>
    <row r="18" spans="2:23" ht="18" x14ac:dyDescent="0.25">
      <c r="B18" s="17" t="s">
        <v>186</v>
      </c>
      <c r="C18" s="40">
        <v>20</v>
      </c>
      <c r="D18" s="18" t="s">
        <v>187</v>
      </c>
      <c r="T18">
        <v>407.42424242424266</v>
      </c>
      <c r="U18">
        <v>13.300835513053824</v>
      </c>
      <c r="V18">
        <v>243.33333333333357</v>
      </c>
      <c r="W18">
        <v>10.246265084570522</v>
      </c>
    </row>
    <row r="19" spans="2:23" ht="18" x14ac:dyDescent="0.25">
      <c r="B19" s="17" t="s">
        <v>188</v>
      </c>
      <c r="C19" s="40">
        <v>20</v>
      </c>
      <c r="D19" s="18" t="s">
        <v>189</v>
      </c>
      <c r="T19">
        <v>405.91919191919214</v>
      </c>
      <c r="U19">
        <v>13.26643634311764</v>
      </c>
      <c r="V19">
        <v>245.55555555555583</v>
      </c>
      <c r="W19">
        <v>10.276794646826573</v>
      </c>
    </row>
    <row r="20" spans="2:23" ht="18" x14ac:dyDescent="0.25">
      <c r="B20" s="17" t="s">
        <v>190</v>
      </c>
      <c r="C20" s="40">
        <v>0</v>
      </c>
      <c r="D20" s="18" t="s">
        <v>191</v>
      </c>
      <c r="T20">
        <v>404.41414141414168</v>
      </c>
      <c r="U20">
        <v>13.232164480997314</v>
      </c>
      <c r="V20">
        <v>247.77777777777806</v>
      </c>
      <c r="W20">
        <v>10.307601750557682</v>
      </c>
    </row>
    <row r="21" spans="2:23" ht="18" x14ac:dyDescent="0.25">
      <c r="B21" s="17" t="s">
        <v>192</v>
      </c>
      <c r="C21" s="40">
        <v>0</v>
      </c>
      <c r="D21" s="18" t="s">
        <v>193</v>
      </c>
      <c r="T21">
        <v>402.90909090909122</v>
      </c>
      <c r="U21">
        <v>13.198019926692851</v>
      </c>
      <c r="V21">
        <v>250.00000000000031</v>
      </c>
      <c r="W21">
        <v>10.338686395763844</v>
      </c>
    </row>
    <row r="22" spans="2:23" ht="18" x14ac:dyDescent="0.25">
      <c r="B22" s="17" t="s">
        <v>194</v>
      </c>
      <c r="C22" s="40">
        <v>12</v>
      </c>
      <c r="D22" s="18" t="s">
        <v>195</v>
      </c>
      <c r="T22">
        <v>401.4040404040407</v>
      </c>
      <c r="U22">
        <v>13.164002680204248</v>
      </c>
      <c r="V22">
        <v>252.22222222222254</v>
      </c>
      <c r="W22">
        <v>10.370048582445062</v>
      </c>
    </row>
    <row r="23" spans="2:23" ht="18" x14ac:dyDescent="0.25">
      <c r="B23" s="17" t="s">
        <v>196</v>
      </c>
      <c r="C23" s="40">
        <v>211</v>
      </c>
      <c r="D23" s="18" t="s">
        <v>197</v>
      </c>
      <c r="T23">
        <v>399.89898989899024</v>
      </c>
      <c r="U23">
        <v>13.130112741531509</v>
      </c>
      <c r="V23">
        <v>254.4444444444448</v>
      </c>
      <c r="W23">
        <v>10.401688310601333</v>
      </c>
    </row>
    <row r="24" spans="2:23" ht="18" x14ac:dyDescent="0.25">
      <c r="B24" s="19" t="s">
        <v>198</v>
      </c>
      <c r="C24" s="43">
        <v>30</v>
      </c>
      <c r="D24" s="18" t="s">
        <v>199</v>
      </c>
      <c r="T24">
        <v>398.39393939393972</v>
      </c>
      <c r="U24">
        <v>13.09635011067463</v>
      </c>
      <c r="V24">
        <v>256.66666666666703</v>
      </c>
      <c r="W24">
        <v>10.433605580232662</v>
      </c>
    </row>
    <row r="25" spans="2:23" ht="18" x14ac:dyDescent="0.25">
      <c r="B25" s="19" t="s">
        <v>200</v>
      </c>
      <c r="C25" s="43">
        <v>15</v>
      </c>
      <c r="D25" s="18" t="s">
        <v>201</v>
      </c>
      <c r="T25">
        <v>396.88888888888926</v>
      </c>
      <c r="U25">
        <v>13.062714787633613</v>
      </c>
      <c r="V25">
        <v>258.88888888888926</v>
      </c>
      <c r="W25">
        <v>10.465800391339044</v>
      </c>
    </row>
    <row r="26" spans="2:23" ht="18" x14ac:dyDescent="0.25">
      <c r="B26" s="17" t="s">
        <v>32</v>
      </c>
      <c r="C26" s="40">
        <v>0.75</v>
      </c>
      <c r="D26" s="21" t="s">
        <v>33</v>
      </c>
      <c r="T26">
        <v>395.38383838383874</v>
      </c>
      <c r="U26">
        <v>13.029206772408457</v>
      </c>
      <c r="V26">
        <v>261.11111111111148</v>
      </c>
      <c r="W26">
        <v>10.498272743920481</v>
      </c>
    </row>
    <row r="27" spans="2:23" x14ac:dyDescent="0.25">
      <c r="T27">
        <v>393.87878787878827</v>
      </c>
      <c r="U27">
        <v>12.995826064999163</v>
      </c>
      <c r="V27">
        <v>263.33333333333377</v>
      </c>
      <c r="W27">
        <v>10.531022637976973</v>
      </c>
    </row>
    <row r="28" spans="2:23" x14ac:dyDescent="0.25">
      <c r="B28" s="99" t="s">
        <v>34</v>
      </c>
      <c r="C28" s="100"/>
      <c r="D28" s="101"/>
      <c r="T28">
        <v>392.37373737373775</v>
      </c>
      <c r="U28">
        <v>12.96257266540573</v>
      </c>
      <c r="V28">
        <v>265.555555555556</v>
      </c>
      <c r="W28">
        <v>10.564050073508522</v>
      </c>
    </row>
    <row r="29" spans="2:23" x14ac:dyDescent="0.25">
      <c r="B29" s="17" t="s">
        <v>35</v>
      </c>
      <c r="C29" s="40">
        <v>2980</v>
      </c>
      <c r="D29" s="18" t="s">
        <v>36</v>
      </c>
      <c r="T29">
        <v>390.86868686868729</v>
      </c>
      <c r="U29">
        <v>12.929446573628159</v>
      </c>
      <c r="V29">
        <v>267.77777777777823</v>
      </c>
      <c r="W29">
        <v>10.597355050515123</v>
      </c>
    </row>
    <row r="30" spans="2:23" ht="16.5" x14ac:dyDescent="0.25">
      <c r="B30" s="22" t="s">
        <v>37</v>
      </c>
      <c r="C30" s="40">
        <v>1000</v>
      </c>
      <c r="D30" s="18" t="s">
        <v>38</v>
      </c>
      <c r="T30">
        <v>389.36363636363677</v>
      </c>
      <c r="U30">
        <v>12.896447789666448</v>
      </c>
      <c r="V30">
        <v>270.00000000000045</v>
      </c>
      <c r="W30">
        <v>10.630937568996782</v>
      </c>
    </row>
    <row r="31" spans="2:23" ht="16.5" x14ac:dyDescent="0.25">
      <c r="B31" s="22" t="s">
        <v>330</v>
      </c>
      <c r="C31" s="41">
        <v>1</v>
      </c>
      <c r="D31" s="18" t="s">
        <v>39</v>
      </c>
      <c r="T31">
        <v>387.85858585858631</v>
      </c>
      <c r="U31">
        <v>12.8635763135206</v>
      </c>
      <c r="V31">
        <v>272.22222222222274</v>
      </c>
      <c r="W31">
        <v>10.664797628953492</v>
      </c>
    </row>
    <row r="32" spans="2:23" ht="17.25" x14ac:dyDescent="0.25">
      <c r="B32" s="17" t="s">
        <v>40</v>
      </c>
      <c r="C32" s="40">
        <v>696</v>
      </c>
      <c r="D32" s="18" t="s">
        <v>41</v>
      </c>
      <c r="T32">
        <v>386.35353535353579</v>
      </c>
      <c r="U32">
        <v>12.830832145190612</v>
      </c>
      <c r="V32">
        <v>274.44444444444497</v>
      </c>
      <c r="W32">
        <v>10.69893523038526</v>
      </c>
    </row>
    <row r="33" spans="2:23" x14ac:dyDescent="0.25">
      <c r="B33" s="17" t="s">
        <v>42</v>
      </c>
      <c r="C33" s="40">
        <v>188</v>
      </c>
      <c r="D33" s="18" t="s">
        <v>43</v>
      </c>
      <c r="T33">
        <v>384.84848484848533</v>
      </c>
      <c r="U33">
        <v>12.798215284676488</v>
      </c>
      <c r="V33">
        <v>276.6666666666672</v>
      </c>
      <c r="W33">
        <v>10.733350373292083</v>
      </c>
    </row>
    <row r="34" spans="2:23" ht="18" x14ac:dyDescent="0.25">
      <c r="B34" s="17" t="s">
        <v>202</v>
      </c>
      <c r="C34" s="40">
        <v>0.15</v>
      </c>
      <c r="D34" s="18" t="s">
        <v>203</v>
      </c>
      <c r="T34">
        <v>383.34343434343481</v>
      </c>
      <c r="U34">
        <v>12.765725731978224</v>
      </c>
      <c r="V34">
        <v>278.88888888888943</v>
      </c>
      <c r="W34">
        <v>10.76804305767396</v>
      </c>
    </row>
    <row r="35" spans="2:23" ht="18" x14ac:dyDescent="0.25">
      <c r="B35" s="17" t="s">
        <v>204</v>
      </c>
      <c r="C35" s="40">
        <v>0.15</v>
      </c>
      <c r="D35" s="18" t="s">
        <v>205</v>
      </c>
      <c r="T35">
        <v>381.83838383838435</v>
      </c>
      <c r="U35">
        <v>12.733363487095822</v>
      </c>
      <c r="V35">
        <v>281.11111111111171</v>
      </c>
      <c r="W35">
        <v>10.803013283530895</v>
      </c>
    </row>
    <row r="36" spans="2:23" x14ac:dyDescent="0.25">
      <c r="B36" s="17" t="s">
        <v>46</v>
      </c>
      <c r="C36" s="40" t="s">
        <v>47</v>
      </c>
      <c r="D36" s="21" t="s">
        <v>48</v>
      </c>
      <c r="H36" s="24"/>
      <c r="I36" s="25"/>
      <c r="J36" s="25"/>
      <c r="K36" s="25"/>
      <c r="L36" s="25"/>
      <c r="M36" s="25"/>
      <c r="N36" s="25"/>
      <c r="T36">
        <v>380.33333333333388</v>
      </c>
      <c r="U36">
        <v>12.701128550029281</v>
      </c>
      <c r="V36">
        <v>283.33333333333394</v>
      </c>
      <c r="W36">
        <v>10.838261050862883</v>
      </c>
    </row>
    <row r="37" spans="2:23" x14ac:dyDescent="0.25">
      <c r="B37" s="23" t="s">
        <v>49</v>
      </c>
      <c r="C37" s="40" t="s">
        <v>47</v>
      </c>
      <c r="D37" s="21" t="s">
        <v>51</v>
      </c>
      <c r="H37" s="24"/>
      <c r="I37" s="25"/>
      <c r="J37" s="25"/>
      <c r="K37" s="25"/>
      <c r="L37" s="25"/>
      <c r="M37" s="25"/>
      <c r="N37" s="25"/>
      <c r="T37">
        <v>378.82828282828336</v>
      </c>
      <c r="U37">
        <v>12.669020920778602</v>
      </c>
      <c r="V37">
        <v>285.55555555555617</v>
      </c>
      <c r="W37">
        <v>10.873786359669925</v>
      </c>
    </row>
    <row r="38" spans="2:23" ht="18" x14ac:dyDescent="0.25">
      <c r="B38" s="17" t="s">
        <v>335</v>
      </c>
      <c r="C38" s="40">
        <v>8</v>
      </c>
      <c r="D38" s="21" t="s">
        <v>52</v>
      </c>
      <c r="E38" t="str">
        <f>B38 &amp; " = " &amp; ROUND(C38,1)</f>
        <v>pSTUFF [bar] = 8</v>
      </c>
      <c r="H38" s="24"/>
      <c r="I38" s="25"/>
      <c r="J38" s="25"/>
      <c r="K38" s="25"/>
      <c r="L38" s="25"/>
      <c r="M38" s="25"/>
      <c r="N38" s="25"/>
      <c r="T38">
        <v>377.3232323232329</v>
      </c>
      <c r="U38">
        <v>12.637040599343784</v>
      </c>
      <c r="V38">
        <v>287.7777777777784</v>
      </c>
      <c r="W38">
        <v>10.909589209952022</v>
      </c>
    </row>
    <row r="39" spans="2:23" ht="18" x14ac:dyDescent="0.25">
      <c r="B39" s="17" t="s">
        <v>334</v>
      </c>
      <c r="C39" s="40">
        <v>1</v>
      </c>
      <c r="D39" s="21" t="s">
        <v>53</v>
      </c>
      <c r="E39" t="str">
        <f>B39 &amp; " = " &amp; C39</f>
        <v>pBAL [bar] = 1</v>
      </c>
      <c r="H39" s="24"/>
      <c r="I39" s="25"/>
      <c r="J39" s="25"/>
      <c r="K39" s="25"/>
      <c r="L39" s="25"/>
      <c r="M39" s="25"/>
      <c r="N39" s="25"/>
      <c r="T39">
        <v>375.81818181818238</v>
      </c>
      <c r="U39">
        <v>12.605187585724828</v>
      </c>
      <c r="V39">
        <v>290.00000000000068</v>
      </c>
      <c r="W39">
        <v>10.945669601709175</v>
      </c>
    </row>
    <row r="40" spans="2:23" x14ac:dyDescent="0.25">
      <c r="N40" s="25"/>
      <c r="T40">
        <v>374.31313131313192</v>
      </c>
      <c r="U40">
        <v>12.573461879921732</v>
      </c>
      <c r="V40">
        <v>292.22222222222291</v>
      </c>
      <c r="W40">
        <v>10.982027534941384</v>
      </c>
    </row>
    <row r="41" spans="2:23" x14ac:dyDescent="0.25">
      <c r="B41" s="99" t="s">
        <v>206</v>
      </c>
      <c r="C41" s="100"/>
      <c r="D41" s="101"/>
      <c r="H41" s="24"/>
      <c r="I41" s="25"/>
      <c r="J41" s="25"/>
      <c r="K41" s="25"/>
      <c r="L41" s="25"/>
      <c r="M41" s="25"/>
      <c r="N41" s="25"/>
      <c r="T41">
        <v>372.8080808080814</v>
      </c>
      <c r="U41">
        <v>12.541863481934499</v>
      </c>
      <c r="V41">
        <v>294.44444444444514</v>
      </c>
      <c r="W41">
        <v>11.018663009648646</v>
      </c>
    </row>
    <row r="42" spans="2:23" ht="18" x14ac:dyDescent="0.25">
      <c r="B42" s="19" t="s">
        <v>207</v>
      </c>
      <c r="C42" s="43">
        <v>100</v>
      </c>
      <c r="D42" s="21" t="s">
        <v>208</v>
      </c>
      <c r="H42" s="24"/>
      <c r="I42" s="25"/>
      <c r="J42" s="25"/>
      <c r="K42" s="25"/>
      <c r="L42" s="25"/>
      <c r="M42" s="25"/>
      <c r="N42" s="25"/>
      <c r="T42">
        <v>371.30303030303094</v>
      </c>
      <c r="U42">
        <v>12.510392391763126</v>
      </c>
      <c r="V42">
        <v>296.66666666666737</v>
      </c>
      <c r="W42">
        <v>11.055576025830964</v>
      </c>
    </row>
    <row r="43" spans="2:23" x14ac:dyDescent="0.25">
      <c r="H43" s="24"/>
      <c r="I43" s="25"/>
      <c r="J43" s="25"/>
      <c r="K43" s="25"/>
      <c r="L43" s="25"/>
      <c r="M43" s="25"/>
      <c r="N43" s="25"/>
      <c r="T43">
        <v>369.79797979798042</v>
      </c>
      <c r="U43">
        <v>12.479048609407617</v>
      </c>
      <c r="V43">
        <v>298.88888888888965</v>
      </c>
      <c r="W43">
        <v>11.092766583488336</v>
      </c>
    </row>
    <row r="44" spans="2:23" x14ac:dyDescent="0.25">
      <c r="B44" s="99" t="s">
        <v>209</v>
      </c>
      <c r="C44" s="100"/>
      <c r="D44" s="101"/>
      <c r="H44" s="24"/>
      <c r="I44" s="25"/>
      <c r="J44" s="25"/>
      <c r="K44" s="25"/>
      <c r="L44" s="25"/>
      <c r="M44" s="25"/>
      <c r="N44" s="25"/>
      <c r="T44">
        <v>368.29292929292995</v>
      </c>
      <c r="U44">
        <v>12.447832134867967</v>
      </c>
      <c r="V44">
        <v>301.11111111111188</v>
      </c>
      <c r="W44">
        <v>11.130234682620765</v>
      </c>
    </row>
    <row r="45" spans="2:23" ht="18" x14ac:dyDescent="0.25">
      <c r="B45" s="19" t="s">
        <v>210</v>
      </c>
      <c r="C45" s="44">
        <v>1.2</v>
      </c>
      <c r="D45" s="18" t="s">
        <v>211</v>
      </c>
      <c r="H45" s="24"/>
      <c r="I45" s="25"/>
      <c r="J45" s="25"/>
      <c r="K45" s="25"/>
      <c r="L45" s="25"/>
      <c r="M45" s="25"/>
      <c r="N45" s="25"/>
      <c r="T45">
        <v>366.78787878787944</v>
      </c>
      <c r="U45">
        <v>12.416742968144181</v>
      </c>
      <c r="V45">
        <v>303.33333333333411</v>
      </c>
      <c r="W45">
        <v>11.167980323228248</v>
      </c>
    </row>
    <row r="46" spans="2:23" ht="18" x14ac:dyDescent="0.25">
      <c r="B46" s="19" t="s">
        <v>212</v>
      </c>
      <c r="C46" s="43">
        <v>0</v>
      </c>
      <c r="D46" s="18" t="s">
        <v>213</v>
      </c>
      <c r="H46" s="24"/>
      <c r="I46" s="25"/>
      <c r="J46" s="25"/>
      <c r="K46" s="25"/>
      <c r="L46" s="25"/>
      <c r="M46" s="25"/>
      <c r="N46" s="25"/>
      <c r="T46">
        <v>365.28282828282897</v>
      </c>
      <c r="U46">
        <v>12.385781109236254</v>
      </c>
      <c r="V46">
        <v>305.55555555555634</v>
      </c>
      <c r="W46">
        <v>11.206003505310786</v>
      </c>
    </row>
    <row r="47" spans="2:23" x14ac:dyDescent="0.25">
      <c r="B47" s="19" t="s">
        <v>214</v>
      </c>
      <c r="C47" s="43" t="s">
        <v>215</v>
      </c>
      <c r="D47" s="18" t="s">
        <v>216</v>
      </c>
      <c r="E47">
        <f>+IF(C47="open", 1,0)</f>
        <v>1</v>
      </c>
      <c r="H47" s="24"/>
      <c r="I47" s="25"/>
      <c r="J47" s="25"/>
      <c r="K47" s="25"/>
      <c r="L47" s="25"/>
      <c r="M47" s="25"/>
      <c r="N47" s="25"/>
      <c r="T47">
        <v>363.77777777777845</v>
      </c>
      <c r="U47">
        <v>12.354946558144189</v>
      </c>
      <c r="V47">
        <v>307.77777777777857</v>
      </c>
      <c r="W47">
        <v>11.244304228868378</v>
      </c>
    </row>
    <row r="48" spans="2:23" x14ac:dyDescent="0.25">
      <c r="B48" s="19" t="s">
        <v>217</v>
      </c>
      <c r="C48" s="43" t="s">
        <v>218</v>
      </c>
      <c r="D48" s="18" t="s">
        <v>219</v>
      </c>
      <c r="T48">
        <v>362.27272727272799</v>
      </c>
      <c r="U48">
        <v>12.324239314867986</v>
      </c>
      <c r="V48">
        <v>310.00000000000085</v>
      </c>
      <c r="W48">
        <v>11.282882493901027</v>
      </c>
    </row>
    <row r="49" spans="2:23" x14ac:dyDescent="0.25">
      <c r="B49" s="19" t="s">
        <v>220</v>
      </c>
      <c r="C49" s="41">
        <v>0.08</v>
      </c>
      <c r="D49" s="18" t="s">
        <v>221</v>
      </c>
      <c r="T49">
        <v>360.76767676767747</v>
      </c>
      <c r="U49">
        <v>12.293659379407645</v>
      </c>
      <c r="V49">
        <v>312.22222222222308</v>
      </c>
      <c r="W49">
        <v>11.321738300408729</v>
      </c>
    </row>
    <row r="50" spans="2:23" x14ac:dyDescent="0.25">
      <c r="B50" s="19" t="s">
        <v>115</v>
      </c>
      <c r="C50" s="31">
        <f>0.135*C49/C14</f>
        <v>3.7241379310344831E-2</v>
      </c>
      <c r="D50" s="18" t="s">
        <v>222</v>
      </c>
      <c r="T50">
        <v>359.26262626262701</v>
      </c>
      <c r="U50">
        <v>12.263206751763166</v>
      </c>
      <c r="V50">
        <v>314.44444444444531</v>
      </c>
      <c r="W50">
        <v>11.360871648391488</v>
      </c>
    </row>
    <row r="51" spans="2:23" ht="18" hidden="1" outlineLevel="1" x14ac:dyDescent="0.25">
      <c r="B51" s="19" t="s">
        <v>223</v>
      </c>
      <c r="C51" s="27">
        <f>C66/(PI()*C10*C14)/3600*1000000</f>
        <v>15.222518353892537</v>
      </c>
      <c r="D51" s="18" t="s">
        <v>224</v>
      </c>
      <c r="T51">
        <v>357.75757575757655</v>
      </c>
      <c r="U51">
        <v>12.232881431934548</v>
      </c>
      <c r="V51">
        <v>316.66666666666754</v>
      </c>
      <c r="W51">
        <v>11.4002825378493</v>
      </c>
    </row>
    <row r="52" spans="2:23" hidden="1" outlineLevel="1" x14ac:dyDescent="0.25">
      <c r="B52" s="19" t="s">
        <v>61</v>
      </c>
      <c r="C52" s="30">
        <f>2*C14*C51/(C31*10^-6)/1000</f>
        <v>8829.0606452576721</v>
      </c>
      <c r="D52" s="18" t="s">
        <v>225</v>
      </c>
      <c r="T52">
        <v>356.25252525252603</v>
      </c>
      <c r="U52">
        <v>12.20268341992179</v>
      </c>
      <c r="V52">
        <v>318.88888888888982</v>
      </c>
      <c r="W52">
        <v>11.43997096878217</v>
      </c>
    </row>
    <row r="53" spans="2:23" ht="18" hidden="1" outlineLevel="1" x14ac:dyDescent="0.25">
      <c r="B53" s="19" t="s">
        <v>226</v>
      </c>
      <c r="C53" s="30">
        <f>2*C14*(PI()*C10*C29/60)/(C31*10^-6)/1000000</f>
        <v>25430.166277209199</v>
      </c>
      <c r="D53" s="18" t="s">
        <v>227</v>
      </c>
      <c r="T53">
        <v>354.74747474747556</v>
      </c>
      <c r="U53">
        <v>12.172612715724895</v>
      </c>
      <c r="V53">
        <v>321.11111111111205</v>
      </c>
      <c r="W53">
        <v>11.479936941190092</v>
      </c>
    </row>
    <row r="54" spans="2:23" ht="18" hidden="1" outlineLevel="1" x14ac:dyDescent="0.25">
      <c r="B54" s="19" t="s">
        <v>228</v>
      </c>
      <c r="C54" s="28">
        <f>96/C52*(1-0.6*C46/C14)</f>
        <v>1.087318389318848E-2</v>
      </c>
      <c r="D54" s="18" t="s">
        <v>229</v>
      </c>
      <c r="T54">
        <v>353.24242424242505</v>
      </c>
      <c r="U54">
        <v>12.142669319343861</v>
      </c>
      <c r="V54">
        <v>323.33333333333428</v>
      </c>
      <c r="W54">
        <v>11.520180455073071</v>
      </c>
    </row>
    <row r="55" spans="2:23" ht="18" hidden="1" outlineLevel="1" x14ac:dyDescent="0.25">
      <c r="B55" s="19" t="s">
        <v>230</v>
      </c>
      <c r="C55" s="28">
        <f>C54*(1+0.2*(C53/2000)^2)^1.03</f>
        <v>0.40266116816147013</v>
      </c>
      <c r="D55" s="18" t="s">
        <v>231</v>
      </c>
      <c r="T55">
        <v>351.73737373737458</v>
      </c>
      <c r="U55">
        <v>12.112853230778688</v>
      </c>
      <c r="V55">
        <v>325.55555555555651</v>
      </c>
      <c r="W55">
        <v>11.560701510431104</v>
      </c>
    </row>
    <row r="56" spans="2:23" ht="18" hidden="1" outlineLevel="1" x14ac:dyDescent="0.25">
      <c r="B56" s="19" t="s">
        <v>228</v>
      </c>
      <c r="C56" s="28">
        <f>0.31/(LOG(C50+6.5/C52))^2</f>
        <v>0.15363704106625922</v>
      </c>
      <c r="D56" s="18" t="s">
        <v>232</v>
      </c>
      <c r="T56">
        <v>350.23232323232406</v>
      </c>
      <c r="U56">
        <v>12.083164450029377</v>
      </c>
      <c r="V56">
        <v>327.77777777777879</v>
      </c>
      <c r="W56">
        <v>11.601500107264192</v>
      </c>
    </row>
    <row r="57" spans="2:23" ht="18" hidden="1" outlineLevel="1" x14ac:dyDescent="0.25">
      <c r="B57" s="19" t="s">
        <v>233</v>
      </c>
      <c r="C57" s="28">
        <f>C56*(1+0.19*(C53/C52)^2)^0.375</f>
        <v>0.21908667014007949</v>
      </c>
      <c r="D57" s="18" t="s">
        <v>234</v>
      </c>
      <c r="T57">
        <v>348.7272727272736</v>
      </c>
      <c r="U57">
        <v>12.053602977095927</v>
      </c>
      <c r="V57">
        <v>330.00000000000102</v>
      </c>
      <c r="W57">
        <v>11.642576245572334</v>
      </c>
    </row>
    <row r="58" spans="2:23" hidden="1" outlineLevel="1" x14ac:dyDescent="0.25">
      <c r="B58" s="19" t="s">
        <v>235</v>
      </c>
      <c r="C58" s="28">
        <f>IF(C52&gt;2000,C57,C55)</f>
        <v>0.21908667014007949</v>
      </c>
      <c r="D58" s="18" t="s">
        <v>236</v>
      </c>
      <c r="T58">
        <v>347.22222222222308</v>
      </c>
      <c r="U58">
        <v>12.02416881197834</v>
      </c>
      <c r="V58">
        <v>332.22222222222325</v>
      </c>
      <c r="W58">
        <v>11.683929925355534</v>
      </c>
    </row>
    <row r="59" spans="2:23" ht="18" collapsed="1" x14ac:dyDescent="0.25">
      <c r="B59" s="19" t="s">
        <v>237</v>
      </c>
      <c r="C59" s="31">
        <f>C30/2*(C51^2*(C45+C58*C16/(2*C14)))*0.00001</f>
        <v>12.331702305384903</v>
      </c>
      <c r="D59" s="18" t="s">
        <v>238</v>
      </c>
      <c r="E59" t="str">
        <f>B59 &amp; " = " &amp; ROUND(C59,1)</f>
        <v>∆psp [bar] = 12.3</v>
      </c>
      <c r="T59">
        <v>345.71717171717262</v>
      </c>
      <c r="U59">
        <v>11.994861954676614</v>
      </c>
      <c r="V59">
        <v>334.44444444444548</v>
      </c>
      <c r="W59">
        <v>11.725561146613787</v>
      </c>
    </row>
    <row r="60" spans="2:23" ht="18" hidden="1" outlineLevel="1" x14ac:dyDescent="0.25">
      <c r="B60" s="19" t="s">
        <v>239</v>
      </c>
      <c r="C60" s="31">
        <f>C65-C59</f>
        <v>4.5180166859282167E-5</v>
      </c>
      <c r="D60" s="18" t="s">
        <v>240</v>
      </c>
      <c r="T60">
        <v>344.2121212121221</v>
      </c>
      <c r="U60">
        <v>11.965682405190748</v>
      </c>
      <c r="V60">
        <v>336.66666666666777</v>
      </c>
      <c r="W60">
        <v>11.767469909347094</v>
      </c>
    </row>
    <row r="61" spans="2:23" ht="18" hidden="1" outlineLevel="1" x14ac:dyDescent="0.25">
      <c r="B61" s="17" t="s">
        <v>241</v>
      </c>
      <c r="C61" s="28">
        <f>1/(1+(C23/(C9/2))^2*(((C23/(C9/2))+5*(C22/(C9/2)))*(C34/C35))^0.5)</f>
        <v>0.48046479748562687</v>
      </c>
      <c r="D61" s="18" t="s">
        <v>242</v>
      </c>
      <c r="T61">
        <v>342.70707070707164</v>
      </c>
      <c r="U61">
        <v>11.936630163520745</v>
      </c>
      <c r="V61">
        <v>338.88888888888999</v>
      </c>
      <c r="W61">
        <v>11.809656213555458</v>
      </c>
    </row>
    <row r="62" spans="2:23" ht="18" hidden="1" outlineLevel="1" x14ac:dyDescent="0.25">
      <c r="B62" s="17" t="s">
        <v>243</v>
      </c>
      <c r="C62" s="29">
        <f>+C66/3600/(PI()*(C9/2000)^2*C99)</f>
        <v>3.9997289584189747E-4</v>
      </c>
      <c r="D62" s="18" t="s">
        <v>244</v>
      </c>
      <c r="T62">
        <v>341.20202020202112</v>
      </c>
      <c r="U62">
        <v>11.907705229666602</v>
      </c>
      <c r="V62">
        <v>341.11111111111222</v>
      </c>
      <c r="W62">
        <v>11.852120059238876</v>
      </c>
    </row>
    <row r="63" spans="2:23" ht="18" hidden="1" outlineLevel="1" x14ac:dyDescent="0.25">
      <c r="B63" s="17" t="s">
        <v>226</v>
      </c>
      <c r="C63" s="30">
        <f>+C99*(C9/2000)/(C31*10^-6)</f>
        <v>14425198.627610693</v>
      </c>
      <c r="D63" s="18" t="s">
        <v>245</v>
      </c>
      <c r="T63">
        <v>339.69696969697065</v>
      </c>
      <c r="U63">
        <v>11.878907603628322</v>
      </c>
      <c r="V63">
        <v>343.33333333333445</v>
      </c>
      <c r="W63">
        <v>11.89486144639735</v>
      </c>
    </row>
    <row r="64" spans="2:23" ht="18" hidden="1" outlineLevel="1" x14ac:dyDescent="0.25">
      <c r="B64" s="19" t="s">
        <v>246</v>
      </c>
      <c r="C64" s="28">
        <f>+C60</f>
        <v>4.5180166859282167E-5</v>
      </c>
      <c r="D64" s="18" t="s">
        <v>247</v>
      </c>
      <c r="T64">
        <v>338.19191919192014</v>
      </c>
      <c r="U64">
        <v>11.850237285405903</v>
      </c>
      <c r="V64">
        <v>345.55555555555674</v>
      </c>
      <c r="W64">
        <v>11.937880375030877</v>
      </c>
    </row>
    <row r="65" spans="2:23" ht="18" collapsed="1" x14ac:dyDescent="0.25">
      <c r="B65" s="17" t="s">
        <v>248</v>
      </c>
      <c r="C65" s="31" cm="1">
        <f t="array" ref="C65">shroud_inwards(0,C42,C101,C62,C63,C61,C18,C19,C99,C24,C25,C9,C98,C30,E47)</f>
        <v>12.331747485551762</v>
      </c>
      <c r="D65" s="18" t="s">
        <v>249</v>
      </c>
      <c r="T65">
        <v>336.68686868686967</v>
      </c>
      <c r="U65">
        <v>11.821694274999345</v>
      </c>
      <c r="V65">
        <v>347.77777777777897</v>
      </c>
      <c r="W65">
        <v>11.98117684513946</v>
      </c>
    </row>
    <row r="66" spans="2:23" ht="18" x14ac:dyDescent="0.25">
      <c r="B66" s="19" t="s">
        <v>250</v>
      </c>
      <c r="C66" s="31">
        <v>14.029532440575322</v>
      </c>
      <c r="D66" s="18" t="s">
        <v>251</v>
      </c>
      <c r="E66" t="str">
        <f>B66 &amp; " = " &amp; ROUND(C66,1)</f>
        <v>Qsp [m3/h] = 14</v>
      </c>
      <c r="T66">
        <v>335.18181818181915</v>
      </c>
      <c r="U66">
        <v>11.793278572408649</v>
      </c>
      <c r="V66">
        <v>350.00000000000119</v>
      </c>
      <c r="W66">
        <v>12.024750856723099</v>
      </c>
    </row>
    <row r="67" spans="2:23" ht="18" x14ac:dyDescent="0.25">
      <c r="B67" s="17" t="s">
        <v>252</v>
      </c>
      <c r="C67" s="30" cm="1">
        <f t="array" ref="C67">-shroud_inwards(1,C42,C101,C62,C63,C61,C18,C19,C99,C24,C25,C9,C98,C30,E47)</f>
        <v>-109650.09794097314</v>
      </c>
      <c r="D67" s="21" t="s">
        <v>253</v>
      </c>
      <c r="E67" t="str">
        <f>"(" &amp; B67 &amp; " = " &amp; ABS(ROUND(C67,0)) &amp; ")"</f>
        <v>(FFS  [N] = 109650)</v>
      </c>
      <c r="T67">
        <v>333.67676767676869</v>
      </c>
      <c r="U67">
        <v>11.764990177633814</v>
      </c>
      <c r="V67">
        <v>352.22222222222342</v>
      </c>
      <c r="W67">
        <v>12.068602409781793</v>
      </c>
    </row>
    <row r="68" spans="2:23" x14ac:dyDescent="0.25">
      <c r="T68">
        <v>332.17171717171823</v>
      </c>
      <c r="U68">
        <v>11.736829090674842</v>
      </c>
      <c r="V68">
        <v>354.44444444444565</v>
      </c>
      <c r="W68">
        <v>12.112731504315542</v>
      </c>
    </row>
    <row r="69" spans="2:23" x14ac:dyDescent="0.25">
      <c r="B69" s="99" t="s">
        <v>254</v>
      </c>
      <c r="C69" s="100"/>
      <c r="D69" s="101"/>
      <c r="T69">
        <v>330.66666666666771</v>
      </c>
      <c r="U69">
        <v>11.70879531153173</v>
      </c>
      <c r="V69">
        <v>356.66666666666794</v>
      </c>
      <c r="W69">
        <v>12.157138140324346</v>
      </c>
    </row>
    <row r="70" spans="2:23" ht="18" x14ac:dyDescent="0.25">
      <c r="B70" s="17" t="s">
        <v>55</v>
      </c>
      <c r="C70" s="33" t="str">
        <f>IF(AND(C36="no",C37="no"),"outwards","inwards")</f>
        <v>outwards</v>
      </c>
      <c r="D70" s="21" t="s">
        <v>255</v>
      </c>
      <c r="T70">
        <v>329.16161616161725</v>
      </c>
      <c r="U70">
        <v>11.68088884020448</v>
      </c>
      <c r="V70">
        <v>358.88888888889016</v>
      </c>
      <c r="W70">
        <v>12.201822317808203</v>
      </c>
    </row>
    <row r="71" spans="2:23" ht="18" x14ac:dyDescent="0.25">
      <c r="B71" s="19" t="s">
        <v>210</v>
      </c>
      <c r="C71" s="26">
        <v>1</v>
      </c>
      <c r="D71" s="18" t="s">
        <v>211</v>
      </c>
      <c r="T71">
        <v>327.65656565656673</v>
      </c>
      <c r="U71">
        <v>11.653109676693092</v>
      </c>
      <c r="V71">
        <v>361.11111111111239</v>
      </c>
      <c r="W71">
        <v>12.246784036767117</v>
      </c>
    </row>
    <row r="72" spans="2:23" ht="18" x14ac:dyDescent="0.25">
      <c r="B72" s="19" t="s">
        <v>212</v>
      </c>
      <c r="C72" s="20">
        <v>0</v>
      </c>
      <c r="D72" s="18" t="s">
        <v>213</v>
      </c>
      <c r="T72">
        <v>326.15151515151626</v>
      </c>
      <c r="U72">
        <v>11.625457820997564</v>
      </c>
      <c r="V72">
        <v>363.33333333333462</v>
      </c>
      <c r="W72">
        <v>12.292023297201085</v>
      </c>
    </row>
    <row r="73" spans="2:23" x14ac:dyDescent="0.25">
      <c r="B73" s="19" t="s">
        <v>214</v>
      </c>
      <c r="C73" s="43" t="s">
        <v>215</v>
      </c>
      <c r="D73" s="18" t="s">
        <v>216</v>
      </c>
      <c r="E73">
        <f>+IF(C73="open", 1,0)</f>
        <v>1</v>
      </c>
      <c r="T73">
        <v>324.64646464646574</v>
      </c>
      <c r="U73">
        <v>11.597933273117899</v>
      </c>
      <c r="V73">
        <v>365.55555555555691</v>
      </c>
      <c r="W73">
        <v>12.337540099110109</v>
      </c>
    </row>
    <row r="74" spans="2:23" ht="18" x14ac:dyDescent="0.25">
      <c r="B74" s="19" t="s">
        <v>256</v>
      </c>
      <c r="C74" s="20">
        <v>0.5</v>
      </c>
      <c r="D74" s="18" t="s">
        <v>257</v>
      </c>
      <c r="T74">
        <v>323.14141414141528</v>
      </c>
      <c r="U74">
        <v>11.570536033054095</v>
      </c>
      <c r="V74">
        <v>367.77777777777914</v>
      </c>
      <c r="W74">
        <v>12.383334442494188</v>
      </c>
    </row>
    <row r="75" spans="2:23" x14ac:dyDescent="0.25">
      <c r="B75" s="19" t="s">
        <v>217</v>
      </c>
      <c r="C75" s="43" t="s">
        <v>218</v>
      </c>
      <c r="D75" s="18" t="s">
        <v>219</v>
      </c>
      <c r="T75">
        <v>321.63636363636476</v>
      </c>
      <c r="U75">
        <v>11.543266100806152</v>
      </c>
      <c r="V75">
        <v>370.00000000000136</v>
      </c>
      <c r="W75">
        <v>12.429406327353322</v>
      </c>
    </row>
    <row r="76" spans="2:23" x14ac:dyDescent="0.25">
      <c r="B76" s="19" t="s">
        <v>220</v>
      </c>
      <c r="C76" s="41">
        <v>0.08</v>
      </c>
      <c r="D76" s="18" t="s">
        <v>221</v>
      </c>
      <c r="T76">
        <v>320.1313131313143</v>
      </c>
      <c r="U76">
        <v>11.516123476374071</v>
      </c>
      <c r="V76">
        <v>372.22222222222359</v>
      </c>
      <c r="W76">
        <v>12.47575575368751</v>
      </c>
    </row>
    <row r="77" spans="2:23" x14ac:dyDescent="0.25">
      <c r="B77" s="19" t="s">
        <v>115</v>
      </c>
      <c r="C77" s="31">
        <f>0.135*C76/C15</f>
        <v>3.7241379310344831E-2</v>
      </c>
      <c r="D77" s="18" t="s">
        <v>222</v>
      </c>
      <c r="T77">
        <v>318.62626262626378</v>
      </c>
      <c r="U77">
        <v>11.489108159757851</v>
      </c>
      <c r="V77">
        <v>374.44444444444588</v>
      </c>
      <c r="W77">
        <v>12.522382721496754</v>
      </c>
    </row>
    <row r="78" spans="2:23" ht="18" hidden="1" outlineLevel="1" x14ac:dyDescent="0.25">
      <c r="B78" s="19" t="s">
        <v>223</v>
      </c>
      <c r="C78" s="27">
        <f>C93/(PI()*C11*C15)/3600*1000000</f>
        <v>10.881560628669448</v>
      </c>
      <c r="D78" s="18" t="s">
        <v>224</v>
      </c>
      <c r="T78">
        <v>317.12121212121332</v>
      </c>
      <c r="U78">
        <v>11.462220150957494</v>
      </c>
      <c r="V78">
        <v>376.66666666666811</v>
      </c>
      <c r="W78">
        <v>12.569287230781052</v>
      </c>
    </row>
    <row r="79" spans="2:23" hidden="1" outlineLevel="1" x14ac:dyDescent="0.25">
      <c r="B79" s="19" t="s">
        <v>61</v>
      </c>
      <c r="C79" s="30">
        <f>2*C15*C78/(C31*10^-6)/1000</f>
        <v>6311.3051646282793</v>
      </c>
      <c r="D79" s="18" t="s">
        <v>225</v>
      </c>
      <c r="T79">
        <v>315.6161616161628</v>
      </c>
      <c r="U79">
        <v>11.435459449972997</v>
      </c>
      <c r="V79">
        <v>378.88888888889034</v>
      </c>
      <c r="W79">
        <v>12.616469281540406</v>
      </c>
    </row>
    <row r="80" spans="2:23" ht="18" hidden="1" outlineLevel="1" x14ac:dyDescent="0.25">
      <c r="B80" s="19" t="s">
        <v>226</v>
      </c>
      <c r="C80" s="30">
        <f>2*C15*(PI()*C11*C29/60)/(C31*10^-6)/1000000</f>
        <v>19004.750598626095</v>
      </c>
      <c r="D80" s="18" t="s">
        <v>227</v>
      </c>
      <c r="T80">
        <v>314.11111111111234</v>
      </c>
      <c r="U80">
        <v>11.408826056804362</v>
      </c>
      <c r="V80">
        <v>381.11111111111256</v>
      </c>
      <c r="W80">
        <v>12.663928873774815</v>
      </c>
    </row>
    <row r="81" spans="2:23" ht="18" hidden="1" outlineLevel="1" x14ac:dyDescent="0.25">
      <c r="B81" s="19" t="s">
        <v>228</v>
      </c>
      <c r="C81" s="28">
        <f>96/C79*(1-0.6*C72/C15)</f>
        <v>1.5210799905229139E-2</v>
      </c>
      <c r="D81" s="18" t="s">
        <v>229</v>
      </c>
      <c r="T81">
        <v>312.60606060606182</v>
      </c>
      <c r="U81">
        <v>11.382319971451588</v>
      </c>
      <c r="V81">
        <v>383.33333333333485</v>
      </c>
      <c r="W81">
        <v>12.711666007484279</v>
      </c>
    </row>
    <row r="82" spans="2:23" ht="18" hidden="1" outlineLevel="1" x14ac:dyDescent="0.25">
      <c r="B82" s="19" t="s">
        <v>230</v>
      </c>
      <c r="C82" s="28">
        <f>C81*(1+0.2*(C80/2000)^2)^1.03</f>
        <v>0.31670564664864609</v>
      </c>
      <c r="D82" s="18" t="s">
        <v>231</v>
      </c>
      <c r="T82">
        <v>311.10101010101135</v>
      </c>
      <c r="U82">
        <v>11.355941193914676</v>
      </c>
      <c r="V82">
        <v>385.55555555555708</v>
      </c>
      <c r="W82">
        <v>12.759680682668797</v>
      </c>
    </row>
    <row r="83" spans="2:23" ht="18" hidden="1" outlineLevel="1" x14ac:dyDescent="0.25">
      <c r="B83" s="19" t="s">
        <v>228</v>
      </c>
      <c r="C83" s="28">
        <f>0.31/(LOG(C77+6.5/C79))^2</f>
        <v>0.15436332395108024</v>
      </c>
      <c r="D83" s="18" t="s">
        <v>232</v>
      </c>
      <c r="T83">
        <v>309.59595959596084</v>
      </c>
      <c r="U83">
        <v>11.329689724193626</v>
      </c>
      <c r="V83">
        <v>387.77777777777931</v>
      </c>
      <c r="W83">
        <v>12.807972899328371</v>
      </c>
    </row>
    <row r="84" spans="2:23" ht="18" hidden="1" outlineLevel="1" x14ac:dyDescent="0.25">
      <c r="B84" s="19" t="s">
        <v>233</v>
      </c>
      <c r="C84" s="28">
        <f>C83*(1+0.19*(C80/C79)^2)^0.375</f>
        <v>0.22473781119956218</v>
      </c>
      <c r="D84" s="18" t="s">
        <v>234</v>
      </c>
      <c r="T84">
        <v>308.09090909091037</v>
      </c>
      <c r="U84">
        <v>11.303565562288437</v>
      </c>
      <c r="V84">
        <v>390.00000000000153</v>
      </c>
      <c r="W84">
        <v>12.856542657463001</v>
      </c>
    </row>
    <row r="85" spans="2:23" hidden="1" outlineLevel="1" x14ac:dyDescent="0.25">
      <c r="B85" s="19" t="s">
        <v>235</v>
      </c>
      <c r="C85" s="28">
        <f>IF(C79&gt;2000,C84,C82)</f>
        <v>0.22473781119956218</v>
      </c>
      <c r="D85" s="18" t="s">
        <v>236</v>
      </c>
      <c r="T85">
        <v>306.58585858585991</v>
      </c>
      <c r="U85">
        <v>11.277568708199109</v>
      </c>
      <c r="V85">
        <v>392.22222222222382</v>
      </c>
      <c r="W85">
        <v>12.905389957072684</v>
      </c>
    </row>
    <row r="86" spans="2:23" ht="18" collapsed="1" x14ac:dyDescent="0.25">
      <c r="B86" s="19" t="s">
        <v>258</v>
      </c>
      <c r="C86" s="31">
        <f>C30/2*(C78^2*(C71+C85*C17/(2*C15)))*0.00001</f>
        <v>8.621173372263657</v>
      </c>
      <c r="D86" s="18" t="s">
        <v>259</v>
      </c>
      <c r="E86" t="str">
        <f>B86 &amp; " = " &amp; ROUND(C86,1)</f>
        <v>∆pD [bar] = 8.6</v>
      </c>
      <c r="T86">
        <v>305.08080808080939</v>
      </c>
      <c r="U86">
        <v>11.251699161925643</v>
      </c>
      <c r="V86">
        <v>394.44444444444605</v>
      </c>
      <c r="W86">
        <v>12.954514798157422</v>
      </c>
    </row>
    <row r="87" spans="2:23" ht="18" hidden="1" outlineLevel="1" x14ac:dyDescent="0.25">
      <c r="B87" s="19" t="s">
        <v>260</v>
      </c>
      <c r="C87" s="31" cm="1">
        <f t="array" ref="C87">_xlfn.IFS(AND(C36="no",C37="no"),C97-C86,AND(C36="no",C37="yes"),C86+C38,AND(C36="no",C37="no"),C86+C39,AND(C36="yes",C37="no"),C86+C39)</f>
        <v>9.8216266277363413</v>
      </c>
      <c r="D87" s="18" t="str">
        <f>+IF(C70="inwards","Pressure upstream back wear ring","Pressure downstream back wear ring")</f>
        <v>Pressure downstream back wear ring</v>
      </c>
      <c r="E87" t="str">
        <f>B87 &amp; " = " &amp; ROUND(C87,1)</f>
        <v>pD [barg] = 9.8</v>
      </c>
      <c r="T87">
        <v>303.57575757575893</v>
      </c>
      <c r="U87">
        <v>11.225956923468038</v>
      </c>
      <c r="V87">
        <v>396.66666666666828</v>
      </c>
      <c r="W87">
        <v>13.003917180717217</v>
      </c>
    </row>
    <row r="88" spans="2:23" ht="18" hidden="1" outlineLevel="1" x14ac:dyDescent="0.25">
      <c r="B88" s="17" t="s">
        <v>241</v>
      </c>
      <c r="C88" s="31">
        <f>1/(1+(C23/(C9/2))^2*(((C23/(C9/2))+5*(C22/(C9/2)))*(C34/C35))^0.5)</f>
        <v>0.48046479748562687</v>
      </c>
      <c r="D88" s="18" t="s">
        <v>242</v>
      </c>
      <c r="T88">
        <v>302.07070707070841</v>
      </c>
      <c r="U88">
        <v>11.200341992826294</v>
      </c>
      <c r="V88">
        <v>398.88888888889051</v>
      </c>
      <c r="W88">
        <v>13.053597104752066</v>
      </c>
    </row>
    <row r="89" spans="2:23" ht="18" hidden="1" outlineLevel="1" x14ac:dyDescent="0.25">
      <c r="B89" s="17" t="s">
        <v>243</v>
      </c>
      <c r="C89" s="29">
        <f>+C93/3600/(PI()*(C9/2000)^2*C99)*IF(C70="outwards",-1,IF(C70="inwards",1))</f>
        <v>-2.1367229613451262E-4</v>
      </c>
      <c r="D89" s="18" t="s">
        <v>244</v>
      </c>
      <c r="T89">
        <v>300.56565656565795</v>
      </c>
      <c r="U89">
        <v>11.174854370000412</v>
      </c>
      <c r="V89">
        <v>401.11111111111273</v>
      </c>
      <c r="W89">
        <v>13.10355457026197</v>
      </c>
    </row>
    <row r="90" spans="2:23" ht="18" hidden="1" outlineLevel="1" x14ac:dyDescent="0.25">
      <c r="B90" s="17" t="s">
        <v>226</v>
      </c>
      <c r="C90" s="30">
        <f>+C99*(C9/2000)/(C31*10^-6)</f>
        <v>14425198.627610693</v>
      </c>
      <c r="D90" s="18" t="s">
        <v>245</v>
      </c>
      <c r="T90">
        <v>299.06060606060743</v>
      </c>
      <c r="U90">
        <v>11.149494054990393</v>
      </c>
      <c r="V90">
        <v>403.33333333333502</v>
      </c>
      <c r="W90">
        <v>13.153789577246929</v>
      </c>
    </row>
    <row r="91" spans="2:23" ht="18" hidden="1" outlineLevel="1" x14ac:dyDescent="0.25">
      <c r="B91" s="19" t="s">
        <v>246</v>
      </c>
      <c r="C91" s="28">
        <f>IF(C70="outwards",C92-C98,C92-C86-IF(C36="yes",C39,C38))</f>
        <v>4.7114070156339949E-7</v>
      </c>
      <c r="D91" s="18" t="s">
        <v>261</v>
      </c>
      <c r="T91">
        <v>297.55555555555696</v>
      </c>
      <c r="U91">
        <v>11.124261047796235</v>
      </c>
      <c r="V91">
        <v>405.55555555555725</v>
      </c>
      <c r="W91">
        <v>13.204302125706944</v>
      </c>
    </row>
    <row r="92" spans="2:23" collapsed="1" x14ac:dyDescent="0.25">
      <c r="B92" s="17" t="str">
        <f>+IF(C70="inwards","pD [barg]","p2 [barg]")</f>
        <v>p2 [barg]</v>
      </c>
      <c r="C92" s="31" cm="1">
        <f t="array" ref="C92">IF(C70="outwards",shroud_outwards(0,C42,C102,C89,C90,C88,C20,C21,C99,C24,C25,C9,C87,C98,C30,C74,C85,C17,C15,C79,C80), shroud_inwards(0,C42,C102,C89,C90,C88,C20,C21,C99,C24,C25,C9,C98,C30,E73))</f>
        <v>13.8321004711407</v>
      </c>
      <c r="D92" s="18" t="str">
        <f>+IF(C70="inwards",D87,D98)</f>
        <v>Static differential pressure across the impeller</v>
      </c>
      <c r="E92" t="str">
        <f>B92 &amp; " = " &amp; ROUND(C92,1)</f>
        <v>p2 [barg] = 13.8</v>
      </c>
      <c r="T92">
        <v>296.05050505050644</v>
      </c>
      <c r="U92">
        <v>11.099155348417938</v>
      </c>
      <c r="V92">
        <v>407.77777777777948</v>
      </c>
      <c r="W92">
        <v>13.255092215642012</v>
      </c>
    </row>
    <row r="93" spans="2:23" ht="18" x14ac:dyDescent="0.25">
      <c r="B93" s="19" t="s">
        <v>262</v>
      </c>
      <c r="C93" s="31">
        <v>7.4948138772290989</v>
      </c>
      <c r="D93" s="18" t="s">
        <v>251</v>
      </c>
      <c r="E93" t="str">
        <f>B93 &amp; " = " &amp; ROUND(C93,1)</f>
        <v>QD [m3/h] = 7.5</v>
      </c>
      <c r="T93">
        <v>294.54545454545598</v>
      </c>
      <c r="U93">
        <v>11.074176956855501</v>
      </c>
      <c r="V93">
        <v>410.00000000000171</v>
      </c>
      <c r="W93">
        <v>13.306159847052136</v>
      </c>
    </row>
    <row r="94" spans="2:23" ht="18" x14ac:dyDescent="0.25">
      <c r="B94" s="17" t="s">
        <v>263</v>
      </c>
      <c r="C94" s="30" cm="1">
        <f t="array" ref="C94">IF(C70="outwards",shroud_outwards(1,C42,C102,C89,C90,C88,C20,C21,C99,C24,C25,C9,C87,C98,C30,C74,C85,C17,C15,C79,C80), shroud_inwards(1,C42,C102,C89,C90,C88,C20,C21,C99,C24,C25,C9,C98,C30,E73))</f>
        <v>143921.14807594771</v>
      </c>
      <c r="D94" s="21" t="s">
        <v>264</v>
      </c>
      <c r="E94" t="str">
        <f>"(" &amp; B94 &amp; " = " &amp; ABS(ROUND(C94,0)) &amp; ")"</f>
        <v>(FRS  [N] = 143921)</v>
      </c>
      <c r="T94">
        <v>293.04040404040546</v>
      </c>
      <c r="U94">
        <v>11.049325873108927</v>
      </c>
      <c r="V94">
        <v>412.22222222222399</v>
      </c>
      <c r="W94">
        <v>13.357505019937316</v>
      </c>
    </row>
    <row r="95" spans="2:23" x14ac:dyDescent="0.25">
      <c r="T95">
        <v>291.535353535355</v>
      </c>
      <c r="U95">
        <v>11.024602097178214</v>
      </c>
      <c r="V95">
        <v>414.44444444444622</v>
      </c>
      <c r="W95">
        <v>13.409127734297549</v>
      </c>
    </row>
    <row r="96" spans="2:23" x14ac:dyDescent="0.25">
      <c r="B96" s="99" t="s">
        <v>265</v>
      </c>
      <c r="C96" s="100"/>
      <c r="D96" s="101"/>
      <c r="T96">
        <v>290.03030303030448</v>
      </c>
      <c r="U96">
        <v>11.000005629063363</v>
      </c>
      <c r="V96">
        <v>416.66666666666845</v>
      </c>
      <c r="W96">
        <v>13.461027990132838</v>
      </c>
    </row>
    <row r="97" spans="2:23" ht="18" x14ac:dyDescent="0.25">
      <c r="B97" s="17" t="s">
        <v>333</v>
      </c>
      <c r="C97" s="27">
        <f>C30*9.81*C33/10^5</f>
        <v>18.442799999999998</v>
      </c>
      <c r="D97" s="18" t="s">
        <v>57</v>
      </c>
      <c r="E97" t="str">
        <f>B97 &amp; " = " &amp; ROUND(C97,1)</f>
        <v>p2 [bar] = 18.4</v>
      </c>
      <c r="T97">
        <v>288.52525252525402</v>
      </c>
      <c r="U97">
        <v>10.975536468764373</v>
      </c>
      <c r="V97">
        <v>418.88888888889068</v>
      </c>
      <c r="W97">
        <v>13.513205787443182</v>
      </c>
    </row>
    <row r="98" spans="2:23" ht="18" x14ac:dyDescent="0.25">
      <c r="B98" s="17" t="s">
        <v>332</v>
      </c>
      <c r="C98" s="27">
        <f>C97*C26</f>
        <v>13.832099999999999</v>
      </c>
      <c r="D98" s="18" t="s">
        <v>58</v>
      </c>
      <c r="E98" t="str">
        <f>B98 &amp; " = " &amp; ROUND(C98,1)</f>
        <v>pLA [bar] = 13.8</v>
      </c>
      <c r="T98">
        <v>287.0202020202035</v>
      </c>
      <c r="U98">
        <v>10.951194616281246</v>
      </c>
      <c r="V98">
        <v>421.11111111111296</v>
      </c>
      <c r="W98">
        <v>13.565661126228582</v>
      </c>
    </row>
    <row r="99" spans="2:23" ht="18" x14ac:dyDescent="0.25">
      <c r="B99" s="17" t="s">
        <v>59</v>
      </c>
      <c r="C99" s="27">
        <f>+C29*2*PI()/60*(C9/2000)</f>
        <v>67.093947105166009</v>
      </c>
      <c r="D99" s="18" t="s">
        <v>60</v>
      </c>
      <c r="T99">
        <v>285.51515151515304</v>
      </c>
      <c r="U99">
        <v>10.926980071613979</v>
      </c>
      <c r="V99">
        <v>423.33333333333519</v>
      </c>
      <c r="W99">
        <v>13.618394006489035</v>
      </c>
    </row>
    <row r="100" spans="2:23" x14ac:dyDescent="0.25">
      <c r="B100" s="17" t="s">
        <v>61</v>
      </c>
      <c r="C100" s="30">
        <f>+C99*(C9/1000)/2/C31</f>
        <v>14.425198627610692</v>
      </c>
      <c r="D100" s="18" t="s">
        <v>62</v>
      </c>
      <c r="T100">
        <v>284.01010101010257</v>
      </c>
      <c r="U100">
        <v>10.902892834762573</v>
      </c>
      <c r="V100">
        <v>425.55555555555742</v>
      </c>
      <c r="W100">
        <v>13.671404428224545</v>
      </c>
    </row>
    <row r="101" spans="2:23" ht="18" x14ac:dyDescent="0.25">
      <c r="B101" s="17" t="s">
        <v>71</v>
      </c>
      <c r="C101" s="31">
        <f>+C10/C9</f>
        <v>0.65348837209302324</v>
      </c>
      <c r="D101" s="18" t="s">
        <v>72</v>
      </c>
      <c r="T101">
        <v>282.50505050505205</v>
      </c>
      <c r="U101">
        <v>10.87893290572703</v>
      </c>
      <c r="V101">
        <v>427.77777777777965</v>
      </c>
      <c r="W101">
        <v>13.724692391435109</v>
      </c>
    </row>
    <row r="102" spans="2:23" ht="18" x14ac:dyDescent="0.25">
      <c r="B102" s="17" t="s">
        <v>73</v>
      </c>
      <c r="C102" s="31">
        <f>MAX(C11,C13)/C9</f>
        <v>0.48837209302325579</v>
      </c>
      <c r="D102" s="18" t="s">
        <v>74</v>
      </c>
      <c r="T102">
        <v>281.00000000000159</v>
      </c>
      <c r="U102">
        <v>10.855100284507348</v>
      </c>
      <c r="V102">
        <v>430.00000000000193</v>
      </c>
      <c r="W102">
        <v>13.778257896120728</v>
      </c>
    </row>
    <row r="103" spans="2:23" ht="18" x14ac:dyDescent="0.25">
      <c r="B103" s="17" t="s">
        <v>75</v>
      </c>
      <c r="C103" s="27">
        <f>IF(C36="no",0,PI()*(C11^2-C13^2)/4*C39/10)</f>
        <v>0</v>
      </c>
      <c r="D103" s="18" t="s">
        <v>105</v>
      </c>
      <c r="E103" t="str">
        <f>"(" &amp; B103 &amp; " = " &amp; ABS(ROUND(C103,0)) &amp; ")"</f>
        <v>(FBAL [N] = 0)</v>
      </c>
    </row>
    <row r="104" spans="2:23" ht="18" x14ac:dyDescent="0.25">
      <c r="B104" s="17" t="s">
        <v>77</v>
      </c>
      <c r="C104" s="30">
        <f>+PI()*(C13^2-C12^2)/4/10^6*IF(C37="yes",C38*10^5,C30*9.81*C33)</f>
        <v>6373.3741490788425</v>
      </c>
      <c r="D104" s="18" t="s">
        <v>106</v>
      </c>
      <c r="E104" t="str">
        <f>"(" &amp; B104 &amp; " = " &amp; ABS(ROUND(C104,0)) &amp; ")"</f>
        <v>(FHUB [N] = 6373)</v>
      </c>
    </row>
    <row r="105" spans="2:23" ht="18" x14ac:dyDescent="0.25">
      <c r="B105" s="17" t="s">
        <v>266</v>
      </c>
      <c r="C105" s="30">
        <f>C67+C94</f>
        <v>34271.050134974575</v>
      </c>
      <c r="D105" s="18" t="s">
        <v>267</v>
      </c>
      <c r="E105" t="str">
        <f>"(" &amp; B105 &amp; " = " &amp; ABS(ROUND(C105,0)) &amp; ")"</f>
        <v>(FSHROUD [N] = 34271)</v>
      </c>
    </row>
    <row r="106" spans="2:23" x14ac:dyDescent="0.25">
      <c r="B106" s="17" t="s">
        <v>83</v>
      </c>
      <c r="C106" s="30">
        <f>+C105+C104+C103</f>
        <v>40644.424284053421</v>
      </c>
      <c r="D106" s="21" t="s">
        <v>268</v>
      </c>
      <c r="E106" t="str">
        <f>B106 &amp; " = " &amp; ROUND(C106,0)</f>
        <v>F[N] = 40644</v>
      </c>
    </row>
  </sheetData>
  <mergeCells count="13">
    <mergeCell ref="T1:U1"/>
    <mergeCell ref="V1:W1"/>
    <mergeCell ref="B96:D96"/>
    <mergeCell ref="B69:D69"/>
    <mergeCell ref="B44:D44"/>
    <mergeCell ref="B2:C2"/>
    <mergeCell ref="B3:C3"/>
    <mergeCell ref="B4:C4"/>
    <mergeCell ref="B5:C5"/>
    <mergeCell ref="B6:C6"/>
    <mergeCell ref="B8:D8"/>
    <mergeCell ref="B28:D28"/>
    <mergeCell ref="B41:D41"/>
  </mergeCells>
  <dataValidations count="5">
    <dataValidation type="decimal" allowBlank="1" showInputMessage="1" showErrorMessage="1" sqref="C71 C45" xr:uid="{7FCE1B0B-9D2F-43F3-B61B-A9199FF05146}">
      <formula1>1</formula1>
      <formula2>1.2</formula2>
    </dataValidation>
    <dataValidation type="list" allowBlank="1" showInputMessage="1" showErrorMessage="1" sqref="C36:C37" xr:uid="{C855F391-0CAF-4DCB-8930-B3D90A79B3A6}">
      <formula1>"yes, no"</formula1>
    </dataValidation>
    <dataValidation type="whole" allowBlank="1" showInputMessage="1" showErrorMessage="1" errorTitle="Error" error="The number of steps shall be selected between 1 and 1000." sqref="C42" xr:uid="{E43BAD26-D591-478C-A125-C0CDCDD9A479}">
      <formula1>1</formula1>
      <formula2>2000</formula2>
    </dataValidation>
    <dataValidation type="list" allowBlank="1" showInputMessage="1" showErrorMessage="1" sqref="C73 C47" xr:uid="{7F2ABADB-62BD-40BC-B60A-454E60347AA4}">
      <formula1>"open, overlapped"</formula1>
    </dataValidation>
    <dataValidation type="list" allowBlank="1" showInputMessage="1" showErrorMessage="1" sqref="C48 C75" xr:uid="{7554F409-80BE-49A4-8E28-EADD04E6C6D5}">
      <formula1>"rough, serrated, isotropic pattern"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424" r:id="rId4" name="CommandButton1">
          <controlPr defaultSize="0" autoLine="0" autoPict="0" r:id="rId5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18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424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779B8-7525-42E6-B1B0-32A17CC775B0}">
  <sheetPr codeName="Foglio7"/>
  <dimension ref="B1:Z96"/>
  <sheetViews>
    <sheetView topLeftCell="D1" zoomScaleNormal="100" workbookViewId="0">
      <selection activeCell="D94" sqref="D94"/>
    </sheetView>
  </sheetViews>
  <sheetFormatPr defaultRowHeight="15" outlineLevelRow="1" outlineLevelCol="1" x14ac:dyDescent="0.25"/>
  <cols>
    <col min="1" max="1" width="3.7109375" customWidth="1"/>
    <col min="2" max="2" width="12.140625" bestFit="1" customWidth="1"/>
    <col min="3" max="3" width="14" bestFit="1" customWidth="1"/>
    <col min="4" max="4" width="83.7109375" bestFit="1" customWidth="1"/>
    <col min="5" max="5" width="18.85546875" hidden="1" customWidth="1" outlineLevel="1"/>
    <col min="6" max="6" width="3.7109375" customWidth="1" collapsed="1"/>
    <col min="22" max="22" width="7.5703125" hidden="1" customWidth="1" outlineLevel="1"/>
    <col min="23" max="23" width="13.5703125" hidden="1" customWidth="1" outlineLevel="1"/>
    <col min="24" max="24" width="7.5703125" hidden="1" customWidth="1" outlineLevel="1"/>
    <col min="25" max="25" width="13.5703125" hidden="1" customWidth="1" outlineLevel="1"/>
    <col min="26" max="26" width="9.140625" collapsed="1"/>
  </cols>
  <sheetData>
    <row r="1" spans="2:25" x14ac:dyDescent="0.25">
      <c r="V1" s="108" t="s">
        <v>269</v>
      </c>
      <c r="W1" s="108"/>
      <c r="X1" s="108" t="s">
        <v>270</v>
      </c>
      <c r="Y1" s="108"/>
    </row>
    <row r="2" spans="2:25" x14ac:dyDescent="0.25">
      <c r="B2" s="102" t="s">
        <v>7</v>
      </c>
      <c r="C2" s="102"/>
      <c r="V2" s="16" t="s">
        <v>182</v>
      </c>
      <c r="W2" s="16" t="s">
        <v>183</v>
      </c>
      <c r="X2" s="16" t="s">
        <v>182</v>
      </c>
      <c r="Y2" s="16" t="s">
        <v>183</v>
      </c>
    </row>
    <row r="3" spans="2:25" x14ac:dyDescent="0.25">
      <c r="B3" s="103" t="s">
        <v>8</v>
      </c>
      <c r="C3" s="103"/>
      <c r="V3">
        <v>425.5</v>
      </c>
      <c r="W3">
        <v>14.647272609902352</v>
      </c>
      <c r="X3">
        <v>424.75</v>
      </c>
      <c r="Y3">
        <v>14.636123986444249</v>
      </c>
    </row>
    <row r="4" spans="2:25" x14ac:dyDescent="0.25">
      <c r="B4" s="104" t="s">
        <v>9</v>
      </c>
      <c r="C4" s="104"/>
      <c r="V4">
        <v>416.5</v>
      </c>
      <c r="W4">
        <v>14.580977761545899</v>
      </c>
      <c r="X4">
        <v>414.25000000000006</v>
      </c>
      <c r="Y4">
        <v>14.559197821369569</v>
      </c>
    </row>
    <row r="5" spans="2:25" x14ac:dyDescent="0.25">
      <c r="B5" s="105" t="s">
        <v>10</v>
      </c>
      <c r="C5" s="105"/>
      <c r="V5">
        <v>407.5</v>
      </c>
      <c r="W5">
        <v>14.516115454930642</v>
      </c>
      <c r="X5">
        <v>403.75000000000006</v>
      </c>
      <c r="Y5">
        <v>14.484221504775961</v>
      </c>
    </row>
    <row r="6" spans="2:25" x14ac:dyDescent="0.25">
      <c r="B6" s="106" t="s">
        <v>11</v>
      </c>
      <c r="C6" s="106"/>
      <c r="V6">
        <v>398.5</v>
      </c>
      <c r="W6">
        <v>14.452685690056581</v>
      </c>
      <c r="X6">
        <v>393.25000000000006</v>
      </c>
      <c r="Y6">
        <v>14.411195036663427</v>
      </c>
    </row>
    <row r="7" spans="2:25" x14ac:dyDescent="0.25">
      <c r="V7">
        <v>389.5</v>
      </c>
      <c r="W7">
        <v>14.390688466923715</v>
      </c>
      <c r="X7">
        <v>382.75000000000011</v>
      </c>
      <c r="Y7">
        <v>14.340118417031963</v>
      </c>
    </row>
    <row r="8" spans="2:25" x14ac:dyDescent="0.25">
      <c r="B8" s="99" t="s">
        <v>107</v>
      </c>
      <c r="C8" s="100"/>
      <c r="D8" s="101"/>
      <c r="V8">
        <v>380.5</v>
      </c>
      <c r="W8">
        <v>14.330123785532047</v>
      </c>
      <c r="X8">
        <v>372.25000000000011</v>
      </c>
      <c r="Y8">
        <v>14.270991645881573</v>
      </c>
    </row>
    <row r="9" spans="2:25" ht="18" x14ac:dyDescent="0.25">
      <c r="B9" s="17" t="s">
        <v>13</v>
      </c>
      <c r="C9" s="40">
        <v>430</v>
      </c>
      <c r="D9" s="18" t="s">
        <v>14</v>
      </c>
      <c r="E9" t="str">
        <f>B9 &amp; " = " &amp; C9</f>
        <v>D2 [mm] = 430</v>
      </c>
      <c r="V9">
        <v>371.5</v>
      </c>
      <c r="W9">
        <v>14.270991645881573</v>
      </c>
      <c r="X9">
        <v>361.75000000000011</v>
      </c>
      <c r="Y9">
        <v>14.203814723212254</v>
      </c>
    </row>
    <row r="10" spans="2:25" ht="18" x14ac:dyDescent="0.25">
      <c r="B10" s="17" t="s">
        <v>112</v>
      </c>
      <c r="C10" s="40">
        <v>250</v>
      </c>
      <c r="D10" s="18" t="s">
        <v>17</v>
      </c>
      <c r="E10" t="str">
        <f>B10 &amp; " = " &amp; C10</f>
        <v>Dsp1 [mm] = 250</v>
      </c>
      <c r="V10">
        <v>362.5</v>
      </c>
      <c r="W10">
        <v>14.213292047972296</v>
      </c>
      <c r="X10">
        <v>351.25000000000017</v>
      </c>
      <c r="Y10">
        <v>14.138587649024007</v>
      </c>
    </row>
    <row r="11" spans="2:25" ht="18" x14ac:dyDescent="0.25">
      <c r="B11" s="17" t="s">
        <v>117</v>
      </c>
      <c r="C11" s="40">
        <v>220</v>
      </c>
      <c r="D11" s="18" t="s">
        <v>20</v>
      </c>
      <c r="E11" t="str">
        <f>B11 &amp; " = " &amp; C11</f>
        <v>Dsp2 [mm] = 220</v>
      </c>
      <c r="V11">
        <v>353.5</v>
      </c>
      <c r="W11">
        <v>14.157024991804214</v>
      </c>
      <c r="X11">
        <v>340.75000000000017</v>
      </c>
      <c r="Y11">
        <v>14.075310423316834</v>
      </c>
    </row>
    <row r="12" spans="2:25" ht="18" x14ac:dyDescent="0.25">
      <c r="B12" s="17" t="s">
        <v>122</v>
      </c>
      <c r="C12" s="40">
        <v>0.15</v>
      </c>
      <c r="D12" s="18" t="s">
        <v>25</v>
      </c>
      <c r="E12" t="str">
        <f>B12 &amp; " = " &amp; C12</f>
        <v>ssp1 [mm] = 0.15</v>
      </c>
      <c r="V12">
        <v>344.50000000000006</v>
      </c>
      <c r="W12">
        <v>14.102190477377327</v>
      </c>
      <c r="X12">
        <v>330.25000000000017</v>
      </c>
      <c r="Y12">
        <v>14.013983046090731</v>
      </c>
    </row>
    <row r="13" spans="2:25" ht="18" x14ac:dyDescent="0.25">
      <c r="B13" s="17" t="s">
        <v>124</v>
      </c>
      <c r="C13" s="40">
        <v>0.15</v>
      </c>
      <c r="D13" s="18" t="s">
        <v>25</v>
      </c>
      <c r="E13" t="str">
        <f>B13 &amp; " = " &amp; C13</f>
        <v>ssp2 [mm] = 0.15</v>
      </c>
      <c r="V13">
        <v>335.50000000000006</v>
      </c>
      <c r="W13">
        <v>14.048788504691638</v>
      </c>
      <c r="X13">
        <v>319.75000000000023</v>
      </c>
      <c r="Y13">
        <v>13.954605517345701</v>
      </c>
    </row>
    <row r="14" spans="2:25" ht="18" x14ac:dyDescent="0.25">
      <c r="B14" s="17" t="s">
        <v>127</v>
      </c>
      <c r="C14" s="40">
        <v>25</v>
      </c>
      <c r="D14" s="18" t="s">
        <v>29</v>
      </c>
      <c r="E14" t="str">
        <f t="shared" ref="E14:E15" si="0">B14 &amp; " = " &amp; C14</f>
        <v>Lsp1 [mm] = 25</v>
      </c>
      <c r="V14">
        <v>326.50000000000006</v>
      </c>
      <c r="W14">
        <v>13.996819073747144</v>
      </c>
      <c r="X14">
        <v>309.25000000000023</v>
      </c>
      <c r="Y14">
        <v>13.897177837081744</v>
      </c>
    </row>
    <row r="15" spans="2:25" ht="18" x14ac:dyDescent="0.25">
      <c r="B15" s="17" t="s">
        <v>130</v>
      </c>
      <c r="C15" s="40">
        <v>25</v>
      </c>
      <c r="D15" s="18" t="s">
        <v>29</v>
      </c>
      <c r="E15" t="str">
        <f t="shared" si="0"/>
        <v>Lsp2 [mm] = 25</v>
      </c>
      <c r="V15">
        <v>317.50000000000006</v>
      </c>
      <c r="W15">
        <v>13.946282184543845</v>
      </c>
      <c r="X15">
        <v>298.75000000000023</v>
      </c>
      <c r="Y15">
        <v>13.841700005298858</v>
      </c>
    </row>
    <row r="16" spans="2:25" ht="18" x14ac:dyDescent="0.25">
      <c r="B16" s="17" t="s">
        <v>271</v>
      </c>
      <c r="C16" s="40">
        <v>16</v>
      </c>
      <c r="D16" s="18" t="s">
        <v>272</v>
      </c>
      <c r="V16">
        <v>308.50000000000006</v>
      </c>
      <c r="W16">
        <v>13.897177837081742</v>
      </c>
      <c r="X16">
        <v>288.25000000000028</v>
      </c>
      <c r="Y16">
        <v>13.788172021997044</v>
      </c>
    </row>
    <row r="17" spans="2:25" ht="18" x14ac:dyDescent="0.25">
      <c r="B17" s="17" t="s">
        <v>273</v>
      </c>
      <c r="C17" s="40">
        <v>16</v>
      </c>
      <c r="D17" s="18" t="s">
        <v>274</v>
      </c>
      <c r="V17">
        <v>299.50000000000006</v>
      </c>
      <c r="W17">
        <v>13.849506031360836</v>
      </c>
      <c r="X17">
        <v>277.75000000000028</v>
      </c>
      <c r="Y17">
        <v>13.736593887176301</v>
      </c>
    </row>
    <row r="18" spans="2:25" ht="18" x14ac:dyDescent="0.25">
      <c r="B18" s="17" t="s">
        <v>194</v>
      </c>
      <c r="C18" s="40">
        <v>12</v>
      </c>
      <c r="D18" s="18" t="s">
        <v>195</v>
      </c>
      <c r="V18">
        <v>290.50000000000006</v>
      </c>
      <c r="W18">
        <v>13.803266767381125</v>
      </c>
      <c r="X18">
        <v>267.25000000000028</v>
      </c>
      <c r="Y18">
        <v>13.686965600836633</v>
      </c>
    </row>
    <row r="19" spans="2:25" ht="18" x14ac:dyDescent="0.25">
      <c r="B19" s="17" t="s">
        <v>196</v>
      </c>
      <c r="C19" s="40">
        <v>250</v>
      </c>
      <c r="D19" s="18" t="s">
        <v>197</v>
      </c>
      <c r="V19">
        <v>281.50000000000006</v>
      </c>
      <c r="W19">
        <v>13.758460045142611</v>
      </c>
      <c r="X19">
        <v>256.75000000000034</v>
      </c>
      <c r="Y19">
        <v>13.639287162978036</v>
      </c>
    </row>
    <row r="20" spans="2:25" ht="18" x14ac:dyDescent="0.25">
      <c r="B20" s="19" t="s">
        <v>198</v>
      </c>
      <c r="C20" s="43">
        <v>30</v>
      </c>
      <c r="D20" s="18" t="s">
        <v>199</v>
      </c>
      <c r="V20">
        <v>272.50000000000006</v>
      </c>
      <c r="W20">
        <v>13.715085864645291</v>
      </c>
      <c r="X20">
        <v>246.25000000000034</v>
      </c>
      <c r="Y20">
        <v>13.593558573600511</v>
      </c>
    </row>
    <row r="21" spans="2:25" ht="18" x14ac:dyDescent="0.25">
      <c r="B21" s="19" t="s">
        <v>200</v>
      </c>
      <c r="C21" s="43">
        <v>15</v>
      </c>
      <c r="D21" s="18" t="s">
        <v>201</v>
      </c>
      <c r="V21">
        <v>263.50000000000006</v>
      </c>
      <c r="W21">
        <v>13.673144225889168</v>
      </c>
      <c r="X21">
        <v>235.75000000000037</v>
      </c>
      <c r="Y21">
        <v>13.549779832704058</v>
      </c>
    </row>
    <row r="22" spans="2:25" ht="18" x14ac:dyDescent="0.25">
      <c r="B22" s="17" t="s">
        <v>32</v>
      </c>
      <c r="C22" s="40">
        <v>0.75</v>
      </c>
      <c r="D22" s="21" t="s">
        <v>33</v>
      </c>
      <c r="V22">
        <v>254.50000000000006</v>
      </c>
      <c r="W22">
        <v>13.632635128874242</v>
      </c>
      <c r="X22">
        <v>225.25000000000037</v>
      </c>
      <c r="Y22">
        <v>13.507950940288676</v>
      </c>
    </row>
    <row r="24" spans="2:25" x14ac:dyDescent="0.25">
      <c r="B24" s="99" t="s">
        <v>34</v>
      </c>
      <c r="C24" s="100"/>
      <c r="D24" s="101"/>
    </row>
    <row r="25" spans="2:25" x14ac:dyDescent="0.25">
      <c r="B25" s="17" t="s">
        <v>35</v>
      </c>
      <c r="C25" s="40">
        <v>2980</v>
      </c>
      <c r="D25" s="18" t="s">
        <v>36</v>
      </c>
    </row>
    <row r="26" spans="2:25" ht="16.5" x14ac:dyDescent="0.25">
      <c r="B26" s="22" t="s">
        <v>37</v>
      </c>
      <c r="C26" s="40">
        <v>1000</v>
      </c>
      <c r="D26" s="18" t="s">
        <v>38</v>
      </c>
    </row>
    <row r="27" spans="2:25" ht="16.5" x14ac:dyDescent="0.25">
      <c r="B27" s="22" t="s">
        <v>330</v>
      </c>
      <c r="C27" s="41">
        <v>1</v>
      </c>
      <c r="D27" s="18" t="s">
        <v>39</v>
      </c>
    </row>
    <row r="28" spans="2:25" x14ac:dyDescent="0.25">
      <c r="B28" s="17" t="s">
        <v>42</v>
      </c>
      <c r="C28" s="40">
        <v>200</v>
      </c>
      <c r="D28" s="18" t="s">
        <v>43</v>
      </c>
    </row>
    <row r="29" spans="2:25" x14ac:dyDescent="0.25">
      <c r="B29" s="17" t="s">
        <v>42</v>
      </c>
      <c r="C29" s="40">
        <v>150</v>
      </c>
      <c r="D29" s="18" t="s">
        <v>43</v>
      </c>
    </row>
    <row r="30" spans="2:25" ht="18" x14ac:dyDescent="0.25">
      <c r="B30" s="17" t="s">
        <v>202</v>
      </c>
      <c r="C30" s="40">
        <v>0.15</v>
      </c>
      <c r="D30" s="18" t="s">
        <v>203</v>
      </c>
    </row>
    <row r="31" spans="2:25" ht="18" x14ac:dyDescent="0.25">
      <c r="B31" s="17" t="s">
        <v>204</v>
      </c>
      <c r="C31" s="40">
        <v>0.15</v>
      </c>
      <c r="D31" s="21" t="s">
        <v>205</v>
      </c>
    </row>
    <row r="33" spans="2:5" x14ac:dyDescent="0.25">
      <c r="B33" s="99" t="s">
        <v>206</v>
      </c>
      <c r="C33" s="100"/>
      <c r="D33" s="101"/>
    </row>
    <row r="34" spans="2:5" ht="18" x14ac:dyDescent="0.25">
      <c r="B34" s="19" t="s">
        <v>207</v>
      </c>
      <c r="C34" s="43">
        <v>20</v>
      </c>
      <c r="D34" s="21" t="s">
        <v>208</v>
      </c>
    </row>
    <row r="36" spans="2:5" x14ac:dyDescent="0.25">
      <c r="B36" s="99" t="s">
        <v>143</v>
      </c>
      <c r="C36" s="100"/>
      <c r="D36" s="101"/>
    </row>
    <row r="37" spans="2:5" ht="18" x14ac:dyDescent="0.25">
      <c r="B37" s="17" t="s">
        <v>332</v>
      </c>
      <c r="C37" s="27">
        <f>C26*9.81*C28/10^5*C22</f>
        <v>14.715</v>
      </c>
      <c r="D37" s="18" t="s">
        <v>58</v>
      </c>
      <c r="E37" t="str">
        <f>B37 &amp; " = " &amp; ROUND(C37,1)</f>
        <v>pLA [bar] = 14.7</v>
      </c>
    </row>
    <row r="38" spans="2:5" ht="18" x14ac:dyDescent="0.25">
      <c r="B38" s="17" t="s">
        <v>59</v>
      </c>
      <c r="C38" s="27">
        <f>+C25*2*PI()/60*(C9/2000)</f>
        <v>67.093947105166009</v>
      </c>
      <c r="D38" s="18" t="s">
        <v>60</v>
      </c>
    </row>
    <row r="39" spans="2:5" ht="18" x14ac:dyDescent="0.25">
      <c r="B39" s="17" t="s">
        <v>226</v>
      </c>
      <c r="C39" s="30">
        <f>C38*(C9/2000)/(C27*10^-6)</f>
        <v>14425198.627610693</v>
      </c>
      <c r="D39" s="21" t="s">
        <v>245</v>
      </c>
    </row>
    <row r="41" spans="2:5" x14ac:dyDescent="0.25">
      <c r="B41" s="99" t="s">
        <v>275</v>
      </c>
      <c r="C41" s="100"/>
      <c r="D41" s="101"/>
    </row>
    <row r="42" spans="2:5" ht="18" x14ac:dyDescent="0.25">
      <c r="B42" s="19" t="s">
        <v>210</v>
      </c>
      <c r="C42" s="44">
        <v>1.2</v>
      </c>
      <c r="D42" s="18" t="s">
        <v>211</v>
      </c>
    </row>
    <row r="43" spans="2:5" ht="18" x14ac:dyDescent="0.25">
      <c r="B43" s="19" t="s">
        <v>212</v>
      </c>
      <c r="C43" s="43">
        <v>0</v>
      </c>
      <c r="D43" s="18" t="s">
        <v>213</v>
      </c>
    </row>
    <row r="44" spans="2:5" x14ac:dyDescent="0.25">
      <c r="B44" s="19" t="s">
        <v>217</v>
      </c>
      <c r="C44" s="43" t="s">
        <v>218</v>
      </c>
      <c r="D44" s="18" t="s">
        <v>219</v>
      </c>
    </row>
    <row r="45" spans="2:5" x14ac:dyDescent="0.25">
      <c r="B45" s="19" t="s">
        <v>220</v>
      </c>
      <c r="C45" s="41">
        <v>8.0000000000000002E-3</v>
      </c>
      <c r="D45" s="18" t="s">
        <v>221</v>
      </c>
    </row>
    <row r="46" spans="2:5" x14ac:dyDescent="0.25">
      <c r="B46" s="19" t="s">
        <v>115</v>
      </c>
      <c r="C46" s="31">
        <f>0.135*C45/C12</f>
        <v>7.2000000000000007E-3</v>
      </c>
      <c r="D46" s="18" t="s">
        <v>222</v>
      </c>
    </row>
    <row r="47" spans="2:5" ht="18" hidden="1" outlineLevel="1" x14ac:dyDescent="0.25">
      <c r="B47" s="17" t="s">
        <v>147</v>
      </c>
      <c r="C47" s="31">
        <f>C10/C9</f>
        <v>0.58139534883720934</v>
      </c>
      <c r="D47" s="18" t="s">
        <v>72</v>
      </c>
    </row>
    <row r="48" spans="2:5" ht="18" hidden="1" outlineLevel="1" x14ac:dyDescent="0.25">
      <c r="B48" s="19" t="s">
        <v>223</v>
      </c>
      <c r="C48" s="27">
        <f>C63/(PI()*C10*C12)/3600*1000000</f>
        <v>17.494394275336827</v>
      </c>
      <c r="D48" s="18" t="s">
        <v>224</v>
      </c>
    </row>
    <row r="49" spans="2:5" hidden="1" outlineLevel="1" x14ac:dyDescent="0.25">
      <c r="B49" s="19" t="s">
        <v>61</v>
      </c>
      <c r="C49" s="30">
        <f>2*C48*C12/(C27*10^-6)/1000</f>
        <v>5248.3182826010479</v>
      </c>
      <c r="D49" s="18" t="s">
        <v>225</v>
      </c>
    </row>
    <row r="50" spans="2:5" ht="18" hidden="1" outlineLevel="1" x14ac:dyDescent="0.25">
      <c r="B50" s="19" t="s">
        <v>226</v>
      </c>
      <c r="C50" s="30">
        <f>2*C12*(PI()*C10*C25/60)/(C27*10^-6)/1000000</f>
        <v>11702.432634621979</v>
      </c>
      <c r="D50" s="18" t="s">
        <v>227</v>
      </c>
    </row>
    <row r="51" spans="2:5" ht="18" hidden="1" outlineLevel="1" x14ac:dyDescent="0.25">
      <c r="B51" s="19" t="s">
        <v>228</v>
      </c>
      <c r="C51" s="28">
        <f>0.31/(LOG(C46+6.5/C49))^2</f>
        <v>7.2086694550800232E-2</v>
      </c>
      <c r="D51" s="18" t="s">
        <v>229</v>
      </c>
    </row>
    <row r="52" spans="2:5" ht="18" hidden="1" outlineLevel="1" x14ac:dyDescent="0.25">
      <c r="B52" s="19" t="s">
        <v>230</v>
      </c>
      <c r="C52" s="28">
        <f>C51*(1+0.2*(C50/2000)^2)^1.03</f>
        <v>0.60175488551518297</v>
      </c>
      <c r="D52" s="18" t="s">
        <v>231</v>
      </c>
    </row>
    <row r="53" spans="2:5" ht="18" hidden="1" outlineLevel="1" x14ac:dyDescent="0.25">
      <c r="B53" s="19" t="s">
        <v>228</v>
      </c>
      <c r="C53" s="28">
        <f>0.31/(LOG(C46+6.5/C49))^2</f>
        <v>7.2086694550800232E-2</v>
      </c>
      <c r="D53" s="18" t="s">
        <v>232</v>
      </c>
    </row>
    <row r="54" spans="2:5" ht="18" hidden="1" outlineLevel="1" x14ac:dyDescent="0.25">
      <c r="B54" s="19" t="s">
        <v>233</v>
      </c>
      <c r="C54" s="28">
        <f>C53*(1+0.19*(C50/C49)^2)^0.375</f>
        <v>9.2505952414267928E-2</v>
      </c>
      <c r="D54" s="18" t="s">
        <v>234</v>
      </c>
    </row>
    <row r="55" spans="2:5" hidden="1" outlineLevel="1" x14ac:dyDescent="0.25">
      <c r="B55" s="19" t="s">
        <v>235</v>
      </c>
      <c r="C55" s="28">
        <f>IF(C49&gt;2000,C54,C52)</f>
        <v>9.2505952414267928E-2</v>
      </c>
      <c r="D55" s="18" t="s">
        <v>236</v>
      </c>
    </row>
    <row r="56" spans="2:5" ht="18" collapsed="1" x14ac:dyDescent="0.25">
      <c r="B56" s="19" t="s">
        <v>276</v>
      </c>
      <c r="C56" s="31">
        <f>C26/2*(C48^2*(C42+C55*C14/(2*C12)))*0.00001</f>
        <v>13.632906791502094</v>
      </c>
      <c r="D56" s="21" t="s">
        <v>277</v>
      </c>
      <c r="E56" t="str">
        <f>B56 &amp; " = " &amp; ROUND(C56,1)</f>
        <v>∆psp1 [bar] = 13.6</v>
      </c>
    </row>
    <row r="58" spans="2:5" x14ac:dyDescent="0.25">
      <c r="B58" s="99" t="s">
        <v>278</v>
      </c>
      <c r="C58" s="100"/>
      <c r="D58" s="101"/>
    </row>
    <row r="59" spans="2:5" x14ac:dyDescent="0.25">
      <c r="B59" s="19" t="s">
        <v>214</v>
      </c>
      <c r="C59" s="43" t="s">
        <v>215</v>
      </c>
      <c r="D59" s="21" t="s">
        <v>216</v>
      </c>
      <c r="E59">
        <f>+IF(C59="open",1,0)</f>
        <v>1</v>
      </c>
    </row>
    <row r="60" spans="2:5" ht="18" hidden="1" outlineLevel="1" x14ac:dyDescent="0.25">
      <c r="B60" s="17" t="s">
        <v>241</v>
      </c>
      <c r="C60" s="28">
        <f>1/(1+(C19/(C9/2))^2*(((C19/(C9/2))+5*(C18/(C9/2)))*(C30/C31))^0.5)</f>
        <v>0.3811634459871665</v>
      </c>
      <c r="D60" s="18" t="s">
        <v>242</v>
      </c>
    </row>
    <row r="61" spans="2:5" ht="18" hidden="1" outlineLevel="1" x14ac:dyDescent="0.25">
      <c r="B61" s="17" t="s">
        <v>279</v>
      </c>
      <c r="C61" s="29">
        <f>C63/3600/(PI()*(C9/2000)^2*C38)</f>
        <v>2.115289998767211E-4</v>
      </c>
      <c r="D61" s="18" t="s">
        <v>244</v>
      </c>
    </row>
    <row r="62" spans="2:5" ht="18" hidden="1" outlineLevel="1" x14ac:dyDescent="0.25">
      <c r="B62" s="19" t="s">
        <v>246</v>
      </c>
      <c r="C62" s="31">
        <f>C65</f>
        <v>-4.1365196108756663E-2</v>
      </c>
      <c r="D62" s="18" t="s">
        <v>247</v>
      </c>
    </row>
    <row r="63" spans="2:5" ht="18" collapsed="1" x14ac:dyDescent="0.25">
      <c r="B63" s="19" t="s">
        <v>280</v>
      </c>
      <c r="C63" s="31">
        <v>7.4196351721442033</v>
      </c>
      <c r="D63" s="21" t="s">
        <v>365</v>
      </c>
      <c r="E63" t="str">
        <f>B63 &amp; " = " &amp; ROUND(C63,1)</f>
        <v>Qsp1 [m3/h] = 7.4</v>
      </c>
    </row>
    <row r="64" spans="2:5" ht="18" x14ac:dyDescent="0.25">
      <c r="B64" s="17" t="s">
        <v>282</v>
      </c>
      <c r="C64" s="31" cm="1">
        <f t="array" ref="C64">shroud_inwards(0,C34,C47,C61,C39,C60,C16,C17,C38,C20,C21,C9,C37,C26,E59)</f>
        <v>13.591541595393338</v>
      </c>
      <c r="D64" s="18" t="s">
        <v>363</v>
      </c>
      <c r="E64" t="str">
        <f>B64 &amp; " = " &amp; ROUND(C64,1)</f>
        <v>psp1  [barg] = 13.6</v>
      </c>
    </row>
    <row r="65" spans="2:4" ht="18" x14ac:dyDescent="0.25">
      <c r="B65" s="19" t="s">
        <v>284</v>
      </c>
      <c r="C65" s="31">
        <f>C64-C56</f>
        <v>-4.1365196108756663E-2</v>
      </c>
      <c r="D65" s="21" t="s">
        <v>364</v>
      </c>
    </row>
    <row r="67" spans="2:4" x14ac:dyDescent="0.25">
      <c r="B67" s="99" t="s">
        <v>286</v>
      </c>
      <c r="C67" s="100"/>
      <c r="D67" s="101"/>
    </row>
    <row r="68" spans="2:4" ht="18" x14ac:dyDescent="0.25">
      <c r="B68" s="19" t="s">
        <v>210</v>
      </c>
      <c r="C68" s="44">
        <v>1.2</v>
      </c>
      <c r="D68" s="18" t="s">
        <v>211</v>
      </c>
    </row>
    <row r="69" spans="2:4" ht="18" x14ac:dyDescent="0.25">
      <c r="B69" s="19" t="s">
        <v>212</v>
      </c>
      <c r="C69" s="43">
        <v>0</v>
      </c>
      <c r="D69" s="18" t="s">
        <v>213</v>
      </c>
    </row>
    <row r="70" spans="2:4" x14ac:dyDescent="0.25">
      <c r="B70" s="19" t="s">
        <v>217</v>
      </c>
      <c r="C70" s="43" t="s">
        <v>218</v>
      </c>
      <c r="D70" s="18" t="s">
        <v>219</v>
      </c>
    </row>
    <row r="71" spans="2:4" x14ac:dyDescent="0.25">
      <c r="B71" s="19" t="s">
        <v>220</v>
      </c>
      <c r="C71" s="41">
        <v>8.0000000000000002E-3</v>
      </c>
      <c r="D71" s="18" t="s">
        <v>221</v>
      </c>
    </row>
    <row r="72" spans="2:4" x14ac:dyDescent="0.25">
      <c r="B72" s="19" t="s">
        <v>115</v>
      </c>
      <c r="C72" s="31">
        <f>0.135*C71/C13</f>
        <v>7.2000000000000007E-3</v>
      </c>
      <c r="D72" s="18" t="s">
        <v>222</v>
      </c>
    </row>
    <row r="73" spans="2:4" ht="18" hidden="1" outlineLevel="1" x14ac:dyDescent="0.25">
      <c r="B73" s="17" t="s">
        <v>147</v>
      </c>
      <c r="C73" s="31">
        <f>C11/C9</f>
        <v>0.51162790697674421</v>
      </c>
      <c r="D73" s="18" t="s">
        <v>72</v>
      </c>
    </row>
    <row r="74" spans="2:4" ht="18" hidden="1" outlineLevel="1" x14ac:dyDescent="0.25">
      <c r="B74" s="19" t="s">
        <v>223</v>
      </c>
      <c r="C74" s="27">
        <f>C89/(PI()*C11*C13)/3600*1000000</f>
        <v>17.396860210868283</v>
      </c>
      <c r="D74" s="18" t="s">
        <v>224</v>
      </c>
    </row>
    <row r="75" spans="2:4" hidden="1" outlineLevel="1" x14ac:dyDescent="0.25">
      <c r="B75" s="19" t="s">
        <v>61</v>
      </c>
      <c r="C75" s="30">
        <f>2*C74*C13/(C27*10^-6)/1000</f>
        <v>5219.0580632604842</v>
      </c>
      <c r="D75" s="18" t="s">
        <v>225</v>
      </c>
    </row>
    <row r="76" spans="2:4" ht="18" hidden="1" outlineLevel="1" x14ac:dyDescent="0.25">
      <c r="B76" s="19" t="s">
        <v>226</v>
      </c>
      <c r="C76" s="30">
        <f>2*C12*(PI()*C10*C25/60)/(C27*10^-6)/1000000</f>
        <v>11702.432634621979</v>
      </c>
      <c r="D76" s="18" t="s">
        <v>227</v>
      </c>
    </row>
    <row r="77" spans="2:4" ht="18" hidden="1" outlineLevel="1" x14ac:dyDescent="0.25">
      <c r="B77" s="19" t="s">
        <v>228</v>
      </c>
      <c r="C77" s="28">
        <f>0.31/(LOG(C72+6.5/C75))^2</f>
        <v>7.211153523398954E-2</v>
      </c>
      <c r="D77" s="18" t="s">
        <v>229</v>
      </c>
    </row>
    <row r="78" spans="2:4" ht="18" hidden="1" outlineLevel="1" x14ac:dyDescent="0.25">
      <c r="B78" s="19" t="s">
        <v>230</v>
      </c>
      <c r="C78" s="28">
        <f>C77*(1+0.2*(C76/2000)^2)^1.03</f>
        <v>0.6019622469785133</v>
      </c>
      <c r="D78" s="18" t="s">
        <v>231</v>
      </c>
    </row>
    <row r="79" spans="2:4" ht="18" hidden="1" outlineLevel="1" x14ac:dyDescent="0.25">
      <c r="B79" s="19" t="s">
        <v>228</v>
      </c>
      <c r="C79" s="28">
        <f>0.31/(LOG(C72+6.5/C75))^2</f>
        <v>7.211153523398954E-2</v>
      </c>
      <c r="D79" s="18" t="s">
        <v>232</v>
      </c>
    </row>
    <row r="80" spans="2:4" ht="18" hidden="1" outlineLevel="1" x14ac:dyDescent="0.25">
      <c r="B80" s="19" t="s">
        <v>233</v>
      </c>
      <c r="C80" s="28">
        <f>C79*(1+0.19*(C76/C75)^2)^0.375</f>
        <v>9.272705019565089E-2</v>
      </c>
      <c r="D80" s="18" t="s">
        <v>234</v>
      </c>
    </row>
    <row r="81" spans="2:5" hidden="1" outlineLevel="1" x14ac:dyDescent="0.25">
      <c r="B81" s="19" t="s">
        <v>235</v>
      </c>
      <c r="C81" s="28">
        <f>IF(C75&gt;2000,C80,C78)</f>
        <v>9.272705019565089E-2</v>
      </c>
      <c r="D81" s="18" t="s">
        <v>236</v>
      </c>
    </row>
    <row r="82" spans="2:5" ht="18" collapsed="1" x14ac:dyDescent="0.25">
      <c r="B82" s="19" t="s">
        <v>317</v>
      </c>
      <c r="C82" s="31">
        <f>C26/2*(C74^2*(C68+C81*C15/(2*C13)))*0.00001</f>
        <v>13.509200655173229</v>
      </c>
      <c r="D82" s="21" t="s">
        <v>277</v>
      </c>
      <c r="E82" t="str">
        <f>B82 &amp; " = " &amp; ROUND(C82,1)</f>
        <v>∆psp2 [bar] = 13.5</v>
      </c>
    </row>
    <row r="84" spans="2:5" x14ac:dyDescent="0.25">
      <c r="B84" s="99" t="s">
        <v>287</v>
      </c>
      <c r="C84" s="100"/>
      <c r="D84" s="101"/>
    </row>
    <row r="85" spans="2:5" x14ac:dyDescent="0.25">
      <c r="B85" s="19" t="s">
        <v>214</v>
      </c>
      <c r="C85" s="43" t="s">
        <v>215</v>
      </c>
      <c r="D85" s="21" t="s">
        <v>216</v>
      </c>
      <c r="E85">
        <f>+IF(C85="open",1,0)</f>
        <v>1</v>
      </c>
    </row>
    <row r="86" spans="2:5" ht="18" hidden="1" outlineLevel="1" x14ac:dyDescent="0.25">
      <c r="B86" s="17" t="s">
        <v>241</v>
      </c>
      <c r="C86" s="28">
        <f>1/(1+(C19/(C9/2))^2*(((C19/(C9/2))+5*(C18/(C9/2)))*(C30/C31))^0.5)</f>
        <v>0.3811634459871665</v>
      </c>
      <c r="D86" s="18" t="s">
        <v>242</v>
      </c>
    </row>
    <row r="87" spans="2:5" ht="18" hidden="1" outlineLevel="1" x14ac:dyDescent="0.25">
      <c r="B87" s="17" t="s">
        <v>288</v>
      </c>
      <c r="C87" s="29">
        <f>C89/3600/(PI()*(C9/2000)^2*C38)</f>
        <v>1.8510772865096704E-4</v>
      </c>
      <c r="D87" s="18" t="s">
        <v>244</v>
      </c>
    </row>
    <row r="88" spans="2:5" ht="18" hidden="1" outlineLevel="1" x14ac:dyDescent="0.25">
      <c r="B88" s="19" t="s">
        <v>246</v>
      </c>
      <c r="C88" s="31">
        <f>C91</f>
        <v>-4.3173643444740506E-2</v>
      </c>
      <c r="D88" s="18" t="s">
        <v>247</v>
      </c>
    </row>
    <row r="89" spans="2:5" ht="18" collapsed="1" x14ac:dyDescent="0.25">
      <c r="B89" s="19" t="s">
        <v>289</v>
      </c>
      <c r="C89" s="31">
        <v>6.4928771701982937</v>
      </c>
      <c r="D89" s="21" t="s">
        <v>365</v>
      </c>
      <c r="E89" t="str">
        <f>B89 &amp; " = " &amp; ROUND(C89,1)</f>
        <v>Qsp2 [m3/h] = 6.5</v>
      </c>
    </row>
    <row r="90" spans="2:5" ht="18" x14ac:dyDescent="0.25">
      <c r="B90" s="17" t="s">
        <v>290</v>
      </c>
      <c r="C90" s="31" cm="1">
        <f t="array" ref="C90">shroud_inwards(0,C34,C73,C87,C39,C86,C16,C17,C38,C20,C21,C9,C37,C26,E85)</f>
        <v>13.466027011728489</v>
      </c>
      <c r="D90" s="18" t="s">
        <v>363</v>
      </c>
      <c r="E90" t="str">
        <f>B90 &amp; " = " &amp; ROUND(C90,1)</f>
        <v>psp2  [barg] = 13.5</v>
      </c>
    </row>
    <row r="91" spans="2:5" ht="18" x14ac:dyDescent="0.25">
      <c r="B91" s="19" t="s">
        <v>291</v>
      </c>
      <c r="C91" s="31">
        <f>C90-C82</f>
        <v>-4.3173643444740506E-2</v>
      </c>
      <c r="D91" s="21" t="s">
        <v>364</v>
      </c>
    </row>
    <row r="93" spans="2:5" x14ac:dyDescent="0.25">
      <c r="B93" s="99" t="s">
        <v>149</v>
      </c>
      <c r="C93" s="100"/>
      <c r="D93" s="101"/>
    </row>
    <row r="94" spans="2:5" ht="18" x14ac:dyDescent="0.25">
      <c r="B94" s="17" t="s">
        <v>292</v>
      </c>
      <c r="C94" s="30" cm="1">
        <f t="array" ref="C94">-shroud_inwards(1,C34,C47,C61,C39,C60,C16,C17,C38,C20,C21,C9,C37,C26,E59)</f>
        <v>-140937.25381059846</v>
      </c>
      <c r="D94" s="18" t="s">
        <v>293</v>
      </c>
      <c r="E94" t="str">
        <f>"(" &amp; B94 &amp; " = " &amp; ABS(ROUND(C94,0)) &amp; ")"</f>
        <v>(FFS1 [N] = 140937)</v>
      </c>
    </row>
    <row r="95" spans="2:5" ht="18" x14ac:dyDescent="0.25">
      <c r="B95" s="17" t="s">
        <v>294</v>
      </c>
      <c r="C95" s="30" cm="1">
        <f t="array" ref="C95">shroud_inwards(1,C34,C73,C87,C39,C86,C16,C17,C38,C20,C21,C9,C37,C26,E85)</f>
        <v>155946.50044861267</v>
      </c>
      <c r="D95" s="18" t="s">
        <v>295</v>
      </c>
      <c r="E95" t="str">
        <f>"(" &amp; B95 &amp; " = " &amp; ABS(ROUND(C95,0)) &amp; ")"</f>
        <v>(FFS2 [N] = 155947)</v>
      </c>
    </row>
    <row r="96" spans="2:5" x14ac:dyDescent="0.25">
      <c r="B96" s="17" t="s">
        <v>83</v>
      </c>
      <c r="C96" s="30">
        <f>+C95+C94</f>
        <v>15009.246638014214</v>
      </c>
      <c r="D96" s="21" t="s">
        <v>150</v>
      </c>
      <c r="E96" t="str">
        <f>B96 &amp; " = " &amp; ROUND(C96,0)</f>
        <v>F[N] = 15009</v>
      </c>
    </row>
  </sheetData>
  <mergeCells count="16">
    <mergeCell ref="V1:W1"/>
    <mergeCell ref="X1:Y1"/>
    <mergeCell ref="B93:D93"/>
    <mergeCell ref="B24:D24"/>
    <mergeCell ref="B2:C2"/>
    <mergeCell ref="B3:C3"/>
    <mergeCell ref="B4:C4"/>
    <mergeCell ref="B5:C5"/>
    <mergeCell ref="B6:C6"/>
    <mergeCell ref="B8:D8"/>
    <mergeCell ref="B33:D33"/>
    <mergeCell ref="B41:D41"/>
    <mergeCell ref="B36:D36"/>
    <mergeCell ref="B58:D58"/>
    <mergeCell ref="B67:D67"/>
    <mergeCell ref="B84:D84"/>
  </mergeCells>
  <dataValidations count="4">
    <dataValidation type="decimal" allowBlank="1" showInputMessage="1" showErrorMessage="1" sqref="C42 C68" xr:uid="{163A0300-76A1-4D45-A6CE-576CE8C9A07C}">
      <formula1>1</formula1>
      <formula2>1.2</formula2>
    </dataValidation>
    <dataValidation type="whole" allowBlank="1" showInputMessage="1" showErrorMessage="1" errorTitle="Error" error="The number of steps shall be selected between 1 and 1000." sqref="C34" xr:uid="{C432C680-4785-452D-B1DB-3DD038838CD7}">
      <formula1>1</formula1>
      <formula2>2000</formula2>
    </dataValidation>
    <dataValidation type="list" allowBlank="1" showInputMessage="1" showErrorMessage="1" sqref="C59 C85" xr:uid="{408E0003-BABE-4499-A75E-A4A020EE38C5}">
      <formula1>"open, overlapped"</formula1>
    </dataValidation>
    <dataValidation type="list" allowBlank="1" showInputMessage="1" showErrorMessage="1" sqref="C70 C44" xr:uid="{F88A8377-E0EB-47BC-95E9-79C3B9A2129D}">
      <formula1>"rough, serrated, isotropic pattern"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16</xdr:col>
                <xdr:colOff>609600</xdr:colOff>
                <xdr:row>1</xdr:row>
                <xdr:rowOff>0</xdr:rowOff>
              </from>
              <to>
                <xdr:col>21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DB30A-4377-4097-87C7-E71E3804ED71}">
  <sheetPr codeName="Foglio6"/>
  <dimension ref="B1:AD134"/>
  <sheetViews>
    <sheetView tabSelected="1" zoomScaleNormal="100" workbookViewId="0">
      <selection activeCell="C127" sqref="C127"/>
    </sheetView>
  </sheetViews>
  <sheetFormatPr defaultRowHeight="15" outlineLevelRow="1" outlineLevelCol="1" x14ac:dyDescent="0.25"/>
  <cols>
    <col min="1" max="1" width="3.7109375" customWidth="1"/>
    <col min="2" max="2" width="12.140625" bestFit="1" customWidth="1"/>
    <col min="3" max="3" width="14" bestFit="1" customWidth="1"/>
    <col min="4" max="4" width="99.42578125" bestFit="1" customWidth="1"/>
    <col min="5" max="5" width="18.85546875" hidden="1" customWidth="1" outlineLevel="1"/>
    <col min="6" max="6" width="3.7109375" customWidth="1" collapsed="1"/>
    <col min="22" max="22" width="9.140625" hidden="1" customWidth="1" outlineLevel="1"/>
    <col min="23" max="23" width="13.5703125" hidden="1" customWidth="1" outlineLevel="1"/>
    <col min="24" max="24" width="9.140625" hidden="1" customWidth="1" outlineLevel="1"/>
    <col min="25" max="25" width="13.5703125" hidden="1" customWidth="1" outlineLevel="1"/>
    <col min="26" max="26" width="9.140625" hidden="1" customWidth="1" outlineLevel="1"/>
    <col min="27" max="27" width="13.5703125" hidden="1" customWidth="1" outlineLevel="1"/>
    <col min="28" max="28" width="9.140625" hidden="1" customWidth="1" outlineLevel="1"/>
    <col min="29" max="29" width="13.5703125" hidden="1" customWidth="1" outlineLevel="1"/>
    <col min="30" max="30" width="9.140625" collapsed="1"/>
  </cols>
  <sheetData>
    <row r="1" spans="2:29" x14ac:dyDescent="0.25">
      <c r="V1" s="108" t="s">
        <v>269</v>
      </c>
      <c r="W1" s="108"/>
      <c r="X1" s="108" t="s">
        <v>270</v>
      </c>
      <c r="Y1" s="108"/>
      <c r="Z1" s="108" t="s">
        <v>296</v>
      </c>
      <c r="AA1" s="108"/>
      <c r="AB1" s="108" t="s">
        <v>297</v>
      </c>
      <c r="AC1" s="108"/>
    </row>
    <row r="2" spans="2:29" x14ac:dyDescent="0.25">
      <c r="B2" s="102" t="s">
        <v>7</v>
      </c>
      <c r="C2" s="102"/>
      <c r="V2" s="16" t="s">
        <v>182</v>
      </c>
      <c r="W2" s="16" t="s">
        <v>183</v>
      </c>
      <c r="X2" s="16" t="s">
        <v>182</v>
      </c>
      <c r="Y2" s="16" t="s">
        <v>183</v>
      </c>
      <c r="Z2" s="16" t="s">
        <v>182</v>
      </c>
      <c r="AA2" s="16" t="s">
        <v>183</v>
      </c>
      <c r="AB2" s="16" t="s">
        <v>182</v>
      </c>
      <c r="AC2" s="16" t="s">
        <v>183</v>
      </c>
    </row>
    <row r="3" spans="2:29" x14ac:dyDescent="0.25">
      <c r="B3" s="103" t="s">
        <v>8</v>
      </c>
      <c r="C3" s="103"/>
      <c r="V3">
        <v>400</v>
      </c>
      <c r="W3">
        <v>10.9425645</v>
      </c>
      <c r="X3">
        <v>400</v>
      </c>
      <c r="Y3">
        <v>42.207034499999999</v>
      </c>
      <c r="Z3">
        <v>120</v>
      </c>
      <c r="AA3">
        <v>7.3019889651906738</v>
      </c>
      <c r="AB3">
        <v>400</v>
      </c>
      <c r="AC3">
        <v>42.207034499999999</v>
      </c>
    </row>
    <row r="4" spans="2:29" x14ac:dyDescent="0.25">
      <c r="B4" s="104" t="s">
        <v>9</v>
      </c>
      <c r="C4" s="104"/>
      <c r="V4">
        <v>392.10526315789474</v>
      </c>
      <c r="W4">
        <v>10.798112417454925</v>
      </c>
      <c r="X4">
        <v>392.10526315789474</v>
      </c>
      <c r="Y4">
        <v>42.062582417454927</v>
      </c>
      <c r="Z4">
        <v>134.73684210526315</v>
      </c>
      <c r="AA4">
        <v>7.3887050060611426</v>
      </c>
      <c r="AB4">
        <v>385.26315789473682</v>
      </c>
      <c r="AC4">
        <v>41.939719762440618</v>
      </c>
    </row>
    <row r="5" spans="2:29" x14ac:dyDescent="0.25">
      <c r="B5" s="105" t="s">
        <v>10</v>
      </c>
      <c r="C5" s="105"/>
      <c r="V5">
        <v>384.21052631578948</v>
      </c>
      <c r="W5">
        <v>10.656539778415732</v>
      </c>
      <c r="X5">
        <v>384.21052631578948</v>
      </c>
      <c r="Y5">
        <v>41.92100977841573</v>
      </c>
      <c r="Z5">
        <v>149.4736842105263</v>
      </c>
      <c r="AA5">
        <v>7.4854543078587739</v>
      </c>
      <c r="AB5">
        <v>370.5263157894737</v>
      </c>
      <c r="AC5">
        <v>41.682438285808395</v>
      </c>
    </row>
    <row r="6" spans="2:29" x14ac:dyDescent="0.25">
      <c r="B6" s="106" t="s">
        <v>11</v>
      </c>
      <c r="C6" s="106"/>
      <c r="V6">
        <v>376.31578947368422</v>
      </c>
      <c r="W6">
        <v>10.51784658288242</v>
      </c>
      <c r="X6">
        <v>376.31578947368422</v>
      </c>
      <c r="Y6">
        <v>41.782316582882423</v>
      </c>
      <c r="Z6">
        <v>164.21052631578948</v>
      </c>
      <c r="AA6">
        <v>7.5922368705835686</v>
      </c>
      <c r="AB6">
        <v>355.78947368421052</v>
      </c>
      <c r="AC6">
        <v>41.435190070103339</v>
      </c>
    </row>
    <row r="7" spans="2:29" x14ac:dyDescent="0.25">
      <c r="V7">
        <v>368.42105263157896</v>
      </c>
      <c r="W7">
        <v>10.382032830854991</v>
      </c>
      <c r="X7">
        <v>368.42105263157896</v>
      </c>
      <c r="Y7">
        <v>41.646502830854992</v>
      </c>
      <c r="Z7">
        <v>178.94736842105263</v>
      </c>
      <c r="AA7">
        <v>7.709052694235524</v>
      </c>
      <c r="AB7">
        <v>341.05263157894734</v>
      </c>
      <c r="AC7">
        <v>41.197975115325441</v>
      </c>
    </row>
    <row r="8" spans="2:29" x14ac:dyDescent="0.25">
      <c r="B8" s="99" t="s">
        <v>107</v>
      </c>
      <c r="C8" s="100"/>
      <c r="D8" s="101"/>
      <c r="V8">
        <v>360.5263157894737</v>
      </c>
      <c r="W8">
        <v>10.249098522333444</v>
      </c>
      <c r="X8">
        <v>360.5263157894737</v>
      </c>
      <c r="Y8">
        <v>41.513568522333443</v>
      </c>
      <c r="Z8">
        <v>193.68421052631578</v>
      </c>
      <c r="AA8">
        <v>7.835901778814641</v>
      </c>
      <c r="AB8">
        <v>326.31578947368422</v>
      </c>
      <c r="AC8">
        <v>40.97079342147471</v>
      </c>
    </row>
    <row r="9" spans="2:29" ht="18" x14ac:dyDescent="0.25">
      <c r="B9" s="17" t="s">
        <v>13</v>
      </c>
      <c r="C9" s="40">
        <v>400</v>
      </c>
      <c r="D9" s="18" t="s">
        <v>14</v>
      </c>
      <c r="E9" t="str">
        <f>B9 &amp; " = " &amp; C9</f>
        <v>D2 [mm] = 400</v>
      </c>
      <c r="V9">
        <v>352.63157894736838</v>
      </c>
      <c r="W9">
        <v>10.119043657317778</v>
      </c>
      <c r="X9">
        <v>352.63157894736838</v>
      </c>
      <c r="Y9">
        <v>41.383513657317778</v>
      </c>
      <c r="Z9">
        <v>208.42105263157893</v>
      </c>
      <c r="AA9">
        <v>7.9727841243209188</v>
      </c>
      <c r="AB9">
        <v>311.57894736842104</v>
      </c>
      <c r="AC9">
        <v>40.75364498855113</v>
      </c>
    </row>
    <row r="10" spans="2:29" ht="18" x14ac:dyDescent="0.25">
      <c r="B10" s="17" t="s">
        <v>151</v>
      </c>
      <c r="C10" s="40">
        <v>120</v>
      </c>
      <c r="D10" s="18" t="s">
        <v>152</v>
      </c>
      <c r="E10" t="str">
        <f>B10 &amp; " = " &amp; C10</f>
        <v>Dcb [mm] = 120</v>
      </c>
      <c r="V10">
        <v>344.73684210526312</v>
      </c>
      <c r="W10">
        <v>9.9918682358079955</v>
      </c>
      <c r="X10">
        <v>344.73684210526312</v>
      </c>
      <c r="Y10">
        <v>41.256338235807995</v>
      </c>
      <c r="Z10">
        <v>223.15789473684208</v>
      </c>
      <c r="AA10">
        <v>8.119699730754359</v>
      </c>
      <c r="AB10">
        <v>296.84210526315786</v>
      </c>
      <c r="AC10">
        <v>40.546529816554724</v>
      </c>
    </row>
    <row r="11" spans="2:29" ht="18" x14ac:dyDescent="0.25">
      <c r="B11" s="17" t="s">
        <v>16</v>
      </c>
      <c r="C11" s="40">
        <v>250</v>
      </c>
      <c r="D11" s="18" t="s">
        <v>17</v>
      </c>
      <c r="E11" t="str">
        <f>B11 &amp; " = " &amp; C11</f>
        <v>Dsp [mm] = 250</v>
      </c>
      <c r="V11">
        <v>336.84210526315786</v>
      </c>
      <c r="W11">
        <v>9.8675722578040936</v>
      </c>
      <c r="X11">
        <v>336.84210526315786</v>
      </c>
      <c r="Y11">
        <v>41.132042257804095</v>
      </c>
      <c r="Z11">
        <v>237.89473684210526</v>
      </c>
      <c r="AA11">
        <v>8.27664859811496</v>
      </c>
      <c r="AB11">
        <v>282.10526315789474</v>
      </c>
      <c r="AC11">
        <v>40.349447905485469</v>
      </c>
    </row>
    <row r="12" spans="2:29" ht="18" x14ac:dyDescent="0.25">
      <c r="B12" s="17" t="s">
        <v>298</v>
      </c>
      <c r="C12" s="40">
        <v>80</v>
      </c>
      <c r="D12" s="18" t="s">
        <v>154</v>
      </c>
      <c r="E12" t="str">
        <f>B12 &amp; " = " &amp; C12</f>
        <v>Dhub [mm] = 80</v>
      </c>
      <c r="V12">
        <v>328.9473684210526</v>
      </c>
      <c r="W12">
        <v>9.7461557233060727</v>
      </c>
      <c r="X12">
        <v>328.9473684210526</v>
      </c>
      <c r="Y12">
        <v>41.01062572330607</v>
      </c>
      <c r="Z12">
        <v>252.63157894736841</v>
      </c>
      <c r="AA12">
        <v>8.4436307264027253</v>
      </c>
      <c r="AB12">
        <v>267.36842105263156</v>
      </c>
      <c r="AC12">
        <v>40.162399255343388</v>
      </c>
    </row>
    <row r="13" spans="2:29" ht="18" x14ac:dyDescent="0.25">
      <c r="B13" s="17" t="s">
        <v>155</v>
      </c>
      <c r="C13" s="41">
        <v>0.28999999999999998</v>
      </c>
      <c r="D13" s="18" t="s">
        <v>156</v>
      </c>
      <c r="E13" t="str">
        <f t="shared" ref="E13:E16" si="0">B13 &amp; " = " &amp; C13</f>
        <v>scb [mm] = 0.29</v>
      </c>
      <c r="V13">
        <v>321.05263157894734</v>
      </c>
      <c r="W13">
        <v>9.6276186323139346</v>
      </c>
      <c r="X13">
        <v>321.05263157894734</v>
      </c>
      <c r="Y13">
        <v>40.892088632313936</v>
      </c>
      <c r="Z13">
        <v>267.36842105263156</v>
      </c>
      <c r="AA13">
        <v>8.6206461156176513</v>
      </c>
      <c r="AB13">
        <v>252.63157894736841</v>
      </c>
      <c r="AC13">
        <v>39.985383866128458</v>
      </c>
    </row>
    <row r="14" spans="2:29" ht="18" x14ac:dyDescent="0.25">
      <c r="B14" s="17" t="s">
        <v>24</v>
      </c>
      <c r="C14" s="41">
        <v>0.2</v>
      </c>
      <c r="D14" s="18" t="s">
        <v>25</v>
      </c>
      <c r="E14" t="str">
        <f t="shared" si="0"/>
        <v>ssp [mm] = 0.2</v>
      </c>
      <c r="V14">
        <v>313.15789473684208</v>
      </c>
      <c r="W14">
        <v>9.5119609848276792</v>
      </c>
      <c r="X14">
        <v>313.15789473684208</v>
      </c>
      <c r="Y14">
        <v>40.776430984827677</v>
      </c>
      <c r="Z14">
        <v>282.10526315789474</v>
      </c>
      <c r="AA14">
        <v>8.807694765759738</v>
      </c>
      <c r="AB14">
        <v>237.89473684210526</v>
      </c>
      <c r="AC14">
        <v>39.818401737840695</v>
      </c>
    </row>
    <row r="15" spans="2:29" ht="18" x14ac:dyDescent="0.25">
      <c r="B15" s="17" t="s">
        <v>157</v>
      </c>
      <c r="C15" s="40">
        <v>50</v>
      </c>
      <c r="D15" s="18" t="s">
        <v>158</v>
      </c>
      <c r="E15" t="str">
        <f t="shared" si="0"/>
        <v>Lcb [mm] = 50</v>
      </c>
      <c r="V15">
        <v>305.26315789473682</v>
      </c>
      <c r="W15">
        <v>9.3991827808473047</v>
      </c>
      <c r="X15">
        <v>305.26315789473682</v>
      </c>
      <c r="Y15">
        <v>40.663652780847308</v>
      </c>
      <c r="Z15">
        <v>296.84210526315786</v>
      </c>
      <c r="AA15">
        <v>9.004776676828989</v>
      </c>
      <c r="AB15">
        <v>223.15789473684208</v>
      </c>
      <c r="AC15">
        <v>39.66145287048009</v>
      </c>
    </row>
    <row r="16" spans="2:29" ht="18" x14ac:dyDescent="0.25">
      <c r="B16" s="17" t="s">
        <v>28</v>
      </c>
      <c r="C16" s="40">
        <v>25</v>
      </c>
      <c r="D16" s="18" t="s">
        <v>29</v>
      </c>
      <c r="E16" t="str">
        <f t="shared" si="0"/>
        <v>Lsp [mm] = 25</v>
      </c>
      <c r="V16">
        <v>297.36842105263156</v>
      </c>
      <c r="W16">
        <v>9.2892840203728131</v>
      </c>
      <c r="X16">
        <v>297.36842105263156</v>
      </c>
      <c r="Y16">
        <v>40.553754020372814</v>
      </c>
      <c r="Z16">
        <v>311.57894736842104</v>
      </c>
      <c r="AA16">
        <v>9.2118918488253989</v>
      </c>
      <c r="AB16">
        <v>208.42105263157893</v>
      </c>
      <c r="AC16">
        <v>39.514537264046652</v>
      </c>
    </row>
    <row r="17" spans="2:29" x14ac:dyDescent="0.25">
      <c r="B17" s="17" t="s">
        <v>42</v>
      </c>
      <c r="C17" s="40">
        <v>159.35</v>
      </c>
      <c r="D17" s="18" t="s">
        <v>43</v>
      </c>
      <c r="V17">
        <v>289.4736842105263</v>
      </c>
      <c r="W17">
        <v>9.1822647034042024</v>
      </c>
      <c r="X17">
        <v>289.4736842105263</v>
      </c>
      <c r="Y17">
        <v>40.446734703404204</v>
      </c>
      <c r="Z17">
        <v>326.31578947368422</v>
      </c>
      <c r="AA17">
        <v>9.4290402817489731</v>
      </c>
      <c r="AB17">
        <v>193.68421052631578</v>
      </c>
      <c r="AC17">
        <v>39.377654918540372</v>
      </c>
    </row>
    <row r="18" spans="2:29" ht="18" x14ac:dyDescent="0.25">
      <c r="B18" s="17" t="s">
        <v>186</v>
      </c>
      <c r="C18" s="40">
        <v>16</v>
      </c>
      <c r="D18" s="18" t="s">
        <v>187</v>
      </c>
      <c r="V18">
        <v>281.57894736842104</v>
      </c>
      <c r="W18">
        <v>9.0781248299414745</v>
      </c>
      <c r="X18">
        <v>281.57894736842104</v>
      </c>
      <c r="Y18">
        <v>40.342594829941476</v>
      </c>
      <c r="Z18">
        <v>341.05263157894734</v>
      </c>
      <c r="AA18">
        <v>9.6562219755997081</v>
      </c>
      <c r="AB18">
        <v>178.9473684210526</v>
      </c>
      <c r="AC18">
        <v>39.250805833961259</v>
      </c>
    </row>
    <row r="19" spans="2:29" ht="18" x14ac:dyDescent="0.25">
      <c r="B19" s="17" t="s">
        <v>188</v>
      </c>
      <c r="C19" s="40">
        <v>16</v>
      </c>
      <c r="D19" s="18" t="s">
        <v>189</v>
      </c>
      <c r="V19">
        <v>273.68421052631572</v>
      </c>
      <c r="W19">
        <v>8.9768643999846276</v>
      </c>
      <c r="X19">
        <v>273.68421052631572</v>
      </c>
      <c r="Y19">
        <v>40.24133439998463</v>
      </c>
      <c r="Z19">
        <v>355.78947368421052</v>
      </c>
      <c r="AA19">
        <v>9.8934369303776037</v>
      </c>
      <c r="AB19">
        <v>164.21052631578945</v>
      </c>
      <c r="AC19">
        <v>39.133990010309304</v>
      </c>
    </row>
    <row r="20" spans="2:29" ht="18" x14ac:dyDescent="0.25">
      <c r="B20" s="17" t="s">
        <v>190</v>
      </c>
      <c r="C20" s="40">
        <v>0</v>
      </c>
      <c r="D20" s="18" t="s">
        <v>191</v>
      </c>
      <c r="V20">
        <v>265.78947368421046</v>
      </c>
      <c r="W20">
        <v>8.8784834135336634</v>
      </c>
      <c r="X20">
        <v>265.78947368421046</v>
      </c>
      <c r="Y20">
        <v>40.142953413533661</v>
      </c>
      <c r="Z20">
        <v>370.5263157894737</v>
      </c>
      <c r="AA20">
        <v>10.140685146082664</v>
      </c>
      <c r="AB20">
        <v>149.4736842105263</v>
      </c>
      <c r="AC20">
        <v>39.027207447584509</v>
      </c>
    </row>
    <row r="21" spans="2:29" ht="18" x14ac:dyDescent="0.25">
      <c r="B21" s="17" t="s">
        <v>192</v>
      </c>
      <c r="C21" s="40">
        <v>0</v>
      </c>
      <c r="D21" s="18" t="s">
        <v>193</v>
      </c>
      <c r="V21">
        <v>257.8947368421052</v>
      </c>
      <c r="W21">
        <v>8.7829818705885803</v>
      </c>
      <c r="X21">
        <v>257.8947368421052</v>
      </c>
      <c r="Y21">
        <v>40.047451870588581</v>
      </c>
      <c r="Z21">
        <v>385.26315789473682</v>
      </c>
      <c r="AA21">
        <v>10.397966622714883</v>
      </c>
      <c r="AB21">
        <v>134.73684210526312</v>
      </c>
      <c r="AC21">
        <v>38.930458145786879</v>
      </c>
    </row>
    <row r="22" spans="2:29" ht="18" x14ac:dyDescent="0.25">
      <c r="B22" s="17" t="s">
        <v>194</v>
      </c>
      <c r="C22" s="40">
        <v>12</v>
      </c>
      <c r="D22" s="18" t="s">
        <v>195</v>
      </c>
      <c r="V22">
        <v>249.99999999999994</v>
      </c>
      <c r="W22">
        <v>8.6903597711493799</v>
      </c>
      <c r="X22">
        <v>249.99999999999994</v>
      </c>
      <c r="Y22">
        <v>39.954829771149377</v>
      </c>
      <c r="Z22">
        <v>400</v>
      </c>
      <c r="AA22">
        <v>10.665281360274266</v>
      </c>
      <c r="AB22">
        <v>119.99999999999997</v>
      </c>
      <c r="AC22">
        <v>38.843742104916409</v>
      </c>
    </row>
    <row r="23" spans="2:29" ht="18" x14ac:dyDescent="0.25">
      <c r="B23" s="17" t="s">
        <v>196</v>
      </c>
      <c r="C23" s="40">
        <v>211</v>
      </c>
      <c r="D23" s="18" t="s">
        <v>197</v>
      </c>
    </row>
    <row r="24" spans="2:29" ht="18" x14ac:dyDescent="0.25">
      <c r="B24" s="19" t="s">
        <v>198</v>
      </c>
      <c r="C24" s="43">
        <v>30</v>
      </c>
      <c r="D24" s="18" t="s">
        <v>199</v>
      </c>
    </row>
    <row r="25" spans="2:29" ht="18" x14ac:dyDescent="0.25">
      <c r="B25" s="19" t="s">
        <v>200</v>
      </c>
      <c r="C25" s="43">
        <v>15</v>
      </c>
      <c r="D25" s="18" t="s">
        <v>201</v>
      </c>
    </row>
    <row r="26" spans="2:29" ht="18" x14ac:dyDescent="0.25">
      <c r="B26" s="17" t="s">
        <v>32</v>
      </c>
      <c r="C26" s="40">
        <v>0.7</v>
      </c>
      <c r="D26" s="18" t="s">
        <v>33</v>
      </c>
    </row>
    <row r="27" spans="2:29" ht="18" x14ac:dyDescent="0.25">
      <c r="B27" s="17" t="s">
        <v>159</v>
      </c>
      <c r="C27" s="42">
        <v>2</v>
      </c>
      <c r="D27" s="21" t="s">
        <v>160</v>
      </c>
    </row>
    <row r="29" spans="2:29" x14ac:dyDescent="0.25">
      <c r="B29" s="99" t="s">
        <v>34</v>
      </c>
      <c r="C29" s="100"/>
      <c r="D29" s="101"/>
    </row>
    <row r="30" spans="2:29" x14ac:dyDescent="0.25">
      <c r="B30" s="17" t="s">
        <v>35</v>
      </c>
      <c r="C30" s="40">
        <v>2980</v>
      </c>
      <c r="D30" s="18" t="s">
        <v>36</v>
      </c>
    </row>
    <row r="31" spans="2:29" ht="16.5" x14ac:dyDescent="0.25">
      <c r="B31" s="22" t="s">
        <v>37</v>
      </c>
      <c r="C31" s="40">
        <v>1000</v>
      </c>
      <c r="D31" s="18" t="s">
        <v>38</v>
      </c>
    </row>
    <row r="32" spans="2:29" ht="16.5" x14ac:dyDescent="0.25">
      <c r="B32" s="22" t="s">
        <v>330</v>
      </c>
      <c r="C32" s="41">
        <v>1</v>
      </c>
      <c r="D32" s="18" t="s">
        <v>39</v>
      </c>
    </row>
    <row r="33" spans="2:5" ht="17.25" x14ac:dyDescent="0.25">
      <c r="B33" s="17" t="s">
        <v>40</v>
      </c>
      <c r="C33" s="40">
        <v>696</v>
      </c>
      <c r="D33" s="18" t="s">
        <v>41</v>
      </c>
    </row>
    <row r="34" spans="2:5" x14ac:dyDescent="0.25">
      <c r="B34" s="17" t="s">
        <v>42</v>
      </c>
      <c r="C34" s="40">
        <v>200</v>
      </c>
      <c r="D34" s="18" t="s">
        <v>43</v>
      </c>
    </row>
    <row r="35" spans="2:5" ht="18" x14ac:dyDescent="0.25">
      <c r="B35" s="17" t="s">
        <v>202</v>
      </c>
      <c r="C35" s="40">
        <v>0.15</v>
      </c>
      <c r="D35" s="18" t="s">
        <v>203</v>
      </c>
    </row>
    <row r="36" spans="2:5" ht="18" x14ac:dyDescent="0.25">
      <c r="B36" s="17" t="s">
        <v>204</v>
      </c>
      <c r="C36" s="40">
        <v>0.15</v>
      </c>
      <c r="D36" s="21" t="s">
        <v>205</v>
      </c>
    </row>
    <row r="38" spans="2:5" x14ac:dyDescent="0.25">
      <c r="B38" s="99" t="s">
        <v>206</v>
      </c>
      <c r="C38" s="100"/>
      <c r="D38" s="101"/>
    </row>
    <row r="39" spans="2:5" ht="18" x14ac:dyDescent="0.25">
      <c r="B39" s="19" t="s">
        <v>207</v>
      </c>
      <c r="C39" s="43">
        <v>20</v>
      </c>
      <c r="D39" s="21" t="s">
        <v>208</v>
      </c>
    </row>
    <row r="41" spans="2:5" x14ac:dyDescent="0.25">
      <c r="B41" s="99" t="s">
        <v>143</v>
      </c>
      <c r="C41" s="100"/>
      <c r="D41" s="101"/>
    </row>
    <row r="42" spans="2:5" ht="18" x14ac:dyDescent="0.25">
      <c r="B42" s="17" t="s">
        <v>336</v>
      </c>
      <c r="C42" s="27">
        <f>+(C27)*C34*C31*9.81/10^5</f>
        <v>39.24</v>
      </c>
      <c r="D42" s="18" t="s">
        <v>299</v>
      </c>
      <c r="E42" t="str">
        <f>B42 &amp; " = " &amp; ROUND(C42,1)</f>
        <v>p2s [barg] = 39.2</v>
      </c>
    </row>
    <row r="43" spans="2:5" ht="18" x14ac:dyDescent="0.25">
      <c r="B43" s="17" t="s">
        <v>337</v>
      </c>
      <c r="C43" s="27">
        <f>C31*9.81*C17/10^5*C26</f>
        <v>10.9425645</v>
      </c>
      <c r="D43" s="18" t="s">
        <v>300</v>
      </c>
      <c r="E43" t="str">
        <f>B43 &amp; " = " &amp; ROUND(C43,1)</f>
        <v>p1 [barg] = 10.9</v>
      </c>
    </row>
    <row r="44" spans="2:5" ht="18" x14ac:dyDescent="0.25">
      <c r="B44" s="17" t="s">
        <v>338</v>
      </c>
      <c r="C44" s="27">
        <f>C31*9.81*C17/10^5*(C27+C26)</f>
        <v>42.207034499999999</v>
      </c>
      <c r="D44" s="18" t="s">
        <v>301</v>
      </c>
      <c r="E44" t="str">
        <f>B44 &amp; " = " &amp; ROUND(C44,1)</f>
        <v>p2 [barg] = 42.2</v>
      </c>
    </row>
    <row r="45" spans="2:5" ht="18" x14ac:dyDescent="0.25">
      <c r="B45" s="17" t="s">
        <v>59</v>
      </c>
      <c r="C45" s="27">
        <f>+C30*2*PI()/60*(C9/2000)</f>
        <v>62.412974051317228</v>
      </c>
      <c r="D45" s="18" t="s">
        <v>60</v>
      </c>
    </row>
    <row r="46" spans="2:5" ht="18" x14ac:dyDescent="0.25">
      <c r="B46" s="17" t="s">
        <v>226</v>
      </c>
      <c r="C46" s="30">
        <f>C45*(C9/2000)/(C32*10^-6)</f>
        <v>12482594.810263447</v>
      </c>
      <c r="D46" s="21" t="s">
        <v>245</v>
      </c>
    </row>
    <row r="48" spans="2:5" x14ac:dyDescent="0.25">
      <c r="B48" s="99" t="s">
        <v>302</v>
      </c>
      <c r="C48" s="100"/>
      <c r="D48" s="101"/>
    </row>
    <row r="49" spans="2:5" ht="18" x14ac:dyDescent="0.25">
      <c r="B49" s="19" t="s">
        <v>210</v>
      </c>
      <c r="C49" s="44">
        <v>1.2</v>
      </c>
      <c r="D49" s="18" t="s">
        <v>211</v>
      </c>
    </row>
    <row r="50" spans="2:5" ht="18" x14ac:dyDescent="0.25">
      <c r="B50" s="19" t="s">
        <v>212</v>
      </c>
      <c r="C50" s="43">
        <v>0</v>
      </c>
      <c r="D50" s="18" t="s">
        <v>213</v>
      </c>
    </row>
    <row r="51" spans="2:5" x14ac:dyDescent="0.25">
      <c r="B51" s="19" t="s">
        <v>217</v>
      </c>
      <c r="C51" s="43" t="s">
        <v>218</v>
      </c>
      <c r="D51" s="18" t="s">
        <v>219</v>
      </c>
    </row>
    <row r="52" spans="2:5" x14ac:dyDescent="0.25">
      <c r="B52" s="19" t="s">
        <v>220</v>
      </c>
      <c r="C52" s="41">
        <v>8.0000000000000002E-3</v>
      </c>
      <c r="D52" s="18" t="s">
        <v>221</v>
      </c>
    </row>
    <row r="53" spans="2:5" x14ac:dyDescent="0.25">
      <c r="B53" s="19" t="s">
        <v>115</v>
      </c>
      <c r="C53" s="31">
        <f>0.135*C52/C13</f>
        <v>3.7241379310344832E-3</v>
      </c>
      <c r="D53" s="18" t="s">
        <v>222</v>
      </c>
    </row>
    <row r="54" spans="2:5" ht="18" hidden="1" outlineLevel="1" x14ac:dyDescent="0.25">
      <c r="B54" s="17" t="s">
        <v>168</v>
      </c>
      <c r="C54" s="31">
        <f>+C10/C9</f>
        <v>0.3</v>
      </c>
      <c r="D54" s="18" t="s">
        <v>169</v>
      </c>
    </row>
    <row r="55" spans="2:5" ht="18" hidden="1" outlineLevel="1" x14ac:dyDescent="0.25">
      <c r="B55" s="19" t="s">
        <v>223</v>
      </c>
      <c r="C55" s="27">
        <f>C71/(PI()*C10*C13)/3600*1000000</f>
        <v>33.325498128979426</v>
      </c>
      <c r="D55" s="18" t="s">
        <v>224</v>
      </c>
    </row>
    <row r="56" spans="2:5" hidden="1" outlineLevel="1" x14ac:dyDescent="0.25">
      <c r="B56" s="19" t="s">
        <v>61</v>
      </c>
      <c r="C56" s="30">
        <f>2*C55*C13/(C32*10^-6)/1000</f>
        <v>19328.788914808065</v>
      </c>
      <c r="D56" s="18" t="s">
        <v>225</v>
      </c>
    </row>
    <row r="57" spans="2:5" ht="18" hidden="1" outlineLevel="1" x14ac:dyDescent="0.25">
      <c r="B57" s="19" t="s">
        <v>226</v>
      </c>
      <c r="C57" s="30">
        <f>2*C13*(PI()*C10*C30/60)/(C32*10^-6)/1000000</f>
        <v>10859.857484929196</v>
      </c>
      <c r="D57" s="18" t="s">
        <v>227</v>
      </c>
    </row>
    <row r="58" spans="2:5" ht="18" hidden="1" outlineLevel="1" x14ac:dyDescent="0.25">
      <c r="B58" s="19" t="s">
        <v>228</v>
      </c>
      <c r="C58" s="28">
        <f>96/C56*(1-0.6*C50/C13)</f>
        <v>4.9666846910647886E-3</v>
      </c>
      <c r="D58" s="18" t="s">
        <v>229</v>
      </c>
    </row>
    <row r="59" spans="2:5" ht="18" hidden="1" outlineLevel="1" x14ac:dyDescent="0.25">
      <c r="B59" s="19" t="s">
        <v>230</v>
      </c>
      <c r="C59" s="28">
        <f>C58*(1+0.2*(C57/2000)^2)^1.03</f>
        <v>3.6297380758223551E-2</v>
      </c>
      <c r="D59" s="18" t="s">
        <v>231</v>
      </c>
    </row>
    <row r="60" spans="2:5" ht="18" hidden="1" outlineLevel="1" x14ac:dyDescent="0.25">
      <c r="B60" s="19" t="s">
        <v>228</v>
      </c>
      <c r="C60" s="28">
        <f>0.31/(LOG(C53+6.5/C56))^2</f>
        <v>5.4205935777909546E-2</v>
      </c>
      <c r="D60" s="18" t="s">
        <v>232</v>
      </c>
    </row>
    <row r="61" spans="2:5" ht="18" hidden="1" outlineLevel="1" x14ac:dyDescent="0.25">
      <c r="B61" s="19" t="s">
        <v>233</v>
      </c>
      <c r="C61" s="28">
        <f>C60*(1+0.19*(C57/C56)^2)^0.375</f>
        <v>5.5402986749819264E-2</v>
      </c>
      <c r="D61" s="18" t="s">
        <v>234</v>
      </c>
    </row>
    <row r="62" spans="2:5" hidden="1" outlineLevel="1" x14ac:dyDescent="0.25">
      <c r="B62" s="19" t="s">
        <v>235</v>
      </c>
      <c r="C62" s="28">
        <f>IF(C56&gt;2000,C61,C59)</f>
        <v>5.5402986749819264E-2</v>
      </c>
      <c r="D62" s="18" t="s">
        <v>236</v>
      </c>
    </row>
    <row r="63" spans="2:5" ht="18" collapsed="1" x14ac:dyDescent="0.25">
      <c r="B63" s="19" t="s">
        <v>303</v>
      </c>
      <c r="C63" s="31">
        <f>C31/2*(C55^2*(C49+C62*C15/(2*C13)))*0.00001</f>
        <v>33.185057947295874</v>
      </c>
      <c r="D63" s="21" t="s">
        <v>304</v>
      </c>
      <c r="E63" t="str">
        <f>B63 &amp; " = " &amp; ROUND(C63,1)</f>
        <v>∆pcb [bar] = 33.2</v>
      </c>
    </row>
    <row r="65" spans="2:5" x14ac:dyDescent="0.25">
      <c r="B65" s="99" t="s">
        <v>163</v>
      </c>
      <c r="C65" s="100"/>
      <c r="D65" s="101"/>
    </row>
    <row r="66" spans="2:5" x14ac:dyDescent="0.25">
      <c r="B66" s="19" t="s">
        <v>214</v>
      </c>
      <c r="C66" s="43" t="s">
        <v>215</v>
      </c>
      <c r="D66" s="21" t="s">
        <v>216</v>
      </c>
      <c r="E66">
        <f>+IF(C66="open", 1,0)</f>
        <v>1</v>
      </c>
    </row>
    <row r="67" spans="2:5" ht="18" x14ac:dyDescent="0.25">
      <c r="B67" s="19" t="s">
        <v>256</v>
      </c>
      <c r="C67" s="20">
        <v>0.5</v>
      </c>
      <c r="D67" s="18" t="s">
        <v>257</v>
      </c>
    </row>
    <row r="68" spans="2:5" ht="18" hidden="1" outlineLevel="1" x14ac:dyDescent="0.25">
      <c r="B68" s="17" t="s">
        <v>241</v>
      </c>
      <c r="C68" s="28">
        <f>1/(1+(C23/(C9/2))^2*(((C23/(C9/2))+5*(C22/(C9/2)))*(C35/C36))^0.5)</f>
        <v>0.43561390741771389</v>
      </c>
      <c r="D68" s="18" t="s">
        <v>242</v>
      </c>
    </row>
    <row r="69" spans="2:5" ht="18" hidden="1" outlineLevel="1" x14ac:dyDescent="0.25">
      <c r="B69" s="17" t="s">
        <v>305</v>
      </c>
      <c r="C69" s="29">
        <f>+C71/3600/(PI()*(C9/2000)^2*C45)</f>
        <v>4.6453776338831892E-4</v>
      </c>
      <c r="D69" s="18" t="s">
        <v>244</v>
      </c>
    </row>
    <row r="70" spans="2:5" ht="18" hidden="1" outlineLevel="1" x14ac:dyDescent="0.25">
      <c r="B70" s="19" t="s">
        <v>246</v>
      </c>
      <c r="C70" s="31">
        <f>C43-C74</f>
        <v>-3.2429380404153108E-5</v>
      </c>
      <c r="D70" s="18" t="s">
        <v>247</v>
      </c>
    </row>
    <row r="71" spans="2:5" ht="18" collapsed="1" x14ac:dyDescent="0.25">
      <c r="B71" s="19" t="s">
        <v>306</v>
      </c>
      <c r="C71" s="31">
        <v>13.116207151630549</v>
      </c>
      <c r="D71" s="18" t="s">
        <v>307</v>
      </c>
      <c r="E71" t="str">
        <f>B71 &amp; " = " &amp; ROUND(C71,1)</f>
        <v>Qcb [m3/h] = 13.1</v>
      </c>
    </row>
    <row r="72" spans="2:5" ht="18" x14ac:dyDescent="0.25">
      <c r="B72" s="17" t="s">
        <v>308</v>
      </c>
      <c r="C72" s="31" cm="1">
        <f t="array" ref="C72">shroud_inwards(0,C39,C54,C69,C46,C68,C20,C21,C45,C24,C25,C9,C44,C31,E66)</f>
        <v>40.487046912486548</v>
      </c>
      <c r="D72" s="21" t="s">
        <v>309</v>
      </c>
      <c r="E72" t="str">
        <f>B72 &amp; " = " &amp; ROUND(C72,1)</f>
        <v>pcb  [barg] = 40.5</v>
      </c>
    </row>
    <row r="73" spans="2:5" ht="18" x14ac:dyDescent="0.25">
      <c r="B73" s="17" t="s">
        <v>310</v>
      </c>
      <c r="C73" s="31">
        <f>+C72-C63</f>
        <v>7.3019889651906738</v>
      </c>
      <c r="D73" s="21" t="s">
        <v>311</v>
      </c>
      <c r="E73" t="str">
        <f>B73 &amp; " = " &amp; ROUND(C73,1)</f>
        <v>p*cb  [barg] = 7.3</v>
      </c>
    </row>
    <row r="74" spans="2:5" ht="18" x14ac:dyDescent="0.25">
      <c r="B74" s="17" t="s">
        <v>312</v>
      </c>
      <c r="C74" s="31" cm="1">
        <f t="array" ref="C74">shroud_outwards(0,C39,C54,-C69,C46,C68,C20,C21,C45,C24,C25,C9,C73,C43,C31,C67,C62,C15,C13,C56,C57)</f>
        <v>10.942596929380404</v>
      </c>
      <c r="D74" s="21" t="s">
        <v>313</v>
      </c>
      <c r="E74" t="str">
        <f>B74 &amp; " = " &amp; ROUND(C74,1)</f>
        <v>p*1  [barg] = 10.9</v>
      </c>
    </row>
    <row r="76" spans="2:5" x14ac:dyDescent="0.25">
      <c r="B76" s="99" t="s">
        <v>314</v>
      </c>
      <c r="C76" s="100"/>
      <c r="D76" s="101"/>
    </row>
    <row r="77" spans="2:5" ht="18" x14ac:dyDescent="0.25">
      <c r="B77" s="19" t="s">
        <v>210</v>
      </c>
      <c r="C77" s="44">
        <v>1.2</v>
      </c>
      <c r="D77" s="18" t="s">
        <v>211</v>
      </c>
    </row>
    <row r="78" spans="2:5" ht="18" x14ac:dyDescent="0.25">
      <c r="B78" s="19" t="s">
        <v>212</v>
      </c>
      <c r="C78" s="43">
        <v>0</v>
      </c>
      <c r="D78" s="18" t="s">
        <v>213</v>
      </c>
    </row>
    <row r="79" spans="2:5" x14ac:dyDescent="0.25">
      <c r="B79" s="19" t="s">
        <v>217</v>
      </c>
      <c r="C79" s="43" t="s">
        <v>218</v>
      </c>
      <c r="D79" s="18" t="s">
        <v>219</v>
      </c>
    </row>
    <row r="80" spans="2:5" x14ac:dyDescent="0.25">
      <c r="B80" s="19" t="s">
        <v>220</v>
      </c>
      <c r="C80" s="41">
        <v>8.0000000000000002E-3</v>
      </c>
      <c r="D80" s="18" t="s">
        <v>221</v>
      </c>
    </row>
    <row r="81" spans="2:5" x14ac:dyDescent="0.25">
      <c r="B81" s="19" t="s">
        <v>115</v>
      </c>
      <c r="C81" s="31">
        <f>0.135*C80/C14</f>
        <v>5.3999999999999994E-3</v>
      </c>
      <c r="D81" s="18" t="s">
        <v>222</v>
      </c>
    </row>
    <row r="82" spans="2:5" ht="18" hidden="1" outlineLevel="1" x14ac:dyDescent="0.25">
      <c r="B82" s="17" t="s">
        <v>147</v>
      </c>
      <c r="C82" s="31">
        <f>+C11/C9</f>
        <v>0.625</v>
      </c>
      <c r="D82" s="18" t="s">
        <v>72</v>
      </c>
    </row>
    <row r="83" spans="2:5" ht="18" hidden="1" outlineLevel="1" x14ac:dyDescent="0.25">
      <c r="B83" s="19" t="s">
        <v>223</v>
      </c>
      <c r="C83" s="27">
        <f>C98/(PI()*C11*C14)/3600*1000000</f>
        <v>19.064411390592905</v>
      </c>
      <c r="D83" s="18" t="s">
        <v>224</v>
      </c>
    </row>
    <row r="84" spans="2:5" hidden="1" outlineLevel="1" x14ac:dyDescent="0.25">
      <c r="B84" s="19" t="s">
        <v>61</v>
      </c>
      <c r="C84" s="30">
        <f>2*C83*C13/(C32*10^-6)/1000</f>
        <v>11057.358606543885</v>
      </c>
      <c r="D84" s="18" t="s">
        <v>225</v>
      </c>
    </row>
    <row r="85" spans="2:5" ht="18" hidden="1" outlineLevel="1" x14ac:dyDescent="0.25">
      <c r="B85" s="19" t="s">
        <v>226</v>
      </c>
      <c r="C85" s="30">
        <f>2*C13*(PI()*C10*C30/60)/(C32*10^-6)/1000000</f>
        <v>10859.857484929196</v>
      </c>
      <c r="D85" s="18" t="s">
        <v>227</v>
      </c>
    </row>
    <row r="86" spans="2:5" ht="18" hidden="1" outlineLevel="1" x14ac:dyDescent="0.25">
      <c r="B86" s="19" t="s">
        <v>228</v>
      </c>
      <c r="C86" s="28">
        <f>0.31/(LOG(C81+6.5/C84))^2</f>
        <v>6.2746347890854301E-2</v>
      </c>
      <c r="D86" s="18" t="s">
        <v>229</v>
      </c>
    </row>
    <row r="87" spans="2:5" ht="18" hidden="1" outlineLevel="1" x14ac:dyDescent="0.25">
      <c r="B87" s="19" t="s">
        <v>230</v>
      </c>
      <c r="C87" s="28">
        <f>C86*(1+0.2*(C85/2000)^2)^1.03</f>
        <v>0.45856103663669961</v>
      </c>
      <c r="D87" s="18" t="s">
        <v>231</v>
      </c>
    </row>
    <row r="88" spans="2:5" ht="18" hidden="1" outlineLevel="1" x14ac:dyDescent="0.25">
      <c r="B88" s="19" t="s">
        <v>228</v>
      </c>
      <c r="C88" s="28">
        <f>0.31/(LOG(C81+6.5/C84))^2</f>
        <v>6.2746347890854301E-2</v>
      </c>
      <c r="D88" s="18" t="s">
        <v>232</v>
      </c>
    </row>
    <row r="89" spans="2:5" ht="18" hidden="1" outlineLevel="1" x14ac:dyDescent="0.25">
      <c r="B89" s="19" t="s">
        <v>233</v>
      </c>
      <c r="C89" s="28">
        <f>C88*(1+0.19*(C85/C84)^2)^0.375</f>
        <v>6.683367532177259E-2</v>
      </c>
      <c r="D89" s="18" t="s">
        <v>234</v>
      </c>
    </row>
    <row r="90" spans="2:5" hidden="1" outlineLevel="1" x14ac:dyDescent="0.25">
      <c r="B90" s="19" t="s">
        <v>235</v>
      </c>
      <c r="C90" s="28">
        <f>IF(C84&gt;2000,C89,C87)</f>
        <v>6.683367532177259E-2</v>
      </c>
      <c r="D90" s="18" t="s">
        <v>236</v>
      </c>
    </row>
    <row r="91" spans="2:5" ht="18" collapsed="1" x14ac:dyDescent="0.25">
      <c r="B91" s="19" t="s">
        <v>276</v>
      </c>
      <c r="C91" s="31">
        <f>C31/2*(C83^2*(C77+C90*C16/(2*C14)))*0.00001</f>
        <v>9.7715914310302026</v>
      </c>
      <c r="D91" s="21" t="s">
        <v>277</v>
      </c>
      <c r="E91" t="str">
        <f>B91 &amp; " = " &amp; ROUND(C91,1)</f>
        <v>∆psp1 [bar] = 9.8</v>
      </c>
    </row>
    <row r="93" spans="2:5" x14ac:dyDescent="0.25">
      <c r="B93" s="99" t="s">
        <v>315</v>
      </c>
      <c r="C93" s="100"/>
      <c r="D93" s="101"/>
    </row>
    <row r="94" spans="2:5" x14ac:dyDescent="0.25">
      <c r="B94" s="19" t="s">
        <v>214</v>
      </c>
      <c r="C94" s="43" t="s">
        <v>215</v>
      </c>
      <c r="D94" s="21" t="s">
        <v>216</v>
      </c>
      <c r="E94">
        <f>+IF(C94="open", 1,0)</f>
        <v>1</v>
      </c>
    </row>
    <row r="95" spans="2:5" ht="18" hidden="1" outlineLevel="1" x14ac:dyDescent="0.25">
      <c r="B95" s="17" t="s">
        <v>241</v>
      </c>
      <c r="C95" s="28">
        <f>1/(1+(C23/(C9/2))^2*(((C23/(C9/2))+5*(C22/(C9/2)))*(C35/C36))^0.5)</f>
        <v>0.43561390741771389</v>
      </c>
      <c r="D95" s="18" t="s">
        <v>242</v>
      </c>
    </row>
    <row r="96" spans="2:5" ht="18" hidden="1" outlineLevel="1" x14ac:dyDescent="0.25">
      <c r="B96" s="17" t="s">
        <v>279</v>
      </c>
      <c r="C96" s="29">
        <f>+C98/3600/(PI()*(C9/2000)^2*C45)</f>
        <v>3.8181987960783913E-4</v>
      </c>
      <c r="D96" s="18" t="s">
        <v>244</v>
      </c>
    </row>
    <row r="97" spans="2:5" ht="18" hidden="1" outlineLevel="1" x14ac:dyDescent="0.25">
      <c r="B97" s="19" t="s">
        <v>246</v>
      </c>
      <c r="C97" s="31">
        <f>C100</f>
        <v>-6.2342217255206833E-7</v>
      </c>
      <c r="D97" s="18" t="s">
        <v>247</v>
      </c>
    </row>
    <row r="98" spans="2:5" ht="18" collapsed="1" x14ac:dyDescent="0.25">
      <c r="B98" s="19" t="s">
        <v>280</v>
      </c>
      <c r="C98" s="31">
        <v>10.780670658546045</v>
      </c>
      <c r="D98" s="21" t="s">
        <v>281</v>
      </c>
      <c r="E98" t="str">
        <f>B98 &amp; " = " &amp; ROUND(C98,1)</f>
        <v>Qsp1 [m3/h] = 10.8</v>
      </c>
    </row>
    <row r="99" spans="2:5" ht="18" x14ac:dyDescent="0.25">
      <c r="B99" s="17" t="s">
        <v>282</v>
      </c>
      <c r="C99" s="31" cm="1">
        <f t="array" ref="C99">shroud_inwards(0,C39,C82,C96,C46,C95,C18,C19,C45,C24,C25,C9,C43,C31,E94)</f>
        <v>9.77159080760803</v>
      </c>
      <c r="D99" s="18" t="s">
        <v>283</v>
      </c>
      <c r="E99" t="str">
        <f>B99 &amp; " = " &amp; ROUND(C99,1)</f>
        <v>psp1  [barg] = 9.8</v>
      </c>
    </row>
    <row r="100" spans="2:5" ht="18" x14ac:dyDescent="0.25">
      <c r="B100" s="19" t="s">
        <v>284</v>
      </c>
      <c r="C100" s="31">
        <f>C99-C91</f>
        <v>-6.2342217255206833E-7</v>
      </c>
      <c r="D100" s="21" t="s">
        <v>285</v>
      </c>
    </row>
    <row r="102" spans="2:5" x14ac:dyDescent="0.25">
      <c r="B102" s="99" t="s">
        <v>316</v>
      </c>
      <c r="C102" s="100"/>
      <c r="D102" s="101"/>
    </row>
    <row r="103" spans="2:5" ht="18" x14ac:dyDescent="0.25">
      <c r="B103" s="19" t="s">
        <v>210</v>
      </c>
      <c r="C103" s="44">
        <v>1.2</v>
      </c>
      <c r="D103" s="18" t="s">
        <v>211</v>
      </c>
    </row>
    <row r="104" spans="2:5" ht="18" x14ac:dyDescent="0.25">
      <c r="B104" s="19" t="s">
        <v>212</v>
      </c>
      <c r="C104" s="43">
        <v>0</v>
      </c>
      <c r="D104" s="18" t="s">
        <v>213</v>
      </c>
    </row>
    <row r="105" spans="2:5" x14ac:dyDescent="0.25">
      <c r="B105" s="19" t="s">
        <v>217</v>
      </c>
      <c r="C105" s="43" t="s">
        <v>218</v>
      </c>
      <c r="D105" s="18" t="s">
        <v>219</v>
      </c>
    </row>
    <row r="106" spans="2:5" x14ac:dyDescent="0.25">
      <c r="B106" s="19" t="s">
        <v>220</v>
      </c>
      <c r="C106" s="41">
        <v>8.0000000000000002E-3</v>
      </c>
      <c r="D106" s="18" t="s">
        <v>221</v>
      </c>
    </row>
    <row r="107" spans="2:5" x14ac:dyDescent="0.25">
      <c r="B107" s="19" t="s">
        <v>115</v>
      </c>
      <c r="C107" s="31">
        <f>0.135*C106/C14</f>
        <v>5.3999999999999994E-3</v>
      </c>
      <c r="D107" s="18" t="s">
        <v>222</v>
      </c>
    </row>
    <row r="108" spans="2:5" ht="18" hidden="1" outlineLevel="1" x14ac:dyDescent="0.25">
      <c r="B108" s="17" t="s">
        <v>148</v>
      </c>
      <c r="C108" s="31">
        <f>+C11/C9</f>
        <v>0.625</v>
      </c>
      <c r="D108" s="18" t="s">
        <v>72</v>
      </c>
    </row>
    <row r="109" spans="2:5" ht="18" hidden="1" outlineLevel="1" x14ac:dyDescent="0.25">
      <c r="B109" s="19" t="s">
        <v>223</v>
      </c>
      <c r="C109" s="27">
        <f>C124/(PI()*C11*C14)/3600*1000000</f>
        <v>3.1761328402715514</v>
      </c>
      <c r="D109" s="18" t="s">
        <v>224</v>
      </c>
    </row>
    <row r="110" spans="2:5" hidden="1" outlineLevel="1" x14ac:dyDescent="0.25">
      <c r="B110" s="19" t="s">
        <v>61</v>
      </c>
      <c r="C110" s="30">
        <f>2*C83*C13/(C32*10^-6)/1000</f>
        <v>11057.358606543885</v>
      </c>
      <c r="D110" s="18" t="s">
        <v>225</v>
      </c>
    </row>
    <row r="111" spans="2:5" ht="18" hidden="1" outlineLevel="1" x14ac:dyDescent="0.25">
      <c r="B111" s="19" t="s">
        <v>226</v>
      </c>
      <c r="C111" s="30">
        <f>2*C13*(PI()*C10*C30/60)/(C32*10^-6)/1000000</f>
        <v>10859.857484929196</v>
      </c>
      <c r="D111" s="18" t="s">
        <v>227</v>
      </c>
    </row>
    <row r="112" spans="2:5" ht="18" hidden="1" outlineLevel="1" x14ac:dyDescent="0.25">
      <c r="B112" s="19" t="s">
        <v>228</v>
      </c>
      <c r="C112" s="28">
        <f>0.31/(LOG(C107+6.5/C110))^2</f>
        <v>6.2746347890854301E-2</v>
      </c>
      <c r="D112" s="18" t="s">
        <v>229</v>
      </c>
    </row>
    <row r="113" spans="2:5" ht="18" hidden="1" outlineLevel="1" x14ac:dyDescent="0.25">
      <c r="B113" s="19" t="s">
        <v>230</v>
      </c>
      <c r="C113" s="28">
        <f>C112*(1+0.2*(C111/2000)^2)^1.03</f>
        <v>0.45856103663669961</v>
      </c>
      <c r="D113" s="18" t="s">
        <v>231</v>
      </c>
    </row>
    <row r="114" spans="2:5" ht="18" hidden="1" outlineLevel="1" x14ac:dyDescent="0.25">
      <c r="B114" s="19" t="s">
        <v>228</v>
      </c>
      <c r="C114" s="28">
        <f>0.31/(LOG(C107+6.5/C110))^2</f>
        <v>6.2746347890854301E-2</v>
      </c>
      <c r="D114" s="18" t="s">
        <v>232</v>
      </c>
    </row>
    <row r="115" spans="2:5" ht="18" hidden="1" outlineLevel="1" x14ac:dyDescent="0.25">
      <c r="B115" s="19" t="s">
        <v>233</v>
      </c>
      <c r="C115" s="28">
        <f>C114*(1+0.19*(C111/C110)^2)^0.375</f>
        <v>6.683367532177259E-2</v>
      </c>
      <c r="D115" s="18" t="s">
        <v>234</v>
      </c>
    </row>
    <row r="116" spans="2:5" hidden="1" outlineLevel="1" x14ac:dyDescent="0.25">
      <c r="B116" s="19" t="s">
        <v>235</v>
      </c>
      <c r="C116" s="28">
        <f>IF(C110&gt;2000,C115,C113)</f>
        <v>6.683367532177259E-2</v>
      </c>
      <c r="D116" s="18" t="s">
        <v>236</v>
      </c>
    </row>
    <row r="117" spans="2:5" ht="18" collapsed="1" x14ac:dyDescent="0.25">
      <c r="B117" s="19" t="s">
        <v>317</v>
      </c>
      <c r="C117" s="31">
        <f>C31/2*(C109^2*(C103+C116*C16/(2*C14)))*0.00001</f>
        <v>0.2712163171927543</v>
      </c>
      <c r="D117" s="21" t="s">
        <v>318</v>
      </c>
      <c r="E117" t="str">
        <f>B117 &amp; " = " &amp; ROUND(C117,1)</f>
        <v>∆psp2 [bar] = 0.3</v>
      </c>
    </row>
    <row r="119" spans="2:5" x14ac:dyDescent="0.25">
      <c r="B119" s="99" t="s">
        <v>319</v>
      </c>
      <c r="C119" s="100"/>
      <c r="D119" s="101"/>
    </row>
    <row r="120" spans="2:5" x14ac:dyDescent="0.25">
      <c r="B120" s="19" t="s">
        <v>214</v>
      </c>
      <c r="C120" s="43" t="s">
        <v>215</v>
      </c>
      <c r="D120" s="21" t="s">
        <v>216</v>
      </c>
      <c r="E120">
        <f>+IF(C120="open", 1,0)</f>
        <v>1</v>
      </c>
    </row>
    <row r="121" spans="2:5" ht="18" hidden="1" outlineLevel="1" x14ac:dyDescent="0.25">
      <c r="B121" s="17" t="s">
        <v>241</v>
      </c>
      <c r="C121" s="28">
        <f>1/(1+(C23/(C9/2))^2*(((C23/(C9/2))+5*(C22/(C9/2)))*(C35/C36))^0.5)</f>
        <v>0.43561390741771389</v>
      </c>
      <c r="D121" s="18" t="s">
        <v>242</v>
      </c>
    </row>
    <row r="122" spans="2:5" ht="18" hidden="1" outlineLevel="1" x14ac:dyDescent="0.25">
      <c r="B122" s="17" t="s">
        <v>288</v>
      </c>
      <c r="C122" s="29">
        <f>+C124/3600/(PI()*(C9/2000)^2*C45)</f>
        <v>6.3611230047699489E-5</v>
      </c>
      <c r="D122" s="18" t="s">
        <v>244</v>
      </c>
    </row>
    <row r="123" spans="2:5" ht="18" hidden="1" outlineLevel="1" x14ac:dyDescent="0.25">
      <c r="B123" s="19" t="s">
        <v>246</v>
      </c>
      <c r="C123" s="31">
        <f>C126-C42</f>
        <v>0</v>
      </c>
      <c r="D123" s="18" t="s">
        <v>247</v>
      </c>
    </row>
    <row r="124" spans="2:5" ht="18" collapsed="1" x14ac:dyDescent="0.25">
      <c r="B124" s="19" t="s">
        <v>289</v>
      </c>
      <c r="C124" s="31">
        <v>1.79606080760803</v>
      </c>
      <c r="D124" s="18" t="s">
        <v>320</v>
      </c>
      <c r="E124" t="str">
        <f>B124 &amp; " = " &amp; ROUND(C124,1)</f>
        <v>Qsp2 [m3/h] = 1.8</v>
      </c>
    </row>
    <row r="125" spans="2:5" ht="18" x14ac:dyDescent="0.25">
      <c r="B125" s="17" t="s">
        <v>290</v>
      </c>
      <c r="C125" s="31" cm="1">
        <f t="array" ref="C125">shroud_inwards(0,C39,C108,C122,C46,C121,C18,C19,C45,C24,C25,C9,C44,C31,E120)</f>
        <v>41.036060807608031</v>
      </c>
      <c r="D125" s="18" t="s">
        <v>283</v>
      </c>
      <c r="E125" t="str">
        <f t="shared" ref="E125:E126" si="1">B125 &amp; " = " &amp; ROUND(C125,1)</f>
        <v>psp2  [barg] = 41</v>
      </c>
    </row>
    <row r="126" spans="2:5" ht="18" x14ac:dyDescent="0.25">
      <c r="B126" s="17" t="s">
        <v>291</v>
      </c>
      <c r="C126" s="31">
        <f>C125-C124</f>
        <v>39.24</v>
      </c>
      <c r="D126" s="21" t="s">
        <v>285</v>
      </c>
      <c r="E126" t="str">
        <f t="shared" si="1"/>
        <v>p*sp2  [barg] = 39.2</v>
      </c>
    </row>
    <row r="128" spans="2:5" x14ac:dyDescent="0.25">
      <c r="B128" s="99" t="s">
        <v>149</v>
      </c>
      <c r="C128" s="100"/>
      <c r="D128" s="101"/>
    </row>
    <row r="129" spans="2:5" ht="18" x14ac:dyDescent="0.25">
      <c r="B129" s="17" t="s">
        <v>292</v>
      </c>
      <c r="C129" s="30" cm="1">
        <f t="array" ref="C129">-shroud_inwards(1,C39,C82,C96,C46,C95,C18,C19,C45,C24,C25,C9,C43,C31,E94)</f>
        <v>-82233.158679406974</v>
      </c>
      <c r="D129" s="18" t="s">
        <v>321</v>
      </c>
      <c r="E129" t="str">
        <f>"(" &amp; B129 &amp; " = " &amp; ABS(ROUND(C129,0)) &amp; ")"</f>
        <v>(FFS1 [N] = 82233)</v>
      </c>
    </row>
    <row r="130" spans="2:5" ht="18" x14ac:dyDescent="0.25">
      <c r="B130" s="17" t="s">
        <v>294</v>
      </c>
      <c r="C130" s="30" cm="1">
        <f t="array" ref="C130">shroud_inwards(1,C39,C108,C122,C46,C121,C18,C19,C45,C24,C25,C9,C44,C31,E120)</f>
        <v>331184.70932316413</v>
      </c>
      <c r="D130" s="18" t="s">
        <v>322</v>
      </c>
      <c r="E130" t="str">
        <f>"(" &amp; B130 &amp; " = " &amp; ABS(ROUND(C130,0)) &amp; ")"</f>
        <v>(FFS2 [N] = 331185)</v>
      </c>
    </row>
    <row r="131" spans="2:5" ht="18" x14ac:dyDescent="0.25">
      <c r="B131" s="17" t="s">
        <v>323</v>
      </c>
      <c r="C131" s="30" cm="1">
        <f t="array" ref="C131">shroud_outwards(1,C39,C54,-C69,C46,C68,C20,C21,C45,C24,C25,C9,C73,C43,C31,C67,C62,C15,C13,C56,C57)</f>
        <v>124805.70682471553</v>
      </c>
      <c r="D131" s="18" t="s">
        <v>324</v>
      </c>
      <c r="E131" t="str">
        <f>"(" &amp; B131 &amp; " = " &amp; ABS(ROUND(C131,0)) &amp; ")"</f>
        <v>(FRS1 [N] = 124806)</v>
      </c>
    </row>
    <row r="132" spans="2:5" ht="18" x14ac:dyDescent="0.25">
      <c r="B132" s="17" t="s">
        <v>325</v>
      </c>
      <c r="C132" s="30" cm="1">
        <f t="array" ref="C132">-shroud_inwards(1,C39,C54,C69,C46,C68,C18,C19,C45,C24,C25,C9,C44,C31,E66)</f>
        <v>-483040.25559757208</v>
      </c>
      <c r="D132" s="18" t="s">
        <v>326</v>
      </c>
      <c r="E132" t="str">
        <f>"(" &amp; B132 &amp; " = " &amp; ABS(ROUND(C132,0)) &amp; ")"</f>
        <v>(FRS2 [N] = 483040)</v>
      </c>
    </row>
    <row r="133" spans="2:5" ht="18" x14ac:dyDescent="0.25">
      <c r="B133" s="17" t="s">
        <v>77</v>
      </c>
      <c r="C133" s="30">
        <f>PI()/4*((C11/1000)^2-(C12/1000)^2)*C42*10^5</f>
        <v>172894.72425692601</v>
      </c>
      <c r="D133" s="18" t="s">
        <v>327</v>
      </c>
      <c r="E133" t="str">
        <f>"(" &amp; B133 &amp; " = " &amp; ABS(ROUND(C133,0)) &amp; ")"</f>
        <v>(FHUB [N] = 172895)</v>
      </c>
    </row>
    <row r="134" spans="2:5" x14ac:dyDescent="0.25">
      <c r="B134" s="17" t="s">
        <v>83</v>
      </c>
      <c r="C134" s="30">
        <f>+SUM(C129:C133)</f>
        <v>63611.726127826638</v>
      </c>
      <c r="D134" s="21" t="s">
        <v>179</v>
      </c>
      <c r="E134" t="str">
        <f>B134 &amp; " = " &amp; ROUND(C134,0)</f>
        <v>F[N] = 63612</v>
      </c>
    </row>
  </sheetData>
  <mergeCells count="20">
    <mergeCell ref="B102:D102"/>
    <mergeCell ref="B119:D119"/>
    <mergeCell ref="B128:D128"/>
    <mergeCell ref="B8:D8"/>
    <mergeCell ref="B41:D41"/>
    <mergeCell ref="B29:D29"/>
    <mergeCell ref="B38:D38"/>
    <mergeCell ref="B48:D48"/>
    <mergeCell ref="B65:D65"/>
    <mergeCell ref="B76:D76"/>
    <mergeCell ref="B93:D93"/>
    <mergeCell ref="B3:C3"/>
    <mergeCell ref="B4:C4"/>
    <mergeCell ref="B5:C5"/>
    <mergeCell ref="B6:C6"/>
    <mergeCell ref="AB1:AC1"/>
    <mergeCell ref="V1:W1"/>
    <mergeCell ref="X1:Y1"/>
    <mergeCell ref="Z1:AA1"/>
    <mergeCell ref="B2:C2"/>
  </mergeCells>
  <dataValidations count="5">
    <dataValidation type="whole" allowBlank="1" showInputMessage="1" showErrorMessage="1" errorTitle="Error" error="The number of steps shall be selected between 1 and 1000." sqref="C39" xr:uid="{ADCA813D-9389-4CD9-9FE3-5AAE8358FE03}">
      <formula1>1</formula1>
      <formula2>2000</formula2>
    </dataValidation>
    <dataValidation type="list" allowBlank="1" showInputMessage="1" showErrorMessage="1" sqref="C120" xr:uid="{9126F8E3-ACCB-4CD4-AE31-A3D12E84C322}">
      <formula1>"open, defined"</formula1>
    </dataValidation>
    <dataValidation type="decimal" allowBlank="1" showInputMessage="1" showErrorMessage="1" sqref="C49 C77 C103" xr:uid="{1ED65C59-AD84-4C9B-A8BC-EEEF00D5BAAE}">
      <formula1>1</formula1>
      <formula2>1.2</formula2>
    </dataValidation>
    <dataValidation type="list" allowBlank="1" showInputMessage="1" showErrorMessage="1" sqref="C94 C66" xr:uid="{46119BA7-1A84-4952-8856-C68589291C22}">
      <formula1>"open, overlapped"</formula1>
    </dataValidation>
    <dataValidation type="list" allowBlank="1" showInputMessage="1" showErrorMessage="1" sqref="C51 C105 C79" xr:uid="{5E32DC7E-48FA-47DC-8909-B355A0164D32}">
      <formula1>"rough, serrated, isotropic pattern"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6147" r:id="rId4" name="CommandButton1">
          <controlPr defaultSize="0" autoLine="0" autoPict="0" r:id="rId5">
            <anchor moveWithCells="1">
              <from>
                <xdr:col>16</xdr:col>
                <xdr:colOff>0</xdr:colOff>
                <xdr:row>0</xdr:row>
                <xdr:rowOff>190500</xdr:rowOff>
              </from>
              <to>
                <xdr:col>20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614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6A379-9750-4AA6-BAF3-481B985B14E9}">
  <sheetPr codeName="Foglio9"/>
  <dimension ref="A1:Y2"/>
  <sheetViews>
    <sheetView topLeftCell="A66" zoomScaleNormal="100" workbookViewId="0">
      <selection activeCell="AE87" sqref="AE87"/>
    </sheetView>
  </sheetViews>
  <sheetFormatPr defaultRowHeight="15" x14ac:dyDescent="0.25"/>
  <sheetData>
    <row r="1" spans="1:25" ht="15.75" thickBot="1" x14ac:dyDescent="0.3">
      <c r="A1" s="109" t="s">
        <v>328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1"/>
      <c r="N1" s="109" t="s">
        <v>329</v>
      </c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1"/>
    </row>
    <row r="2" spans="1:25" x14ac:dyDescent="0.25">
      <c r="A2" s="112" t="str" cm="1">
        <f t="array" ref="A2">_xlfn.IFS(AND('single_suction-1'!C28="no",'single_suction-1'!C29="no"),"figure2",AND('single_suction-1'!C28="no",'single_suction-1'!C29="yes"),"figure1",AND('single_suction-1'!C28="yes",'single_suction-1'!C29="yes"),"figure3",AND('single_suction-1'!C28="yes",'single_suction-1'!C29="no"),"figure4")</f>
        <v>figure1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N2" s="112" t="str" cm="1">
        <f t="array" ref="N2">_xlfn.IFS(AND('single_suction-2'!C36="no",'single_suction-2'!C37="no"),"figure6",AND('single_suction-2'!C36="no",'single_suction-2'!C37="yes"),"figure5",AND('single_suction-2'!C36="yes",'single_suction-2'!C37="yes"),"figure7",AND('single_suction-2'!C36="yes",'single_suction-2'!C37="no"),"figure8")</f>
        <v>figure6</v>
      </c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</row>
  </sheetData>
  <mergeCells count="4">
    <mergeCell ref="N1:Y1"/>
    <mergeCell ref="N2:Y2"/>
    <mergeCell ref="A1:L1"/>
    <mergeCell ref="A2:L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33721BB-1A36-4C73-AA26-C8EE31315A58}"/>
</file>

<file path=customXml/itemProps2.xml><?xml version="1.0" encoding="utf-8"?>
<ds:datastoreItem xmlns:ds="http://schemas.openxmlformats.org/officeDocument/2006/customXml" ds:itemID="{48138D0F-85B0-42E4-99E5-4848CA3EEC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200703-7D96-4D74-9E9D-429F4591DDCC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content</vt:lpstr>
      <vt:lpstr>single_suction-1</vt:lpstr>
      <vt:lpstr>double_suction-1</vt:lpstr>
      <vt:lpstr>back_to_back-1</vt:lpstr>
      <vt:lpstr>single_suction-2</vt:lpstr>
      <vt:lpstr>double_suction-2</vt:lpstr>
      <vt:lpstr>back_to_back-2</vt:lpstr>
      <vt:lpstr>impeller_type</vt:lpstr>
      <vt:lpstr>figure1</vt:lpstr>
      <vt:lpstr>figure2</vt:lpstr>
      <vt:lpstr>figure3</vt:lpstr>
      <vt:lpstr>figure4</vt:lpstr>
      <vt:lpstr>figure5</vt:lpstr>
      <vt:lpstr>figure6</vt:lpstr>
      <vt:lpstr>figure7</vt:lpstr>
      <vt:lpstr>figure8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Mattia Di Somma</cp:lastModifiedBy>
  <cp:revision/>
  <dcterms:created xsi:type="dcterms:W3CDTF">2016-10-20T08:09:27Z</dcterms:created>
  <dcterms:modified xsi:type="dcterms:W3CDTF">2025-06-25T14:19:12Z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