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2\3. Tommaso\SOP e MOD impeller thickness (DeFranco)\"/>
    </mc:Choice>
  </mc:AlternateContent>
  <xr:revisionPtr revIDLastSave="0" documentId="13_ncr:1_{46C57150-25D9-4CE3-8077-0178EC619B65}" xr6:coauthVersionLast="47" xr6:coauthVersionMax="47" xr10:uidLastSave="{00000000-0000-0000-0000-000000000000}"/>
  <bookViews>
    <workbookView xWindow="-120" yWindow="-120" windowWidth="29040" windowHeight="15720" tabRatio="577" xr2:uid="{00000000-000D-0000-FFFF-FFFF00000000}"/>
  </bookViews>
  <sheets>
    <sheet name="Cover" sheetId="7" r:id="rId1"/>
    <sheet name="Input_Output" sheetId="5" r:id="rId2"/>
    <sheet name="Metric_Conversion" sheetId="13" state="hidden" r:id="rId3"/>
    <sheet name="setup" sheetId="6" state="hidden" r:id="rId4"/>
    <sheet name="H.I 9.6.1" sheetId="8" state="hidden" r:id="rId5"/>
    <sheet name="Gulich-Table 6.2" sheetId="9" state="hidden" r:id="rId6"/>
    <sheet name="TMP handbook Table C.8.1" sheetId="10" state="hidden" r:id="rId7"/>
    <sheet name="TMP special" sheetId="12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definedNames>
    <definedName name="_bga2">#REF!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Input_Output!$B$3:$M$60</definedName>
    <definedName name="_xlnm.Print_Area" localSheetId="2">Metric_Conversion!$B$3:$M$60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 localSheetId="2">Metric_Conversion!#REF!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 localSheetId="2">Metric_Conversion!#REF!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 localSheetId="2">Metric_Conversion!#REF!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 localSheetId="2">Metric_Conversion!#REF!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 localSheetId="1">Input_Output!$O$16</definedName>
    <definedName name="Suction_Diameter" localSheetId="2">Metric_Conversion!$O$16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3" i="5" l="1"/>
  <c r="E54" i="5"/>
  <c r="E55" i="5"/>
  <c r="E56" i="5"/>
  <c r="E57" i="5"/>
  <c r="E52" i="5"/>
  <c r="F24" i="5"/>
  <c r="F12" i="5"/>
  <c r="F30" i="5"/>
  <c r="F29" i="5"/>
  <c r="F28" i="5"/>
  <c r="F27" i="5"/>
  <c r="F26" i="5"/>
  <c r="F25" i="5"/>
  <c r="M47" i="13"/>
  <c r="J13" i="13"/>
  <c r="AC89" i="12" s="1"/>
  <c r="E21" i="13"/>
  <c r="P98" i="12" s="1"/>
  <c r="S98" i="12" s="1"/>
  <c r="M51" i="5"/>
  <c r="D30" i="13"/>
  <c r="E57" i="13" s="1"/>
  <c r="D29" i="13"/>
  <c r="AE49" i="12" s="1"/>
  <c r="D28" i="13"/>
  <c r="AE48" i="12" s="1"/>
  <c r="D27" i="13"/>
  <c r="E54" i="13" s="1"/>
  <c r="D26" i="13"/>
  <c r="AE46" i="12" s="1"/>
  <c r="D25" i="13"/>
  <c r="AE45" i="12" s="1"/>
  <c r="AG45" i="12" s="1"/>
  <c r="AI45" i="12" s="1"/>
  <c r="S17" i="12" s="1"/>
  <c r="E56" i="13"/>
  <c r="E53" i="13"/>
  <c r="E28" i="13"/>
  <c r="Q1" i="10" s="1"/>
  <c r="J15" i="13"/>
  <c r="AC85" i="12" s="1"/>
  <c r="K19" i="13"/>
  <c r="E20" i="13"/>
  <c r="AF67" i="12" s="1"/>
  <c r="E19" i="13"/>
  <c r="X33" i="8" s="1"/>
  <c r="E17" i="13"/>
  <c r="E30" i="13"/>
  <c r="P169" i="12" s="1"/>
  <c r="E29" i="13"/>
  <c r="W69" i="12" s="1"/>
  <c r="E27" i="13"/>
  <c r="R19" i="12" s="1"/>
  <c r="E26" i="13"/>
  <c r="W66" i="12" s="1"/>
  <c r="E25" i="13"/>
  <c r="P164" i="12" s="1"/>
  <c r="J19" i="13"/>
  <c r="P156" i="12" s="1"/>
  <c r="E18" i="13"/>
  <c r="X38" i="13" s="1"/>
  <c r="E16" i="13"/>
  <c r="Z1" i="8" s="1"/>
  <c r="E15" i="13"/>
  <c r="E14" i="13"/>
  <c r="E13" i="13"/>
  <c r="E12" i="13"/>
  <c r="E11" i="13"/>
  <c r="W38" i="13" s="1"/>
  <c r="L47" i="13" l="1"/>
  <c r="AE47" i="12"/>
  <c r="E55" i="13"/>
  <c r="Y18" i="8"/>
  <c r="W18" i="8"/>
  <c r="Y5" i="8"/>
  <c r="X18" i="8"/>
  <c r="Z18" i="8"/>
  <c r="Z33" i="8"/>
  <c r="W5" i="8"/>
  <c r="Y33" i="8"/>
  <c r="W33" i="8"/>
  <c r="Z60" i="8" a="1"/>
  <c r="Z60" i="8" s="1"/>
  <c r="Y52" i="8"/>
  <c r="Y60" i="8" a="1"/>
  <c r="Y60" i="8" s="1"/>
  <c r="Y62" i="8"/>
  <c r="X54" i="8"/>
  <c r="X56" i="8"/>
  <c r="X58" i="8"/>
  <c r="X60" i="8" a="1"/>
  <c r="X60" i="8" s="1"/>
  <c r="X62" i="8"/>
  <c r="Z54" i="8"/>
  <c r="Z56" i="8"/>
  <c r="Z58" i="8"/>
  <c r="Y58" i="8"/>
  <c r="W58" i="8"/>
  <c r="H56" i="13"/>
  <c r="Z62" i="8"/>
  <c r="W52" i="8"/>
  <c r="G56" i="13"/>
  <c r="X52" i="8"/>
  <c r="Z52" i="8"/>
  <c r="W54" i="8"/>
  <c r="W56" i="8"/>
  <c r="F56" i="13"/>
  <c r="W60" i="8" a="1"/>
  <c r="W60" i="8" s="1"/>
  <c r="W62" i="8"/>
  <c r="Y54" i="8"/>
  <c r="Y56" i="8"/>
  <c r="AE50" i="12"/>
  <c r="F57" i="13"/>
  <c r="G57" i="13"/>
  <c r="H57" i="13"/>
  <c r="P167" i="12"/>
  <c r="R20" i="12"/>
  <c r="AF65" i="12"/>
  <c r="AF72" i="12"/>
  <c r="AF73" i="12"/>
  <c r="Z5" i="8"/>
  <c r="AF69" i="12"/>
  <c r="X5" i="8"/>
  <c r="AF70" i="12"/>
  <c r="N4" i="9"/>
  <c r="AF68" i="12"/>
  <c r="AF71" i="12"/>
  <c r="AF74" i="12"/>
  <c r="AF75" i="12"/>
  <c r="AF76" i="12"/>
  <c r="AF66" i="12"/>
  <c r="W65" i="12"/>
  <c r="W68" i="12"/>
  <c r="R17" i="12"/>
  <c r="P168" i="12"/>
  <c r="W70" i="12"/>
  <c r="Y38" i="13"/>
  <c r="W67" i="12"/>
  <c r="R21" i="12"/>
  <c r="R22" i="12"/>
  <c r="Q111" i="12"/>
  <c r="Q113" i="12" s="1"/>
  <c r="P165" i="12"/>
  <c r="R18" i="12"/>
  <c r="P166" i="12"/>
  <c r="W65" i="8" l="1"/>
  <c r="Z65" i="8"/>
  <c r="X65" i="8"/>
  <c r="Y65" i="8"/>
  <c r="K19" i="5"/>
  <c r="L47" i="5" l="1"/>
  <c r="L1" i="9"/>
  <c r="C55" i="13"/>
  <c r="B55" i="13"/>
  <c r="E52" i="13"/>
  <c r="H21" i="13"/>
  <c r="AG47" i="12"/>
  <c r="AG48" i="12"/>
  <c r="AG49" i="12"/>
  <c r="AG50" i="12"/>
  <c r="AF45" i="12"/>
  <c r="X66" i="12"/>
  <c r="X67" i="12"/>
  <c r="X68" i="12"/>
  <c r="X69" i="12"/>
  <c r="X70" i="12"/>
  <c r="X65" i="12"/>
  <c r="AE65" i="12"/>
  <c r="Y149" i="12"/>
  <c r="Z149" i="12"/>
  <c r="AA149" i="12"/>
  <c r="AB149" i="12"/>
  <c r="Y150" i="12"/>
  <c r="Z150" i="12"/>
  <c r="AA150" i="12"/>
  <c r="AB150" i="12"/>
  <c r="Y151" i="12"/>
  <c r="Z151" i="12"/>
  <c r="AA151" i="12"/>
  <c r="AB151" i="12"/>
  <c r="Y152" i="12"/>
  <c r="Z152" i="12"/>
  <c r="AA152" i="12"/>
  <c r="AB152" i="12"/>
  <c r="X150" i="12"/>
  <c r="X151" i="12"/>
  <c r="X152" i="12"/>
  <c r="X149" i="12"/>
  <c r="U156" i="12"/>
  <c r="AD125" i="12"/>
  <c r="AK125" i="12" s="1"/>
  <c r="AD126" i="12"/>
  <c r="AF126" i="12" s="1"/>
  <c r="AD127" i="12"/>
  <c r="AG127" i="12" s="1"/>
  <c r="AD128" i="12"/>
  <c r="AK128" i="12" s="1"/>
  <c r="AD129" i="12"/>
  <c r="AG129" i="12" s="1"/>
  <c r="AD130" i="12"/>
  <c r="AG130" i="12" s="1"/>
  <c r="AD131" i="12"/>
  <c r="AK131" i="12" s="1"/>
  <c r="AD132" i="12"/>
  <c r="AG132" i="12" s="1"/>
  <c r="AD124" i="12"/>
  <c r="AG124" i="12" s="1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24" i="12"/>
  <c r="Q165" i="12"/>
  <c r="Q166" i="12"/>
  <c r="Q167" i="12"/>
  <c r="Q168" i="12"/>
  <c r="Q169" i="12"/>
  <c r="Q164" i="12"/>
  <c r="O1" i="9" l="1"/>
  <c r="L20" i="9" s="1"/>
  <c r="L26" i="9" s="1"/>
  <c r="Q156" i="12"/>
  <c r="R156" i="12"/>
  <c r="S156" i="12"/>
  <c r="T156" i="12"/>
  <c r="AM132" i="12"/>
  <c r="AI131" i="12"/>
  <c r="AM129" i="12"/>
  <c r="AI128" i="12"/>
  <c r="AM126" i="12"/>
  <c r="AI125" i="12"/>
  <c r="AL132" i="12"/>
  <c r="AH131" i="12"/>
  <c r="AL129" i="12"/>
  <c r="AH128" i="12"/>
  <c r="AL126" i="12"/>
  <c r="AH125" i="12"/>
  <c r="AN129" i="12"/>
  <c r="AF124" i="12"/>
  <c r="AK132" i="12"/>
  <c r="AG131" i="12"/>
  <c r="AK129" i="12"/>
  <c r="AG128" i="12"/>
  <c r="AK126" i="12"/>
  <c r="AG125" i="12"/>
  <c r="AN132" i="12"/>
  <c r="AJ128" i="12"/>
  <c r="AN126" i="12"/>
  <c r="AF132" i="12"/>
  <c r="AJ132" i="12"/>
  <c r="AN130" i="12"/>
  <c r="AJ129" i="12"/>
  <c r="AN127" i="12"/>
  <c r="AJ126" i="12"/>
  <c r="AN124" i="12"/>
  <c r="AJ131" i="12"/>
  <c r="AJ125" i="12"/>
  <c r="AF131" i="12"/>
  <c r="AI132" i="12"/>
  <c r="AM130" i="12"/>
  <c r="AI129" i="12"/>
  <c r="AM127" i="12"/>
  <c r="AI126" i="12"/>
  <c r="AM124" i="12"/>
  <c r="AF130" i="12"/>
  <c r="AH132" i="12"/>
  <c r="AL130" i="12"/>
  <c r="AH129" i="12"/>
  <c r="AL127" i="12"/>
  <c r="AH126" i="12"/>
  <c r="AL124" i="12"/>
  <c r="AF129" i="12"/>
  <c r="AK130" i="12"/>
  <c r="AK127" i="12"/>
  <c r="AG126" i="12"/>
  <c r="AK124" i="12"/>
  <c r="AF128" i="12"/>
  <c r="AN131" i="12"/>
  <c r="AJ130" i="12"/>
  <c r="AN128" i="12"/>
  <c r="AJ127" i="12"/>
  <c r="AN125" i="12"/>
  <c r="AJ124" i="12"/>
  <c r="AF127" i="12"/>
  <c r="AM131" i="12"/>
  <c r="AI130" i="12"/>
  <c r="AM128" i="12"/>
  <c r="AI127" i="12"/>
  <c r="AM125" i="12"/>
  <c r="AI124" i="12"/>
  <c r="AL131" i="12"/>
  <c r="AH130" i="12"/>
  <c r="AL128" i="12"/>
  <c r="AH127" i="12"/>
  <c r="AL125" i="12"/>
  <c r="AH124" i="12"/>
  <c r="AF125" i="12"/>
  <c r="AE66" i="12"/>
  <c r="AE67" i="12"/>
  <c r="AE68" i="12"/>
  <c r="AE69" i="12"/>
  <c r="AE70" i="12"/>
  <c r="AE71" i="12"/>
  <c r="AE72" i="12"/>
  <c r="AE73" i="12"/>
  <c r="AE74" i="12"/>
  <c r="AE75" i="12"/>
  <c r="AE76" i="12"/>
  <c r="O26" i="9" l="1"/>
  <c r="O25" i="9"/>
  <c r="N20" i="9"/>
  <c r="L25" i="9" s="1"/>
  <c r="S164" i="12"/>
  <c r="S165" i="12"/>
  <c r="S167" i="12"/>
  <c r="S168" i="12"/>
  <c r="S166" i="12"/>
  <c r="S169" i="12"/>
  <c r="U18" i="12"/>
  <c r="U19" i="12"/>
  <c r="U20" i="12"/>
  <c r="U21" i="12"/>
  <c r="U22" i="12"/>
  <c r="U17" i="12"/>
  <c r="AG46" i="12"/>
  <c r="E24" i="5"/>
  <c r="AC88" i="12"/>
  <c r="H21" i="5"/>
  <c r="F16" i="5"/>
  <c r="F17" i="5"/>
  <c r="Q37" i="10"/>
  <c r="C55" i="5"/>
  <c r="B55" i="5"/>
  <c r="O21" i="9"/>
  <c r="M21" i="9"/>
  <c r="AF50" i="12" l="1"/>
  <c r="AF49" i="12"/>
  <c r="AI49" i="12" s="1"/>
  <c r="S21" i="12" s="1"/>
  <c r="AF48" i="12"/>
  <c r="AI48" i="12" s="1"/>
  <c r="S20" i="12" s="1"/>
  <c r="AF47" i="12"/>
  <c r="AF46" i="12"/>
  <c r="AH65" i="12" a="1"/>
  <c r="AH65" i="12" s="1"/>
  <c r="AJ67" i="12" a="1"/>
  <c r="AJ67" i="12" s="1"/>
  <c r="AM70" i="12" a="1"/>
  <c r="AM70" i="12" s="1"/>
  <c r="AI50" i="12"/>
  <c r="S22" i="12" s="1"/>
  <c r="AI47" i="12"/>
  <c r="S19" i="12" s="1"/>
  <c r="AI46" i="12"/>
  <c r="S18" i="12" s="1"/>
  <c r="AI66" i="12" a="1"/>
  <c r="AK68" i="12" a="1"/>
  <c r="AK68" i="12" s="1"/>
  <c r="AL69" i="12" a="1"/>
  <c r="AL69" i="12" s="1"/>
  <c r="Q98" i="12"/>
  <c r="R98" i="12"/>
  <c r="AC87" i="12"/>
  <c r="AC90" i="12" s="1"/>
  <c r="P37" i="10"/>
  <c r="P8" i="10" s="1"/>
  <c r="J2" i="6"/>
  <c r="M47" i="5"/>
  <c r="F18" i="5"/>
  <c r="F15" i="5"/>
  <c r="F14" i="5"/>
  <c r="F13" i="5"/>
  <c r="R82" i="12" l="1"/>
  <c r="AI66" i="12"/>
  <c r="T21" i="12" s="1"/>
  <c r="W1" i="8" l="1"/>
  <c r="T20" i="12"/>
  <c r="T22" i="12"/>
  <c r="T19" i="12"/>
  <c r="T17" i="12"/>
  <c r="T18" i="12"/>
  <c r="B47" i="13"/>
  <c r="V20" i="12"/>
  <c r="V22" i="12"/>
  <c r="V21" i="12"/>
  <c r="X21" i="12" s="1"/>
  <c r="Y21" i="12" s="1"/>
  <c r="I56" i="13" s="1"/>
  <c r="J56" i="13" s="1"/>
  <c r="V17" i="12"/>
  <c r="V18" i="12"/>
  <c r="V19" i="12"/>
  <c r="O1" i="10"/>
  <c r="P11" i="10" s="1"/>
  <c r="B49" i="13" s="1"/>
  <c r="B47" i="5"/>
  <c r="X20" i="12" l="1"/>
  <c r="Y20" i="12" s="1"/>
  <c r="I55" i="13" s="1"/>
  <c r="I55" i="5" s="1"/>
  <c r="X19" i="12"/>
  <c r="X17" i="12"/>
  <c r="Y17" i="12" s="1"/>
  <c r="I52" i="13" s="1"/>
  <c r="I56" i="5"/>
  <c r="C47" i="5"/>
  <c r="C47" i="13"/>
  <c r="C54" i="5"/>
  <c r="C54" i="13"/>
  <c r="B54" i="5"/>
  <c r="B54" i="13"/>
  <c r="F52" i="13" s="1"/>
  <c r="F52" i="5" s="1"/>
  <c r="X18" i="12"/>
  <c r="Y18" i="12" s="1"/>
  <c r="I53" i="13" s="1"/>
  <c r="X22" i="12"/>
  <c r="Y22" i="12" s="1"/>
  <c r="I57" i="13" s="1"/>
  <c r="Q11" i="10"/>
  <c r="B56" i="13" s="1"/>
  <c r="H52" i="13" s="1"/>
  <c r="H52" i="5" s="1"/>
  <c r="C50" i="5" l="1"/>
  <c r="Y19" i="12"/>
  <c r="I54" i="13" s="1"/>
  <c r="I54" i="5" s="1"/>
  <c r="C50" i="13"/>
  <c r="H57" i="5"/>
  <c r="H53" i="13"/>
  <c r="H53" i="5" s="1"/>
  <c r="F55" i="13"/>
  <c r="F55" i="5" s="1"/>
  <c r="F53" i="13"/>
  <c r="F53" i="5" s="1"/>
  <c r="B50" i="5"/>
  <c r="I57" i="5"/>
  <c r="I53" i="5"/>
  <c r="B50" i="13"/>
  <c r="I52" i="5"/>
  <c r="F57" i="5"/>
  <c r="F56" i="5"/>
  <c r="F54" i="13"/>
  <c r="F54" i="5" s="1"/>
  <c r="L21" i="9"/>
  <c r="N21" i="9"/>
  <c r="B49" i="5"/>
  <c r="P12" i="10"/>
  <c r="B56" i="5"/>
  <c r="Q12" i="10"/>
  <c r="C56" i="5" l="1"/>
  <c r="C56" i="13"/>
  <c r="C49" i="5"/>
  <c r="C49" i="13"/>
  <c r="C48" i="5"/>
  <c r="C48" i="13"/>
  <c r="B48" i="5"/>
  <c r="B48" i="13"/>
  <c r="H54" i="13" l="1"/>
  <c r="H54" i="5" s="1"/>
  <c r="H56" i="5"/>
  <c r="H55" i="13"/>
  <c r="H55" i="5" s="1"/>
  <c r="G53" i="13"/>
  <c r="G53" i="5" s="1"/>
  <c r="J53" i="5" s="1"/>
  <c r="G52" i="13"/>
  <c r="G57" i="5"/>
  <c r="J57" i="5" s="1"/>
  <c r="G56" i="5"/>
  <c r="G55" i="13"/>
  <c r="G55" i="5" s="1"/>
  <c r="G54" i="13"/>
  <c r="G54" i="5" s="1"/>
  <c r="J56" i="5" l="1"/>
  <c r="G52" i="5"/>
  <c r="K52" i="5" s="1"/>
  <c r="J55" i="5"/>
  <c r="K57" i="5"/>
  <c r="L57" i="5" s="1"/>
  <c r="K55" i="5"/>
  <c r="K53" i="5"/>
  <c r="L53" i="5" s="1"/>
  <c r="K56" i="5"/>
  <c r="J54" i="5"/>
  <c r="K54" i="5"/>
  <c r="J54" i="13"/>
  <c r="K54" i="13"/>
  <c r="K55" i="13"/>
  <c r="J55" i="13"/>
  <c r="K56" i="13"/>
  <c r="K57" i="13"/>
  <c r="J57" i="13"/>
  <c r="J52" i="13"/>
  <c r="K52" i="13"/>
  <c r="J53" i="13"/>
  <c r="K53" i="13"/>
  <c r="L56" i="5" l="1"/>
  <c r="J52" i="5"/>
  <c r="L52" i="5" s="1"/>
  <c r="L55" i="5"/>
  <c r="L54" i="5"/>
  <c r="L52" i="13"/>
  <c r="M52" i="13" s="1"/>
  <c r="M52" i="5" s="1"/>
  <c r="L54" i="13"/>
  <c r="M54" i="13" s="1"/>
  <c r="M54" i="5" s="1"/>
  <c r="L53" i="13"/>
  <c r="M53" i="13" s="1"/>
  <c r="M53" i="5" s="1"/>
  <c r="L57" i="13"/>
  <c r="M57" i="13" s="1"/>
  <c r="M57" i="5" s="1"/>
  <c r="L56" i="13"/>
  <c r="M56" i="13" s="1"/>
  <c r="M56" i="5" s="1"/>
  <c r="L55" i="13"/>
  <c r="M55" i="13" s="1"/>
  <c r="M5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<sst xmlns="http://schemas.openxmlformats.org/spreadsheetml/2006/main" count="557" uniqueCount="224">
  <si>
    <t>First issue</t>
  </si>
  <si>
    <t>Rev.</t>
  </si>
  <si>
    <t>Date</t>
  </si>
  <si>
    <t>Description</t>
  </si>
  <si>
    <t>Prepared</t>
  </si>
  <si>
    <t>Checked</t>
  </si>
  <si>
    <t>Approved</t>
  </si>
  <si>
    <t>NPSHR Safety Margin Calculation</t>
  </si>
  <si>
    <t>PUMP MODEL</t>
  </si>
  <si>
    <t>PUMP SIZE</t>
  </si>
  <si>
    <t>DRAWING NUMBER</t>
  </si>
  <si>
    <t>INPUT DATA</t>
  </si>
  <si>
    <t>mixed flow pump</t>
  </si>
  <si>
    <t>unit system</t>
  </si>
  <si>
    <t>SI</t>
  </si>
  <si>
    <t>Pump speed</t>
  </si>
  <si>
    <t>RPM</t>
  </si>
  <si>
    <t>Qrtd</t>
  </si>
  <si>
    <t>Hrtd</t>
  </si>
  <si>
    <t>ph water</t>
  </si>
  <si>
    <t>use for special application</t>
  </si>
  <si>
    <t xml:space="preserve">Hst </t>
  </si>
  <si>
    <t>Qbep</t>
  </si>
  <si>
    <t>ppm H2S</t>
  </si>
  <si>
    <t>Pstage</t>
  </si>
  <si>
    <t>NPSHav</t>
  </si>
  <si>
    <t>D1tip</t>
  </si>
  <si>
    <t>pump service</t>
  </si>
  <si>
    <t>API</t>
  </si>
  <si>
    <t>fluid temperature</t>
  </si>
  <si>
    <t>plant application</t>
  </si>
  <si>
    <t>hydrocarbon</t>
  </si>
  <si>
    <t>impeller material</t>
  </si>
  <si>
    <t>ASTM A216 Gr WCB</t>
  </si>
  <si>
    <t>special fluid</t>
  </si>
  <si>
    <t>NPSH3</t>
  </si>
  <si>
    <t>Q</t>
  </si>
  <si>
    <t>Q/Qbep</t>
  </si>
  <si>
    <t>AOR</t>
  </si>
  <si>
    <t>\</t>
  </si>
  <si>
    <t>POR</t>
  </si>
  <si>
    <t>bep</t>
  </si>
  <si>
    <t>OUTPUT DATA</t>
  </si>
  <si>
    <t>R</t>
  </si>
  <si>
    <t>H.I. 9.6.1</t>
  </si>
  <si>
    <t>u1</t>
  </si>
  <si>
    <t>J.F.Gulich</t>
  </si>
  <si>
    <t>TMP-1</t>
  </si>
  <si>
    <t>TMP-2</t>
  </si>
  <si>
    <t>HI</t>
  </si>
  <si>
    <t>Gulich</t>
  </si>
  <si>
    <t>TPI_standard</t>
  </si>
  <si>
    <t>TPI_special</t>
  </si>
  <si>
    <t>NPSHRmin</t>
  </si>
  <si>
    <t>NPSHRmax</t>
  </si>
  <si>
    <t>NPSHRave</t>
  </si>
  <si>
    <t>delta</t>
  </si>
  <si>
    <t>Limitations:</t>
  </si>
  <si>
    <t>the gulich formulation is valid for u1 max =50m/s (=164ft/s).higher velocities will be checked by mean of special erosion rate calculation.
TMP_1 formulation is valid for u1&lt;60m/s. .higher velocities will be checked by means of special erosion rate calculation.
R for high flow rate is limited to max.val between 1.1 times NPSH3 and 0.5m (1.65 ft)</t>
  </si>
  <si>
    <t>m3/h</t>
  </si>
  <si>
    <t>m</t>
  </si>
  <si>
    <t>power/stage</t>
  </si>
  <si>
    <t>kW</t>
  </si>
  <si>
    <t>contractual 40000 hr</t>
  </si>
  <si>
    <t>mm</t>
  </si>
  <si>
    <t>propane</t>
  </si>
  <si>
    <t>TMP_1</t>
  </si>
  <si>
    <t>TMP_2</t>
  </si>
  <si>
    <t>Rave</t>
  </si>
  <si>
    <t>the gulich formulation is valid for u1 max =50m/s (=164ft/s).higher velocities will be checked by measn of special erosion rate calculation.
for high flo
TMP_1 formulation is valid for u1&lt;60m/s. .higher velocities will be checked by measn of special erosion rate calculation.</t>
  </si>
  <si>
    <t>setup for selection</t>
  </si>
  <si>
    <t>applications</t>
  </si>
  <si>
    <t>imp material</t>
  </si>
  <si>
    <t xml:space="preserve">fluid </t>
  </si>
  <si>
    <t>US</t>
  </si>
  <si>
    <t>boiler feed</t>
  </si>
  <si>
    <t>ASTM A48/A48M</t>
  </si>
  <si>
    <t>cast iron</t>
  </si>
  <si>
    <t>kerosene</t>
  </si>
  <si>
    <t>condensate</t>
  </si>
  <si>
    <t>chemical</t>
  </si>
  <si>
    <t>ASTM A536 65-45-12</t>
  </si>
  <si>
    <t>petrol</t>
  </si>
  <si>
    <t>cooling tower</t>
  </si>
  <si>
    <t>electric - non nuclear</t>
  </si>
  <si>
    <t>light fuel oil</t>
  </si>
  <si>
    <t>circulating/cooling water</t>
  </si>
  <si>
    <t>water/wastewater</t>
  </si>
  <si>
    <t>ASTM A352 Gr LCB</t>
  </si>
  <si>
    <t>methanol</t>
  </si>
  <si>
    <t>water</t>
  </si>
  <si>
    <t>seawater</t>
  </si>
  <si>
    <t>ASTM A352 Gr LC1</t>
  </si>
  <si>
    <t>butane</t>
  </si>
  <si>
    <t>wastewater</t>
  </si>
  <si>
    <t>ASTM A352 Gr LC2</t>
  </si>
  <si>
    <t>i-butane</t>
  </si>
  <si>
    <t>ASTM A352 Gr LC3</t>
  </si>
  <si>
    <t>ASTM A743 CA6NM</t>
  </si>
  <si>
    <t>stainless</t>
  </si>
  <si>
    <t>freon</t>
  </si>
  <si>
    <t>ASTM A743 CF8</t>
  </si>
  <si>
    <t>other</t>
  </si>
  <si>
    <t>ASTM A743 CF3</t>
  </si>
  <si>
    <t>ASTM A743 CF8M</t>
  </si>
  <si>
    <t>ASTM A743 CF3M</t>
  </si>
  <si>
    <t>ASTM A890 Gr 1B</t>
  </si>
  <si>
    <t>ASTM A890 Gr 3A</t>
  </si>
  <si>
    <t>ASTM A890 Gr 4A</t>
  </si>
  <si>
    <t>ASTM A890 Gr 5A</t>
  </si>
  <si>
    <t>ASTM A890 Gr 6A</t>
  </si>
  <si>
    <t>Alloy 625</t>
  </si>
  <si>
    <t>Alloy 865</t>
  </si>
  <si>
    <t>ASTM B148 C95800</t>
  </si>
  <si>
    <t>stainless aluminum bronze</t>
  </si>
  <si>
    <t>ASTM B584</t>
  </si>
  <si>
    <t>sss</t>
  </si>
  <si>
    <t>power</t>
  </si>
  <si>
    <t>NPSHR/NPSHr</t>
  </si>
  <si>
    <t>NPSHR-NPSHr</t>
  </si>
  <si>
    <t>operation</t>
  </si>
  <si>
    <t>pump type</t>
  </si>
  <si>
    <t>delta [m]</t>
  </si>
  <si>
    <t>condition</t>
  </si>
  <si>
    <t>power/st</t>
  </si>
  <si>
    <t>any</t>
  </si>
  <si>
    <t>n.a.</t>
  </si>
  <si>
    <t>chemical process</t>
  </si>
  <si>
    <t>&lt;</t>
  </si>
  <si>
    <t>&gt;</t>
  </si>
  <si>
    <t>AOR-POR</t>
  </si>
  <si>
    <t>Electric non nuclear</t>
  </si>
  <si>
    <t>wastewater treatmnet</t>
  </si>
  <si>
    <t>tot</t>
  </si>
  <si>
    <t>sigma3</t>
  </si>
  <si>
    <t>Ff</t>
  </si>
  <si>
    <t>Ff target</t>
  </si>
  <si>
    <t>Fr</t>
  </si>
  <si>
    <t>non uniform flow</t>
  </si>
  <si>
    <t>u</t>
  </si>
  <si>
    <t>TARGET</t>
  </si>
  <si>
    <t>Rlow</t>
  </si>
  <si>
    <t>Rhigh</t>
  </si>
  <si>
    <t>target</t>
  </si>
  <si>
    <t>NPSHR</t>
  </si>
  <si>
    <t>=</t>
  </si>
  <si>
    <t>NPSH3%</t>
  </si>
  <si>
    <t>Sn</t>
  </si>
  <si>
    <t>Sen</t>
  </si>
  <si>
    <t>St</t>
  </si>
  <si>
    <t>Sm</t>
  </si>
  <si>
    <t>Slg</t>
  </si>
  <si>
    <t>detla</t>
  </si>
  <si>
    <t>min</t>
  </si>
  <si>
    <t>NPSH0%</t>
  </si>
  <si>
    <t>SN</t>
  </si>
  <si>
    <t>SEN</t>
  </si>
  <si>
    <t>ST</t>
  </si>
  <si>
    <t>SLG</t>
  </si>
  <si>
    <t>C0</t>
  </si>
  <si>
    <t>C1</t>
  </si>
  <si>
    <t>C2</t>
  </si>
  <si>
    <t>C3</t>
  </si>
  <si>
    <t>C4</t>
  </si>
  <si>
    <t>C5</t>
  </si>
  <si>
    <t>vertical?</t>
  </si>
  <si>
    <t>=NPSH0%/NPSH3%</t>
  </si>
  <si>
    <t>%Qbep</t>
  </si>
  <si>
    <t>vert</t>
  </si>
  <si>
    <t>hor</t>
  </si>
  <si>
    <t>sea water</t>
  </si>
  <si>
    <t>logNPSH3</t>
  </si>
  <si>
    <t>c6</t>
  </si>
  <si>
    <t>c5</t>
  </si>
  <si>
    <t>c4</t>
  </si>
  <si>
    <t>c3</t>
  </si>
  <si>
    <t>c2</t>
  </si>
  <si>
    <t>c1</t>
  </si>
  <si>
    <t>c0</t>
  </si>
  <si>
    <t>=REGR.LIN(af65:af76;ae65:ae76^{1,2,3,4,5,6})</t>
  </si>
  <si>
    <t>=REGR.LIN(af65:af76;ae65:ae76^{1,2,3,4,5})</t>
  </si>
  <si>
    <t>=REGR.LIN(af65:af76;ae65:ae76^{1,2,3,4})</t>
  </si>
  <si>
    <t>=REGR.LIN(af65:af76;ae65:ae76^{1,2,3})</t>
  </si>
  <si>
    <t>=REGR.LIN(af65:af76;ae65:ae76^{1,2})</t>
  </si>
  <si>
    <t>=REGR.LIN(af65:af76;ae65:ae76^{1})</t>
  </si>
  <si>
    <t>target SM</t>
  </si>
  <si>
    <t>SM</t>
  </si>
  <si>
    <t>material</t>
  </si>
  <si>
    <t>water ph&lt;6</t>
  </si>
  <si>
    <t>water ph&gt;6</t>
  </si>
  <si>
    <t>seawater or H2S&lt;1ppm</t>
  </si>
  <si>
    <t>chem comp</t>
  </si>
  <si>
    <t>H2S</t>
  </si>
  <si>
    <t>ph4</t>
  </si>
  <si>
    <t>ph6</t>
  </si>
  <si>
    <t>stainlees</t>
  </si>
  <si>
    <t>G-X20 Cr 14</t>
  </si>
  <si>
    <t>ph</t>
  </si>
  <si>
    <t>G-X5 Cr Ni Mo 134</t>
  </si>
  <si>
    <t>G-X22 Cr Ni 17</t>
  </si>
  <si>
    <t>G-X6 Cr Ni Mo 1810</t>
  </si>
  <si>
    <t>stainless alu bronze</t>
  </si>
  <si>
    <t>G-NI Al Bz F 60</t>
  </si>
  <si>
    <t>G-Sn Bz 10</t>
  </si>
  <si>
    <t>G-Cu Al 10 Ni</t>
  </si>
  <si>
    <t>GGG 40</t>
  </si>
  <si>
    <t>SS-C25</t>
  </si>
  <si>
    <t>target material</t>
  </si>
  <si>
    <t>Tf</t>
  </si>
  <si>
    <t>dT [°C]</t>
  </si>
  <si>
    <t>T=</t>
  </si>
  <si>
    <t>LOG10(NPSH3)</t>
  </si>
  <si>
    <t>Sanity check</t>
  </si>
  <si>
    <t>grade 4 polynomial coeff f(NPSH)</t>
  </si>
  <si>
    <t>plolynomial coeff. Temperat.</t>
  </si>
  <si>
    <t>CT0</t>
  </si>
  <si>
    <t>CT1</t>
  </si>
  <si>
    <t>CT2</t>
  </si>
  <si>
    <t>target temp</t>
  </si>
  <si>
    <t>Fluid Dynamic Manager/L.De Franco</t>
  </si>
  <si>
    <t>QA/HSE/N.Legato/T.Morelli Stefani</t>
  </si>
  <si>
    <t>NPSHR safety margin calculation
(linked to SOP-550)</t>
  </si>
  <si>
    <t>Mod.533-0</t>
  </si>
  <si>
    <t>R&amp;D &amp; Prod.Eng. Manager/M.Borghetti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</si>
</sst>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General_)"/>
    <numFmt numFmtId="167" formatCode="&quot;$&quot;#,##0.00;[Red]\-&quot;$&quot;#,##0.00"/>
  </numFmts>
  <fonts count="15" x14ac:knownFonts="1">
    <font>
      <sz val="10"/>
      <name val="Arial"/>
    </font>
    <font>
      <sz val="10"/>
      <name val="Arial"/>
      <family val="2"/>
    </font>
    <font>
      <sz val="14"/>
      <name val="TradeGothic"/>
    </font>
    <font>
      <sz val="10"/>
      <name val="TradeGothic"/>
    </font>
    <font>
      <b/>
      <sz val="12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color rgb="FFFF0000"/>
      <name val="TradeGothic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6" fontId="5" fillId="0" borderId="0"/>
    <xf numFmtId="167" fontId="11" fillId="0" borderId="0" applyFont="0" applyFill="0" applyBorder="0" applyAlignment="0" applyProtection="0"/>
  </cellStyleXfs>
  <cellXfs count="205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" fontId="0" fillId="0" borderId="11" xfId="1" applyNumberFormat="1" applyFont="1" applyBorder="1" applyAlignment="1" applyProtection="1">
      <alignment horizontal="center"/>
    </xf>
    <xf numFmtId="0" fontId="1" fillId="0" borderId="0" xfId="2"/>
    <xf numFmtId="0" fontId="1" fillId="0" borderId="0" xfId="2" applyAlignment="1">
      <alignment wrapText="1"/>
    </xf>
    <xf numFmtId="164" fontId="1" fillId="0" borderId="10" xfId="2" applyNumberFormat="1" applyBorder="1" applyAlignment="1">
      <alignment horizontal="center"/>
    </xf>
    <xf numFmtId="0" fontId="1" fillId="0" borderId="12" xfId="2" applyBorder="1"/>
    <xf numFmtId="0" fontId="1" fillId="0" borderId="0" xfId="0" applyFont="1"/>
    <xf numFmtId="0" fontId="1" fillId="4" borderId="5" xfId="2" applyFill="1" applyBorder="1"/>
    <xf numFmtId="0" fontId="1" fillId="4" borderId="6" xfId="2" applyFill="1" applyBorder="1"/>
    <xf numFmtId="0" fontId="1" fillId="4" borderId="5" xfId="2" applyFill="1" applyBorder="1" applyAlignment="1">
      <alignment wrapText="1"/>
    </xf>
    <xf numFmtId="0" fontId="1" fillId="4" borderId="13" xfId="2" applyFill="1" applyBorder="1" applyAlignment="1">
      <alignment wrapText="1"/>
    </xf>
    <xf numFmtId="0" fontId="1" fillId="4" borderId="0" xfId="2" applyFill="1"/>
    <xf numFmtId="0" fontId="1" fillId="4" borderId="0" xfId="2" applyFill="1" applyAlignment="1">
      <alignment wrapText="1"/>
    </xf>
    <xf numFmtId="0" fontId="1" fillId="4" borderId="6" xfId="2" applyFill="1" applyBorder="1" applyAlignment="1">
      <alignment wrapText="1"/>
    </xf>
    <xf numFmtId="0" fontId="3" fillId="4" borderId="0" xfId="2" applyFont="1" applyFill="1"/>
    <xf numFmtId="0" fontId="3" fillId="4" borderId="6" xfId="2" applyFont="1" applyFill="1" applyBorder="1" applyAlignment="1">
      <alignment wrapText="1"/>
    </xf>
    <xf numFmtId="0" fontId="3" fillId="4" borderId="0" xfId="2" applyFont="1" applyFill="1" applyAlignment="1">
      <alignment wrapText="1"/>
    </xf>
    <xf numFmtId="0" fontId="3" fillId="4" borderId="6" xfId="2" applyFont="1" applyFill="1" applyBorder="1"/>
    <xf numFmtId="0" fontId="3" fillId="2" borderId="2" xfId="2" applyFont="1" applyFill="1" applyBorder="1"/>
    <xf numFmtId="0" fontId="3" fillId="2" borderId="3" xfId="2" applyFont="1" applyFill="1" applyBorder="1"/>
    <xf numFmtId="0" fontId="3" fillId="2" borderId="4" xfId="2" applyFont="1" applyFill="1" applyBorder="1"/>
    <xf numFmtId="0" fontId="4" fillId="4" borderId="0" xfId="2" applyFont="1" applyFill="1"/>
    <xf numFmtId="0" fontId="3" fillId="5" borderId="4" xfId="2" applyFont="1" applyFill="1" applyBorder="1"/>
    <xf numFmtId="0" fontId="1" fillId="0" borderId="0" xfId="2" quotePrefix="1"/>
    <xf numFmtId="0" fontId="1" fillId="0" borderId="0" xfId="2" applyAlignment="1">
      <alignment horizontal="center" vertical="center"/>
    </xf>
    <xf numFmtId="1" fontId="3" fillId="6" borderId="1" xfId="1" applyNumberFormat="1" applyFont="1" applyFill="1" applyBorder="1" applyAlignment="1" applyProtection="1">
      <alignment horizontal="center"/>
      <protection locked="0"/>
    </xf>
    <xf numFmtId="2" fontId="3" fillId="3" borderId="2" xfId="2" applyNumberFormat="1" applyFont="1" applyFill="1" applyBorder="1"/>
    <xf numFmtId="165" fontId="3" fillId="3" borderId="2" xfId="2" applyNumberFormat="1" applyFont="1" applyFill="1" applyBorder="1"/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1" fillId="0" borderId="18" xfId="3" applyBorder="1" applyAlignment="1">
      <alignment horizontal="center" vertical="center"/>
    </xf>
    <xf numFmtId="166" fontId="5" fillId="0" borderId="0" xfId="4"/>
    <xf numFmtId="0" fontId="1" fillId="0" borderId="19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20" xfId="3" applyBorder="1" applyAlignment="1">
      <alignment horizontal="center" vertical="center"/>
    </xf>
    <xf numFmtId="0" fontId="6" fillId="0" borderId="0" xfId="3" applyFont="1" applyAlignment="1">
      <alignment horizontal="center" vertical="top"/>
    </xf>
    <xf numFmtId="0" fontId="1" fillId="0" borderId="0" xfId="3" applyAlignment="1">
      <alignment horizontal="center"/>
    </xf>
    <xf numFmtId="0" fontId="7" fillId="0" borderId="0" xfId="3" applyFont="1" applyAlignment="1">
      <alignment horizontal="center" vertical="top"/>
    </xf>
    <xf numFmtId="0" fontId="8" fillId="0" borderId="20" xfId="3" applyFont="1" applyBorder="1" applyAlignment="1">
      <alignment horizontal="center" vertical="top"/>
    </xf>
    <xf numFmtId="0" fontId="9" fillId="0" borderId="19" xfId="3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9" fillId="0" borderId="20" xfId="3" applyFont="1" applyBorder="1" applyAlignment="1">
      <alignment horizontal="center" vertical="center"/>
    </xf>
    <xf numFmtId="2" fontId="0" fillId="0" borderId="0" xfId="0" applyNumberFormat="1"/>
    <xf numFmtId="0" fontId="3" fillId="2" borderId="1" xfId="2" applyFont="1" applyFill="1" applyBorder="1"/>
    <xf numFmtId="0" fontId="2" fillId="5" borderId="9" xfId="2" applyFont="1" applyFill="1" applyBorder="1"/>
    <xf numFmtId="0" fontId="3" fillId="5" borderId="14" xfId="2" applyFont="1" applyFill="1" applyBorder="1"/>
    <xf numFmtId="164" fontId="3" fillId="3" borderId="2" xfId="2" applyNumberFormat="1" applyFont="1" applyFill="1" applyBorder="1"/>
    <xf numFmtId="0" fontId="0" fillId="0" borderId="0" xfId="0" quotePrefix="1"/>
    <xf numFmtId="0" fontId="3" fillId="0" borderId="1" xfId="2" applyFont="1" applyBorder="1"/>
    <xf numFmtId="0" fontId="14" fillId="4" borderId="0" xfId="2" applyFont="1" applyFill="1"/>
    <xf numFmtId="0" fontId="3" fillId="6" borderId="2" xfId="2" applyFont="1" applyFill="1" applyBorder="1" applyProtection="1">
      <protection locked="0"/>
    </xf>
    <xf numFmtId="0" fontId="3" fillId="6" borderId="3" xfId="2" applyFont="1" applyFill="1" applyBorder="1" applyProtection="1">
      <protection locked="0"/>
    </xf>
    <xf numFmtId="0" fontId="3" fillId="6" borderId="8" xfId="2" applyFont="1" applyFill="1" applyBorder="1" applyProtection="1">
      <protection locked="0"/>
    </xf>
    <xf numFmtId="0" fontId="3" fillId="6" borderId="5" xfId="2" applyFont="1" applyFill="1" applyBorder="1" applyProtection="1">
      <protection locked="0"/>
    </xf>
    <xf numFmtId="164" fontId="0" fillId="0" borderId="0" xfId="0" applyNumberFormat="1"/>
    <xf numFmtId="11" fontId="1" fillId="7" borderId="1" xfId="0" applyNumberFormat="1" applyFont="1" applyFill="1" applyBorder="1" applyAlignment="1">
      <alignment horizontal="center" vertical="center"/>
    </xf>
    <xf numFmtId="1" fontId="1" fillId="7" borderId="37" xfId="0" applyNumberFormat="1" applyFont="1" applyFill="1" applyBorder="1" applyAlignment="1">
      <alignment horizontal="center" vertical="center"/>
    </xf>
    <xf numFmtId="0" fontId="0" fillId="0" borderId="20" xfId="0" applyBorder="1"/>
    <xf numFmtId="0" fontId="0" fillId="2" borderId="0" xfId="0" applyFill="1"/>
    <xf numFmtId="0" fontId="0" fillId="8" borderId="0" xfId="0" applyFill="1"/>
    <xf numFmtId="0" fontId="3" fillId="5" borderId="1" xfId="2" applyFont="1" applyFill="1" applyBorder="1" applyAlignment="1">
      <alignment horizontal="left"/>
    </xf>
    <xf numFmtId="164" fontId="3" fillId="2" borderId="4" xfId="2" applyNumberFormat="1" applyFont="1" applyFill="1" applyBorder="1"/>
    <xf numFmtId="164" fontId="3" fillId="5" borderId="4" xfId="2" applyNumberFormat="1" applyFont="1" applyFill="1" applyBorder="1"/>
    <xf numFmtId="1" fontId="0" fillId="0" borderId="0" xfId="0" applyNumberFormat="1"/>
    <xf numFmtId="1" fontId="0" fillId="8" borderId="0" xfId="0" applyNumberFormat="1" applyFill="1"/>
    <xf numFmtId="1" fontId="0" fillId="2" borderId="0" xfId="0" applyNumberFormat="1" applyFill="1"/>
    <xf numFmtId="0" fontId="3" fillId="9" borderId="2" xfId="2" applyFont="1" applyFill="1" applyBorder="1" applyProtection="1">
      <protection locked="0"/>
    </xf>
    <xf numFmtId="0" fontId="3" fillId="9" borderId="3" xfId="2" applyFont="1" applyFill="1" applyBorder="1" applyProtection="1">
      <protection locked="0"/>
    </xf>
    <xf numFmtId="0" fontId="3" fillId="9" borderId="8" xfId="2" applyFont="1" applyFill="1" applyBorder="1" applyProtection="1">
      <protection locked="0"/>
    </xf>
    <xf numFmtId="0" fontId="3" fillId="9" borderId="5" xfId="2" applyFont="1" applyFill="1" applyBorder="1" applyProtection="1">
      <protection locked="0"/>
    </xf>
    <xf numFmtId="1" fontId="3" fillId="9" borderId="4" xfId="1" applyNumberFormat="1" applyFont="1" applyFill="1" applyBorder="1" applyAlignment="1" applyProtection="1">
      <alignment horizontal="center"/>
      <protection locked="0"/>
    </xf>
    <xf numFmtId="1" fontId="3" fillId="9" borderId="1" xfId="1" applyNumberFormat="1" applyFont="1" applyFill="1" applyBorder="1" applyAlignment="1" applyProtection="1">
      <alignment horizontal="center"/>
      <protection locked="0"/>
    </xf>
    <xf numFmtId="164" fontId="3" fillId="9" borderId="1" xfId="1" applyNumberFormat="1" applyFont="1" applyFill="1" applyBorder="1" applyAlignment="1" applyProtection="1">
      <alignment horizontal="center"/>
      <protection locked="0"/>
    </xf>
    <xf numFmtId="164" fontId="3" fillId="9" borderId="36" xfId="1" applyNumberFormat="1" applyFont="1" applyFill="1" applyBorder="1" applyAlignment="1" applyProtection="1">
      <alignment horizontal="center"/>
      <protection locked="0"/>
    </xf>
    <xf numFmtId="0" fontId="3" fillId="9" borderId="1" xfId="2" applyFont="1" applyFill="1" applyBorder="1"/>
    <xf numFmtId="0" fontId="1" fillId="9" borderId="1" xfId="2" applyFill="1" applyBorder="1" applyAlignment="1">
      <alignment horizontal="center" vertical="center"/>
    </xf>
    <xf numFmtId="164" fontId="3" fillId="9" borderId="1" xfId="1" applyNumberFormat="1" applyFont="1" applyFill="1" applyBorder="1" applyAlignment="1" applyProtection="1">
      <alignment horizontal="center" vertical="center"/>
      <protection locked="0"/>
    </xf>
    <xf numFmtId="0" fontId="3" fillId="10" borderId="2" xfId="2" applyFont="1" applyFill="1" applyBorder="1"/>
    <xf numFmtId="0" fontId="3" fillId="10" borderId="3" xfId="2" applyFont="1" applyFill="1" applyBorder="1"/>
    <xf numFmtId="0" fontId="3" fillId="10" borderId="4" xfId="2" applyFont="1" applyFill="1" applyBorder="1"/>
    <xf numFmtId="0" fontId="3" fillId="10" borderId="1" xfId="2" applyFont="1" applyFill="1" applyBorder="1"/>
    <xf numFmtId="0" fontId="3" fillId="10" borderId="1" xfId="2" applyFont="1" applyFill="1" applyBorder="1" applyAlignment="1">
      <alignment horizontal="left"/>
    </xf>
    <xf numFmtId="0" fontId="1" fillId="6" borderId="0" xfId="2" applyFill="1"/>
    <xf numFmtId="0" fontId="1" fillId="6" borderId="0" xfId="2" applyFill="1" applyAlignment="1">
      <alignment wrapText="1"/>
    </xf>
    <xf numFmtId="0" fontId="1" fillId="6" borderId="6" xfId="2" applyFill="1" applyBorder="1" applyAlignment="1">
      <alignment wrapText="1"/>
    </xf>
    <xf numFmtId="0" fontId="1" fillId="6" borderId="6" xfId="2" applyFill="1" applyBorder="1"/>
    <xf numFmtId="0" fontId="3" fillId="6" borderId="6" xfId="2" applyFont="1" applyFill="1" applyBorder="1"/>
    <xf numFmtId="0" fontId="2" fillId="10" borderId="9" xfId="2" applyFont="1" applyFill="1" applyBorder="1"/>
    <xf numFmtId="0" fontId="3" fillId="10" borderId="14" xfId="2" applyFont="1" applyFill="1" applyBorder="1"/>
    <xf numFmtId="164" fontId="3" fillId="0" borderId="2" xfId="2" applyNumberFormat="1" applyFont="1" applyBorder="1"/>
    <xf numFmtId="2" fontId="3" fillId="0" borderId="2" xfId="2" applyNumberFormat="1" applyFont="1" applyBorder="1"/>
    <xf numFmtId="165" fontId="3" fillId="0" borderId="2" xfId="2" applyNumberFormat="1" applyFont="1" applyBorder="1"/>
    <xf numFmtId="164" fontId="3" fillId="0" borderId="4" xfId="2" applyNumberFormat="1" applyFont="1" applyBorder="1"/>
    <xf numFmtId="0" fontId="3" fillId="6" borderId="6" xfId="2" applyFont="1" applyFill="1" applyBorder="1" applyAlignment="1">
      <alignment wrapText="1"/>
    </xf>
    <xf numFmtId="0" fontId="1" fillId="6" borderId="9" xfId="2" applyFill="1" applyBorder="1"/>
    <xf numFmtId="0" fontId="1" fillId="10" borderId="14" xfId="2" applyFill="1" applyBorder="1"/>
    <xf numFmtId="0" fontId="3" fillId="6" borderId="14" xfId="2" applyFont="1" applyFill="1" applyBorder="1"/>
    <xf numFmtId="0" fontId="1" fillId="6" borderId="7" xfId="2" applyFill="1" applyBorder="1"/>
    <xf numFmtId="0" fontId="3" fillId="6" borderId="0" xfId="2" applyFont="1" applyFill="1" applyAlignment="1">
      <alignment wrapText="1"/>
    </xf>
    <xf numFmtId="0" fontId="3" fillId="6" borderId="0" xfId="2" applyFont="1" applyFill="1"/>
    <xf numFmtId="0" fontId="3" fillId="10" borderId="7" xfId="2" applyFont="1" applyFill="1" applyBorder="1"/>
    <xf numFmtId="0" fontId="3" fillId="6" borderId="7" xfId="2" applyFont="1" applyFill="1" applyBorder="1" applyAlignment="1">
      <alignment wrapText="1"/>
    </xf>
    <xf numFmtId="0" fontId="3" fillId="10" borderId="0" xfId="2" applyFont="1" applyFill="1"/>
    <xf numFmtId="0" fontId="1" fillId="6" borderId="14" xfId="2" applyFill="1" applyBorder="1"/>
    <xf numFmtId="0" fontId="1" fillId="6" borderId="15" xfId="2" applyFill="1" applyBorder="1"/>
    <xf numFmtId="0" fontId="4" fillId="6" borderId="0" xfId="2" applyFont="1" applyFill="1"/>
    <xf numFmtId="0" fontId="14" fillId="6" borderId="0" xfId="2" applyFont="1" applyFill="1"/>
    <xf numFmtId="0" fontId="1" fillId="6" borderId="8" xfId="2" applyFill="1" applyBorder="1"/>
    <xf numFmtId="0" fontId="1" fillId="6" borderId="5" xfId="2" applyFill="1" applyBorder="1"/>
    <xf numFmtId="0" fontId="1" fillId="6" borderId="5" xfId="2" applyFill="1" applyBorder="1" applyAlignment="1">
      <alignment wrapText="1"/>
    </xf>
    <xf numFmtId="0" fontId="1" fillId="6" borderId="13" xfId="2" applyFill="1" applyBorder="1" applyAlignment="1">
      <alignment wrapText="1"/>
    </xf>
    <xf numFmtId="0" fontId="1" fillId="6" borderId="13" xfId="2" applyFill="1" applyBorder="1"/>
    <xf numFmtId="0" fontId="3" fillId="9" borderId="3" xfId="2" applyFont="1" applyFill="1" applyBorder="1"/>
    <xf numFmtId="0" fontId="1" fillId="10" borderId="1" xfId="2" applyFill="1" applyBorder="1"/>
    <xf numFmtId="0" fontId="3" fillId="10" borderId="14" xfId="2" applyFont="1" applyFill="1" applyBorder="1" applyAlignment="1">
      <alignment wrapText="1"/>
    </xf>
    <xf numFmtId="164" fontId="3" fillId="0" borderId="1" xfId="2" applyNumberFormat="1" applyFont="1" applyBorder="1"/>
    <xf numFmtId="2" fontId="3" fillId="0" borderId="1" xfId="2" applyNumberFormat="1" applyFont="1" applyBorder="1"/>
    <xf numFmtId="0" fontId="3" fillId="10" borderId="1" xfId="2" applyFont="1" applyFill="1" applyBorder="1" applyAlignment="1">
      <alignment wrapText="1"/>
    </xf>
    <xf numFmtId="164" fontId="3" fillId="6" borderId="1" xfId="1" applyNumberFormat="1" applyFont="1" applyFill="1" applyBorder="1" applyAlignment="1" applyProtection="1">
      <alignment horizontal="center"/>
      <protection locked="0"/>
    </xf>
    <xf numFmtId="2" fontId="3" fillId="5" borderId="4" xfId="2" applyNumberFormat="1" applyFont="1" applyFill="1" applyBorder="1"/>
    <xf numFmtId="2" fontId="3" fillId="2" borderId="4" xfId="2" applyNumberFormat="1" applyFont="1" applyFill="1" applyBorder="1"/>
    <xf numFmtId="2" fontId="3" fillId="0" borderId="4" xfId="2" applyNumberFormat="1" applyFont="1" applyBorder="1"/>
    <xf numFmtId="0" fontId="3" fillId="6" borderId="1" xfId="2" applyFont="1" applyFill="1" applyBorder="1"/>
    <xf numFmtId="0" fontId="9" fillId="0" borderId="16" xfId="3" applyFont="1" applyBorder="1" applyAlignment="1">
      <alignment horizontal="center" vertical="center" wrapText="1"/>
    </xf>
    <xf numFmtId="0" fontId="9" fillId="0" borderId="17" xfId="3" applyFont="1" applyBorder="1" applyAlignment="1">
      <alignment horizontal="center" vertical="center" wrapText="1"/>
    </xf>
    <xf numFmtId="0" fontId="9" fillId="0" borderId="18" xfId="3" applyFont="1" applyBorder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0" xfId="3" applyFont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9" fillId="0" borderId="22" xfId="3" applyFont="1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0" fontId="1" fillId="0" borderId="24" xfId="3" applyBorder="1" applyAlignment="1">
      <alignment horizontal="center" vertical="center"/>
    </xf>
    <xf numFmtId="0" fontId="1" fillId="0" borderId="25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0" borderId="27" xfId="3" applyBorder="1" applyAlignment="1">
      <alignment horizontal="center" vertical="center"/>
    </xf>
    <xf numFmtId="0" fontId="1" fillId="0" borderId="28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3" xfId="3" applyBorder="1" applyAlignment="1">
      <alignment horizontal="center" vertical="center"/>
    </xf>
    <xf numFmtId="0" fontId="1" fillId="0" borderId="30" xfId="3" applyBorder="1" applyAlignment="1">
      <alignment horizontal="center" vertical="center"/>
    </xf>
    <xf numFmtId="0" fontId="1" fillId="0" borderId="29" xfId="3" applyBorder="1" applyAlignment="1">
      <alignment horizontal="center" vertical="center"/>
    </xf>
    <xf numFmtId="0" fontId="1" fillId="0" borderId="4" xfId="3" applyBorder="1" applyAlignment="1">
      <alignment horizontal="center" vertical="center"/>
    </xf>
    <xf numFmtId="0" fontId="11" fillId="0" borderId="2" xfId="3" applyFont="1" applyBorder="1" applyAlignment="1">
      <alignment horizontal="center" vertical="center" wrapText="1"/>
    </xf>
    <xf numFmtId="0" fontId="11" fillId="0" borderId="3" xfId="3" applyFont="1" applyBorder="1" applyAlignment="1">
      <alignment horizontal="center" vertical="center" wrapText="1"/>
    </xf>
    <xf numFmtId="0" fontId="11" fillId="0" borderId="30" xfId="3" applyFont="1" applyBorder="1" applyAlignment="1">
      <alignment horizontal="center" vertical="center" wrapText="1"/>
    </xf>
    <xf numFmtId="0" fontId="11" fillId="0" borderId="29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/>
    </xf>
    <xf numFmtId="14" fontId="11" fillId="0" borderId="2" xfId="3" applyNumberFormat="1" applyFont="1" applyBorder="1" applyAlignment="1">
      <alignment horizontal="center" vertical="center"/>
    </xf>
    <xf numFmtId="14" fontId="11" fillId="0" borderId="3" xfId="3" applyNumberFormat="1" applyFont="1" applyBorder="1" applyAlignment="1">
      <alignment horizontal="center" vertical="center"/>
    </xf>
    <xf numFmtId="14" fontId="11" fillId="0" borderId="4" xfId="3" applyNumberFormat="1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 wrapText="1"/>
    </xf>
    <xf numFmtId="167" fontId="1" fillId="0" borderId="21" xfId="5" applyFont="1" applyBorder="1" applyAlignment="1">
      <alignment horizontal="right" vertical="center"/>
    </xf>
    <xf numFmtId="167" fontId="5" fillId="0" borderId="22" xfId="5" applyFont="1" applyBorder="1" applyAlignment="1">
      <alignment horizontal="right" vertical="center"/>
    </xf>
    <xf numFmtId="167" fontId="5" fillId="0" borderId="23" xfId="5" applyFont="1" applyBorder="1" applyAlignment="1">
      <alignment horizontal="right" vertical="center"/>
    </xf>
    <xf numFmtId="167" fontId="1" fillId="0" borderId="31" xfId="5" applyFont="1" applyBorder="1" applyAlignment="1">
      <alignment horizontal="center" vertical="center"/>
    </xf>
    <xf numFmtId="167" fontId="1" fillId="0" borderId="32" xfId="5" applyFont="1" applyBorder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2" fillId="0" borderId="34" xfId="3" applyFont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2" fillId="0" borderId="35" xfId="3" applyFont="1" applyBorder="1" applyAlignment="1">
      <alignment horizontal="center" vertical="center"/>
    </xf>
    <xf numFmtId="0" fontId="2" fillId="6" borderId="9" xfId="0" applyFont="1" applyFill="1" applyBorder="1" applyAlignment="1">
      <alignment horizontal="right" wrapText="1"/>
    </xf>
    <xf numFmtId="0" fontId="2" fillId="6" borderId="14" xfId="0" applyFont="1" applyFill="1" applyBorder="1" applyAlignment="1">
      <alignment horizontal="right" wrapText="1"/>
    </xf>
    <xf numFmtId="0" fontId="2" fillId="6" borderId="15" xfId="0" applyFont="1" applyFill="1" applyBorder="1" applyAlignment="1">
      <alignment horizontal="right" wrapText="1"/>
    </xf>
    <xf numFmtId="0" fontId="2" fillId="6" borderId="7" xfId="0" applyFont="1" applyFill="1" applyBorder="1" applyAlignment="1">
      <alignment horizontal="right" wrapText="1"/>
    </xf>
    <xf numFmtId="0" fontId="2" fillId="6" borderId="0" xfId="0" applyFont="1" applyFill="1" applyAlignment="1">
      <alignment horizontal="right" wrapText="1"/>
    </xf>
    <xf numFmtId="0" fontId="2" fillId="6" borderId="6" xfId="0" applyFont="1" applyFill="1" applyBorder="1" applyAlignment="1">
      <alignment horizontal="right" wrapText="1"/>
    </xf>
    <xf numFmtId="0" fontId="2" fillId="6" borderId="8" xfId="0" applyFont="1" applyFill="1" applyBorder="1" applyAlignment="1">
      <alignment horizontal="right" wrapText="1"/>
    </xf>
    <xf numFmtId="0" fontId="2" fillId="6" borderId="5" xfId="0" applyFont="1" applyFill="1" applyBorder="1" applyAlignment="1">
      <alignment horizontal="right" wrapText="1"/>
    </xf>
    <xf numFmtId="0" fontId="2" fillId="6" borderId="13" xfId="0" applyFont="1" applyFill="1" applyBorder="1" applyAlignment="1">
      <alignment horizontal="right" wrapText="1"/>
    </xf>
    <xf numFmtId="0" fontId="1" fillId="0" borderId="9" xfId="2" applyBorder="1" applyAlignment="1">
      <alignment horizontal="center"/>
    </xf>
    <xf numFmtId="0" fontId="1" fillId="0" borderId="14" xfId="2" applyBorder="1" applyAlignment="1">
      <alignment horizontal="center"/>
    </xf>
    <xf numFmtId="0" fontId="1" fillId="0" borderId="15" xfId="2" applyBorder="1" applyAlignment="1">
      <alignment horizontal="center"/>
    </xf>
    <xf numFmtId="0" fontId="1" fillId="0" borderId="7" xfId="2" applyBorder="1" applyAlignment="1">
      <alignment horizontal="center"/>
    </xf>
    <xf numFmtId="0" fontId="1" fillId="0" borderId="0" xfId="2" applyAlignment="1">
      <alignment horizontal="center"/>
    </xf>
    <xf numFmtId="0" fontId="1" fillId="0" borderId="6" xfId="2" applyBorder="1" applyAlignment="1">
      <alignment horizontal="center"/>
    </xf>
    <xf numFmtId="0" fontId="1" fillId="0" borderId="8" xfId="2" applyBorder="1" applyAlignment="1">
      <alignment horizontal="center"/>
    </xf>
    <xf numFmtId="0" fontId="1" fillId="0" borderId="5" xfId="2" applyBorder="1" applyAlignment="1">
      <alignment horizontal="center"/>
    </xf>
    <xf numFmtId="0" fontId="1" fillId="0" borderId="13" xfId="2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3" fillId="3" borderId="3" xfId="2" applyFont="1" applyFill="1" applyBorder="1" applyAlignment="1">
      <alignment horizontal="center"/>
    </xf>
    <xf numFmtId="0" fontId="3" fillId="3" borderId="4" xfId="2" applyFont="1" applyFill="1" applyBorder="1" applyAlignment="1">
      <alignment horizontal="center"/>
    </xf>
    <xf numFmtId="0" fontId="3" fillId="0" borderId="8" xfId="2" applyFont="1" applyBorder="1" applyAlignment="1">
      <alignment horizontal="center" vertical="top" wrapText="1"/>
    </xf>
    <xf numFmtId="0" fontId="3" fillId="0" borderId="5" xfId="2" applyFont="1" applyBorder="1" applyAlignment="1">
      <alignment horizontal="center" vertical="top" wrapText="1"/>
    </xf>
    <xf numFmtId="0" fontId="3" fillId="0" borderId="13" xfId="2" applyFont="1" applyBorder="1" applyAlignment="1">
      <alignment horizontal="center" vertical="top" wrapText="1"/>
    </xf>
    <xf numFmtId="0" fontId="2" fillId="10" borderId="2" xfId="2" applyFont="1" applyFill="1" applyBorder="1" applyAlignment="1">
      <alignment horizontal="center"/>
    </xf>
    <xf numFmtId="0" fontId="2" fillId="10" borderId="3" xfId="2" applyFont="1" applyFill="1" applyBorder="1" applyAlignment="1">
      <alignment horizontal="center"/>
    </xf>
    <xf numFmtId="0" fontId="2" fillId="10" borderId="4" xfId="2" applyFont="1" applyFill="1" applyBorder="1" applyAlignment="1">
      <alignment horizontal="center"/>
    </xf>
    <xf numFmtId="164" fontId="3" fillId="9" borderId="2" xfId="1" applyNumberFormat="1" applyFont="1" applyFill="1" applyBorder="1" applyAlignment="1" applyProtection="1">
      <alignment horizontal="center"/>
      <protection locked="0"/>
    </xf>
    <xf numFmtId="164" fontId="3" fillId="9" borderId="3" xfId="1" applyNumberFormat="1" applyFont="1" applyFill="1" applyBorder="1" applyAlignment="1" applyProtection="1">
      <alignment horizontal="center"/>
      <protection locked="0"/>
    </xf>
    <xf numFmtId="164" fontId="3" fillId="9" borderId="4" xfId="1" applyNumberFormat="1" applyFont="1" applyFill="1" applyBorder="1" applyAlignment="1" applyProtection="1">
      <alignment horizontal="center"/>
      <protection locked="0"/>
    </xf>
    <xf numFmtId="0" fontId="2" fillId="10" borderId="0" xfId="2" applyFont="1" applyFill="1" applyAlignment="1">
      <alignment horizontal="center"/>
    </xf>
    <xf numFmtId="0" fontId="2" fillId="10" borderId="6" xfId="2" applyFont="1" applyFill="1" applyBorder="1" applyAlignment="1">
      <alignment horizontal="center"/>
    </xf>
    <xf numFmtId="0" fontId="2" fillId="5" borderId="0" xfId="2" applyFont="1" applyFill="1" applyAlignment="1">
      <alignment horizontal="center"/>
    </xf>
    <xf numFmtId="0" fontId="2" fillId="5" borderId="6" xfId="2" applyFont="1" applyFill="1" applyBorder="1" applyAlignment="1">
      <alignment horizontal="center"/>
    </xf>
    <xf numFmtId="0" fontId="3" fillId="2" borderId="0" xfId="2" applyFont="1" applyFill="1" applyAlignment="1">
      <alignment horizontal="center"/>
    </xf>
    <xf numFmtId="0" fontId="3" fillId="2" borderId="6" xfId="2" applyFont="1" applyFill="1" applyBorder="1" applyAlignment="1">
      <alignment horizontal="center"/>
    </xf>
    <xf numFmtId="0" fontId="3" fillId="0" borderId="0" xfId="2" applyFont="1" applyAlignment="1">
      <alignment horizontal="center" vertical="top" wrapText="1"/>
    </xf>
    <xf numFmtId="0" fontId="3" fillId="0" borderId="6" xfId="2" applyFont="1" applyBorder="1" applyAlignment="1">
      <alignment horizontal="center" vertical="top" wrapText="1"/>
    </xf>
    <xf numFmtId="164" fontId="3" fillId="6" borderId="2" xfId="1" applyNumberFormat="1" applyFont="1" applyFill="1" applyBorder="1" applyAlignment="1" applyProtection="1">
      <alignment horizontal="center"/>
      <protection locked="0"/>
    </xf>
    <xf numFmtId="164" fontId="3" fillId="6" borderId="3" xfId="1" applyNumberFormat="1" applyFont="1" applyFill="1" applyBorder="1" applyAlignment="1" applyProtection="1">
      <alignment horizontal="center"/>
      <protection locked="0"/>
    </xf>
    <xf numFmtId="164" fontId="3" fillId="6" borderId="4" xfId="1" applyNumberFormat="1" applyFont="1" applyFill="1" applyBorder="1" applyAlignment="1" applyProtection="1">
      <alignment horizontal="center"/>
      <protection locked="0"/>
    </xf>
  </cellXfs>
  <cellStyles count="6">
    <cellStyle name="Normale" xfId="0" builtinId="0"/>
    <cellStyle name="Normale 2" xfId="2" xr:uid="{795928D0-5C76-4F0F-A20E-094B7972AE98}"/>
    <cellStyle name="Normale 3" xfId="4" xr:uid="{C011C091-F2B0-4EF2-B4A7-63FDBD1F912D}"/>
    <cellStyle name="Normale 4" xfId="3" xr:uid="{57B8244B-0C9E-478A-B498-3B3BB4B0A698}"/>
    <cellStyle name="Percentuale" xfId="1" builtinId="5"/>
    <cellStyle name="Valuta 2" xfId="5" xr:uid="{AF86A1FB-1D8C-4F3A-BB52-783ECB8E97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NPSH Recommended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861736516898013E-2"/>
          <c:y val="0.17171296296296296"/>
          <c:w val="0.68832606503752503"/>
          <c:h val="0.585679133858267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Input_Output!$E$23</c:f>
              <c:strCache>
                <c:ptCount val="1"/>
                <c:pt idx="0">
                  <c:v>NPSH3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Input_Output!$F$25:$F$30</c:f>
              <c:numCache>
                <c:formatCode>General</c:formatCode>
                <c:ptCount val="6"/>
                <c:pt idx="0">
                  <c:v>15900</c:v>
                </c:pt>
                <c:pt idx="1">
                  <c:v>26500</c:v>
                </c:pt>
                <c:pt idx="2">
                  <c:v>37100</c:v>
                </c:pt>
                <c:pt idx="3">
                  <c:v>53000</c:v>
                </c:pt>
                <c:pt idx="4">
                  <c:v>60949.999999999993</c:v>
                </c:pt>
                <c:pt idx="5">
                  <c:v>63600</c:v>
                </c:pt>
              </c:numCache>
            </c:numRef>
          </c:xVal>
          <c:yVal>
            <c:numRef>
              <c:f>Input_Output!$E$25:$E$30</c:f>
              <c:numCache>
                <c:formatCode>0.0</c:formatCode>
                <c:ptCount val="6"/>
                <c:pt idx="0" formatCode="General">
                  <c:v>11</c:v>
                </c:pt>
                <c:pt idx="1">
                  <c:v>10.5</c:v>
                </c:pt>
                <c:pt idx="2">
                  <c:v>10</c:v>
                </c:pt>
                <c:pt idx="3">
                  <c:v>10.6</c:v>
                </c:pt>
                <c:pt idx="4" formatCode="General">
                  <c:v>12.5</c:v>
                </c:pt>
                <c:pt idx="5" formatCode="General">
                  <c:v>13.5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8-47D5-9E29-FB6E5A031B12}"/>
            </c:ext>
          </c:extLst>
        </c:ser>
        <c:ser>
          <c:idx val="1"/>
          <c:order val="1"/>
          <c:tx>
            <c:v>NPSHav</c:v>
          </c:tx>
          <c:spPr>
            <a:ln w="28575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(Input_Output!$F$25,Input_Output!$F$30)</c:f>
              <c:numCache>
                <c:formatCode>General</c:formatCode>
                <c:ptCount val="2"/>
                <c:pt idx="0">
                  <c:v>15900</c:v>
                </c:pt>
                <c:pt idx="1">
                  <c:v>63600</c:v>
                </c:pt>
              </c:numCache>
            </c:numRef>
          </c:xVal>
          <c:yVal>
            <c:numRef>
              <c:f>(Input_Output!$E$17,Input_Output!$E$17)</c:f>
              <c:numCache>
                <c:formatCode>0.0</c:formatCode>
                <c:ptCount val="2"/>
                <c:pt idx="0">
                  <c:v>14.7</c:v>
                </c:pt>
                <c:pt idx="1">
                  <c:v>14.7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A8-47D5-9E29-FB6E5A031B12}"/>
            </c:ext>
          </c:extLst>
        </c:ser>
        <c:ser>
          <c:idx val="2"/>
          <c:order val="2"/>
          <c:tx>
            <c:v>NPSHR-min</c:v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Input_Output!$E$52:$E$57</c:f>
              <c:numCache>
                <c:formatCode>0.0</c:formatCode>
                <c:ptCount val="6"/>
                <c:pt idx="0">
                  <c:v>15900</c:v>
                </c:pt>
                <c:pt idx="1">
                  <c:v>26500</c:v>
                </c:pt>
                <c:pt idx="2">
                  <c:v>37100</c:v>
                </c:pt>
                <c:pt idx="3">
                  <c:v>53000</c:v>
                </c:pt>
                <c:pt idx="4">
                  <c:v>60949.999999999993</c:v>
                </c:pt>
                <c:pt idx="5">
                  <c:v>63600</c:v>
                </c:pt>
              </c:numCache>
            </c:numRef>
          </c:xVal>
          <c:yVal>
            <c:numRef>
              <c:f>Input_Output!$J$52:$J$57</c:f>
              <c:numCache>
                <c:formatCode>0.0</c:formatCode>
                <c:ptCount val="6"/>
                <c:pt idx="0">
                  <c:v>11.818771392092049</c:v>
                </c:pt>
                <c:pt idx="1">
                  <c:v>11.281554510633319</c:v>
                </c:pt>
                <c:pt idx="2">
                  <c:v>10.68230949341004</c:v>
                </c:pt>
                <c:pt idx="3">
                  <c:v>11.323248063014642</c:v>
                </c:pt>
                <c:pt idx="4">
                  <c:v>14.374999999999998</c:v>
                </c:pt>
                <c:pt idx="5">
                  <c:v>14.850000000000001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8-47D5-9E29-FB6E5A031B12}"/>
            </c:ext>
          </c:extLst>
        </c:ser>
        <c:ser>
          <c:idx val="3"/>
          <c:order val="3"/>
          <c:tx>
            <c:v>NPSHR-max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Input_Output!$E$52:$E$57</c:f>
              <c:numCache>
                <c:formatCode>0.0</c:formatCode>
                <c:ptCount val="6"/>
                <c:pt idx="0">
                  <c:v>15900</c:v>
                </c:pt>
                <c:pt idx="1">
                  <c:v>26500</c:v>
                </c:pt>
                <c:pt idx="2">
                  <c:v>37100</c:v>
                </c:pt>
                <c:pt idx="3">
                  <c:v>53000</c:v>
                </c:pt>
                <c:pt idx="4">
                  <c:v>60949.999999999993</c:v>
                </c:pt>
                <c:pt idx="5">
                  <c:v>63600</c:v>
                </c:pt>
              </c:numCache>
            </c:numRef>
          </c:xVal>
          <c:yVal>
            <c:numRef>
              <c:f>Input_Output!$K$52:$K$57</c:f>
              <c:numCache>
                <c:formatCode>0.0</c:formatCode>
                <c:ptCount val="6"/>
                <c:pt idx="0">
                  <c:v>15.287454032258069</c:v>
                </c:pt>
                <c:pt idx="1">
                  <c:v>14.592569758064521</c:v>
                </c:pt>
                <c:pt idx="2">
                  <c:v>13.897685483870973</c:v>
                </c:pt>
                <c:pt idx="3">
                  <c:v>14.73154661290323</c:v>
                </c:pt>
                <c:pt idx="4">
                  <c:v>14.374999999999998</c:v>
                </c:pt>
                <c:pt idx="5">
                  <c:v>14.850000000000001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A8-47D5-9E29-FB6E5A031B12}"/>
            </c:ext>
          </c:extLst>
        </c:ser>
        <c:ser>
          <c:idx val="4"/>
          <c:order val="4"/>
          <c:tx>
            <c:v>NPSHR-proposed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Input_Output!$E$52:$E$57</c:f>
              <c:numCache>
                <c:formatCode>0.0</c:formatCode>
                <c:ptCount val="6"/>
                <c:pt idx="0">
                  <c:v>15900</c:v>
                </c:pt>
                <c:pt idx="1">
                  <c:v>26500</c:v>
                </c:pt>
                <c:pt idx="2">
                  <c:v>37100</c:v>
                </c:pt>
                <c:pt idx="3">
                  <c:v>53000</c:v>
                </c:pt>
                <c:pt idx="4">
                  <c:v>60949.999999999993</c:v>
                </c:pt>
                <c:pt idx="5">
                  <c:v>63600</c:v>
                </c:pt>
              </c:numCache>
            </c:numRef>
          </c:xVal>
          <c:yVal>
            <c:numRef>
              <c:f>Input_Output!$L$52:$L$57</c:f>
              <c:numCache>
                <c:formatCode>0.0</c:formatCode>
                <c:ptCount val="6"/>
                <c:pt idx="0">
                  <c:v>13.553112712175059</c:v>
                </c:pt>
                <c:pt idx="1">
                  <c:v>12.93706213434892</c:v>
                </c:pt>
                <c:pt idx="2">
                  <c:v>12.289997488640505</c:v>
                </c:pt>
                <c:pt idx="3">
                  <c:v>13.027397337958936</c:v>
                </c:pt>
                <c:pt idx="4">
                  <c:v>14.374999999999998</c:v>
                </c:pt>
                <c:pt idx="5">
                  <c:v>14.850000000000001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A8-47D5-9E29-FB6E5A03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09711"/>
        <c:axId val="1066108639"/>
      </c:scatterChart>
      <c:valAx>
        <c:axId val="75350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66108639"/>
        <c:crosses val="autoZero"/>
        <c:crossBetween val="midCat"/>
      </c:valAx>
      <c:valAx>
        <c:axId val="106610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NPSH </a:t>
                </a:r>
              </a:p>
            </c:rich>
          </c:tx>
          <c:layout>
            <c:manualLayout>
              <c:xMode val="edge"/>
              <c:yMode val="edge"/>
              <c:x val="1.14853887608194E-4"/>
              <c:y val="0.329783829104695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350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20312021966865"/>
          <c:y val="0.18000400991542723"/>
          <c:w val="0.21879691973312818"/>
          <c:h val="0.58645013123359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NPSH</a:t>
            </a:r>
            <a:r>
              <a:rPr lang="en-US" baseline="0"/>
              <a:t> Recommended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Metric_Conversion!$D$25:$D$30</c:f>
              <c:numCache>
                <c:formatCode>General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  <c:pt idx="3">
                  <c:v>1</c:v>
                </c:pt>
                <c:pt idx="4">
                  <c:v>1.1499999999999999</c:v>
                </c:pt>
                <c:pt idx="5">
                  <c:v>1.2</c:v>
                </c:pt>
              </c:numCache>
            </c:numRef>
          </c:xVal>
          <c:yVal>
            <c:numRef>
              <c:f>Metric_Conversion!$E$25:$E$30</c:f>
              <c:numCache>
                <c:formatCode>0</c:formatCode>
                <c:ptCount val="6"/>
                <c:pt idx="0">
                  <c:v>11</c:v>
                </c:pt>
                <c:pt idx="1">
                  <c:v>10.5</c:v>
                </c:pt>
                <c:pt idx="2">
                  <c:v>10</c:v>
                </c:pt>
                <c:pt idx="3">
                  <c:v>10.6</c:v>
                </c:pt>
                <c:pt idx="4" formatCode="0.0">
                  <c:v>12.5</c:v>
                </c:pt>
                <c:pt idx="5">
                  <c:v>13.5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CF-45BC-BDB5-94F4069DB37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(Metric_Conversion!$D$25,Metric_Conversion!$D$30)</c:f>
              <c:numCache>
                <c:formatCode>General</c:formatCode>
                <c:ptCount val="2"/>
                <c:pt idx="0">
                  <c:v>0.3</c:v>
                </c:pt>
                <c:pt idx="1">
                  <c:v>1.2</c:v>
                </c:pt>
              </c:numCache>
            </c:numRef>
          </c:xVal>
          <c:yVal>
            <c:numRef>
              <c:f>(Metric_Conversion!$E$17,Metric_Conversion!$E$17)</c:f>
              <c:numCache>
                <c:formatCode>0</c:formatCode>
                <c:ptCount val="2"/>
                <c:pt idx="0">
                  <c:v>14.7</c:v>
                </c:pt>
                <c:pt idx="1">
                  <c:v>14.7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CF-45BC-BDB5-94F4069DB373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Metric_Conversion!$E$52:$E$57</c:f>
              <c:numCache>
                <c:formatCode>0.0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  <c:pt idx="3">
                  <c:v>1</c:v>
                </c:pt>
                <c:pt idx="4" formatCode="0.00">
                  <c:v>1.1499999999999999</c:v>
                </c:pt>
                <c:pt idx="5">
                  <c:v>1.2</c:v>
                </c:pt>
              </c:numCache>
            </c:numRef>
          </c:xVal>
          <c:yVal>
            <c:numRef>
              <c:f>Metric_Conversion!$J$52:$J$57</c:f>
              <c:numCache>
                <c:formatCode>0.0</c:formatCode>
                <c:ptCount val="6"/>
                <c:pt idx="0">
                  <c:v>11.818771392092049</c:v>
                </c:pt>
                <c:pt idx="1">
                  <c:v>11.281554510633319</c:v>
                </c:pt>
                <c:pt idx="2">
                  <c:v>10.68230949341004</c:v>
                </c:pt>
                <c:pt idx="3">
                  <c:v>11.323248063014642</c:v>
                </c:pt>
                <c:pt idx="4">
                  <c:v>14.374999999999998</c:v>
                </c:pt>
                <c:pt idx="5">
                  <c:v>14.850000000000001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CF-45BC-BDB5-94F4069DB373}"/>
            </c:ext>
          </c:extLst>
        </c:ser>
        <c:ser>
          <c:idx val="3"/>
          <c:order val="3"/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Metric_Conversion!$E$52:$E$57</c:f>
              <c:numCache>
                <c:formatCode>0.0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  <c:pt idx="3">
                  <c:v>1</c:v>
                </c:pt>
                <c:pt idx="4" formatCode="0.00">
                  <c:v>1.1499999999999999</c:v>
                </c:pt>
                <c:pt idx="5">
                  <c:v>1.2</c:v>
                </c:pt>
              </c:numCache>
            </c:numRef>
          </c:xVal>
          <c:yVal>
            <c:numRef>
              <c:f>Metric_Conversion!$K$52:$K$57</c:f>
              <c:numCache>
                <c:formatCode>0.0</c:formatCode>
                <c:ptCount val="6"/>
                <c:pt idx="0">
                  <c:v>15.287454032258069</c:v>
                </c:pt>
                <c:pt idx="1">
                  <c:v>14.592569758064521</c:v>
                </c:pt>
                <c:pt idx="2">
                  <c:v>13.897685483870973</c:v>
                </c:pt>
                <c:pt idx="3">
                  <c:v>14.73154661290323</c:v>
                </c:pt>
                <c:pt idx="4">
                  <c:v>14.374999999999998</c:v>
                </c:pt>
                <c:pt idx="5">
                  <c:v>14.850000000000001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CF-45BC-BDB5-94F4069DB373}"/>
            </c:ext>
          </c:extLst>
        </c:ser>
        <c:ser>
          <c:idx val="4"/>
          <c:order val="4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Metric_Conversion!$E$52:$E$57</c:f>
              <c:numCache>
                <c:formatCode>0.0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  <c:pt idx="3">
                  <c:v>1</c:v>
                </c:pt>
                <c:pt idx="4" formatCode="0.00">
                  <c:v>1.1499999999999999</c:v>
                </c:pt>
                <c:pt idx="5">
                  <c:v>1.2</c:v>
                </c:pt>
              </c:numCache>
            </c:numRef>
          </c:xVal>
          <c:yVal>
            <c:numRef>
              <c:f>Metric_Conversion!$L$52:$L$57</c:f>
              <c:numCache>
                <c:formatCode>0.0</c:formatCode>
                <c:ptCount val="6"/>
                <c:pt idx="0">
                  <c:v>13.553112712175059</c:v>
                </c:pt>
                <c:pt idx="1">
                  <c:v>12.93706213434892</c:v>
                </c:pt>
                <c:pt idx="2">
                  <c:v>12.289997488640505</c:v>
                </c:pt>
                <c:pt idx="3">
                  <c:v>13.027397337958936</c:v>
                </c:pt>
                <c:pt idx="4">
                  <c:v>14.374999999999998</c:v>
                </c:pt>
                <c:pt idx="5">
                  <c:v>14.850000000000001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CF-45BC-BDB5-94F4069DB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09711"/>
        <c:axId val="1066108639"/>
      </c:scatterChart>
      <c:valAx>
        <c:axId val="75350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66108639"/>
        <c:crosses val="autoZero"/>
        <c:crossBetween val="midCat"/>
      </c:valAx>
      <c:valAx>
        <c:axId val="106610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350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7682986995046674E-2"/>
          <c:y val="0.12583545377438507"/>
          <c:w val="0.83358685427479473"/>
          <c:h val="0.7517781651339383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handbook Table C.8.1'!$O$30:$O$35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xVal>
          <c:yVal>
            <c:numRef>
              <c:f>'TMP handbook Table C.8.1'!$P$30:$P$35</c:f>
              <c:numCache>
                <c:formatCode>General</c:formatCode>
                <c:ptCount val="6"/>
                <c:pt idx="0">
                  <c:v>1.54</c:v>
                </c:pt>
                <c:pt idx="1">
                  <c:v>1.69</c:v>
                </c:pt>
                <c:pt idx="2">
                  <c:v>1.86</c:v>
                </c:pt>
                <c:pt idx="3">
                  <c:v>1.98</c:v>
                </c:pt>
                <c:pt idx="4">
                  <c:v>2.06</c:v>
                </c:pt>
                <c:pt idx="5">
                  <c:v>2.12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20-4D0A-A2C7-B8EF1391F08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handbook Table C.8.1'!$O$30:$O$35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xVal>
          <c:yVal>
            <c:numRef>
              <c:f>'TMP handbook Table C.8.1'!$Q$30:$Q$35</c:f>
              <c:numCache>
                <c:formatCode>General</c:formatCode>
                <c:ptCount val="6"/>
                <c:pt idx="0">
                  <c:v>1.25</c:v>
                </c:pt>
                <c:pt idx="1">
                  <c:v>1.38</c:v>
                </c:pt>
                <c:pt idx="2">
                  <c:v>1.53</c:v>
                </c:pt>
                <c:pt idx="3">
                  <c:v>1.65</c:v>
                </c:pt>
                <c:pt idx="4">
                  <c:v>1.72</c:v>
                </c:pt>
                <c:pt idx="5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20-4D0A-A2C7-B8EF1391F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33488"/>
        <c:axId val="694561200"/>
      </c:scatterChart>
      <c:valAx>
        <c:axId val="511233488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4561200"/>
        <c:crosses val="autoZero"/>
        <c:crossBetween val="midCat"/>
      </c:valAx>
      <c:valAx>
        <c:axId val="694561200"/>
        <c:scaling>
          <c:orientation val="minMax"/>
          <c:max val="2.200000000000000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3348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1324292010343E-2"/>
          <c:y val="7.1814119749776584E-2"/>
          <c:w val="0.9060143948864311"/>
          <c:h val="0.7634910247479118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special'!$Q$49:$Q$54</c:f>
              <c:numCache>
                <c:formatCode>General</c:formatCode>
                <c:ptCount val="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</c:numCache>
            </c:numRef>
          </c:xVal>
          <c:yVal>
            <c:numRef>
              <c:f>'TMP special'!$R$49:$R$54</c:f>
              <c:numCache>
                <c:formatCode>General</c:formatCode>
                <c:ptCount val="6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1.35</c:v>
                </c:pt>
                <c:pt idx="4">
                  <c:v>1.1000000000000001</c:v>
                </c:pt>
                <c:pt idx="5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4-4B75-AC7C-EB389C1BFD7C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special'!$Q$49:$Q$54</c:f>
              <c:numCache>
                <c:formatCode>General</c:formatCode>
                <c:ptCount val="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</c:numCache>
            </c:numRef>
          </c:xVal>
          <c:yVal>
            <c:numRef>
              <c:f>'TMP special'!$S$49:$S$54</c:f>
              <c:numCache>
                <c:formatCode>General</c:formatCode>
                <c:ptCount val="6"/>
                <c:pt idx="0">
                  <c:v>2</c:v>
                </c:pt>
                <c:pt idx="1">
                  <c:v>2.0699999999999998</c:v>
                </c:pt>
                <c:pt idx="2">
                  <c:v>1.98</c:v>
                </c:pt>
                <c:pt idx="3">
                  <c:v>1.48</c:v>
                </c:pt>
                <c:pt idx="4">
                  <c:v>1.2</c:v>
                </c:pt>
                <c:pt idx="5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E4-4B75-AC7C-EB389C1B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128432"/>
        <c:axId val="697538208"/>
      </c:scatterChart>
      <c:valAx>
        <c:axId val="1173128432"/>
        <c:scaling>
          <c:orientation val="minMax"/>
          <c:max val="1.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538208"/>
        <c:crosses val="autoZero"/>
        <c:crossBetween val="midCat"/>
        <c:majorUnit val="0.25"/>
      </c:valAx>
      <c:valAx>
        <c:axId val="697538208"/>
        <c:scaling>
          <c:orientation val="minMax"/>
          <c:max val="2.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31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105551826983115"/>
          <c:y val="0.10041108132260947"/>
          <c:w val="0.86628316862694277"/>
          <c:h val="0.76349102474791186"/>
        </c:manualLayout>
      </c:layout>
      <c:scatterChart>
        <c:scatterStyle val="smoothMarker"/>
        <c:varyColors val="0"/>
        <c:ser>
          <c:idx val="0"/>
          <c:order val="0"/>
          <c:tx>
            <c:v>vertical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special'!$Q$49:$Q$54</c:f>
              <c:numCache>
                <c:formatCode>General</c:formatCode>
                <c:ptCount val="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</c:numCache>
            </c:numRef>
          </c:xVal>
          <c:yVal>
            <c:numRef>
              <c:f>'TMP special'!$R$49:$R$54</c:f>
              <c:numCache>
                <c:formatCode>General</c:formatCode>
                <c:ptCount val="6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1.35</c:v>
                </c:pt>
                <c:pt idx="4">
                  <c:v>1.1000000000000001</c:v>
                </c:pt>
                <c:pt idx="5">
                  <c:v>1.1000000000000001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77-42E7-B64C-13FEF66403B6}"/>
            </c:ext>
          </c:extLst>
        </c:ser>
        <c:ser>
          <c:idx val="1"/>
          <c:order val="1"/>
          <c:tx>
            <c:v>horizontal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2.6138353163175931E-2"/>
                  <c:y val="-0.577851468966626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special'!$Q$49:$Q$54</c:f>
              <c:numCache>
                <c:formatCode>General</c:formatCode>
                <c:ptCount val="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</c:numCache>
            </c:numRef>
          </c:xVal>
          <c:yVal>
            <c:numRef>
              <c:f>'TMP special'!$S$49:$S$54</c:f>
              <c:numCache>
                <c:formatCode>General</c:formatCode>
                <c:ptCount val="6"/>
                <c:pt idx="0">
                  <c:v>2</c:v>
                </c:pt>
                <c:pt idx="1">
                  <c:v>2.0699999999999998</c:v>
                </c:pt>
                <c:pt idx="2">
                  <c:v>1.98</c:v>
                </c:pt>
                <c:pt idx="3">
                  <c:v>1.48</c:v>
                </c:pt>
                <c:pt idx="4">
                  <c:v>1.2</c:v>
                </c:pt>
                <c:pt idx="5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77-42E7-B64C-13FEF66403B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'TMP special'!$AE$45:$AE$50</c:f>
              <c:numCache>
                <c:formatCode>General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  <c:pt idx="3">
                  <c:v>1</c:v>
                </c:pt>
                <c:pt idx="4">
                  <c:v>1.1499999999999999</c:v>
                </c:pt>
                <c:pt idx="5">
                  <c:v>1.2</c:v>
                </c:pt>
              </c:numCache>
            </c:numRef>
          </c:xVal>
          <c:yVal>
            <c:numRef>
              <c:f>'TMP special'!$AF$45:$AF$50</c:f>
              <c:numCache>
                <c:formatCode>0.00</c:formatCode>
                <c:ptCount val="6"/>
                <c:pt idx="0">
                  <c:v>1.5</c:v>
                </c:pt>
                <c:pt idx="1">
                  <c:v>1.5166666666666666</c:v>
                </c:pt>
                <c:pt idx="2">
                  <c:v>1.3566666666666667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77-42E7-B64C-13FEF66403B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'TMP special'!$AE$45:$AE$50</c:f>
              <c:numCache>
                <c:formatCode>General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  <c:pt idx="3">
                  <c:v>1</c:v>
                </c:pt>
                <c:pt idx="4">
                  <c:v>1.1499999999999999</c:v>
                </c:pt>
                <c:pt idx="5">
                  <c:v>1.2</c:v>
                </c:pt>
              </c:numCache>
            </c:numRef>
          </c:xVal>
          <c:yVal>
            <c:numRef>
              <c:f>'TMP special'!$AG$45:$AG$50</c:f>
              <c:numCache>
                <c:formatCode>0.00</c:formatCode>
                <c:ptCount val="6"/>
                <c:pt idx="0">
                  <c:v>2.0935441163622199</c:v>
                </c:pt>
                <c:pt idx="1">
                  <c:v>1.9800000004374998</c:v>
                </c:pt>
                <c:pt idx="2">
                  <c:v>1.5844375657799779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677-42E7-B64C-13FEF6640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128432"/>
        <c:axId val="697538208"/>
      </c:scatterChart>
      <c:valAx>
        <c:axId val="1173128432"/>
        <c:scaling>
          <c:orientation val="minMax"/>
          <c:max val="1.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Q/Qbep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538208"/>
        <c:crosses val="autoZero"/>
        <c:crossBetween val="midCat"/>
        <c:majorUnit val="0.25"/>
      </c:valAx>
      <c:valAx>
        <c:axId val="697538208"/>
        <c:scaling>
          <c:orientation val="minMax"/>
          <c:max val="2.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3128432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258563777186072"/>
          <c:y val="0.48694508644136869"/>
          <c:w val="0.36502164786326952"/>
          <c:h val="8.36437081052600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7650527880819109E-2"/>
          <c:y val="7.8899371069182392E-2"/>
          <c:w val="0.87466699927137925"/>
          <c:h val="0.7793604219283911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special'!$Q$65:$Q$76</c:f>
              <c:numCache>
                <c:formatCode>General</c:formatCode>
                <c:ptCount val="12"/>
                <c:pt idx="0">
                  <c:v>1.8</c:v>
                </c:pt>
                <c:pt idx="1">
                  <c:v>1.32</c:v>
                </c:pt>
                <c:pt idx="2">
                  <c:v>1.2</c:v>
                </c:pt>
                <c:pt idx="3">
                  <c:v>1.1000000000000001</c:v>
                </c:pt>
                <c:pt idx="4">
                  <c:v>1.08</c:v>
                </c:pt>
                <c:pt idx="5">
                  <c:v>1.08</c:v>
                </c:pt>
                <c:pt idx="6">
                  <c:v>1.1000000000000001</c:v>
                </c:pt>
                <c:pt idx="7">
                  <c:v>1.18</c:v>
                </c:pt>
                <c:pt idx="8">
                  <c:v>1.33</c:v>
                </c:pt>
                <c:pt idx="9">
                  <c:v>1.46</c:v>
                </c:pt>
                <c:pt idx="10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D9-4367-BFD1-B733B9E8772A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special'!$R$65:$R$76</c:f>
              <c:numCache>
                <c:formatCode>General</c:formatCode>
                <c:ptCount val="12"/>
                <c:pt idx="0">
                  <c:v>1.8</c:v>
                </c:pt>
                <c:pt idx="1">
                  <c:v>1.32</c:v>
                </c:pt>
                <c:pt idx="2">
                  <c:v>1.2</c:v>
                </c:pt>
                <c:pt idx="3">
                  <c:v>1.1000000000000001</c:v>
                </c:pt>
                <c:pt idx="4">
                  <c:v>1.08</c:v>
                </c:pt>
                <c:pt idx="5">
                  <c:v>1.08</c:v>
                </c:pt>
                <c:pt idx="6">
                  <c:v>1.1000000000000001</c:v>
                </c:pt>
                <c:pt idx="7">
                  <c:v>1.17</c:v>
                </c:pt>
                <c:pt idx="8">
                  <c:v>1.29</c:v>
                </c:pt>
                <c:pt idx="9">
                  <c:v>1.37</c:v>
                </c:pt>
                <c:pt idx="10">
                  <c:v>1.5</c:v>
                </c:pt>
                <c:pt idx="11">
                  <c:v>1.63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D9-4367-BFD1-B733B9E8772A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special'!$S$65:$S$76</c:f>
              <c:numCache>
                <c:formatCode>General</c:formatCode>
                <c:ptCount val="12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1.06</c:v>
                </c:pt>
                <c:pt idx="7">
                  <c:v>1.08</c:v>
                </c:pt>
                <c:pt idx="8">
                  <c:v>1.1000000000000001</c:v>
                </c:pt>
                <c:pt idx="9">
                  <c:v>1.1200000000000001</c:v>
                </c:pt>
                <c:pt idx="10">
                  <c:v>1.18</c:v>
                </c:pt>
                <c:pt idx="11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D9-4367-BFD1-B733B9E87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130352"/>
        <c:axId val="1195017200"/>
      </c:scatterChart>
      <c:valAx>
        <c:axId val="1173130352"/>
        <c:scaling>
          <c:logBase val="10"/>
          <c:orientation val="minMax"/>
          <c:max val="1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95017200"/>
        <c:crosses val="autoZero"/>
        <c:crossBetween val="midCat"/>
      </c:valAx>
      <c:valAx>
        <c:axId val="1195017200"/>
        <c:scaling>
          <c:orientation val="minMax"/>
          <c:max val="1.8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3130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7650527880819109E-2"/>
          <c:y val="7.8899371069182392E-2"/>
          <c:w val="0.87466699927137925"/>
          <c:h val="0.7793604219283911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special'!$Q$65:$Q$76</c:f>
              <c:numCache>
                <c:formatCode>General</c:formatCode>
                <c:ptCount val="12"/>
                <c:pt idx="0">
                  <c:v>1.8</c:v>
                </c:pt>
                <c:pt idx="1">
                  <c:v>1.32</c:v>
                </c:pt>
                <c:pt idx="2">
                  <c:v>1.2</c:v>
                </c:pt>
                <c:pt idx="3">
                  <c:v>1.1000000000000001</c:v>
                </c:pt>
                <c:pt idx="4">
                  <c:v>1.08</c:v>
                </c:pt>
                <c:pt idx="5">
                  <c:v>1.08</c:v>
                </c:pt>
                <c:pt idx="6">
                  <c:v>1.1000000000000001</c:v>
                </c:pt>
                <c:pt idx="7">
                  <c:v>1.18</c:v>
                </c:pt>
                <c:pt idx="8">
                  <c:v>1.33</c:v>
                </c:pt>
                <c:pt idx="9">
                  <c:v>1.46</c:v>
                </c:pt>
                <c:pt idx="10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8F-4F4E-B93C-042E1C2BF9A3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special'!$R$65:$R$76</c:f>
              <c:numCache>
                <c:formatCode>General</c:formatCode>
                <c:ptCount val="12"/>
                <c:pt idx="0">
                  <c:v>1.8</c:v>
                </c:pt>
                <c:pt idx="1">
                  <c:v>1.32</c:v>
                </c:pt>
                <c:pt idx="2">
                  <c:v>1.2</c:v>
                </c:pt>
                <c:pt idx="3">
                  <c:v>1.1000000000000001</c:v>
                </c:pt>
                <c:pt idx="4">
                  <c:v>1.08</c:v>
                </c:pt>
                <c:pt idx="5">
                  <c:v>1.08</c:v>
                </c:pt>
                <c:pt idx="6">
                  <c:v>1.1000000000000001</c:v>
                </c:pt>
                <c:pt idx="7">
                  <c:v>1.17</c:v>
                </c:pt>
                <c:pt idx="8">
                  <c:v>1.29</c:v>
                </c:pt>
                <c:pt idx="9">
                  <c:v>1.37</c:v>
                </c:pt>
                <c:pt idx="10">
                  <c:v>1.5</c:v>
                </c:pt>
                <c:pt idx="11">
                  <c:v>1.63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8F-4F4E-B93C-042E1C2BF9A3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special'!$S$65:$S$76</c:f>
              <c:numCache>
                <c:formatCode>General</c:formatCode>
                <c:ptCount val="12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1.06</c:v>
                </c:pt>
                <c:pt idx="7">
                  <c:v>1.08</c:v>
                </c:pt>
                <c:pt idx="8">
                  <c:v>1.1000000000000001</c:v>
                </c:pt>
                <c:pt idx="9">
                  <c:v>1.1200000000000001</c:v>
                </c:pt>
                <c:pt idx="10">
                  <c:v>1.18</c:v>
                </c:pt>
                <c:pt idx="11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8F-4F4E-B93C-042E1C2BF9A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'TMP special'!$R$17:$R$22</c:f>
              <c:numCache>
                <c:formatCode>0</c:formatCode>
                <c:ptCount val="6"/>
                <c:pt idx="0">
                  <c:v>11</c:v>
                </c:pt>
                <c:pt idx="1">
                  <c:v>10.5</c:v>
                </c:pt>
                <c:pt idx="2">
                  <c:v>10</c:v>
                </c:pt>
                <c:pt idx="3">
                  <c:v>10.6</c:v>
                </c:pt>
                <c:pt idx="4">
                  <c:v>12.5</c:v>
                </c:pt>
                <c:pt idx="5">
                  <c:v>13.5</c:v>
                </c:pt>
              </c:numCache>
            </c:numRef>
          </c:xVal>
          <c:yVal>
            <c:numRef>
              <c:f>'TMP special'!$T$17:$T$22</c:f>
              <c:numCache>
                <c:formatCode>0.00</c:formatCode>
                <c:ptCount val="6"/>
                <c:pt idx="0">
                  <c:v>1.0788284339755183</c:v>
                </c:pt>
                <c:pt idx="1">
                  <c:v>1.0775018645644878</c:v>
                </c:pt>
                <c:pt idx="2">
                  <c:v>1.0761538026275816</c:v>
                </c:pt>
                <c:pt idx="3">
                  <c:v>1.0777688412836519</c:v>
                </c:pt>
                <c:pt idx="4">
                  <c:v>1.082695177163487</c:v>
                </c:pt>
                <c:pt idx="5">
                  <c:v>1.085192158585071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68F-4F4E-B93C-042E1C2BF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130352"/>
        <c:axId val="1195017200"/>
      </c:scatterChart>
      <c:valAx>
        <c:axId val="1173130352"/>
        <c:scaling>
          <c:logBase val="10"/>
          <c:orientation val="minMax"/>
          <c:max val="1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NPSH3%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95017200"/>
        <c:crosses val="autoZero"/>
        <c:crossBetween val="midCat"/>
      </c:valAx>
      <c:valAx>
        <c:axId val="1195017200"/>
        <c:scaling>
          <c:orientation val="minMax"/>
          <c:max val="1.8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3130352"/>
        <c:crossesAt val="0.1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039201491340266"/>
          <c:y val="0.2016505719803893"/>
          <c:w val="0.3776185718225763"/>
          <c:h val="7.9505856820900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195361898941833"/>
          <c:y val="0.18915824915824919"/>
          <c:w val="0.65525708678096184"/>
          <c:h val="0.5005832604257801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special'!$U$86:$U$94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500</c:v>
                </c:pt>
              </c:numCache>
            </c:numRef>
          </c:xVal>
          <c:yVal>
            <c:numRef>
              <c:f>'TMP special'!$V$86:$V$94</c:f>
              <c:numCache>
                <c:formatCode>General</c:formatCode>
                <c:ptCount val="9"/>
                <c:pt idx="0">
                  <c:v>1.1000000000000001</c:v>
                </c:pt>
                <c:pt idx="1">
                  <c:v>1.1200000000000001</c:v>
                </c:pt>
                <c:pt idx="2">
                  <c:v>1.1399999999999999</c:v>
                </c:pt>
                <c:pt idx="3">
                  <c:v>1.18</c:v>
                </c:pt>
                <c:pt idx="4">
                  <c:v>1.22</c:v>
                </c:pt>
                <c:pt idx="5">
                  <c:v>1.2649999999999999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91-41AE-9804-370DA456B600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special'!$U$86:$U$94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500</c:v>
                </c:pt>
              </c:numCache>
            </c:numRef>
          </c:xVal>
          <c:yVal>
            <c:numRef>
              <c:f>'TMP special'!$W$86:$W$94</c:f>
              <c:numCache>
                <c:formatCode>General</c:formatCode>
                <c:ptCount val="9"/>
                <c:pt idx="0">
                  <c:v>1.05</c:v>
                </c:pt>
                <c:pt idx="1">
                  <c:v>1.05</c:v>
                </c:pt>
                <c:pt idx="2">
                  <c:v>1.06</c:v>
                </c:pt>
                <c:pt idx="3">
                  <c:v>1.07</c:v>
                </c:pt>
                <c:pt idx="4">
                  <c:v>1.08</c:v>
                </c:pt>
                <c:pt idx="5">
                  <c:v>1.0900000000000001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91-41AE-9804-370DA456B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132272"/>
        <c:axId val="462464800"/>
      </c:scatterChart>
      <c:valAx>
        <c:axId val="1173132272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2464800"/>
        <c:crosses val="autoZero"/>
        <c:crossBetween val="midCat"/>
      </c:valAx>
      <c:valAx>
        <c:axId val="462464800"/>
        <c:scaling>
          <c:orientation val="minMax"/>
          <c:max val="1.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313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4.0576074092127198E-2"/>
          <c:y val="9.6005040957782006E-2"/>
          <c:w val="0.90659279316874886"/>
          <c:h val="0.8004703570843814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special'!$R$124:$R$139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02-44A3-BEB0-C9E181F54C4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special'!$S$124:$S$139</c:f>
              <c:numCache>
                <c:formatCode>General</c:formatCode>
                <c:ptCount val="16"/>
                <c:pt idx="0">
                  <c:v>0.65</c:v>
                </c:pt>
                <c:pt idx="1">
                  <c:v>0.77</c:v>
                </c:pt>
                <c:pt idx="2">
                  <c:v>0.85</c:v>
                </c:pt>
                <c:pt idx="3">
                  <c:v>0.91</c:v>
                </c:pt>
                <c:pt idx="4">
                  <c:v>0.93</c:v>
                </c:pt>
                <c:pt idx="5">
                  <c:v>0.96</c:v>
                </c:pt>
                <c:pt idx="6">
                  <c:v>0.97</c:v>
                </c:pt>
                <c:pt idx="7">
                  <c:v>0.98</c:v>
                </c:pt>
                <c:pt idx="8">
                  <c:v>0.99</c:v>
                </c:pt>
                <c:pt idx="9">
                  <c:v>0.995</c:v>
                </c:pt>
                <c:pt idx="10">
                  <c:v>0.995</c:v>
                </c:pt>
                <c:pt idx="11">
                  <c:v>0.995</c:v>
                </c:pt>
                <c:pt idx="12">
                  <c:v>0.995</c:v>
                </c:pt>
                <c:pt idx="13">
                  <c:v>0.995</c:v>
                </c:pt>
                <c:pt idx="14">
                  <c:v>0.995</c:v>
                </c:pt>
                <c:pt idx="15">
                  <c:v>0.995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02-44A3-BEB0-C9E181F54C4D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special'!$T$124:$T$139</c:f>
              <c:numCache>
                <c:formatCode>General</c:formatCode>
                <c:ptCount val="16"/>
                <c:pt idx="1">
                  <c:v>0.45</c:v>
                </c:pt>
                <c:pt idx="2">
                  <c:v>0.66</c:v>
                </c:pt>
                <c:pt idx="3">
                  <c:v>0.79</c:v>
                </c:pt>
                <c:pt idx="4">
                  <c:v>0.83</c:v>
                </c:pt>
                <c:pt idx="5">
                  <c:v>0.88</c:v>
                </c:pt>
                <c:pt idx="6">
                  <c:v>0.92</c:v>
                </c:pt>
                <c:pt idx="7">
                  <c:v>0.95</c:v>
                </c:pt>
                <c:pt idx="8">
                  <c:v>0.97</c:v>
                </c:pt>
                <c:pt idx="9">
                  <c:v>0.98499999999999999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02-44A3-BEB0-C9E181F54C4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special'!$U$124:$U$139</c:f>
              <c:numCache>
                <c:formatCode>General</c:formatCode>
                <c:ptCount val="16"/>
                <c:pt idx="2">
                  <c:v>0.35</c:v>
                </c:pt>
                <c:pt idx="3">
                  <c:v>0.6</c:v>
                </c:pt>
                <c:pt idx="4">
                  <c:v>0.68</c:v>
                </c:pt>
                <c:pt idx="5">
                  <c:v>0.78</c:v>
                </c:pt>
                <c:pt idx="6">
                  <c:v>0.84</c:v>
                </c:pt>
                <c:pt idx="7">
                  <c:v>0.89</c:v>
                </c:pt>
                <c:pt idx="8">
                  <c:v>0.94</c:v>
                </c:pt>
                <c:pt idx="9">
                  <c:v>0.97</c:v>
                </c:pt>
                <c:pt idx="10">
                  <c:v>0.98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02-44A3-BEB0-C9E181F54C4D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special'!$V$124:$V$139</c:f>
              <c:numCache>
                <c:formatCode>General</c:formatCode>
                <c:ptCount val="16"/>
                <c:pt idx="3">
                  <c:v>0.4</c:v>
                </c:pt>
                <c:pt idx="4">
                  <c:v>0.52</c:v>
                </c:pt>
                <c:pt idx="5">
                  <c:v>0.68</c:v>
                </c:pt>
                <c:pt idx="6">
                  <c:v>0.76</c:v>
                </c:pt>
                <c:pt idx="7">
                  <c:v>0.85</c:v>
                </c:pt>
                <c:pt idx="8">
                  <c:v>0.91500000000000004</c:v>
                </c:pt>
                <c:pt idx="9">
                  <c:v>0.96499999999999997</c:v>
                </c:pt>
                <c:pt idx="10">
                  <c:v>0.98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02-44A3-BEB0-C9E181F54C4D}"/>
            </c:ext>
          </c:extLst>
        </c:ser>
        <c:ser>
          <c:idx val="5"/>
          <c:order val="5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special'!$W$124:$W$139</c:f>
              <c:numCache>
                <c:formatCode>General</c:formatCode>
                <c:ptCount val="16"/>
                <c:pt idx="4">
                  <c:v>0.33</c:v>
                </c:pt>
                <c:pt idx="5">
                  <c:v>0.55000000000000004</c:v>
                </c:pt>
                <c:pt idx="6">
                  <c:v>0.66</c:v>
                </c:pt>
                <c:pt idx="7">
                  <c:v>0.78</c:v>
                </c:pt>
                <c:pt idx="8">
                  <c:v>0.87</c:v>
                </c:pt>
                <c:pt idx="9">
                  <c:v>0.94</c:v>
                </c:pt>
                <c:pt idx="10">
                  <c:v>0.97499999999999998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02-44A3-BEB0-C9E181F54C4D}"/>
            </c:ext>
          </c:extLst>
        </c:ser>
        <c:ser>
          <c:idx val="6"/>
          <c:order val="6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special'!$X$124:$X$139</c:f>
              <c:numCache>
                <c:formatCode>General</c:formatCode>
                <c:ptCount val="16"/>
                <c:pt idx="5">
                  <c:v>0.4</c:v>
                </c:pt>
                <c:pt idx="6">
                  <c:v>0.55000000000000004</c:v>
                </c:pt>
                <c:pt idx="7">
                  <c:v>0.7</c:v>
                </c:pt>
                <c:pt idx="8">
                  <c:v>0.82</c:v>
                </c:pt>
                <c:pt idx="9">
                  <c:v>0.91500000000000004</c:v>
                </c:pt>
                <c:pt idx="10">
                  <c:v>0.96499999999999997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E02-44A3-BEB0-C9E181F54C4D}"/>
            </c:ext>
          </c:extLst>
        </c:ser>
        <c:ser>
          <c:idx val="7"/>
          <c:order val="7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special'!$Y$124:$Y$139</c:f>
              <c:numCache>
                <c:formatCode>General</c:formatCode>
                <c:ptCount val="16"/>
                <c:pt idx="6">
                  <c:v>0.4</c:v>
                </c:pt>
                <c:pt idx="7">
                  <c:v>0.6</c:v>
                </c:pt>
                <c:pt idx="8">
                  <c:v>0.76</c:v>
                </c:pt>
                <c:pt idx="9">
                  <c:v>0.88</c:v>
                </c:pt>
                <c:pt idx="10">
                  <c:v>0.94</c:v>
                </c:pt>
                <c:pt idx="11">
                  <c:v>0.96499999999999997</c:v>
                </c:pt>
                <c:pt idx="12">
                  <c:v>0.97</c:v>
                </c:pt>
                <c:pt idx="13">
                  <c:v>0.97499999999999998</c:v>
                </c:pt>
                <c:pt idx="14">
                  <c:v>0.97499999999999998</c:v>
                </c:pt>
                <c:pt idx="15">
                  <c:v>0.97499999999999998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02-44A3-BEB0-C9E181F54C4D}"/>
            </c:ext>
          </c:extLst>
        </c:ser>
        <c:ser>
          <c:idx val="8"/>
          <c:order val="8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special'!$Z$124:$Z$139</c:f>
              <c:numCache>
                <c:formatCode>General</c:formatCode>
                <c:ptCount val="16"/>
                <c:pt idx="6">
                  <c:v>0.25</c:v>
                </c:pt>
                <c:pt idx="7">
                  <c:v>0.5</c:v>
                </c:pt>
                <c:pt idx="8">
                  <c:v>0.71</c:v>
                </c:pt>
                <c:pt idx="9">
                  <c:v>0.86</c:v>
                </c:pt>
                <c:pt idx="10">
                  <c:v>0.93</c:v>
                </c:pt>
                <c:pt idx="11">
                  <c:v>0.96</c:v>
                </c:pt>
                <c:pt idx="12">
                  <c:v>0.97</c:v>
                </c:pt>
                <c:pt idx="13">
                  <c:v>0.97</c:v>
                </c:pt>
                <c:pt idx="14">
                  <c:v>0.97</c:v>
                </c:pt>
                <c:pt idx="15">
                  <c:v>0.97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E02-44A3-BEB0-C9E181F54C4D}"/>
            </c:ext>
          </c:extLst>
        </c:ser>
        <c:ser>
          <c:idx val="9"/>
          <c:order val="9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special'!$AA$124:$AA$139</c:f>
              <c:numCache>
                <c:formatCode>General</c:formatCode>
                <c:ptCount val="16"/>
                <c:pt idx="7">
                  <c:v>0.4</c:v>
                </c:pt>
                <c:pt idx="8">
                  <c:v>0.65</c:v>
                </c:pt>
                <c:pt idx="9">
                  <c:v>0.83</c:v>
                </c:pt>
                <c:pt idx="10">
                  <c:v>0.92</c:v>
                </c:pt>
                <c:pt idx="11">
                  <c:v>0.95</c:v>
                </c:pt>
                <c:pt idx="12">
                  <c:v>0.96</c:v>
                </c:pt>
                <c:pt idx="13">
                  <c:v>0.96499999999999997</c:v>
                </c:pt>
                <c:pt idx="14">
                  <c:v>0.96499999999999997</c:v>
                </c:pt>
                <c:pt idx="15">
                  <c:v>0.97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02-44A3-BEB0-C9E181F54C4D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special'!$AC$133:$AC$139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E-41C6-9823-3E1743D0102F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special'!$P$164:$P$169</c:f>
              <c:numCache>
                <c:formatCode>0</c:formatCode>
                <c:ptCount val="6"/>
                <c:pt idx="0">
                  <c:v>11</c:v>
                </c:pt>
                <c:pt idx="1">
                  <c:v>10.5</c:v>
                </c:pt>
                <c:pt idx="2">
                  <c:v>10</c:v>
                </c:pt>
                <c:pt idx="3">
                  <c:v>10.6</c:v>
                </c:pt>
                <c:pt idx="4">
                  <c:v>12.5</c:v>
                </c:pt>
                <c:pt idx="5">
                  <c:v>13.5</c:v>
                </c:pt>
              </c:numCache>
            </c:numRef>
          </c:xVal>
          <c:yVal>
            <c:numRef>
              <c:f>'TMP special'!$S$164:$S$169</c:f>
              <c:numCache>
                <c:formatCode>General</c:formatCode>
                <c:ptCount val="6"/>
                <c:pt idx="0">
                  <c:v>1.0000479807664229</c:v>
                </c:pt>
                <c:pt idx="1">
                  <c:v>0.99999446273142012</c:v>
                </c:pt>
                <c:pt idx="2">
                  <c:v>0.99994619699999987</c:v>
                </c:pt>
                <c:pt idx="3">
                  <c:v>1.0000048042658869</c:v>
                </c:pt>
                <c:pt idx="4">
                  <c:v>1.00022588160948</c:v>
                </c:pt>
                <c:pt idx="5">
                  <c:v>1.0003502000150222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E-41C6-9823-3E1743D01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46336"/>
        <c:axId val="1648861856"/>
      </c:scatterChart>
      <c:valAx>
        <c:axId val="1396346336"/>
        <c:scaling>
          <c:logBase val="10"/>
          <c:orientation val="minMax"/>
          <c:max val="80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8861856"/>
        <c:crosses val="autoZero"/>
        <c:crossBetween val="midCat"/>
      </c:valAx>
      <c:valAx>
        <c:axId val="16488618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46336"/>
        <c:crossesAt val="0.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special'!$S$123</c:f>
              <c:strCache>
                <c:ptCount val="1"/>
                <c:pt idx="0">
                  <c:v>80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5.8333333333333334E-2"/>
                  <c:y val="0.3106558034412365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special'!$S$124:$S$139</c:f>
              <c:numCache>
                <c:formatCode>General</c:formatCode>
                <c:ptCount val="16"/>
                <c:pt idx="0">
                  <c:v>0.65</c:v>
                </c:pt>
                <c:pt idx="1">
                  <c:v>0.77</c:v>
                </c:pt>
                <c:pt idx="2">
                  <c:v>0.85</c:v>
                </c:pt>
                <c:pt idx="3">
                  <c:v>0.91</c:v>
                </c:pt>
                <c:pt idx="4">
                  <c:v>0.93</c:v>
                </c:pt>
                <c:pt idx="5">
                  <c:v>0.96</c:v>
                </c:pt>
                <c:pt idx="6">
                  <c:v>0.97</c:v>
                </c:pt>
                <c:pt idx="7">
                  <c:v>0.98</c:v>
                </c:pt>
                <c:pt idx="8">
                  <c:v>0.99</c:v>
                </c:pt>
                <c:pt idx="9">
                  <c:v>0.995</c:v>
                </c:pt>
                <c:pt idx="10">
                  <c:v>0.995</c:v>
                </c:pt>
                <c:pt idx="11">
                  <c:v>0.995</c:v>
                </c:pt>
                <c:pt idx="12">
                  <c:v>0.995</c:v>
                </c:pt>
                <c:pt idx="13">
                  <c:v>0.995</c:v>
                </c:pt>
                <c:pt idx="14">
                  <c:v>0.995</c:v>
                </c:pt>
                <c:pt idx="15">
                  <c:v>0.995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D-4B08-8B22-5F0730EA8A2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special'!$AF$124:$AF$132</c:f>
              <c:numCache>
                <c:formatCode>General</c:formatCode>
                <c:ptCount val="9"/>
                <c:pt idx="0">
                  <c:v>0.65492506722592103</c:v>
                </c:pt>
                <c:pt idx="1">
                  <c:v>0.85402273532270645</c:v>
                </c:pt>
                <c:pt idx="2">
                  <c:v>0.93169102500000001</c:v>
                </c:pt>
                <c:pt idx="3">
                  <c:v>0.97031653641639226</c:v>
                </c:pt>
                <c:pt idx="4">
                  <c:v>0.98889945484144726</c:v>
                </c:pt>
                <c:pt idx="5">
                  <c:v>0.99276650400000022</c:v>
                </c:pt>
                <c:pt idx="6">
                  <c:v>0.99474358002497187</c:v>
                </c:pt>
                <c:pt idx="7">
                  <c:v>0.99596272246565487</c:v>
                </c:pt>
                <c:pt idx="8">
                  <c:v>0.99345770272838285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9D-4B08-8B22-5F0730EA8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special'!$T$123</c:f>
              <c:strCache>
                <c:ptCount val="1"/>
                <c:pt idx="0">
                  <c:v>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5.8333333333333334E-2"/>
                  <c:y val="0.3106558034412365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special'!$T$124:$T$139</c:f>
              <c:numCache>
                <c:formatCode>General</c:formatCode>
                <c:ptCount val="16"/>
                <c:pt idx="1">
                  <c:v>0.45</c:v>
                </c:pt>
                <c:pt idx="2">
                  <c:v>0.66</c:v>
                </c:pt>
                <c:pt idx="3">
                  <c:v>0.79</c:v>
                </c:pt>
                <c:pt idx="4">
                  <c:v>0.83</c:v>
                </c:pt>
                <c:pt idx="5">
                  <c:v>0.88</c:v>
                </c:pt>
                <c:pt idx="6">
                  <c:v>0.92</c:v>
                </c:pt>
                <c:pt idx="7">
                  <c:v>0.95</c:v>
                </c:pt>
                <c:pt idx="8">
                  <c:v>0.97</c:v>
                </c:pt>
                <c:pt idx="9">
                  <c:v>0.98499999999999999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969-9105-6A66BA4EEFB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special'!$AG$124:$AG$132</c:f>
              <c:numCache>
                <c:formatCode>General</c:formatCode>
                <c:ptCount val="9"/>
                <c:pt idx="0">
                  <c:v>0.22982121833827029</c:v>
                </c:pt>
                <c:pt idx="1">
                  <c:v>0.6566194934781916</c:v>
                </c:pt>
                <c:pt idx="2">
                  <c:v>0.82942822800000005</c:v>
                </c:pt>
                <c:pt idx="3">
                  <c:v>0.92019884577253774</c:v>
                </c:pt>
                <c:pt idx="4">
                  <c:v>0.96925621553520314</c:v>
                </c:pt>
                <c:pt idx="5">
                  <c:v>0.9819812670000001</c:v>
                </c:pt>
                <c:pt idx="6">
                  <c:v>0.98831585176904935</c:v>
                </c:pt>
                <c:pt idx="7">
                  <c:v>0.99182763010444674</c:v>
                </c:pt>
                <c:pt idx="8">
                  <c:v>0.98744544906391229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DA-4969-9105-6A66BA4EE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special'!$U$123</c:f>
              <c:strCache>
                <c:ptCount val="1"/>
                <c:pt idx="0">
                  <c:v>120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0.19689074029744258"/>
                  <c:y val="0.5898030885674174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special'!$U$124:$U$139</c:f>
              <c:numCache>
                <c:formatCode>General</c:formatCode>
                <c:ptCount val="16"/>
                <c:pt idx="2">
                  <c:v>0.35</c:v>
                </c:pt>
                <c:pt idx="3">
                  <c:v>0.6</c:v>
                </c:pt>
                <c:pt idx="4">
                  <c:v>0.68</c:v>
                </c:pt>
                <c:pt idx="5">
                  <c:v>0.78</c:v>
                </c:pt>
                <c:pt idx="6">
                  <c:v>0.84</c:v>
                </c:pt>
                <c:pt idx="7">
                  <c:v>0.89</c:v>
                </c:pt>
                <c:pt idx="8">
                  <c:v>0.94</c:v>
                </c:pt>
                <c:pt idx="9">
                  <c:v>0.97</c:v>
                </c:pt>
                <c:pt idx="10">
                  <c:v>0.98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18-4B2B-925C-1CE1C800CA8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special'!$AH$124:$AH$132</c:f>
              <c:numCache>
                <c:formatCode>General</c:formatCode>
                <c:ptCount val="9"/>
                <c:pt idx="0">
                  <c:v>-0.41733959277338378</c:v>
                </c:pt>
                <c:pt idx="1">
                  <c:v>0.35602582923685266</c:v>
                </c:pt>
                <c:pt idx="2">
                  <c:v>0.67326838200000005</c:v>
                </c:pt>
                <c:pt idx="3">
                  <c:v>0.84292917332972428</c:v>
                </c:pt>
                <c:pt idx="4">
                  <c:v>0.93779679067346178</c:v>
                </c:pt>
                <c:pt idx="5">
                  <c:v>0.96369327599999999</c:v>
                </c:pt>
                <c:pt idx="6">
                  <c:v>0.97645173008017161</c:v>
                </c:pt>
                <c:pt idx="7">
                  <c:v>0.98321102777772973</c:v>
                </c:pt>
                <c:pt idx="8">
                  <c:v>0.9757724654501716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18-4B2B-925C-1CE1C800C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09458992044596E-2"/>
          <c:y val="0.10996563573883161"/>
          <c:w val="0.85562025677022935"/>
          <c:h val="0.84879725085910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'TMP special'!$V$123</c:f>
              <c:strCache>
                <c:ptCount val="1"/>
                <c:pt idx="0">
                  <c:v>140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0.19689074029744258"/>
                  <c:y val="0.5898030885674174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special'!$V$124:$V$139</c:f>
              <c:numCache>
                <c:formatCode>General</c:formatCode>
                <c:ptCount val="16"/>
                <c:pt idx="3">
                  <c:v>0.4</c:v>
                </c:pt>
                <c:pt idx="4">
                  <c:v>0.52</c:v>
                </c:pt>
                <c:pt idx="5">
                  <c:v>0.68</c:v>
                </c:pt>
                <c:pt idx="6">
                  <c:v>0.76</c:v>
                </c:pt>
                <c:pt idx="7">
                  <c:v>0.85</c:v>
                </c:pt>
                <c:pt idx="8">
                  <c:v>0.91500000000000004</c:v>
                </c:pt>
                <c:pt idx="9">
                  <c:v>0.96499999999999997</c:v>
                </c:pt>
                <c:pt idx="10">
                  <c:v>0.98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DF-4139-98F7-3418A3B8585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special'!$AI$124:$AI$132</c:f>
              <c:numCache>
                <c:formatCode>General</c:formatCode>
                <c:ptCount val="9"/>
                <c:pt idx="0">
                  <c:v>-0.84296057372290389</c:v>
                </c:pt>
                <c:pt idx="1">
                  <c:v>9.6582878486169629E-2</c:v>
                </c:pt>
                <c:pt idx="2">
                  <c:v>0.51623217499999996</c:v>
                </c:pt>
                <c:pt idx="3">
                  <c:v>0.76268045618547686</c:v>
                </c:pt>
                <c:pt idx="4">
                  <c:v>0.91814228760227456</c:v>
                </c:pt>
                <c:pt idx="5">
                  <c:v>0.96259147599999995</c:v>
                </c:pt>
                <c:pt idx="6">
                  <c:v>0.97775314551778092</c:v>
                </c:pt>
                <c:pt idx="7">
                  <c:v>0.98110789997141679</c:v>
                </c:pt>
                <c:pt idx="8">
                  <c:v>0.97865650822965344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DF-4139-98F7-3418A3B85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special'!$W$123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0.19689074029744258"/>
                  <c:y val="0.5898030885674174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special'!$W$124:$W$139</c:f>
              <c:numCache>
                <c:formatCode>General</c:formatCode>
                <c:ptCount val="16"/>
                <c:pt idx="4">
                  <c:v>0.33</c:v>
                </c:pt>
                <c:pt idx="5">
                  <c:v>0.55000000000000004</c:v>
                </c:pt>
                <c:pt idx="6">
                  <c:v>0.66</c:v>
                </c:pt>
                <c:pt idx="7">
                  <c:v>0.78</c:v>
                </c:pt>
                <c:pt idx="8">
                  <c:v>0.87</c:v>
                </c:pt>
                <c:pt idx="9">
                  <c:v>0.94</c:v>
                </c:pt>
                <c:pt idx="10">
                  <c:v>0.97499999999999998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F9-49B7-B354-994702BCA84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special'!$AJ$124:$AJ$132</c:f>
              <c:numCache>
                <c:formatCode>General</c:formatCode>
                <c:ptCount val="9"/>
                <c:pt idx="0">
                  <c:v>-1.4843066915915388</c:v>
                </c:pt>
                <c:pt idx="1">
                  <c:v>-0.22734932447077963</c:v>
                </c:pt>
                <c:pt idx="2">
                  <c:v>0.33165906299999998</c:v>
                </c:pt>
                <c:pt idx="3">
                  <c:v>0.66080100366518157</c:v>
                </c:pt>
                <c:pt idx="4">
                  <c:v>0.87365588040521025</c:v>
                </c:pt>
                <c:pt idx="5">
                  <c:v>0.94087951700000017</c:v>
                </c:pt>
                <c:pt idx="6">
                  <c:v>0.97030617034083066</c:v>
                </c:pt>
                <c:pt idx="7">
                  <c:v>0.98250281041585974</c:v>
                </c:pt>
                <c:pt idx="8">
                  <c:v>0.97753291416024513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F9-49B7-B354-994702BCA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special'!$X$123</c:f>
              <c:strCache>
                <c:ptCount val="1"/>
                <c:pt idx="0">
                  <c:v>180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0.19689074029744258"/>
                  <c:y val="0.5898030885674174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special'!$X$124:$X$139</c:f>
              <c:numCache>
                <c:formatCode>General</c:formatCode>
                <c:ptCount val="16"/>
                <c:pt idx="5">
                  <c:v>0.4</c:v>
                </c:pt>
                <c:pt idx="6">
                  <c:v>0.55000000000000004</c:v>
                </c:pt>
                <c:pt idx="7">
                  <c:v>0.7</c:v>
                </c:pt>
                <c:pt idx="8">
                  <c:v>0.82</c:v>
                </c:pt>
                <c:pt idx="9">
                  <c:v>0.91500000000000004</c:v>
                </c:pt>
                <c:pt idx="10">
                  <c:v>0.96499999999999997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2-4932-8611-3CCAC963E75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special'!$AK$124:$AK$132</c:f>
              <c:numCache>
                <c:formatCode>General</c:formatCode>
                <c:ptCount val="9"/>
                <c:pt idx="0">
                  <c:v>-2.0996004832152497</c:v>
                </c:pt>
                <c:pt idx="1">
                  <c:v>-0.55898633312576418</c:v>
                </c:pt>
                <c:pt idx="2">
                  <c:v>0.13302770899999999</c:v>
                </c:pt>
                <c:pt idx="3">
                  <c:v>0.54678145422928015</c:v>
                </c:pt>
                <c:pt idx="4">
                  <c:v>0.82336483104535585</c:v>
                </c:pt>
                <c:pt idx="5">
                  <c:v>0.91695498899999994</c:v>
                </c:pt>
                <c:pt idx="6">
                  <c:v>0.96198035574541485</c:v>
                </c:pt>
                <c:pt idx="7">
                  <c:v>0.98320633606437735</c:v>
                </c:pt>
                <c:pt idx="8">
                  <c:v>0.97716757363166651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2-4932-8611-3CCAC963E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special'!$Y$123</c:f>
              <c:strCache>
                <c:ptCount val="1"/>
                <c:pt idx="0">
                  <c:v>200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0.19689074029744258"/>
                  <c:y val="0.5898030885674174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special'!$Y$124:$Y$139</c:f>
              <c:numCache>
                <c:formatCode>General</c:formatCode>
                <c:ptCount val="16"/>
                <c:pt idx="6">
                  <c:v>0.4</c:v>
                </c:pt>
                <c:pt idx="7">
                  <c:v>0.6</c:v>
                </c:pt>
                <c:pt idx="8">
                  <c:v>0.76</c:v>
                </c:pt>
                <c:pt idx="9">
                  <c:v>0.88</c:v>
                </c:pt>
                <c:pt idx="10">
                  <c:v>0.94</c:v>
                </c:pt>
                <c:pt idx="11">
                  <c:v>0.96499999999999997</c:v>
                </c:pt>
                <c:pt idx="12">
                  <c:v>0.97</c:v>
                </c:pt>
                <c:pt idx="13">
                  <c:v>0.97499999999999998</c:v>
                </c:pt>
                <c:pt idx="14">
                  <c:v>0.97499999999999998</c:v>
                </c:pt>
                <c:pt idx="15">
                  <c:v>0.97499999999999998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7B-431E-B9FD-CF01BD164A9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special'!$AL$124:$AL$132</c:f>
              <c:numCache>
                <c:formatCode>General</c:formatCode>
                <c:ptCount val="9"/>
                <c:pt idx="0">
                  <c:v>-3.1478936364684671</c:v>
                </c:pt>
                <c:pt idx="1">
                  <c:v>-1.070776646561119</c:v>
                </c:pt>
                <c:pt idx="2">
                  <c:v>-0.146218719</c:v>
                </c:pt>
                <c:pt idx="3">
                  <c:v>0.40063643738144133</c:v>
                </c:pt>
                <c:pt idx="4">
                  <c:v>0.76056597399974113</c:v>
                </c:pt>
                <c:pt idx="5">
                  <c:v>0.88095391299999992</c:v>
                </c:pt>
                <c:pt idx="6">
                  <c:v>0.94067920414582162</c:v>
                </c:pt>
                <c:pt idx="7">
                  <c:v>0.97565545771373108</c:v>
                </c:pt>
                <c:pt idx="8">
                  <c:v>0.97363996162924926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7B-431E-B9FD-CF01BD164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special'!$Z$123</c:f>
              <c:strCache>
                <c:ptCount val="1"/>
                <c:pt idx="0">
                  <c:v>220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0.19689074029744258"/>
                  <c:y val="0.5898030885674174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special'!$Z$124:$Z$139</c:f>
              <c:numCache>
                <c:formatCode>General</c:formatCode>
                <c:ptCount val="16"/>
                <c:pt idx="6">
                  <c:v>0.25</c:v>
                </c:pt>
                <c:pt idx="7">
                  <c:v>0.5</c:v>
                </c:pt>
                <c:pt idx="8">
                  <c:v>0.71</c:v>
                </c:pt>
                <c:pt idx="9">
                  <c:v>0.86</c:v>
                </c:pt>
                <c:pt idx="10">
                  <c:v>0.93</c:v>
                </c:pt>
                <c:pt idx="11">
                  <c:v>0.96</c:v>
                </c:pt>
                <c:pt idx="12">
                  <c:v>0.97</c:v>
                </c:pt>
                <c:pt idx="13">
                  <c:v>0.97</c:v>
                </c:pt>
                <c:pt idx="14">
                  <c:v>0.97</c:v>
                </c:pt>
                <c:pt idx="15">
                  <c:v>0.97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6-45DA-8B4B-F2592B5A24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special'!$AM$124:$AM$132</c:f>
              <c:numCache>
                <c:formatCode>General</c:formatCode>
                <c:ptCount val="9"/>
                <c:pt idx="0">
                  <c:v>-4.1891394168877971</c:v>
                </c:pt>
                <c:pt idx="1">
                  <c:v>-1.6026014024509962</c:v>
                </c:pt>
                <c:pt idx="2">
                  <c:v>-0.44209109600000002</c:v>
                </c:pt>
                <c:pt idx="3">
                  <c:v>0.24961062166505957</c:v>
                </c:pt>
                <c:pt idx="4">
                  <c:v>0.70807356280589673</c:v>
                </c:pt>
                <c:pt idx="5">
                  <c:v>0.86054127000000025</c:v>
                </c:pt>
                <c:pt idx="6">
                  <c:v>0.93320926054888298</c:v>
                </c:pt>
                <c:pt idx="7">
                  <c:v>0.97187126934437873</c:v>
                </c:pt>
                <c:pt idx="8">
                  <c:v>0.96846291386146888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76-45DA-8B4B-F2592B5A2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special'!$AA$123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0.19689074029744258"/>
                  <c:y val="0.5898030885674174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special'!$Q$124:$Q$139</c:f>
              <c:numCache>
                <c:formatCode>General</c:formatCode>
                <c:ptCount val="16"/>
                <c:pt idx="0">
                  <c:v>-0.69897000433601875</c:v>
                </c:pt>
                <c:pt idx="1">
                  <c:v>-0.52287874528033762</c:v>
                </c:pt>
                <c:pt idx="2">
                  <c:v>-0.3010299956639812</c:v>
                </c:pt>
                <c:pt idx="3">
                  <c:v>-9.6910013008056392E-2</c:v>
                </c:pt>
                <c:pt idx="4">
                  <c:v>0</c:v>
                </c:pt>
                <c:pt idx="5">
                  <c:v>0.17609125905568124</c:v>
                </c:pt>
                <c:pt idx="6">
                  <c:v>0.3010299956639812</c:v>
                </c:pt>
                <c:pt idx="7">
                  <c:v>0.47712125471966244</c:v>
                </c:pt>
                <c:pt idx="8">
                  <c:v>0.69897000433601886</c:v>
                </c:pt>
                <c:pt idx="9">
                  <c:v>1</c:v>
                </c:pt>
                <c:pt idx="10">
                  <c:v>1.3010299956639813</c:v>
                </c:pt>
                <c:pt idx="11">
                  <c:v>1.4771212547196624</c:v>
                </c:pt>
                <c:pt idx="12">
                  <c:v>1.6020599913279623</c:v>
                </c:pt>
                <c:pt idx="13">
                  <c:v>1.6989700043360187</c:v>
                </c:pt>
                <c:pt idx="14">
                  <c:v>1.7781512503836436</c:v>
                </c:pt>
                <c:pt idx="15">
                  <c:v>1.9030899869919435</c:v>
                </c:pt>
              </c:numCache>
            </c:numRef>
          </c:xVal>
          <c:yVal>
            <c:numRef>
              <c:f>'TMP special'!$AA$124:$AA$139</c:f>
              <c:numCache>
                <c:formatCode>General</c:formatCode>
                <c:ptCount val="16"/>
                <c:pt idx="7">
                  <c:v>0.4</c:v>
                </c:pt>
                <c:pt idx="8">
                  <c:v>0.65</c:v>
                </c:pt>
                <c:pt idx="9">
                  <c:v>0.83</c:v>
                </c:pt>
                <c:pt idx="10">
                  <c:v>0.92</c:v>
                </c:pt>
                <c:pt idx="11">
                  <c:v>0.95</c:v>
                </c:pt>
                <c:pt idx="12">
                  <c:v>0.96</c:v>
                </c:pt>
                <c:pt idx="13">
                  <c:v>0.96499999999999997</c:v>
                </c:pt>
                <c:pt idx="14">
                  <c:v>0.96499999999999997</c:v>
                </c:pt>
                <c:pt idx="15">
                  <c:v>0.97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B8-4490-8392-114B2C0C168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special'!$AD$124:$AD$132</c:f>
              <c:numCache>
                <c:formatCode>General</c:formatCode>
                <c:ptCount val="9"/>
                <c:pt idx="0">
                  <c:v>-0.69897000433601875</c:v>
                </c:pt>
                <c:pt idx="1">
                  <c:v>-0.3010299956639812</c:v>
                </c:pt>
                <c:pt idx="2">
                  <c:v>0</c:v>
                </c:pt>
                <c:pt idx="3">
                  <c:v>0.3010299956639812</c:v>
                </c:pt>
                <c:pt idx="4">
                  <c:v>0.69897000433601886</c:v>
                </c:pt>
                <c:pt idx="5">
                  <c:v>1</c:v>
                </c:pt>
                <c:pt idx="6">
                  <c:v>1.3010299956639813</c:v>
                </c:pt>
                <c:pt idx="7">
                  <c:v>1.6989700043360187</c:v>
                </c:pt>
                <c:pt idx="8">
                  <c:v>1.9030899869919435</c:v>
                </c:pt>
              </c:numCache>
            </c:numRef>
          </c:xVal>
          <c:yVal>
            <c:numRef>
              <c:f>'TMP special'!$AN$124:$AN$132</c:f>
              <c:numCache>
                <c:formatCode>General</c:formatCode>
                <c:ptCount val="9"/>
                <c:pt idx="0">
                  <c:v>-4.8149137196242684</c:v>
                </c:pt>
                <c:pt idx="1">
                  <c:v>-1.9867414056327399</c:v>
                </c:pt>
                <c:pt idx="2">
                  <c:v>-0.68803271499999996</c:v>
                </c:pt>
                <c:pt idx="3">
                  <c:v>0.1051905996101806</c:v>
                </c:pt>
                <c:pt idx="4">
                  <c:v>0.64770917609114653</c:v>
                </c:pt>
                <c:pt idx="5">
                  <c:v>0.83292241600000028</c:v>
                </c:pt>
                <c:pt idx="6">
                  <c:v>0.91999528232609173</c:v>
                </c:pt>
                <c:pt idx="7">
                  <c:v>0.96565462946304459</c:v>
                </c:pt>
                <c:pt idx="8">
                  <c:v>0.96813558347241147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B8-4490-8392-114B2C0C1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8463"/>
        <c:axId val="745273279"/>
      </c:scatterChart>
      <c:valAx>
        <c:axId val="61042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5273279"/>
        <c:crosses val="autoZero"/>
        <c:crossBetween val="midCat"/>
      </c:valAx>
      <c:valAx>
        <c:axId val="745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428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'TMP special'!$Q$141</c:f>
              <c:strCache>
                <c:ptCount val="1"/>
                <c:pt idx="0">
                  <c:v>C0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5897462817147856"/>
                  <c:y val="-0.4969783464566929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special'!$R$123:$AA$123</c:f>
              <c:numCache>
                <c:formatCode>General</c:formatCode>
                <c:ptCount val="10"/>
                <c:pt idx="0">
                  <c:v>50</c:v>
                </c:pt>
                <c:pt idx="1">
                  <c:v>80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  <c:pt idx="5">
                  <c:v>160</c:v>
                </c:pt>
                <c:pt idx="6">
                  <c:v>180</c:v>
                </c:pt>
                <c:pt idx="7">
                  <c:v>200</c:v>
                </c:pt>
                <c:pt idx="8">
                  <c:v>220</c:v>
                </c:pt>
                <c:pt idx="9">
                  <c:v>240</c:v>
                </c:pt>
              </c:numCache>
            </c:numRef>
          </c:xVal>
          <c:yVal>
            <c:numRef>
              <c:f>'TMP special'!$R$141:$AA$141</c:f>
              <c:numCache>
                <c:formatCode>General</c:formatCode>
                <c:ptCount val="10"/>
                <c:pt idx="0">
                  <c:v>1</c:v>
                </c:pt>
                <c:pt idx="1">
                  <c:v>0.93169102500000001</c:v>
                </c:pt>
                <c:pt idx="2">
                  <c:v>0.82942822800000005</c:v>
                </c:pt>
                <c:pt idx="3">
                  <c:v>0.67326838200000005</c:v>
                </c:pt>
                <c:pt idx="4">
                  <c:v>0.51623217499999996</c:v>
                </c:pt>
                <c:pt idx="5">
                  <c:v>0.33165906299999998</c:v>
                </c:pt>
                <c:pt idx="6">
                  <c:v>0.13302770899999999</c:v>
                </c:pt>
                <c:pt idx="7">
                  <c:v>-0.146218719</c:v>
                </c:pt>
                <c:pt idx="8">
                  <c:v>-0.44209109600000002</c:v>
                </c:pt>
                <c:pt idx="9">
                  <c:v>-0.68803271499999996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C-4502-B267-AD12D5E0E414}"/>
            </c:ext>
          </c:extLst>
        </c:ser>
        <c:ser>
          <c:idx val="1"/>
          <c:order val="1"/>
          <c:tx>
            <c:strRef>
              <c:f>'TMP special'!$Q$142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6030796150481189"/>
                  <c:y val="2.5911344415281423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special'!$R$123:$AA$123</c:f>
              <c:numCache>
                <c:formatCode>General</c:formatCode>
                <c:ptCount val="10"/>
                <c:pt idx="0">
                  <c:v>50</c:v>
                </c:pt>
                <c:pt idx="1">
                  <c:v>80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  <c:pt idx="5">
                  <c:v>160</c:v>
                </c:pt>
                <c:pt idx="6">
                  <c:v>180</c:v>
                </c:pt>
                <c:pt idx="7">
                  <c:v>200</c:v>
                </c:pt>
                <c:pt idx="8">
                  <c:v>220</c:v>
                </c:pt>
                <c:pt idx="9">
                  <c:v>240</c:v>
                </c:pt>
              </c:numCache>
            </c:numRef>
          </c:xVal>
          <c:yVal>
            <c:numRef>
              <c:f>'TMP special'!$R$142:$AA$142</c:f>
              <c:numCache>
                <c:formatCode>General</c:formatCode>
                <c:ptCount val="10"/>
                <c:pt idx="0">
                  <c:v>0</c:v>
                </c:pt>
                <c:pt idx="1">
                  <c:v>0.18274278899999999</c:v>
                </c:pt>
                <c:pt idx="2">
                  <c:v>0.41703903799999997</c:v>
                </c:pt>
                <c:pt idx="3">
                  <c:v>0.77214521599999997</c:v>
                </c:pt>
                <c:pt idx="4">
                  <c:v>1.0714272279999999</c:v>
                </c:pt>
                <c:pt idx="5">
                  <c:v>1.4270103460000001</c:v>
                </c:pt>
                <c:pt idx="6">
                  <c:v>1.7787384289999999</c:v>
                </c:pt>
                <c:pt idx="7">
                  <c:v>2.363827933</c:v>
                </c:pt>
                <c:pt idx="8">
                  <c:v>2.979287845</c:v>
                </c:pt>
                <c:pt idx="9">
                  <c:v>3.3760210509999999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EC-4502-B267-AD12D5E0E414}"/>
            </c:ext>
          </c:extLst>
        </c:ser>
        <c:ser>
          <c:idx val="2"/>
          <c:order val="2"/>
          <c:tx>
            <c:strRef>
              <c:f>'TMP special'!$Q$143</c:f>
              <c:strCache>
                <c:ptCount val="1"/>
                <c:pt idx="0">
                  <c:v>C2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5821084864391952"/>
                  <c:y val="-0.61819663167104111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special'!$R$123:$AA$123</c:f>
              <c:numCache>
                <c:formatCode>General</c:formatCode>
                <c:ptCount val="10"/>
                <c:pt idx="0">
                  <c:v>50</c:v>
                </c:pt>
                <c:pt idx="1">
                  <c:v>80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  <c:pt idx="5">
                  <c:v>160</c:v>
                </c:pt>
                <c:pt idx="6">
                  <c:v>180</c:v>
                </c:pt>
                <c:pt idx="7">
                  <c:v>200</c:v>
                </c:pt>
                <c:pt idx="8">
                  <c:v>220</c:v>
                </c:pt>
                <c:pt idx="9">
                  <c:v>240</c:v>
                </c:pt>
              </c:numCache>
            </c:numRef>
          </c:xVal>
          <c:yVal>
            <c:numRef>
              <c:f>'TMP special'!$R$143:$AA$143</c:f>
              <c:numCache>
                <c:formatCode>General</c:formatCode>
                <c:ptCount val="10"/>
                <c:pt idx="0">
                  <c:v>0</c:v>
                </c:pt>
                <c:pt idx="1">
                  <c:v>-0.213310106</c:v>
                </c:pt>
                <c:pt idx="2">
                  <c:v>-0.44857934599999999</c:v>
                </c:pt>
                <c:pt idx="3">
                  <c:v>-0.80720936700000001</c:v>
                </c:pt>
                <c:pt idx="4">
                  <c:v>-0.95017880600000004</c:v>
                </c:pt>
                <c:pt idx="5">
                  <c:v>-1.260229907</c:v>
                </c:pt>
                <c:pt idx="6">
                  <c:v>-1.525520123</c:v>
                </c:pt>
                <c:pt idx="7">
                  <c:v>-2.0703658549999999</c:v>
                </c:pt>
                <c:pt idx="8">
                  <c:v>-2.5705322769999999</c:v>
                </c:pt>
                <c:pt idx="9">
                  <c:v>-2.7737117119999999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1EC-4502-B267-AD12D5E0E414}"/>
            </c:ext>
          </c:extLst>
        </c:ser>
        <c:ser>
          <c:idx val="3"/>
          <c:order val="3"/>
          <c:tx>
            <c:strRef>
              <c:f>'TMP special'!$Q$144</c:f>
              <c:strCache>
                <c:ptCount val="1"/>
                <c:pt idx="0">
                  <c:v>C3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6030796150481189"/>
                  <c:y val="0.45747010790317877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special'!$R$123:$AA$123</c:f>
              <c:numCache>
                <c:formatCode>General</c:formatCode>
                <c:ptCount val="10"/>
                <c:pt idx="0">
                  <c:v>50</c:v>
                </c:pt>
                <c:pt idx="1">
                  <c:v>80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  <c:pt idx="5">
                  <c:v>160</c:v>
                </c:pt>
                <c:pt idx="6">
                  <c:v>180</c:v>
                </c:pt>
                <c:pt idx="7">
                  <c:v>200</c:v>
                </c:pt>
                <c:pt idx="8">
                  <c:v>220</c:v>
                </c:pt>
                <c:pt idx="9">
                  <c:v>240</c:v>
                </c:pt>
              </c:numCache>
            </c:numRef>
          </c:xVal>
          <c:yVal>
            <c:numRef>
              <c:f>'TMP special'!$R$144:$AA$144</c:f>
              <c:numCache>
                <c:formatCode>General</c:formatCode>
                <c:ptCount val="10"/>
                <c:pt idx="0">
                  <c:v>0</c:v>
                </c:pt>
                <c:pt idx="1">
                  <c:v>0.114954114</c:v>
                </c:pt>
                <c:pt idx="2">
                  <c:v>0.22905545699999999</c:v>
                </c:pt>
                <c:pt idx="3">
                  <c:v>0.40370904099999999</c:v>
                </c:pt>
                <c:pt idx="4">
                  <c:v>0.38553590500000001</c:v>
                </c:pt>
                <c:pt idx="5">
                  <c:v>0.53162567199999999</c:v>
                </c:pt>
                <c:pt idx="6">
                  <c:v>0.638961734</c:v>
                </c:pt>
                <c:pt idx="7">
                  <c:v>0.88432058199999997</c:v>
                </c:pt>
                <c:pt idx="8">
                  <c:v>1.0722880720000001</c:v>
                </c:pt>
                <c:pt idx="9">
                  <c:v>1.0881022300000001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1EC-4502-B267-AD12D5E0E414}"/>
            </c:ext>
          </c:extLst>
        </c:ser>
        <c:ser>
          <c:idx val="4"/>
          <c:order val="4"/>
          <c:tx>
            <c:strRef>
              <c:f>'TMP special'!$Q$145</c:f>
              <c:strCache>
                <c:ptCount val="1"/>
                <c:pt idx="0">
                  <c:v>C4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5821084864391952"/>
                  <c:y val="0.38219342373869936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'TMP special'!$R$123:$AA$123</c:f>
              <c:numCache>
                <c:formatCode>General</c:formatCode>
                <c:ptCount val="10"/>
                <c:pt idx="0">
                  <c:v>50</c:v>
                </c:pt>
                <c:pt idx="1">
                  <c:v>80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  <c:pt idx="5">
                  <c:v>160</c:v>
                </c:pt>
                <c:pt idx="6">
                  <c:v>180</c:v>
                </c:pt>
                <c:pt idx="7">
                  <c:v>200</c:v>
                </c:pt>
                <c:pt idx="8">
                  <c:v>220</c:v>
                </c:pt>
                <c:pt idx="9">
                  <c:v>240</c:v>
                </c:pt>
              </c:numCache>
            </c:numRef>
          </c:xVal>
          <c:yVal>
            <c:numRef>
              <c:f>'TMP special'!$R$145:$AA$145</c:f>
              <c:numCache>
                <c:formatCode>General</c:formatCode>
                <c:ptCount val="10"/>
                <c:pt idx="0">
                  <c:v>0</c:v>
                </c:pt>
                <c:pt idx="1">
                  <c:v>-2.3311318000000001E-2</c:v>
                </c:pt>
                <c:pt idx="2">
                  <c:v>-4.496211E-2</c:v>
                </c:pt>
                <c:pt idx="3">
                  <c:v>-7.8219996E-2</c:v>
                </c:pt>
                <c:pt idx="4">
                  <c:v>-6.0425026E-2</c:v>
                </c:pt>
                <c:pt idx="5">
                  <c:v>-8.9185657000000002E-2</c:v>
                </c:pt>
                <c:pt idx="6">
                  <c:v>-0.10825276</c:v>
                </c:pt>
                <c:pt idx="7">
                  <c:v>-0.15061002800000001</c:v>
                </c:pt>
                <c:pt idx="8">
                  <c:v>-0.17841127400000001</c:v>
                </c:pt>
                <c:pt idx="9">
                  <c:v>-0.16945643799999999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1EC-4502-B267-AD12D5E0E414}"/>
            </c:ext>
          </c:extLst>
        </c:ser>
        <c:ser>
          <c:idx val="5"/>
          <c:order val="5"/>
          <c:tx>
            <c:strRef>
              <c:f>'TMP special'!$X$148</c:f>
              <c:strCache>
                <c:ptCount val="1"/>
                <c:pt idx="0">
                  <c:v>C0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'TMP special'!$W$149:$W$152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250</c:v>
                </c:pt>
              </c:numCache>
            </c:numRef>
          </c:xVal>
          <c:yVal>
            <c:numRef>
              <c:f>'TMP special'!$X$149:$X$152</c:f>
              <c:numCache>
                <c:formatCode>General</c:formatCode>
                <c:ptCount val="4"/>
                <c:pt idx="0">
                  <c:v>1.0149961700000001</c:v>
                </c:pt>
                <c:pt idx="1">
                  <c:v>0.81377822000000011</c:v>
                </c:pt>
                <c:pt idx="2">
                  <c:v>0.43109026999999989</c:v>
                </c:pt>
                <c:pt idx="3">
                  <c:v>-0.87869563000000017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1EC-4502-B267-AD12D5E0E414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special'!$W$149:$W$152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250</c:v>
                </c:pt>
              </c:numCache>
            </c:numRef>
          </c:xVal>
          <c:yVal>
            <c:numRef>
              <c:f>'TMP special'!$Y$149:$Y$152</c:f>
              <c:numCache>
                <c:formatCode>General</c:formatCode>
                <c:ptCount val="4"/>
                <c:pt idx="0">
                  <c:v>-2.6608809999999983E-2</c:v>
                </c:pt>
                <c:pt idx="1">
                  <c:v>0.44785439000000005</c:v>
                </c:pt>
                <c:pt idx="2">
                  <c:v>1.2364575899999999</c:v>
                </c:pt>
                <c:pt idx="3">
                  <c:v>3.75608399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1EC-4502-B267-AD12D5E0E414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special'!$W$149:$W$152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250</c:v>
                </c:pt>
              </c:numCache>
            </c:numRef>
          </c:xVal>
          <c:yVal>
            <c:numRef>
              <c:f>'TMP special'!$Z$149:$Z$152</c:f>
              <c:numCache>
                <c:formatCode>General</c:formatCode>
                <c:ptCount val="4"/>
                <c:pt idx="0">
                  <c:v>1.0368048000000019E-2</c:v>
                </c:pt>
                <c:pt idx="1">
                  <c:v>-0.45908865199999999</c:v>
                </c:pt>
                <c:pt idx="2">
                  <c:v>-1.1340603520000001</c:v>
                </c:pt>
                <c:pt idx="3">
                  <c:v>-3.1005487519999999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1EC-4502-B267-AD12D5E0E414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special'!$W$149:$W$152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250</c:v>
                </c:pt>
              </c:numCache>
            </c:numRef>
          </c:xVal>
          <c:yVal>
            <c:numRef>
              <c:f>'TMP special'!$AA$149:$AA$152</c:f>
              <c:numCache>
                <c:formatCode>General</c:formatCode>
                <c:ptCount val="4"/>
                <c:pt idx="0">
                  <c:v>2.2221190000000016E-3</c:v>
                </c:pt>
                <c:pt idx="1">
                  <c:v>0.222402769</c:v>
                </c:pt>
                <c:pt idx="2">
                  <c:v>0.50054841900000002</c:v>
                </c:pt>
                <c:pt idx="3">
                  <c:v>1.230734719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1EC-4502-B267-AD12D5E0E414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special'!$W$149:$W$152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250</c:v>
                </c:pt>
              </c:numCache>
            </c:numRef>
          </c:xVal>
          <c:yVal>
            <c:numRef>
              <c:f>'TMP special'!$AB$149:$AB$152</c:f>
              <c:numCache>
                <c:formatCode>General</c:formatCode>
                <c:ptCount val="4"/>
                <c:pt idx="0">
                  <c:v>-1.3391900000000014E-3</c:v>
                </c:pt>
                <c:pt idx="1">
                  <c:v>-4.1881490000000007E-2</c:v>
                </c:pt>
                <c:pt idx="2">
                  <c:v>-8.7618790000000002E-2</c:v>
                </c:pt>
                <c:pt idx="3">
                  <c:v>-0.19467838999999998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1EC-4502-B267-AD12D5E0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12591"/>
        <c:axId val="1066118559"/>
      </c:scatterChart>
      <c:valAx>
        <c:axId val="753512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66118559"/>
        <c:crosses val="autoZero"/>
        <c:crossBetween val="midCat"/>
      </c:valAx>
      <c:valAx>
        <c:axId val="106611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3512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special'!$P$17:$P$22</c:f>
              <c:numCache>
                <c:formatCode>General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1.25</c:v>
                </c:pt>
              </c:numCache>
            </c:numRef>
          </c:xVal>
          <c:yVal>
            <c:numRef>
              <c:f>'TMP special'!$X$17:$X$22</c:f>
              <c:numCache>
                <c:formatCode>General</c:formatCode>
                <c:ptCount val="6"/>
                <c:pt idx="0">
                  <c:v>2.4845516175363662</c:v>
                </c:pt>
                <c:pt idx="1">
                  <c:v>2.3467860666832956</c:v>
                </c:pt>
                <c:pt idx="2">
                  <c:v>1.8755074492273913</c:v>
                </c:pt>
                <c:pt idx="3">
                  <c:v>1.4226617053066837</c:v>
                </c:pt>
                <c:pt idx="4">
                  <c:v>1.4294804542823387</c:v>
                </c:pt>
                <c:pt idx="5">
                  <c:v>1.4329552946218085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E0-4E4B-9459-3ADB300F6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681775"/>
        <c:axId val="690756719"/>
      </c:scatterChart>
      <c:valAx>
        <c:axId val="1042681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0756719"/>
        <c:crosses val="autoZero"/>
        <c:crossBetween val="midCat"/>
      </c:valAx>
      <c:valAx>
        <c:axId val="69075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2681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05551826983115"/>
          <c:y val="0.10041108132260947"/>
          <c:w val="0.86628316862694277"/>
          <c:h val="0.76349102474791186"/>
        </c:manualLayout>
      </c:layout>
      <c:scatterChart>
        <c:scatterStyle val="smoothMarker"/>
        <c:varyColors val="0"/>
        <c:ser>
          <c:idx val="0"/>
          <c:order val="0"/>
          <c:tx>
            <c:v>vertical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special'!$Q$49:$Q$54</c:f>
              <c:numCache>
                <c:formatCode>General</c:formatCode>
                <c:ptCount val="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</c:numCache>
            </c:numRef>
          </c:xVal>
          <c:yVal>
            <c:numRef>
              <c:f>'TMP special'!$R$49:$R$54</c:f>
              <c:numCache>
                <c:formatCode>General</c:formatCode>
                <c:ptCount val="6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1.35</c:v>
                </c:pt>
                <c:pt idx="4">
                  <c:v>1.1000000000000001</c:v>
                </c:pt>
                <c:pt idx="5">
                  <c:v>1.1000000000000001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B3-4079-B942-A53E64236363}"/>
            </c:ext>
          </c:extLst>
        </c:ser>
        <c:ser>
          <c:idx val="1"/>
          <c:order val="1"/>
          <c:tx>
            <c:v>horizontal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special'!$Q$49:$Q$54</c:f>
              <c:numCache>
                <c:formatCode>General</c:formatCode>
                <c:ptCount val="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</c:numCache>
            </c:numRef>
          </c:xVal>
          <c:yVal>
            <c:numRef>
              <c:f>'TMP special'!$S$49:$S$54</c:f>
              <c:numCache>
                <c:formatCode>General</c:formatCode>
                <c:ptCount val="6"/>
                <c:pt idx="0">
                  <c:v>2</c:v>
                </c:pt>
                <c:pt idx="1">
                  <c:v>2.0699999999999998</c:v>
                </c:pt>
                <c:pt idx="2">
                  <c:v>1.98</c:v>
                </c:pt>
                <c:pt idx="3">
                  <c:v>1.48</c:v>
                </c:pt>
                <c:pt idx="4">
                  <c:v>1.2</c:v>
                </c:pt>
                <c:pt idx="5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B3-4079-B942-A53E64236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128432"/>
        <c:axId val="697538208"/>
      </c:scatterChart>
      <c:valAx>
        <c:axId val="1173128432"/>
        <c:scaling>
          <c:orientation val="minMax"/>
          <c:max val="1.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Q/Qbep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538208"/>
        <c:crosses val="autoZero"/>
        <c:crossBetween val="midCat"/>
        <c:majorUnit val="0.25"/>
      </c:valAx>
      <c:valAx>
        <c:axId val="697538208"/>
        <c:scaling>
          <c:orientation val="minMax"/>
          <c:max val="2.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3128432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258563777186072"/>
          <c:y val="0.48694508644136869"/>
          <c:w val="0.36502164786326952"/>
          <c:h val="8.36437081052600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2572850854944"/>
          <c:y val="7.8899454362365937E-2"/>
          <c:w val="0.8085199119692148"/>
          <c:h val="0.77936035097929623"/>
        </c:manualLayout>
      </c:layout>
      <c:scatterChart>
        <c:scatterStyle val="smoothMarker"/>
        <c:varyColors val="0"/>
        <c:ser>
          <c:idx val="0"/>
          <c:order val="0"/>
          <c:tx>
            <c:v>seawater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special'!$Q$65:$Q$76</c:f>
              <c:numCache>
                <c:formatCode>General</c:formatCode>
                <c:ptCount val="12"/>
                <c:pt idx="0">
                  <c:v>1.8</c:v>
                </c:pt>
                <c:pt idx="1">
                  <c:v>1.32</c:v>
                </c:pt>
                <c:pt idx="2">
                  <c:v>1.2</c:v>
                </c:pt>
                <c:pt idx="3">
                  <c:v>1.1000000000000001</c:v>
                </c:pt>
                <c:pt idx="4">
                  <c:v>1.08</c:v>
                </c:pt>
                <c:pt idx="5">
                  <c:v>1.08</c:v>
                </c:pt>
                <c:pt idx="6">
                  <c:v>1.1000000000000001</c:v>
                </c:pt>
                <c:pt idx="7">
                  <c:v>1.18</c:v>
                </c:pt>
                <c:pt idx="8">
                  <c:v>1.33</c:v>
                </c:pt>
                <c:pt idx="9">
                  <c:v>1.46</c:v>
                </c:pt>
                <c:pt idx="10">
                  <c:v>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91-4105-B1A3-F0B8AAAAC0C5}"/>
            </c:ext>
          </c:extLst>
        </c:ser>
        <c:ser>
          <c:idx val="1"/>
          <c:order val="1"/>
          <c:tx>
            <c:v>water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special'!$R$65:$R$76</c:f>
              <c:numCache>
                <c:formatCode>General</c:formatCode>
                <c:ptCount val="12"/>
                <c:pt idx="0">
                  <c:v>1.8</c:v>
                </c:pt>
                <c:pt idx="1">
                  <c:v>1.32</c:v>
                </c:pt>
                <c:pt idx="2">
                  <c:v>1.2</c:v>
                </c:pt>
                <c:pt idx="3">
                  <c:v>1.1000000000000001</c:v>
                </c:pt>
                <c:pt idx="4">
                  <c:v>1.08</c:v>
                </c:pt>
                <c:pt idx="5">
                  <c:v>1.08</c:v>
                </c:pt>
                <c:pt idx="6">
                  <c:v>1.1000000000000001</c:v>
                </c:pt>
                <c:pt idx="7">
                  <c:v>1.17</c:v>
                </c:pt>
                <c:pt idx="8">
                  <c:v>1.29</c:v>
                </c:pt>
                <c:pt idx="9">
                  <c:v>1.37</c:v>
                </c:pt>
                <c:pt idx="10">
                  <c:v>1.5</c:v>
                </c:pt>
                <c:pt idx="11">
                  <c:v>1.63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91-4105-B1A3-F0B8AAAAC0C5}"/>
            </c:ext>
          </c:extLst>
        </c:ser>
        <c:ser>
          <c:idx val="2"/>
          <c:order val="2"/>
          <c:tx>
            <c:v>oil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'TMP special'!$P$65:$P$76</c:f>
              <c:numCache>
                <c:formatCode>General</c:formatCode>
                <c:ptCount val="12"/>
                <c:pt idx="0">
                  <c:v>0.15</c:v>
                </c:pt>
                <c:pt idx="1">
                  <c:v>0.3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'TMP special'!$S$65:$S$76</c:f>
              <c:numCache>
                <c:formatCode>General</c:formatCode>
                <c:ptCount val="12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1.06</c:v>
                </c:pt>
                <c:pt idx="7">
                  <c:v>1.08</c:v>
                </c:pt>
                <c:pt idx="8">
                  <c:v>1.1000000000000001</c:v>
                </c:pt>
                <c:pt idx="9">
                  <c:v>1.1200000000000001</c:v>
                </c:pt>
                <c:pt idx="10">
                  <c:v>1.18</c:v>
                </c:pt>
                <c:pt idx="11">
                  <c:v>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91-4105-B1A3-F0B8AAAAC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130352"/>
        <c:axId val="1195017200"/>
      </c:scatterChart>
      <c:valAx>
        <c:axId val="1173130352"/>
        <c:scaling>
          <c:logBase val="10"/>
          <c:orientation val="minMax"/>
          <c:max val="1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NPSH3% [m]</a:t>
                </a:r>
              </a:p>
            </c:rich>
          </c:tx>
          <c:layout>
            <c:manualLayout>
              <c:xMode val="edge"/>
              <c:yMode val="edge"/>
              <c:x val="0.48180585683297178"/>
              <c:y val="0.912515419595890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95017200"/>
        <c:crosses val="autoZero"/>
        <c:crossBetween val="midCat"/>
      </c:valAx>
      <c:valAx>
        <c:axId val="1195017200"/>
        <c:scaling>
          <c:orientation val="minMax"/>
          <c:max val="1.8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SEN</a:t>
                </a:r>
              </a:p>
            </c:rich>
          </c:tx>
          <c:layout>
            <c:manualLayout>
              <c:xMode val="edge"/>
              <c:yMode val="edge"/>
              <c:x val="1.9559235211350182E-2"/>
              <c:y val="0.45227005906947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3130352"/>
        <c:crossesAt val="0.1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712453098434662"/>
          <c:y val="0.16465328526810757"/>
          <c:w val="0.17947287037579882"/>
          <c:h val="0.23380299105364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03432278841184E-2"/>
          <c:y val="9.6005040957782006E-2"/>
          <c:w val="0.85996535727117052"/>
          <c:h val="0.80047035708438141"/>
        </c:manualLayout>
      </c:layout>
      <c:scatterChart>
        <c:scatterStyle val="smoothMarker"/>
        <c:varyColors val="0"/>
        <c:ser>
          <c:idx val="0"/>
          <c:order val="0"/>
          <c:tx>
            <c:v>T=50°C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special'!$R$124:$R$139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42-45CF-94BD-6CC8E376E52D}"/>
            </c:ext>
          </c:extLst>
        </c:ser>
        <c:ser>
          <c:idx val="1"/>
          <c:order val="1"/>
          <c:tx>
            <c:v>T=80°C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special'!$S$124:$S$139</c:f>
              <c:numCache>
                <c:formatCode>General</c:formatCode>
                <c:ptCount val="16"/>
                <c:pt idx="0">
                  <c:v>0.65</c:v>
                </c:pt>
                <c:pt idx="1">
                  <c:v>0.77</c:v>
                </c:pt>
                <c:pt idx="2">
                  <c:v>0.85</c:v>
                </c:pt>
                <c:pt idx="3">
                  <c:v>0.91</c:v>
                </c:pt>
                <c:pt idx="4">
                  <c:v>0.93</c:v>
                </c:pt>
                <c:pt idx="5">
                  <c:v>0.96</c:v>
                </c:pt>
                <c:pt idx="6">
                  <c:v>0.97</c:v>
                </c:pt>
                <c:pt idx="7">
                  <c:v>0.98</c:v>
                </c:pt>
                <c:pt idx="8">
                  <c:v>0.99</c:v>
                </c:pt>
                <c:pt idx="9">
                  <c:v>0.995</c:v>
                </c:pt>
                <c:pt idx="10">
                  <c:v>0.995</c:v>
                </c:pt>
                <c:pt idx="11">
                  <c:v>0.995</c:v>
                </c:pt>
                <c:pt idx="12">
                  <c:v>0.995</c:v>
                </c:pt>
                <c:pt idx="13">
                  <c:v>0.995</c:v>
                </c:pt>
                <c:pt idx="14">
                  <c:v>0.995</c:v>
                </c:pt>
                <c:pt idx="15">
                  <c:v>0.995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42-45CF-94BD-6CC8E376E52D}"/>
            </c:ext>
          </c:extLst>
        </c:ser>
        <c:ser>
          <c:idx val="2"/>
          <c:order val="2"/>
          <c:tx>
            <c:v>T=100°C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special'!$T$124:$T$139</c:f>
              <c:numCache>
                <c:formatCode>General</c:formatCode>
                <c:ptCount val="16"/>
                <c:pt idx="1">
                  <c:v>0.45</c:v>
                </c:pt>
                <c:pt idx="2">
                  <c:v>0.66</c:v>
                </c:pt>
                <c:pt idx="3">
                  <c:v>0.79</c:v>
                </c:pt>
                <c:pt idx="4">
                  <c:v>0.83</c:v>
                </c:pt>
                <c:pt idx="5">
                  <c:v>0.88</c:v>
                </c:pt>
                <c:pt idx="6">
                  <c:v>0.92</c:v>
                </c:pt>
                <c:pt idx="7">
                  <c:v>0.95</c:v>
                </c:pt>
                <c:pt idx="8">
                  <c:v>0.97</c:v>
                </c:pt>
                <c:pt idx="9">
                  <c:v>0.98499999999999999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42-45CF-94BD-6CC8E376E52D}"/>
            </c:ext>
          </c:extLst>
        </c:ser>
        <c:ser>
          <c:idx val="3"/>
          <c:order val="3"/>
          <c:tx>
            <c:v>T=120°C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special'!$U$124:$U$139</c:f>
              <c:numCache>
                <c:formatCode>General</c:formatCode>
                <c:ptCount val="16"/>
                <c:pt idx="2">
                  <c:v>0.35</c:v>
                </c:pt>
                <c:pt idx="3">
                  <c:v>0.6</c:v>
                </c:pt>
                <c:pt idx="4">
                  <c:v>0.68</c:v>
                </c:pt>
                <c:pt idx="5">
                  <c:v>0.78</c:v>
                </c:pt>
                <c:pt idx="6">
                  <c:v>0.84</c:v>
                </c:pt>
                <c:pt idx="7">
                  <c:v>0.89</c:v>
                </c:pt>
                <c:pt idx="8">
                  <c:v>0.94</c:v>
                </c:pt>
                <c:pt idx="9">
                  <c:v>0.97</c:v>
                </c:pt>
                <c:pt idx="10">
                  <c:v>0.98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42-45CF-94BD-6CC8E376E52D}"/>
            </c:ext>
          </c:extLst>
        </c:ser>
        <c:ser>
          <c:idx val="4"/>
          <c:order val="4"/>
          <c:tx>
            <c:v>T=140°C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special'!$V$124:$V$139</c:f>
              <c:numCache>
                <c:formatCode>General</c:formatCode>
                <c:ptCount val="16"/>
                <c:pt idx="3">
                  <c:v>0.4</c:v>
                </c:pt>
                <c:pt idx="4">
                  <c:v>0.52</c:v>
                </c:pt>
                <c:pt idx="5">
                  <c:v>0.68</c:v>
                </c:pt>
                <c:pt idx="6">
                  <c:v>0.76</c:v>
                </c:pt>
                <c:pt idx="7">
                  <c:v>0.85</c:v>
                </c:pt>
                <c:pt idx="8">
                  <c:v>0.91500000000000004</c:v>
                </c:pt>
                <c:pt idx="9">
                  <c:v>0.96499999999999997</c:v>
                </c:pt>
                <c:pt idx="10">
                  <c:v>0.98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A42-45CF-94BD-6CC8E376E52D}"/>
            </c:ext>
          </c:extLst>
        </c:ser>
        <c:ser>
          <c:idx val="5"/>
          <c:order val="5"/>
          <c:tx>
            <c:v>T=160°C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special'!$W$124:$W$139</c:f>
              <c:numCache>
                <c:formatCode>General</c:formatCode>
                <c:ptCount val="16"/>
                <c:pt idx="4">
                  <c:v>0.33</c:v>
                </c:pt>
                <c:pt idx="5">
                  <c:v>0.55000000000000004</c:v>
                </c:pt>
                <c:pt idx="6">
                  <c:v>0.66</c:v>
                </c:pt>
                <c:pt idx="7">
                  <c:v>0.78</c:v>
                </c:pt>
                <c:pt idx="8">
                  <c:v>0.87</c:v>
                </c:pt>
                <c:pt idx="9">
                  <c:v>0.94</c:v>
                </c:pt>
                <c:pt idx="10">
                  <c:v>0.97499999999999998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A42-45CF-94BD-6CC8E376E52D}"/>
            </c:ext>
          </c:extLst>
        </c:ser>
        <c:ser>
          <c:idx val="6"/>
          <c:order val="6"/>
          <c:tx>
            <c:v>T=180°C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special'!$X$124:$X$139</c:f>
              <c:numCache>
                <c:formatCode>General</c:formatCode>
                <c:ptCount val="16"/>
                <c:pt idx="5">
                  <c:v>0.4</c:v>
                </c:pt>
                <c:pt idx="6">
                  <c:v>0.55000000000000004</c:v>
                </c:pt>
                <c:pt idx="7">
                  <c:v>0.7</c:v>
                </c:pt>
                <c:pt idx="8">
                  <c:v>0.82</c:v>
                </c:pt>
                <c:pt idx="9">
                  <c:v>0.91500000000000004</c:v>
                </c:pt>
                <c:pt idx="10">
                  <c:v>0.96499999999999997</c:v>
                </c:pt>
                <c:pt idx="11">
                  <c:v>0.98</c:v>
                </c:pt>
                <c:pt idx="12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A42-45CF-94BD-6CC8E376E52D}"/>
            </c:ext>
          </c:extLst>
        </c:ser>
        <c:ser>
          <c:idx val="7"/>
          <c:order val="7"/>
          <c:tx>
            <c:v>T=200°C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special'!$Y$124:$Y$139</c:f>
              <c:numCache>
                <c:formatCode>General</c:formatCode>
                <c:ptCount val="16"/>
                <c:pt idx="6">
                  <c:v>0.4</c:v>
                </c:pt>
                <c:pt idx="7">
                  <c:v>0.6</c:v>
                </c:pt>
                <c:pt idx="8">
                  <c:v>0.76</c:v>
                </c:pt>
                <c:pt idx="9">
                  <c:v>0.88</c:v>
                </c:pt>
                <c:pt idx="10">
                  <c:v>0.94</c:v>
                </c:pt>
                <c:pt idx="11">
                  <c:v>0.96499999999999997</c:v>
                </c:pt>
                <c:pt idx="12">
                  <c:v>0.97</c:v>
                </c:pt>
                <c:pt idx="13">
                  <c:v>0.97499999999999998</c:v>
                </c:pt>
                <c:pt idx="14">
                  <c:v>0.97499999999999998</c:v>
                </c:pt>
                <c:pt idx="15">
                  <c:v>0.97499999999999998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A42-45CF-94BD-6CC8E376E52D}"/>
            </c:ext>
          </c:extLst>
        </c:ser>
        <c:ser>
          <c:idx val="8"/>
          <c:order val="8"/>
          <c:tx>
            <c:v>T=220°C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special'!$Z$124:$Z$139</c:f>
              <c:numCache>
                <c:formatCode>General</c:formatCode>
                <c:ptCount val="16"/>
                <c:pt idx="6">
                  <c:v>0.25</c:v>
                </c:pt>
                <c:pt idx="7">
                  <c:v>0.5</c:v>
                </c:pt>
                <c:pt idx="8">
                  <c:v>0.71</c:v>
                </c:pt>
                <c:pt idx="9">
                  <c:v>0.86</c:v>
                </c:pt>
                <c:pt idx="10">
                  <c:v>0.93</c:v>
                </c:pt>
                <c:pt idx="11">
                  <c:v>0.96</c:v>
                </c:pt>
                <c:pt idx="12">
                  <c:v>0.97</c:v>
                </c:pt>
                <c:pt idx="13">
                  <c:v>0.97</c:v>
                </c:pt>
                <c:pt idx="14">
                  <c:v>0.97</c:v>
                </c:pt>
                <c:pt idx="15">
                  <c:v>0.97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A42-45CF-94BD-6CC8E376E52D}"/>
            </c:ext>
          </c:extLst>
        </c:ser>
        <c:ser>
          <c:idx val="9"/>
          <c:order val="9"/>
          <c:tx>
            <c:v>T=240°C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'TMP special'!$P$124:$P$139</c:f>
              <c:numCache>
                <c:formatCode>General</c:formatCode>
                <c:ptCount val="16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80</c:v>
                </c:pt>
              </c:numCache>
            </c:numRef>
          </c:xVal>
          <c:yVal>
            <c:numRef>
              <c:f>'TMP special'!$AA$124:$AA$139</c:f>
              <c:numCache>
                <c:formatCode>General</c:formatCode>
                <c:ptCount val="16"/>
                <c:pt idx="7">
                  <c:v>0.4</c:v>
                </c:pt>
                <c:pt idx="8">
                  <c:v>0.65</c:v>
                </c:pt>
                <c:pt idx="9">
                  <c:v>0.83</c:v>
                </c:pt>
                <c:pt idx="10">
                  <c:v>0.92</c:v>
                </c:pt>
                <c:pt idx="11">
                  <c:v>0.95</c:v>
                </c:pt>
                <c:pt idx="12">
                  <c:v>0.96</c:v>
                </c:pt>
                <c:pt idx="13">
                  <c:v>0.96499999999999997</c:v>
                </c:pt>
                <c:pt idx="14">
                  <c:v>0.96499999999999997</c:v>
                </c:pt>
                <c:pt idx="15">
                  <c:v>0.97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A42-45CF-94BD-6CC8E376E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46336"/>
        <c:axId val="1648861856"/>
      </c:scatterChart>
      <c:valAx>
        <c:axId val="1396346336"/>
        <c:scaling>
          <c:logBase val="10"/>
          <c:orientation val="minMax"/>
          <c:max val="80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NPSH3%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8861856"/>
        <c:crosses val="autoZero"/>
        <c:crossBetween val="midCat"/>
      </c:valAx>
      <c:valAx>
        <c:axId val="16488618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46336"/>
        <c:crossesAt val="0.2"/>
        <c:crossBetween val="midCat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3861786107453073"/>
          <c:y val="0.41542066020250795"/>
          <c:w val="0.1197629044529548"/>
          <c:h val="0.402244974891677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'TMP special'!$AG$42" lockText="1" noThreeD="1"/>
</file>

<file path=xl/ctrlProps/ctrlProp2.xml><?xml version="1.0" encoding="utf-8"?>
<formControlPr xmlns="http://schemas.microsoft.com/office/spreadsheetml/2009/9/main" objectType="CheckBox" fmlaLink="'TMP special'!$Q$104" lockText="1" noThreeD="1"/>
</file>

<file path=xl/ctrlProps/ctrlProp3.xml><?xml version="1.0" encoding="utf-8"?>
<formControlPr xmlns="http://schemas.microsoft.com/office/spreadsheetml/2009/9/main" objectType="CheckBox" fmlaLink="'TMP special'!$AG$4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4.xml"/><Relationship Id="rId21" Type="http://schemas.openxmlformats.org/officeDocument/2006/relationships/chart" Target="../charts/chart21.xml"/><Relationship Id="rId7" Type="http://schemas.openxmlformats.org/officeDocument/2006/relationships/chart" Target="../charts/chart8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image" Target="../media/image13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image" Target="../media/image12.png"/><Relationship Id="rId6" Type="http://schemas.openxmlformats.org/officeDocument/2006/relationships/chart" Target="../charts/chart7.xml"/><Relationship Id="rId11" Type="http://schemas.openxmlformats.org/officeDocument/2006/relationships/chart" Target="../charts/chart11.xml"/><Relationship Id="rId5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5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492016</xdr:colOff>
      <xdr:row>2</xdr:row>
      <xdr:rowOff>206607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6175" cy="657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7</xdr:row>
          <xdr:rowOff>219075</xdr:rowOff>
        </xdr:from>
        <xdr:to>
          <xdr:col>9</xdr:col>
          <xdr:colOff>295275</xdr:colOff>
          <xdr:row>9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98612</xdr:colOff>
      <xdr:row>33</xdr:row>
      <xdr:rowOff>23131</xdr:rowOff>
    </xdr:from>
    <xdr:to>
      <xdr:col>12</xdr:col>
      <xdr:colOff>206188</xdr:colOff>
      <xdr:row>42</xdr:row>
      <xdr:rowOff>194581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492016</xdr:colOff>
      <xdr:row>2</xdr:row>
      <xdr:rowOff>206607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2093" cy="6442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15</xdr:row>
          <xdr:rowOff>219075</xdr:rowOff>
        </xdr:from>
        <xdr:to>
          <xdr:col>9</xdr:col>
          <xdr:colOff>295275</xdr:colOff>
          <xdr:row>17</xdr:row>
          <xdr:rowOff>66675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7</xdr:row>
          <xdr:rowOff>219075</xdr:rowOff>
        </xdr:from>
        <xdr:to>
          <xdr:col>9</xdr:col>
          <xdr:colOff>295275</xdr:colOff>
          <xdr:row>9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285750</xdr:colOff>
      <xdr:row>33</xdr:row>
      <xdr:rowOff>23131</xdr:rowOff>
    </xdr:from>
    <xdr:to>
      <xdr:col>12</xdr:col>
      <xdr:colOff>238125</xdr:colOff>
      <xdr:row>42</xdr:row>
      <xdr:rowOff>194581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97</xdr:row>
      <xdr:rowOff>28575</xdr:rowOff>
    </xdr:from>
    <xdr:to>
      <xdr:col>4</xdr:col>
      <xdr:colOff>1540216</xdr:colOff>
      <xdr:row>140</xdr:row>
      <xdr:rowOff>57150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17</xdr:col>
      <xdr:colOff>327220</xdr:colOff>
      <xdr:row>82</xdr:row>
      <xdr:rowOff>20662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2269" y="3223846"/>
          <a:ext cx="7800975" cy="10010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2</xdr:row>
      <xdr:rowOff>66675</xdr:rowOff>
    </xdr:from>
    <xdr:to>
      <xdr:col>11</xdr:col>
      <xdr:colOff>586932</xdr:colOff>
      <xdr:row>11</xdr:row>
      <xdr:rowOff>15240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6" y="390525"/>
          <a:ext cx="6646736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14</xdr:row>
      <xdr:rowOff>28576</xdr:rowOff>
    </xdr:from>
    <xdr:to>
      <xdr:col>11</xdr:col>
      <xdr:colOff>554355</xdr:colOff>
      <xdr:row>27</xdr:row>
      <xdr:rowOff>54169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2295526"/>
          <a:ext cx="6619875" cy="21191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9526</xdr:colOff>
      <xdr:row>30</xdr:row>
      <xdr:rowOff>76199</xdr:rowOff>
    </xdr:from>
    <xdr:to>
      <xdr:col>11</xdr:col>
      <xdr:colOff>593632</xdr:colOff>
      <xdr:row>46</xdr:row>
      <xdr:rowOff>57149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4933949"/>
          <a:ext cx="6683916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161924</xdr:rowOff>
    </xdr:from>
    <xdr:to>
      <xdr:col>11</xdr:col>
      <xdr:colOff>549790</xdr:colOff>
      <xdr:row>73</xdr:row>
      <xdr:rowOff>17144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34324"/>
          <a:ext cx="6649600" cy="389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1</xdr:row>
      <xdr:rowOff>85725</xdr:rowOff>
    </xdr:from>
    <xdr:to>
      <xdr:col>8</xdr:col>
      <xdr:colOff>571500</xdr:colOff>
      <xdr:row>47</xdr:row>
      <xdr:rowOff>135255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247650"/>
          <a:ext cx="4905375" cy="7505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13</xdr:col>
      <xdr:colOff>126768</xdr:colOff>
      <xdr:row>24</xdr:row>
      <xdr:rowOff>152918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23850"/>
          <a:ext cx="7440063" cy="37152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11</xdr:col>
      <xdr:colOff>431441</xdr:colOff>
      <xdr:row>53</xdr:row>
      <xdr:rowOff>141600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4210050"/>
          <a:ext cx="6525536" cy="4515480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25</xdr:row>
      <xdr:rowOff>66674</xdr:rowOff>
    </xdr:from>
    <xdr:to>
      <xdr:col>10</xdr:col>
      <xdr:colOff>361950</xdr:colOff>
      <xdr:row>48</xdr:row>
      <xdr:rowOff>85724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19049</xdr:rowOff>
    </xdr:from>
    <xdr:to>
      <xdr:col>14</xdr:col>
      <xdr:colOff>172579</xdr:colOff>
      <xdr:row>39</xdr:row>
      <xdr:rowOff>136110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950"/>
        <a:stretch/>
      </xdr:blipFill>
      <xdr:spPr>
        <a:xfrm>
          <a:off x="609600" y="504824"/>
          <a:ext cx="8087854" cy="5953981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41</xdr:row>
      <xdr:rowOff>95250</xdr:rowOff>
    </xdr:from>
    <xdr:to>
      <xdr:col>14</xdr:col>
      <xdr:colOff>401192</xdr:colOff>
      <xdr:row>102</xdr:row>
      <xdr:rowOff>15240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9776" b="5683"/>
        <a:stretch/>
      </xdr:blipFill>
      <xdr:spPr>
        <a:xfrm>
          <a:off x="742950" y="6734175"/>
          <a:ext cx="8183117" cy="9801225"/>
        </a:xfrm>
        <a:prstGeom prst="rect">
          <a:avLst/>
        </a:prstGeom>
      </xdr:spPr>
    </xdr:pic>
    <xdr:clientData/>
  </xdr:twoCellAnchor>
  <xdr:twoCellAnchor>
    <xdr:from>
      <xdr:col>2</xdr:col>
      <xdr:colOff>442911</xdr:colOff>
      <xdr:row>41</xdr:row>
      <xdr:rowOff>9525</xdr:rowOff>
    </xdr:from>
    <xdr:to>
      <xdr:col>11</xdr:col>
      <xdr:colOff>390524</xdr:colOff>
      <xdr:row>63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257175</xdr:colOff>
      <xdr:row>41</xdr:row>
      <xdr:rowOff>9525</xdr:rowOff>
    </xdr:from>
    <xdr:to>
      <xdr:col>28</xdr:col>
      <xdr:colOff>438149</xdr:colOff>
      <xdr:row>56</xdr:row>
      <xdr:rowOff>142875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285750</xdr:colOff>
      <xdr:row>56</xdr:row>
      <xdr:rowOff>152400</xdr:rowOff>
    </xdr:from>
    <xdr:to>
      <xdr:col>13</xdr:col>
      <xdr:colOff>419099</xdr:colOff>
      <xdr:row>81</xdr:row>
      <xdr:rowOff>142875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157370</xdr:colOff>
      <xdr:row>61</xdr:row>
      <xdr:rowOff>8284</xdr:rowOff>
    </xdr:from>
    <xdr:to>
      <xdr:col>21</xdr:col>
      <xdr:colOff>440635</xdr:colOff>
      <xdr:row>79</xdr:row>
      <xdr:rowOff>83241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233362</xdr:colOff>
      <xdr:row>88</xdr:row>
      <xdr:rowOff>47625</xdr:rowOff>
    </xdr:from>
    <xdr:to>
      <xdr:col>14</xdr:col>
      <xdr:colOff>161925</xdr:colOff>
      <xdr:row>99</xdr:row>
      <xdr:rowOff>152400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9525</xdr:colOff>
      <xdr:row>106</xdr:row>
      <xdr:rowOff>47625</xdr:rowOff>
    </xdr:from>
    <xdr:to>
      <xdr:col>14</xdr:col>
      <xdr:colOff>495300</xdr:colOff>
      <xdr:row>168</xdr:row>
      <xdr:rowOff>15240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17211675"/>
          <a:ext cx="7800975" cy="10010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271461</xdr:colOff>
      <xdr:row>121</xdr:row>
      <xdr:rowOff>38099</xdr:rowOff>
    </xdr:from>
    <xdr:to>
      <xdr:col>14</xdr:col>
      <xdr:colOff>542924</xdr:colOff>
      <xdr:row>152</xdr:row>
      <xdr:rowOff>57149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180974</xdr:colOff>
      <xdr:row>116</xdr:row>
      <xdr:rowOff>85724</xdr:rowOff>
    </xdr:from>
    <xdr:to>
      <xdr:col>30</xdr:col>
      <xdr:colOff>390525</xdr:colOff>
      <xdr:row>133</xdr:row>
      <xdr:rowOff>38100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447676</xdr:colOff>
      <xdr:row>116</xdr:row>
      <xdr:rowOff>38100</xdr:rowOff>
    </xdr:from>
    <xdr:to>
      <xdr:col>33</xdr:col>
      <xdr:colOff>571500</xdr:colOff>
      <xdr:row>132</xdr:row>
      <xdr:rowOff>142875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581027</xdr:colOff>
      <xdr:row>116</xdr:row>
      <xdr:rowOff>66675</xdr:rowOff>
    </xdr:from>
    <xdr:to>
      <xdr:col>37</xdr:col>
      <xdr:colOff>114301</xdr:colOff>
      <xdr:row>132</xdr:row>
      <xdr:rowOff>133350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37</xdr:col>
      <xdr:colOff>219076</xdr:colOff>
      <xdr:row>116</xdr:row>
      <xdr:rowOff>19050</xdr:rowOff>
    </xdr:from>
    <xdr:to>
      <xdr:col>40</xdr:col>
      <xdr:colOff>57150</xdr:colOff>
      <xdr:row>133</xdr:row>
      <xdr:rowOff>47625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133351</xdr:colOff>
      <xdr:row>116</xdr:row>
      <xdr:rowOff>38100</xdr:rowOff>
    </xdr:from>
    <xdr:to>
      <xdr:col>42</xdr:col>
      <xdr:colOff>590551</xdr:colOff>
      <xdr:row>133</xdr:row>
      <xdr:rowOff>28575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28576</xdr:colOff>
      <xdr:row>116</xdr:row>
      <xdr:rowOff>0</xdr:rowOff>
    </xdr:from>
    <xdr:to>
      <xdr:col>45</xdr:col>
      <xdr:colOff>581026</xdr:colOff>
      <xdr:row>133</xdr:row>
      <xdr:rowOff>0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46</xdr:col>
      <xdr:colOff>57151</xdr:colOff>
      <xdr:row>116</xdr:row>
      <xdr:rowOff>9525</xdr:rowOff>
    </xdr:from>
    <xdr:to>
      <xdr:col>49</xdr:col>
      <xdr:colOff>0</xdr:colOff>
      <xdr:row>133</xdr:row>
      <xdr:rowOff>114299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49</xdr:col>
      <xdr:colOff>47625</xdr:colOff>
      <xdr:row>115</xdr:row>
      <xdr:rowOff>142875</xdr:rowOff>
    </xdr:from>
    <xdr:to>
      <xdr:col>52</xdr:col>
      <xdr:colOff>171450</xdr:colOff>
      <xdr:row>133</xdr:row>
      <xdr:rowOff>104775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52</xdr:col>
      <xdr:colOff>180975</xdr:colOff>
      <xdr:row>115</xdr:row>
      <xdr:rowOff>133349</xdr:rowOff>
    </xdr:from>
    <xdr:to>
      <xdr:col>56</xdr:col>
      <xdr:colOff>95250</xdr:colOff>
      <xdr:row>133</xdr:row>
      <xdr:rowOff>123824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357187</xdr:colOff>
      <xdr:row>134</xdr:row>
      <xdr:rowOff>123825</xdr:rowOff>
    </xdr:from>
    <xdr:to>
      <xdr:col>35</xdr:col>
      <xdr:colOff>52387</xdr:colOff>
      <xdr:row>151</xdr:row>
      <xdr:rowOff>114300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14</xdr:col>
      <xdr:colOff>356152</xdr:colOff>
      <xdr:row>30</xdr:row>
      <xdr:rowOff>135835</xdr:rowOff>
    </xdr:from>
    <xdr:to>
      <xdr:col>20</xdr:col>
      <xdr:colOff>422413</xdr:colOff>
      <xdr:row>47</xdr:row>
      <xdr:rowOff>62948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35</xdr:col>
      <xdr:colOff>149087</xdr:colOff>
      <xdr:row>41</xdr:row>
      <xdr:rowOff>24849</xdr:rowOff>
    </xdr:from>
    <xdr:to>
      <xdr:col>43</xdr:col>
      <xdr:colOff>553692</xdr:colOff>
      <xdr:row>56</xdr:row>
      <xdr:rowOff>158199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42</xdr:col>
      <xdr:colOff>16564</xdr:colOff>
      <xdr:row>58</xdr:row>
      <xdr:rowOff>16564</xdr:rowOff>
    </xdr:from>
    <xdr:to>
      <xdr:col>50</xdr:col>
      <xdr:colOff>571500</xdr:colOff>
      <xdr:row>76</xdr:row>
      <xdr:rowOff>124238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35</xdr:col>
      <xdr:colOff>99390</xdr:colOff>
      <xdr:row>135</xdr:row>
      <xdr:rowOff>49697</xdr:rowOff>
    </xdr:from>
    <xdr:to>
      <xdr:col>48</xdr:col>
      <xdr:colOff>130659</xdr:colOff>
      <xdr:row>158</xdr:row>
      <xdr:rowOff>118441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sheetPr>
    <tabColor rgb="FF92D050"/>
  </sheetPr>
  <dimension ref="A1:AD48"/>
  <sheetViews>
    <sheetView tabSelected="1" zoomScale="115" zoomScaleNormal="115" zoomScaleSheetLayoutView="100" workbookViewId="0">
      <selection activeCell="AB52" sqref="AB52"/>
    </sheetView>
  </sheetViews>
  <sheetFormatPr defaultRowHeight="12" x14ac:dyDescent="0.2"/>
  <cols>
    <col min="1" max="30" width="3.42578125" style="32" customWidth="1"/>
    <col min="31" max="256" width="9.140625" style="32"/>
    <col min="257" max="286" width="3.42578125" style="32" customWidth="1"/>
    <col min="287" max="512" width="9.140625" style="32"/>
    <col min="513" max="542" width="3.42578125" style="32" customWidth="1"/>
    <col min="543" max="768" width="9.140625" style="32"/>
    <col min="769" max="798" width="3.42578125" style="32" customWidth="1"/>
    <col min="799" max="1024" width="9.140625" style="32"/>
    <col min="1025" max="1054" width="3.42578125" style="32" customWidth="1"/>
    <col min="1055" max="1280" width="9.140625" style="32"/>
    <col min="1281" max="1310" width="3.42578125" style="32" customWidth="1"/>
    <col min="1311" max="1536" width="9.140625" style="32"/>
    <col min="1537" max="1566" width="3.42578125" style="32" customWidth="1"/>
    <col min="1567" max="1792" width="9.140625" style="32"/>
    <col min="1793" max="1822" width="3.42578125" style="32" customWidth="1"/>
    <col min="1823" max="2048" width="9.140625" style="32"/>
    <col min="2049" max="2078" width="3.42578125" style="32" customWidth="1"/>
    <col min="2079" max="2304" width="9.140625" style="32"/>
    <col min="2305" max="2334" width="3.42578125" style="32" customWidth="1"/>
    <col min="2335" max="2560" width="9.140625" style="32"/>
    <col min="2561" max="2590" width="3.42578125" style="32" customWidth="1"/>
    <col min="2591" max="2816" width="9.140625" style="32"/>
    <col min="2817" max="2846" width="3.42578125" style="32" customWidth="1"/>
    <col min="2847" max="3072" width="9.140625" style="32"/>
    <col min="3073" max="3102" width="3.42578125" style="32" customWidth="1"/>
    <col min="3103" max="3328" width="9.140625" style="32"/>
    <col min="3329" max="3358" width="3.42578125" style="32" customWidth="1"/>
    <col min="3359" max="3584" width="9.140625" style="32"/>
    <col min="3585" max="3614" width="3.42578125" style="32" customWidth="1"/>
    <col min="3615" max="3840" width="9.140625" style="32"/>
    <col min="3841" max="3870" width="3.42578125" style="32" customWidth="1"/>
    <col min="3871" max="4096" width="9.140625" style="32"/>
    <col min="4097" max="4126" width="3.42578125" style="32" customWidth="1"/>
    <col min="4127" max="4352" width="9.140625" style="32"/>
    <col min="4353" max="4382" width="3.42578125" style="32" customWidth="1"/>
    <col min="4383" max="4608" width="9.140625" style="32"/>
    <col min="4609" max="4638" width="3.42578125" style="32" customWidth="1"/>
    <col min="4639" max="4864" width="9.140625" style="32"/>
    <col min="4865" max="4894" width="3.42578125" style="32" customWidth="1"/>
    <col min="4895" max="5120" width="9.140625" style="32"/>
    <col min="5121" max="5150" width="3.42578125" style="32" customWidth="1"/>
    <col min="5151" max="5376" width="9.140625" style="32"/>
    <col min="5377" max="5406" width="3.42578125" style="32" customWidth="1"/>
    <col min="5407" max="5632" width="9.140625" style="32"/>
    <col min="5633" max="5662" width="3.42578125" style="32" customWidth="1"/>
    <col min="5663" max="5888" width="9.140625" style="32"/>
    <col min="5889" max="5918" width="3.42578125" style="32" customWidth="1"/>
    <col min="5919" max="6144" width="9.140625" style="32"/>
    <col min="6145" max="6174" width="3.42578125" style="32" customWidth="1"/>
    <col min="6175" max="6400" width="9.140625" style="32"/>
    <col min="6401" max="6430" width="3.42578125" style="32" customWidth="1"/>
    <col min="6431" max="6656" width="9.140625" style="32"/>
    <col min="6657" max="6686" width="3.42578125" style="32" customWidth="1"/>
    <col min="6687" max="6912" width="9.140625" style="32"/>
    <col min="6913" max="6942" width="3.42578125" style="32" customWidth="1"/>
    <col min="6943" max="7168" width="9.140625" style="32"/>
    <col min="7169" max="7198" width="3.42578125" style="32" customWidth="1"/>
    <col min="7199" max="7424" width="9.140625" style="32"/>
    <col min="7425" max="7454" width="3.42578125" style="32" customWidth="1"/>
    <col min="7455" max="7680" width="9.140625" style="32"/>
    <col min="7681" max="7710" width="3.42578125" style="32" customWidth="1"/>
    <col min="7711" max="7936" width="9.140625" style="32"/>
    <col min="7937" max="7966" width="3.42578125" style="32" customWidth="1"/>
    <col min="7967" max="8192" width="9.140625" style="32"/>
    <col min="8193" max="8222" width="3.42578125" style="32" customWidth="1"/>
    <col min="8223" max="8448" width="9.140625" style="32"/>
    <col min="8449" max="8478" width="3.42578125" style="32" customWidth="1"/>
    <col min="8479" max="8704" width="9.140625" style="32"/>
    <col min="8705" max="8734" width="3.42578125" style="32" customWidth="1"/>
    <col min="8735" max="8960" width="9.140625" style="32"/>
    <col min="8961" max="8990" width="3.42578125" style="32" customWidth="1"/>
    <col min="8991" max="9216" width="9.140625" style="32"/>
    <col min="9217" max="9246" width="3.42578125" style="32" customWidth="1"/>
    <col min="9247" max="9472" width="9.140625" style="32"/>
    <col min="9473" max="9502" width="3.42578125" style="32" customWidth="1"/>
    <col min="9503" max="9728" width="9.140625" style="32"/>
    <col min="9729" max="9758" width="3.42578125" style="32" customWidth="1"/>
    <col min="9759" max="9984" width="9.140625" style="32"/>
    <col min="9985" max="10014" width="3.42578125" style="32" customWidth="1"/>
    <col min="10015" max="10240" width="9.140625" style="32"/>
    <col min="10241" max="10270" width="3.42578125" style="32" customWidth="1"/>
    <col min="10271" max="10496" width="9.140625" style="32"/>
    <col min="10497" max="10526" width="3.42578125" style="32" customWidth="1"/>
    <col min="10527" max="10752" width="9.140625" style="32"/>
    <col min="10753" max="10782" width="3.42578125" style="32" customWidth="1"/>
    <col min="10783" max="11008" width="9.140625" style="32"/>
    <col min="11009" max="11038" width="3.42578125" style="32" customWidth="1"/>
    <col min="11039" max="11264" width="9.140625" style="32"/>
    <col min="11265" max="11294" width="3.42578125" style="32" customWidth="1"/>
    <col min="11295" max="11520" width="9.140625" style="32"/>
    <col min="11521" max="11550" width="3.42578125" style="32" customWidth="1"/>
    <col min="11551" max="11776" width="9.140625" style="32"/>
    <col min="11777" max="11806" width="3.42578125" style="32" customWidth="1"/>
    <col min="11807" max="12032" width="9.140625" style="32"/>
    <col min="12033" max="12062" width="3.42578125" style="32" customWidth="1"/>
    <col min="12063" max="12288" width="9.140625" style="32"/>
    <col min="12289" max="12318" width="3.42578125" style="32" customWidth="1"/>
    <col min="12319" max="12544" width="9.140625" style="32"/>
    <col min="12545" max="12574" width="3.42578125" style="32" customWidth="1"/>
    <col min="12575" max="12800" width="9.140625" style="32"/>
    <col min="12801" max="12830" width="3.42578125" style="32" customWidth="1"/>
    <col min="12831" max="13056" width="9.140625" style="32"/>
    <col min="13057" max="13086" width="3.42578125" style="32" customWidth="1"/>
    <col min="13087" max="13312" width="9.140625" style="32"/>
    <col min="13313" max="13342" width="3.42578125" style="32" customWidth="1"/>
    <col min="13343" max="13568" width="9.140625" style="32"/>
    <col min="13569" max="13598" width="3.42578125" style="32" customWidth="1"/>
    <col min="13599" max="13824" width="9.140625" style="32"/>
    <col min="13825" max="13854" width="3.42578125" style="32" customWidth="1"/>
    <col min="13855" max="14080" width="9.140625" style="32"/>
    <col min="14081" max="14110" width="3.42578125" style="32" customWidth="1"/>
    <col min="14111" max="14336" width="9.140625" style="32"/>
    <col min="14337" max="14366" width="3.42578125" style="32" customWidth="1"/>
    <col min="14367" max="14592" width="9.140625" style="32"/>
    <col min="14593" max="14622" width="3.42578125" style="32" customWidth="1"/>
    <col min="14623" max="14848" width="9.140625" style="32"/>
    <col min="14849" max="14878" width="3.42578125" style="32" customWidth="1"/>
    <col min="14879" max="15104" width="9.140625" style="32"/>
    <col min="15105" max="15134" width="3.42578125" style="32" customWidth="1"/>
    <col min="15135" max="15360" width="9.140625" style="32"/>
    <col min="15361" max="15390" width="3.42578125" style="32" customWidth="1"/>
    <col min="15391" max="15616" width="9.140625" style="32"/>
    <col min="15617" max="15646" width="3.42578125" style="32" customWidth="1"/>
    <col min="15647" max="15872" width="9.140625" style="32"/>
    <col min="15873" max="15902" width="3.42578125" style="32" customWidth="1"/>
    <col min="15903" max="16128" width="9.140625" style="32"/>
    <col min="16129" max="16158" width="3.42578125" style="32" customWidth="1"/>
    <col min="16159" max="16384" width="9.140625" style="32"/>
  </cols>
  <sheetData>
    <row r="1" spans="1:30" ht="15" customHeight="1" x14ac:dyDescent="0.2">
      <c r="A1" s="29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1"/>
    </row>
    <row r="2" spans="1:30" ht="15" customHeight="1" x14ac:dyDescent="0.2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5"/>
    </row>
    <row r="3" spans="1:30" ht="15" customHeight="1" x14ac:dyDescent="0.2">
      <c r="A3" s="33"/>
      <c r="B3" s="34"/>
      <c r="C3" s="34"/>
      <c r="D3" s="34"/>
      <c r="E3" s="34"/>
      <c r="F3" s="34"/>
      <c r="G3" s="34"/>
      <c r="H3" s="36"/>
      <c r="I3" s="36"/>
      <c r="J3" s="36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8"/>
      <c r="X3" s="38"/>
      <c r="Y3" s="38"/>
      <c r="Z3" s="38"/>
      <c r="AA3" s="38"/>
      <c r="AB3" s="38"/>
      <c r="AC3" s="38"/>
      <c r="AD3" s="39"/>
    </row>
    <row r="4" spans="1:30" ht="15" customHeight="1" x14ac:dyDescent="0.2">
      <c r="A4" s="33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5"/>
    </row>
    <row r="5" spans="1:30" ht="15" customHeight="1" x14ac:dyDescent="0.2">
      <c r="A5" s="33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5"/>
    </row>
    <row r="6" spans="1:30" ht="15" customHeight="1" x14ac:dyDescent="0.2">
      <c r="A6" s="33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5"/>
    </row>
    <row r="7" spans="1:30" ht="15" customHeight="1" thickBot="1" x14ac:dyDescent="0.25">
      <c r="A7" s="40"/>
      <c r="B7" s="41"/>
      <c r="C7" s="41"/>
      <c r="D7" s="41"/>
      <c r="E7" s="41"/>
      <c r="F7" s="42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41"/>
      <c r="AB7" s="41"/>
      <c r="AC7" s="41"/>
      <c r="AD7" s="43"/>
    </row>
    <row r="8" spans="1:30" ht="15" customHeight="1" x14ac:dyDescent="0.2">
      <c r="A8" s="125" t="s">
        <v>221</v>
      </c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7"/>
    </row>
    <row r="9" spans="1:30" ht="15" customHeight="1" x14ac:dyDescent="0.2">
      <c r="A9" s="128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30"/>
    </row>
    <row r="10" spans="1:30" ht="15" customHeight="1" x14ac:dyDescent="0.2">
      <c r="A10" s="128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30"/>
    </row>
    <row r="11" spans="1:30" ht="15" customHeight="1" x14ac:dyDescent="0.2">
      <c r="A11" s="128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30"/>
    </row>
    <row r="12" spans="1:30" ht="15" customHeight="1" x14ac:dyDescent="0.2">
      <c r="A12" s="128"/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30"/>
    </row>
    <row r="13" spans="1:30" ht="15" customHeight="1" x14ac:dyDescent="0.2">
      <c r="A13" s="128"/>
      <c r="B13" s="129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30"/>
    </row>
    <row r="14" spans="1:30" ht="15" customHeight="1" x14ac:dyDescent="0.2">
      <c r="A14" s="128"/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30"/>
    </row>
    <row r="15" spans="1:30" ht="15" customHeight="1" x14ac:dyDescent="0.2">
      <c r="A15" s="128"/>
      <c r="B15" s="12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30"/>
    </row>
    <row r="16" spans="1:30" ht="15" customHeight="1" x14ac:dyDescent="0.2">
      <c r="A16" s="128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30"/>
    </row>
    <row r="17" spans="1:30" ht="15" customHeight="1" x14ac:dyDescent="0.2">
      <c r="A17" s="128"/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30"/>
    </row>
    <row r="18" spans="1:30" ht="15" customHeight="1" x14ac:dyDescent="0.2">
      <c r="A18" s="128"/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30"/>
    </row>
    <row r="19" spans="1:30" ht="15" customHeight="1" x14ac:dyDescent="0.2">
      <c r="A19" s="128"/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30"/>
    </row>
    <row r="20" spans="1:30" ht="15" customHeight="1" x14ac:dyDescent="0.2">
      <c r="A20" s="128"/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30"/>
    </row>
    <row r="21" spans="1:30" ht="15" customHeight="1" x14ac:dyDescent="0.2">
      <c r="A21" s="128"/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30"/>
    </row>
    <row r="22" spans="1:30" ht="15" customHeight="1" x14ac:dyDescent="0.2">
      <c r="A22" s="128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30"/>
    </row>
    <row r="23" spans="1:30" ht="15" customHeight="1" x14ac:dyDescent="0.2">
      <c r="A23" s="128"/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129"/>
      <c r="AD23" s="130"/>
    </row>
    <row r="24" spans="1:30" ht="15" customHeight="1" x14ac:dyDescent="0.2">
      <c r="A24" s="128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30"/>
    </row>
    <row r="25" spans="1:30" ht="15" customHeight="1" x14ac:dyDescent="0.2">
      <c r="A25" s="128"/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30"/>
    </row>
    <row r="26" spans="1:30" ht="15" customHeight="1" x14ac:dyDescent="0.2">
      <c r="A26" s="128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30"/>
    </row>
    <row r="27" spans="1:30" ht="15" customHeight="1" x14ac:dyDescent="0.2">
      <c r="A27" s="128"/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/>
    </row>
    <row r="28" spans="1:30" ht="15" customHeight="1" x14ac:dyDescent="0.2">
      <c r="A28" s="128"/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/>
    </row>
    <row r="29" spans="1:30" ht="15" customHeight="1" x14ac:dyDescent="0.2">
      <c r="A29" s="128"/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/>
    </row>
    <row r="30" spans="1:30" ht="15" customHeight="1" x14ac:dyDescent="0.2">
      <c r="A30" s="128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/>
    </row>
    <row r="31" spans="1:30" ht="15" customHeight="1" x14ac:dyDescent="0.2">
      <c r="A31" s="128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/>
    </row>
    <row r="32" spans="1:30" ht="15" customHeight="1" x14ac:dyDescent="0.2">
      <c r="A32" s="128"/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/>
    </row>
    <row r="33" spans="1:30" ht="15" customHeight="1" x14ac:dyDescent="0.2">
      <c r="A33" s="128"/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30"/>
    </row>
    <row r="34" spans="1:30" ht="15" customHeight="1" x14ac:dyDescent="0.2">
      <c r="A34" s="128"/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30"/>
    </row>
    <row r="35" spans="1:30" ht="15" customHeight="1" x14ac:dyDescent="0.2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30"/>
    </row>
    <row r="36" spans="1:30" ht="15" customHeight="1" x14ac:dyDescent="0.2">
      <c r="A36" s="128"/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30"/>
    </row>
    <row r="37" spans="1:30" ht="15" customHeight="1" x14ac:dyDescent="0.2">
      <c r="A37" s="128"/>
      <c r="B37" s="129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30"/>
    </row>
    <row r="38" spans="1:30" ht="15" customHeight="1" x14ac:dyDescent="0.2">
      <c r="A38" s="128"/>
      <c r="B38" s="129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30"/>
    </row>
    <row r="39" spans="1:30" ht="15" customHeight="1" thickBot="1" x14ac:dyDescent="0.25">
      <c r="A39" s="131"/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3"/>
    </row>
    <row r="40" spans="1:30" ht="30" customHeight="1" x14ac:dyDescent="0.2">
      <c r="A40" s="134"/>
      <c r="B40" s="135"/>
      <c r="C40" s="136"/>
      <c r="D40" s="137"/>
      <c r="E40" s="137"/>
      <c r="F40" s="135"/>
      <c r="G40" s="136"/>
      <c r="H40" s="137"/>
      <c r="I40" s="137"/>
      <c r="J40" s="137"/>
      <c r="K40" s="137"/>
      <c r="L40" s="137"/>
      <c r="M40" s="137"/>
      <c r="N40" s="137"/>
      <c r="O40" s="137"/>
      <c r="P40" s="136"/>
      <c r="Q40" s="137"/>
      <c r="R40" s="137"/>
      <c r="S40" s="137"/>
      <c r="T40" s="135"/>
      <c r="U40" s="136"/>
      <c r="V40" s="137"/>
      <c r="W40" s="137"/>
      <c r="X40" s="137"/>
      <c r="Y40" s="135"/>
      <c r="Z40" s="136"/>
      <c r="AA40" s="137"/>
      <c r="AB40" s="137"/>
      <c r="AC40" s="137"/>
      <c r="AD40" s="138"/>
    </row>
    <row r="41" spans="1:30" ht="30" customHeight="1" x14ac:dyDescent="0.2">
      <c r="A41" s="142"/>
      <c r="B41" s="143"/>
      <c r="C41" s="139"/>
      <c r="D41" s="140"/>
      <c r="E41" s="140"/>
      <c r="F41" s="143"/>
      <c r="G41" s="139"/>
      <c r="H41" s="140"/>
      <c r="I41" s="140"/>
      <c r="J41" s="140"/>
      <c r="K41" s="140"/>
      <c r="L41" s="140"/>
      <c r="M41" s="140"/>
      <c r="N41" s="140"/>
      <c r="O41" s="140"/>
      <c r="P41" s="139"/>
      <c r="Q41" s="140"/>
      <c r="R41" s="140"/>
      <c r="S41" s="140"/>
      <c r="T41" s="143"/>
      <c r="U41" s="139"/>
      <c r="V41" s="140"/>
      <c r="W41" s="140"/>
      <c r="X41" s="140"/>
      <c r="Y41" s="143"/>
      <c r="Z41" s="139"/>
      <c r="AA41" s="140"/>
      <c r="AB41" s="140"/>
      <c r="AC41" s="140"/>
      <c r="AD41" s="141"/>
    </row>
    <row r="42" spans="1:30" ht="30" customHeight="1" x14ac:dyDescent="0.2">
      <c r="A42" s="142"/>
      <c r="B42" s="143"/>
      <c r="C42" s="139"/>
      <c r="D42" s="140"/>
      <c r="E42" s="140"/>
      <c r="F42" s="143"/>
      <c r="G42" s="139"/>
      <c r="H42" s="140"/>
      <c r="I42" s="140"/>
      <c r="J42" s="140"/>
      <c r="K42" s="140"/>
      <c r="L42" s="140"/>
      <c r="M42" s="140"/>
      <c r="N42" s="140"/>
      <c r="O42" s="140"/>
      <c r="P42" s="139"/>
      <c r="Q42" s="140"/>
      <c r="R42" s="140"/>
      <c r="S42" s="140"/>
      <c r="T42" s="143"/>
      <c r="U42" s="139"/>
      <c r="V42" s="140"/>
      <c r="W42" s="140"/>
      <c r="X42" s="140"/>
      <c r="Y42" s="143"/>
      <c r="Z42" s="139"/>
      <c r="AA42" s="140"/>
      <c r="AB42" s="140"/>
      <c r="AC42" s="140"/>
      <c r="AD42" s="141"/>
    </row>
    <row r="43" spans="1:30" ht="30" customHeight="1" x14ac:dyDescent="0.2">
      <c r="A43" s="142"/>
      <c r="B43" s="143"/>
      <c r="C43" s="139"/>
      <c r="D43" s="140"/>
      <c r="E43" s="140"/>
      <c r="F43" s="143"/>
      <c r="G43" s="139"/>
      <c r="H43" s="140"/>
      <c r="I43" s="140"/>
      <c r="J43" s="140"/>
      <c r="K43" s="140"/>
      <c r="L43" s="140"/>
      <c r="M43" s="140"/>
      <c r="N43" s="140"/>
      <c r="O43" s="140"/>
      <c r="P43" s="139"/>
      <c r="Q43" s="140"/>
      <c r="R43" s="140"/>
      <c r="S43" s="140"/>
      <c r="T43" s="143"/>
      <c r="U43" s="139"/>
      <c r="V43" s="140"/>
      <c r="W43" s="140"/>
      <c r="X43" s="140"/>
      <c r="Y43" s="143"/>
      <c r="Z43" s="139"/>
      <c r="AA43" s="140"/>
      <c r="AB43" s="140"/>
      <c r="AC43" s="140"/>
      <c r="AD43" s="141"/>
    </row>
    <row r="44" spans="1:30" ht="30" customHeight="1" x14ac:dyDescent="0.2">
      <c r="A44" s="142"/>
      <c r="B44" s="143"/>
      <c r="C44" s="139"/>
      <c r="D44" s="140"/>
      <c r="E44" s="140"/>
      <c r="F44" s="143"/>
      <c r="G44" s="139"/>
      <c r="H44" s="140"/>
      <c r="I44" s="140"/>
      <c r="J44" s="140"/>
      <c r="K44" s="140"/>
      <c r="L44" s="140"/>
      <c r="M44" s="140"/>
      <c r="N44" s="140"/>
      <c r="O44" s="140"/>
      <c r="P44" s="139"/>
      <c r="Q44" s="140"/>
      <c r="R44" s="140"/>
      <c r="S44" s="140"/>
      <c r="T44" s="143"/>
      <c r="U44" s="139"/>
      <c r="V44" s="140"/>
      <c r="W44" s="140"/>
      <c r="X44" s="140"/>
      <c r="Y44" s="143"/>
      <c r="Z44" s="139"/>
      <c r="AA44" s="140"/>
      <c r="AB44" s="140"/>
      <c r="AC44" s="140"/>
      <c r="AD44" s="141"/>
    </row>
    <row r="45" spans="1:30" ht="30" customHeight="1" x14ac:dyDescent="0.2">
      <c r="A45" s="142"/>
      <c r="B45" s="143"/>
      <c r="C45" s="139"/>
      <c r="D45" s="140"/>
      <c r="E45" s="140"/>
      <c r="F45" s="143"/>
      <c r="G45" s="139"/>
      <c r="H45" s="140"/>
      <c r="I45" s="140"/>
      <c r="J45" s="140"/>
      <c r="K45" s="140"/>
      <c r="L45" s="140"/>
      <c r="M45" s="140"/>
      <c r="N45" s="140"/>
      <c r="O45" s="140"/>
      <c r="P45" s="139"/>
      <c r="Q45" s="140"/>
      <c r="R45" s="140"/>
      <c r="S45" s="140"/>
      <c r="T45" s="143"/>
      <c r="U45" s="139"/>
      <c r="V45" s="140"/>
      <c r="W45" s="140"/>
      <c r="X45" s="140"/>
      <c r="Y45" s="143"/>
      <c r="Z45" s="139"/>
      <c r="AA45" s="140"/>
      <c r="AB45" s="140"/>
      <c r="AC45" s="140"/>
      <c r="AD45" s="141"/>
    </row>
    <row r="46" spans="1:30" ht="30" customHeight="1" x14ac:dyDescent="0.2">
      <c r="A46" s="147">
        <v>0</v>
      </c>
      <c r="B46" s="148"/>
      <c r="C46" s="149">
        <v>45358</v>
      </c>
      <c r="D46" s="150"/>
      <c r="E46" s="150"/>
      <c r="F46" s="151"/>
      <c r="G46" s="152" t="s">
        <v>0</v>
      </c>
      <c r="H46" s="153"/>
      <c r="I46" s="153"/>
      <c r="J46" s="153"/>
      <c r="K46" s="153"/>
      <c r="L46" s="153"/>
      <c r="M46" s="153"/>
      <c r="N46" s="153"/>
      <c r="O46" s="153"/>
      <c r="P46" s="144" t="s">
        <v>219</v>
      </c>
      <c r="Q46" s="145"/>
      <c r="R46" s="145"/>
      <c r="S46" s="145"/>
      <c r="T46" s="154"/>
      <c r="U46" s="144" t="s">
        <v>220</v>
      </c>
      <c r="V46" s="145"/>
      <c r="W46" s="145"/>
      <c r="X46" s="145"/>
      <c r="Y46" s="154"/>
      <c r="Z46" s="144" t="s">
        <v>223</v>
      </c>
      <c r="AA46" s="145"/>
      <c r="AB46" s="145"/>
      <c r="AC46" s="145"/>
      <c r="AD46" s="146"/>
    </row>
    <row r="47" spans="1:30" ht="15" customHeight="1" thickBot="1" x14ac:dyDescent="0.25">
      <c r="A47" s="158" t="s">
        <v>1</v>
      </c>
      <c r="B47" s="159"/>
      <c r="C47" s="160" t="s">
        <v>2</v>
      </c>
      <c r="D47" s="161"/>
      <c r="E47" s="161"/>
      <c r="F47" s="162"/>
      <c r="G47" s="160" t="s">
        <v>3</v>
      </c>
      <c r="H47" s="161"/>
      <c r="I47" s="161"/>
      <c r="J47" s="161"/>
      <c r="K47" s="161"/>
      <c r="L47" s="161"/>
      <c r="M47" s="161"/>
      <c r="N47" s="161"/>
      <c r="O47" s="161"/>
      <c r="P47" s="160" t="s">
        <v>4</v>
      </c>
      <c r="Q47" s="161"/>
      <c r="R47" s="161"/>
      <c r="S47" s="161"/>
      <c r="T47" s="162"/>
      <c r="U47" s="160" t="s">
        <v>5</v>
      </c>
      <c r="V47" s="161"/>
      <c r="W47" s="161"/>
      <c r="X47" s="161"/>
      <c r="Y47" s="161"/>
      <c r="Z47" s="160" t="s">
        <v>6</v>
      </c>
      <c r="AA47" s="161"/>
      <c r="AB47" s="161"/>
      <c r="AC47" s="161"/>
      <c r="AD47" s="163"/>
    </row>
    <row r="48" spans="1:30" ht="15" customHeight="1" thickBot="1" x14ac:dyDescent="0.25">
      <c r="A48" s="155" t="s">
        <v>222</v>
      </c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7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tabColor rgb="FF92D050"/>
    <pageSetUpPr fitToPage="1"/>
  </sheetPr>
  <dimension ref="A1:U61"/>
  <sheetViews>
    <sheetView zoomScale="70" zoomScaleNormal="70" workbookViewId="0">
      <selection activeCell="X29" sqref="X29"/>
    </sheetView>
  </sheetViews>
  <sheetFormatPr defaultColWidth="9.140625" defaultRowHeight="12.75" x14ac:dyDescent="0.2"/>
  <cols>
    <col min="1" max="2" width="7.5703125" style="3" customWidth="1"/>
    <col min="3" max="3" width="6.42578125" style="3" customWidth="1"/>
    <col min="4" max="4" width="8.5703125" style="3" customWidth="1"/>
    <col min="5" max="5" width="9.85546875" style="3" customWidth="1"/>
    <col min="6" max="6" width="9.5703125" style="3" customWidth="1"/>
    <col min="7" max="7" width="12.5703125" style="3" customWidth="1"/>
    <col min="8" max="9" width="17.42578125" style="3" customWidth="1"/>
    <col min="10" max="10" width="19" style="3" customWidth="1"/>
    <col min="11" max="12" width="9.42578125" style="3" customWidth="1"/>
    <col min="13" max="13" width="5.85546875" style="3" customWidth="1"/>
    <col min="14" max="14" width="10.42578125" style="3" customWidth="1"/>
    <col min="15" max="19" width="0" style="3" hidden="1" customWidth="1"/>
    <col min="20" max="16384" width="9.140625" style="3"/>
  </cols>
  <sheetData>
    <row r="1" spans="1:13" ht="18.75" customHeight="1" x14ac:dyDescent="0.2">
      <c r="A1" s="173"/>
      <c r="B1" s="174"/>
      <c r="C1" s="174"/>
      <c r="D1" s="174"/>
      <c r="E1" s="175"/>
      <c r="F1" s="164" t="s">
        <v>7</v>
      </c>
      <c r="G1" s="165"/>
      <c r="H1" s="165"/>
      <c r="I1" s="165"/>
      <c r="J1" s="165"/>
      <c r="K1" s="165"/>
      <c r="L1" s="165"/>
      <c r="M1" s="166"/>
    </row>
    <row r="2" spans="1:13" ht="18.75" customHeight="1" x14ac:dyDescent="0.2">
      <c r="A2" s="176"/>
      <c r="B2" s="177"/>
      <c r="C2" s="177"/>
      <c r="D2" s="177"/>
      <c r="E2" s="178"/>
      <c r="F2" s="167"/>
      <c r="G2" s="168"/>
      <c r="H2" s="168"/>
      <c r="I2" s="168"/>
      <c r="J2" s="168"/>
      <c r="K2" s="168"/>
      <c r="L2" s="168"/>
      <c r="M2" s="169"/>
    </row>
    <row r="3" spans="1:13" ht="18.75" customHeight="1" x14ac:dyDescent="0.2">
      <c r="A3" s="179"/>
      <c r="B3" s="180"/>
      <c r="C3" s="180"/>
      <c r="D3" s="180"/>
      <c r="E3" s="181"/>
      <c r="F3" s="170"/>
      <c r="G3" s="171"/>
      <c r="H3" s="171"/>
      <c r="I3" s="171"/>
      <c r="J3" s="171"/>
      <c r="K3" s="171"/>
      <c r="L3" s="171"/>
      <c r="M3" s="172"/>
    </row>
    <row r="4" spans="1:13" x14ac:dyDescent="0.2">
      <c r="A4" s="96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6"/>
    </row>
    <row r="5" spans="1:13" x14ac:dyDescent="0.2">
      <c r="A5" s="99"/>
      <c r="B5" s="79" t="s">
        <v>8</v>
      </c>
      <c r="C5" s="80"/>
      <c r="D5" s="81"/>
      <c r="E5" s="68"/>
      <c r="F5" s="69"/>
      <c r="G5" s="69"/>
      <c r="H5" s="101"/>
      <c r="I5" s="101"/>
      <c r="J5" s="101"/>
      <c r="K5" s="101"/>
      <c r="L5" s="101"/>
      <c r="M5" s="88"/>
    </row>
    <row r="6" spans="1:13" x14ac:dyDescent="0.2">
      <c r="A6" s="99"/>
      <c r="B6" s="79" t="s">
        <v>9</v>
      </c>
      <c r="C6" s="80"/>
      <c r="D6" s="81"/>
      <c r="E6" s="68"/>
      <c r="F6" s="69"/>
      <c r="G6" s="69"/>
      <c r="H6" s="101"/>
      <c r="I6" s="101"/>
      <c r="J6" s="101"/>
      <c r="K6" s="101"/>
      <c r="L6" s="101"/>
      <c r="M6" s="88"/>
    </row>
    <row r="7" spans="1:13" x14ac:dyDescent="0.2">
      <c r="A7" s="99"/>
      <c r="B7" s="79" t="s">
        <v>10</v>
      </c>
      <c r="C7" s="80"/>
      <c r="D7" s="81"/>
      <c r="E7" s="70"/>
      <c r="F7" s="71"/>
      <c r="G7" s="71"/>
      <c r="H7" s="101"/>
      <c r="I7" s="101"/>
      <c r="J7" s="101"/>
      <c r="K7" s="101"/>
      <c r="L7" s="101"/>
      <c r="M7" s="88"/>
    </row>
    <row r="8" spans="1:13" ht="15.75" x14ac:dyDescent="0.25">
      <c r="A8" s="99"/>
      <c r="B8" s="101"/>
      <c r="C8" s="107"/>
      <c r="D8" s="107"/>
      <c r="E8" s="101"/>
      <c r="F8" s="101"/>
      <c r="G8" s="101"/>
      <c r="H8" s="101"/>
      <c r="I8" s="101"/>
      <c r="J8" s="101"/>
      <c r="K8" s="101"/>
      <c r="L8" s="101"/>
      <c r="M8" s="88"/>
    </row>
    <row r="9" spans="1:13" ht="18.75" x14ac:dyDescent="0.3">
      <c r="A9" s="99"/>
      <c r="B9" s="89" t="s">
        <v>11</v>
      </c>
      <c r="C9" s="90"/>
      <c r="D9" s="90"/>
      <c r="E9" s="81"/>
      <c r="F9" s="101"/>
      <c r="G9" s="101"/>
      <c r="H9" s="101"/>
      <c r="I9" s="82" t="s">
        <v>12</v>
      </c>
      <c r="J9" s="101"/>
      <c r="K9" s="101"/>
      <c r="L9" s="101"/>
      <c r="M9" s="88"/>
    </row>
    <row r="10" spans="1:13" x14ac:dyDescent="0.2">
      <c r="A10" s="99"/>
      <c r="B10" s="79" t="s">
        <v>13</v>
      </c>
      <c r="C10" s="80"/>
      <c r="D10" s="81"/>
      <c r="E10" s="72" t="s">
        <v>14</v>
      </c>
      <c r="F10" s="101"/>
      <c r="G10" s="101"/>
      <c r="H10" s="101"/>
      <c r="I10" s="101"/>
      <c r="J10" s="101"/>
      <c r="K10" s="101"/>
      <c r="L10" s="101"/>
      <c r="M10" s="88"/>
    </row>
    <row r="11" spans="1:13" x14ac:dyDescent="0.2">
      <c r="A11" s="99"/>
      <c r="B11" s="79" t="s">
        <v>15</v>
      </c>
      <c r="C11" s="80"/>
      <c r="D11" s="81"/>
      <c r="E11" s="73">
        <v>324</v>
      </c>
      <c r="F11" s="101" t="s">
        <v>16</v>
      </c>
      <c r="G11" s="101"/>
      <c r="H11" s="101"/>
      <c r="I11" s="101"/>
      <c r="J11" s="101"/>
      <c r="K11" s="101"/>
      <c r="L11" s="101"/>
      <c r="M11" s="88"/>
    </row>
    <row r="12" spans="1:13" x14ac:dyDescent="0.2">
      <c r="A12" s="99"/>
      <c r="B12" s="79" t="s">
        <v>17</v>
      </c>
      <c r="C12" s="80"/>
      <c r="D12" s="81"/>
      <c r="E12" s="73">
        <v>53000</v>
      </c>
      <c r="F12" s="101" t="str">
        <f>+IF(E10=setup!B6,"m3/h","GPM")</f>
        <v>m3/h</v>
      </c>
      <c r="G12" s="101"/>
      <c r="H12" s="101"/>
      <c r="I12" s="101"/>
      <c r="J12" s="101"/>
      <c r="K12" s="101"/>
      <c r="L12" s="101"/>
      <c r="M12" s="88"/>
    </row>
    <row r="13" spans="1:13" x14ac:dyDescent="0.2">
      <c r="A13" s="99"/>
      <c r="B13" s="79" t="s">
        <v>18</v>
      </c>
      <c r="C13" s="80"/>
      <c r="D13" s="81"/>
      <c r="E13" s="73">
        <v>27</v>
      </c>
      <c r="F13" s="101" t="str">
        <f>+IF(E10=setup!B6,"m","ft")</f>
        <v>m</v>
      </c>
      <c r="G13" s="101"/>
      <c r="H13" s="101"/>
      <c r="I13" s="82" t="s">
        <v>19</v>
      </c>
      <c r="J13" s="76"/>
      <c r="K13" s="104" t="s">
        <v>20</v>
      </c>
      <c r="L13" s="104"/>
      <c r="M13" s="88"/>
    </row>
    <row r="14" spans="1:13" x14ac:dyDescent="0.2">
      <c r="A14" s="99"/>
      <c r="B14" s="79" t="s">
        <v>21</v>
      </c>
      <c r="C14" s="80"/>
      <c r="D14" s="81"/>
      <c r="E14" s="74">
        <v>27</v>
      </c>
      <c r="F14" s="101" t="str">
        <f>+IF(E10=setup!B6,"m","ft")</f>
        <v>m</v>
      </c>
      <c r="G14" s="101"/>
      <c r="H14" s="101"/>
      <c r="I14" s="101"/>
      <c r="J14" s="101"/>
      <c r="K14" s="101"/>
      <c r="L14" s="101"/>
      <c r="M14" s="88"/>
    </row>
    <row r="15" spans="1:13" x14ac:dyDescent="0.2">
      <c r="A15" s="99"/>
      <c r="B15" s="79" t="s">
        <v>22</v>
      </c>
      <c r="C15" s="80"/>
      <c r="D15" s="81"/>
      <c r="E15" s="74">
        <v>53000</v>
      </c>
      <c r="F15" s="101" t="str">
        <f>+IF(E10=setup!B6,"m3/h","GPM")</f>
        <v>m3/h</v>
      </c>
      <c r="G15" s="101"/>
      <c r="H15" s="101"/>
      <c r="I15" s="82" t="s">
        <v>23</v>
      </c>
      <c r="J15" s="76"/>
      <c r="K15" s="104" t="s">
        <v>20</v>
      </c>
      <c r="L15" s="104"/>
      <c r="M15" s="88"/>
    </row>
    <row r="16" spans="1:13" x14ac:dyDescent="0.2">
      <c r="A16" s="99"/>
      <c r="B16" s="79" t="s">
        <v>24</v>
      </c>
      <c r="C16" s="80"/>
      <c r="D16" s="81"/>
      <c r="E16" s="74">
        <v>3500</v>
      </c>
      <c r="F16" s="101" t="str">
        <f>+IF(E10=setup!B6,"kW","HP")</f>
        <v>kW</v>
      </c>
      <c r="G16" s="101"/>
      <c r="H16" s="101"/>
      <c r="I16" s="101"/>
      <c r="J16" s="101"/>
      <c r="K16" s="101"/>
      <c r="L16" s="101"/>
      <c r="M16" s="88"/>
    </row>
    <row r="17" spans="1:13" x14ac:dyDescent="0.2">
      <c r="A17" s="99"/>
      <c r="B17" s="79" t="s">
        <v>25</v>
      </c>
      <c r="C17" s="80"/>
      <c r="D17" s="81"/>
      <c r="E17" s="75">
        <v>14.7</v>
      </c>
      <c r="F17" s="101" t="str">
        <f>+IF(E10=setup!B6,"m","ft")</f>
        <v>m</v>
      </c>
      <c r="G17" s="101"/>
      <c r="H17" s="101"/>
      <c r="I17" s="101"/>
      <c r="J17" s="101"/>
      <c r="K17" s="101"/>
      <c r="L17" s="101"/>
      <c r="M17" s="88"/>
    </row>
    <row r="18" spans="1:13" x14ac:dyDescent="0.2">
      <c r="A18" s="99"/>
      <c r="B18" s="79" t="s">
        <v>26</v>
      </c>
      <c r="C18" s="80"/>
      <c r="D18" s="81"/>
      <c r="E18" s="74">
        <v>1000</v>
      </c>
      <c r="F18" s="101" t="str">
        <f>+IF(E10=setup!B6,"mm","in")</f>
        <v>mm</v>
      </c>
      <c r="G18" s="101"/>
      <c r="H18" s="101"/>
      <c r="I18" s="101"/>
      <c r="J18" s="101"/>
      <c r="K18" s="101"/>
      <c r="L18" s="101"/>
      <c r="M18" s="88"/>
    </row>
    <row r="19" spans="1:13" x14ac:dyDescent="0.2">
      <c r="A19" s="99"/>
      <c r="B19" s="79" t="s">
        <v>27</v>
      </c>
      <c r="C19" s="80"/>
      <c r="D19" s="80"/>
      <c r="E19" s="191" t="s">
        <v>28</v>
      </c>
      <c r="F19" s="192"/>
      <c r="G19" s="193"/>
      <c r="H19" s="101"/>
      <c r="I19" s="79" t="s">
        <v>29</v>
      </c>
      <c r="J19" s="76">
        <v>20</v>
      </c>
      <c r="K19" s="101" t="str">
        <f>+IF(E10=setup!B6,"°C","°F")</f>
        <v>°C</v>
      </c>
      <c r="L19" s="101"/>
      <c r="M19" s="88"/>
    </row>
    <row r="20" spans="1:13" x14ac:dyDescent="0.2">
      <c r="A20" s="99"/>
      <c r="B20" s="79" t="s">
        <v>30</v>
      </c>
      <c r="C20" s="80"/>
      <c r="D20" s="81"/>
      <c r="E20" s="191" t="s">
        <v>31</v>
      </c>
      <c r="F20" s="192"/>
      <c r="G20" s="193"/>
      <c r="H20" s="101"/>
      <c r="I20" s="101"/>
      <c r="J20" s="101"/>
      <c r="K20" s="101"/>
      <c r="L20" s="101"/>
      <c r="M20" s="88"/>
    </row>
    <row r="21" spans="1:13" x14ac:dyDescent="0.2">
      <c r="A21" s="99"/>
      <c r="B21" s="79" t="s">
        <v>32</v>
      </c>
      <c r="C21" s="80"/>
      <c r="D21" s="81"/>
      <c r="E21" s="191" t="s">
        <v>33</v>
      </c>
      <c r="F21" s="192"/>
      <c r="G21" s="193"/>
      <c r="H21" s="108" t="str">
        <f>+IF(AND(E21=setup!E5,Input_Output!J15&lt;&gt;0),"wrong material","")</f>
        <v/>
      </c>
      <c r="I21" s="79" t="s">
        <v>34</v>
      </c>
      <c r="J21" s="76"/>
      <c r="K21" s="101"/>
      <c r="L21" s="101"/>
      <c r="M21" s="88"/>
    </row>
    <row r="22" spans="1:13" x14ac:dyDescent="0.2">
      <c r="A22" s="99"/>
      <c r="B22" s="84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88"/>
    </row>
    <row r="23" spans="1:13" x14ac:dyDescent="0.2">
      <c r="A23" s="99"/>
      <c r="B23" s="84"/>
      <c r="C23" s="84"/>
      <c r="D23" s="101"/>
      <c r="E23" s="82" t="s">
        <v>35</v>
      </c>
      <c r="F23" s="82" t="s">
        <v>36</v>
      </c>
      <c r="G23" s="101"/>
      <c r="H23" s="101"/>
      <c r="I23" s="101"/>
      <c r="J23" s="101"/>
      <c r="K23" s="101"/>
      <c r="L23" s="101"/>
      <c r="M23" s="88"/>
    </row>
    <row r="24" spans="1:13" x14ac:dyDescent="0.2">
      <c r="A24" s="99"/>
      <c r="B24" s="84"/>
      <c r="C24" s="84"/>
      <c r="D24" s="104" t="s">
        <v>37</v>
      </c>
      <c r="E24" s="82" t="str">
        <f>+IF(E10=setup!B6,"m","ft")</f>
        <v>m</v>
      </c>
      <c r="F24" s="82" t="str">
        <f>+IF(E10=setup!B6,"m3/h","GPM")</f>
        <v>m3/h</v>
      </c>
      <c r="H24" s="101"/>
      <c r="I24" s="101"/>
      <c r="J24" s="101"/>
      <c r="K24" s="101"/>
      <c r="L24" s="101"/>
      <c r="M24" s="88"/>
    </row>
    <row r="25" spans="1:13" x14ac:dyDescent="0.2">
      <c r="A25" s="96" t="s">
        <v>38</v>
      </c>
      <c r="B25" s="105"/>
      <c r="C25" s="106"/>
      <c r="D25" s="114">
        <v>0.3</v>
      </c>
      <c r="E25" s="77">
        <v>11</v>
      </c>
      <c r="F25" s="124">
        <f>+$E$15*D25</f>
        <v>15900</v>
      </c>
      <c r="G25" s="101"/>
      <c r="H25" s="101"/>
      <c r="I25" s="101"/>
      <c r="J25" s="101"/>
      <c r="K25" s="101"/>
      <c r="L25" s="101"/>
      <c r="M25" s="88"/>
    </row>
    <row r="26" spans="1:13" x14ac:dyDescent="0.2">
      <c r="A26" s="99"/>
      <c r="B26" s="84"/>
      <c r="C26" s="87"/>
      <c r="D26" s="114">
        <v>0.5</v>
      </c>
      <c r="E26" s="78">
        <v>10.5</v>
      </c>
      <c r="F26" s="124">
        <f t="shared" ref="F26:F30" si="0">+$E$15*D26</f>
        <v>26500</v>
      </c>
      <c r="G26" s="101"/>
      <c r="H26" s="101" t="s">
        <v>39</v>
      </c>
      <c r="I26" s="101"/>
      <c r="J26" s="101"/>
      <c r="K26" s="101"/>
      <c r="L26" s="101"/>
      <c r="M26" s="88"/>
    </row>
    <row r="27" spans="1:13" x14ac:dyDescent="0.2">
      <c r="A27" s="99"/>
      <c r="B27" s="96" t="s">
        <v>40</v>
      </c>
      <c r="C27" s="106"/>
      <c r="D27" s="114">
        <v>0.7</v>
      </c>
      <c r="E27" s="78">
        <v>10</v>
      </c>
      <c r="F27" s="124">
        <f t="shared" si="0"/>
        <v>37100</v>
      </c>
      <c r="G27" s="101"/>
      <c r="H27" s="101"/>
      <c r="I27" s="101"/>
      <c r="J27" s="101"/>
      <c r="K27" s="101"/>
      <c r="L27" s="101"/>
      <c r="M27" s="88"/>
    </row>
    <row r="28" spans="1:13" ht="12.75" customHeight="1" x14ac:dyDescent="0.2">
      <c r="A28" s="99"/>
      <c r="B28" s="99"/>
      <c r="C28" s="115" t="s">
        <v>41</v>
      </c>
      <c r="D28" s="114">
        <v>1</v>
      </c>
      <c r="E28" s="78">
        <v>10.6</v>
      </c>
      <c r="F28" s="124">
        <f t="shared" si="0"/>
        <v>53000</v>
      </c>
      <c r="G28" s="101"/>
      <c r="H28" s="101"/>
      <c r="I28" s="101"/>
      <c r="J28" s="101"/>
      <c r="K28" s="101"/>
      <c r="L28" s="101"/>
      <c r="M28" s="88"/>
    </row>
    <row r="29" spans="1:13" x14ac:dyDescent="0.2">
      <c r="A29" s="99"/>
      <c r="B29" s="109"/>
      <c r="C29" s="113"/>
      <c r="D29" s="114">
        <v>1.1499999999999999</v>
      </c>
      <c r="E29" s="77">
        <v>12.5</v>
      </c>
      <c r="F29" s="124">
        <f t="shared" si="0"/>
        <v>60949.999999999993</v>
      </c>
      <c r="G29" s="101"/>
      <c r="H29" s="101"/>
      <c r="I29" s="101"/>
      <c r="J29" s="101"/>
      <c r="K29" s="101"/>
      <c r="L29" s="101"/>
      <c r="M29" s="88"/>
    </row>
    <row r="30" spans="1:13" x14ac:dyDescent="0.2">
      <c r="A30" s="109"/>
      <c r="B30" s="110"/>
      <c r="C30" s="113"/>
      <c r="D30" s="114">
        <v>1.2</v>
      </c>
      <c r="E30" s="77">
        <v>13.5</v>
      </c>
      <c r="F30" s="124">
        <f t="shared" si="0"/>
        <v>63600</v>
      </c>
      <c r="G30" s="85"/>
      <c r="H30" s="85"/>
      <c r="I30" s="85"/>
      <c r="J30" s="85"/>
      <c r="K30" s="85"/>
      <c r="L30" s="85"/>
      <c r="M30" s="86"/>
    </row>
    <row r="31" spans="1:13" x14ac:dyDescent="0.2">
      <c r="A31" s="99"/>
      <c r="B31" s="84"/>
      <c r="C31" s="84"/>
      <c r="D31" s="84"/>
      <c r="E31" s="84"/>
      <c r="F31" s="84"/>
      <c r="G31" s="85"/>
      <c r="H31" s="85"/>
      <c r="I31" s="85"/>
      <c r="J31" s="85"/>
      <c r="K31" s="85"/>
      <c r="L31" s="85"/>
      <c r="M31" s="86"/>
    </row>
    <row r="32" spans="1:13" x14ac:dyDescent="0.2">
      <c r="A32" s="109"/>
      <c r="B32" s="110"/>
      <c r="C32" s="110"/>
      <c r="D32" s="110"/>
      <c r="E32" s="110"/>
      <c r="F32" s="110"/>
      <c r="G32" s="111"/>
      <c r="H32" s="111"/>
      <c r="I32" s="111"/>
      <c r="J32" s="111"/>
      <c r="K32" s="111"/>
      <c r="L32" s="111"/>
      <c r="M32" s="112"/>
    </row>
    <row r="33" spans="1:21" ht="22.5" customHeight="1" x14ac:dyDescent="0.3">
      <c r="A33" s="194" t="s">
        <v>42</v>
      </c>
      <c r="B33" s="194"/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5"/>
    </row>
    <row r="34" spans="1:21" ht="22.5" customHeight="1" x14ac:dyDescent="0.2">
      <c r="A34" s="84"/>
      <c r="B34" s="84"/>
      <c r="C34" s="84"/>
      <c r="D34" s="84"/>
      <c r="E34" s="84"/>
      <c r="F34" s="84"/>
      <c r="G34" s="85"/>
      <c r="H34" s="85"/>
      <c r="I34" s="85"/>
      <c r="J34" s="85"/>
      <c r="K34" s="85"/>
      <c r="L34" s="85"/>
      <c r="M34" s="86"/>
    </row>
    <row r="35" spans="1:21" ht="22.5" customHeight="1" x14ac:dyDescent="0.2">
      <c r="A35" s="84"/>
      <c r="B35" s="84"/>
      <c r="C35" s="84"/>
      <c r="D35" s="84"/>
      <c r="E35" s="84"/>
      <c r="F35" s="84"/>
      <c r="G35" s="85"/>
      <c r="H35" s="85"/>
      <c r="I35" s="85"/>
      <c r="J35" s="85"/>
      <c r="K35" s="85"/>
      <c r="L35" s="85"/>
      <c r="M35" s="86"/>
    </row>
    <row r="36" spans="1:21" ht="22.5" customHeight="1" x14ac:dyDescent="0.2">
      <c r="A36" s="84"/>
      <c r="B36" s="84"/>
      <c r="C36" s="84"/>
      <c r="D36" s="84"/>
      <c r="E36" s="84"/>
      <c r="F36" s="84"/>
      <c r="G36" s="85"/>
      <c r="H36" s="85"/>
      <c r="I36" s="85"/>
      <c r="J36" s="85"/>
      <c r="K36" s="85"/>
      <c r="L36" s="85"/>
      <c r="M36" s="86"/>
    </row>
    <row r="37" spans="1:21" ht="22.5" customHeight="1" x14ac:dyDescent="0.2">
      <c r="A37" s="84"/>
      <c r="B37" s="84"/>
      <c r="C37" s="84"/>
      <c r="D37" s="84"/>
      <c r="E37" s="84"/>
      <c r="F37" s="84"/>
      <c r="G37" s="85"/>
      <c r="H37" s="85"/>
      <c r="I37" s="85"/>
      <c r="J37" s="85"/>
      <c r="K37" s="85"/>
      <c r="L37" s="85"/>
      <c r="M37" s="86"/>
    </row>
    <row r="38" spans="1:21" ht="22.5" customHeight="1" x14ac:dyDescent="0.2">
      <c r="A38" s="84"/>
      <c r="B38" s="84"/>
      <c r="C38" s="84"/>
      <c r="D38" s="84"/>
      <c r="E38" s="84"/>
      <c r="F38" s="84"/>
      <c r="G38" s="85"/>
      <c r="H38" s="85"/>
      <c r="I38" s="85"/>
      <c r="J38" s="85"/>
      <c r="K38" s="85"/>
      <c r="L38" s="85"/>
      <c r="M38" s="86"/>
    </row>
    <row r="39" spans="1:21" ht="22.5" customHeight="1" x14ac:dyDescent="0.2">
      <c r="A39" s="84"/>
      <c r="B39" s="84"/>
      <c r="C39" s="84"/>
      <c r="D39" s="84"/>
      <c r="E39" s="84"/>
      <c r="F39" s="84"/>
      <c r="G39" s="85"/>
      <c r="H39" s="85"/>
      <c r="I39" s="85"/>
      <c r="J39" s="85"/>
      <c r="K39" s="85"/>
      <c r="L39" s="85"/>
      <c r="M39" s="86"/>
      <c r="U39" s="25"/>
    </row>
    <row r="40" spans="1:21" ht="22.5" customHeight="1" x14ac:dyDescent="0.2">
      <c r="A40" s="84"/>
      <c r="B40" s="84"/>
      <c r="C40" s="84"/>
      <c r="D40" s="84"/>
      <c r="E40" s="84"/>
      <c r="F40" s="84"/>
      <c r="G40" s="85"/>
      <c r="H40" s="85"/>
      <c r="I40" s="85"/>
      <c r="J40" s="85"/>
      <c r="K40" s="85"/>
      <c r="L40" s="85"/>
      <c r="M40" s="86"/>
    </row>
    <row r="41" spans="1:21" ht="22.5" customHeight="1" x14ac:dyDescent="0.2">
      <c r="A41" s="84"/>
      <c r="B41" s="84"/>
      <c r="C41" s="84"/>
      <c r="D41" s="84"/>
      <c r="E41" s="84"/>
      <c r="F41" s="84"/>
      <c r="G41" s="85"/>
      <c r="H41" s="85"/>
      <c r="I41" s="85"/>
      <c r="J41" s="85"/>
      <c r="K41" s="85"/>
      <c r="L41" s="85"/>
      <c r="M41" s="86"/>
    </row>
    <row r="42" spans="1:21" ht="22.5" customHeight="1" x14ac:dyDescent="0.2">
      <c r="A42" s="84"/>
      <c r="B42" s="84"/>
      <c r="C42" s="84"/>
      <c r="D42" s="84"/>
      <c r="E42" s="84"/>
      <c r="F42" s="84"/>
      <c r="G42" s="85"/>
      <c r="H42" s="85"/>
      <c r="I42" s="85"/>
      <c r="J42" s="85"/>
      <c r="K42" s="85"/>
      <c r="L42" s="85"/>
      <c r="M42" s="86"/>
    </row>
    <row r="43" spans="1:21" ht="22.5" customHeight="1" x14ac:dyDescent="0.2">
      <c r="A43" s="84"/>
      <c r="B43" s="84"/>
      <c r="C43" s="84"/>
      <c r="D43" s="84"/>
      <c r="E43" s="84"/>
      <c r="F43" s="84"/>
      <c r="G43" s="85"/>
      <c r="H43" s="85"/>
      <c r="I43" s="85"/>
      <c r="J43" s="85"/>
      <c r="K43" s="85"/>
      <c r="L43" s="85"/>
      <c r="M43" s="86"/>
    </row>
    <row r="44" spans="1:21" ht="18.75" x14ac:dyDescent="0.3">
      <c r="A44" s="188" t="s">
        <v>42</v>
      </c>
      <c r="B44" s="189"/>
      <c r="C44" s="189"/>
      <c r="D44" s="189"/>
      <c r="E44" s="189"/>
      <c r="F44" s="189"/>
      <c r="G44" s="189"/>
      <c r="H44" s="189"/>
      <c r="I44" s="189"/>
      <c r="J44" s="189"/>
      <c r="K44" s="189"/>
      <c r="L44" s="189"/>
      <c r="M44" s="190"/>
    </row>
    <row r="45" spans="1:21" x14ac:dyDescent="0.2">
      <c r="A45" s="96"/>
      <c r="B45" s="97" t="s">
        <v>43</v>
      </c>
      <c r="C45" s="116"/>
      <c r="D45" s="98"/>
      <c r="E45" s="98"/>
      <c r="F45" s="98"/>
      <c r="G45" s="98"/>
      <c r="H45" s="98"/>
      <c r="I45" s="98"/>
      <c r="J45" s="98"/>
      <c r="K45" s="98"/>
      <c r="L45" s="98"/>
      <c r="M45" s="98"/>
    </row>
    <row r="46" spans="1:21" x14ac:dyDescent="0.2">
      <c r="A46" s="99"/>
      <c r="B46" s="82" t="s">
        <v>38</v>
      </c>
      <c r="C46" s="83" t="s">
        <v>40</v>
      </c>
      <c r="D46" s="100"/>
      <c r="E46" s="100"/>
      <c r="F46" s="101"/>
      <c r="G46" s="101"/>
      <c r="H46" s="101"/>
      <c r="I46" s="101"/>
      <c r="J46" s="101"/>
      <c r="K46" s="101"/>
      <c r="L46" s="101"/>
      <c r="M46" s="101"/>
      <c r="N46" s="24"/>
    </row>
    <row r="47" spans="1:21" x14ac:dyDescent="0.2">
      <c r="A47" s="102" t="s">
        <v>44</v>
      </c>
      <c r="B47" s="91">
        <f>+MAX('H.I 9.6.1'!W5,'H.I 9.6.1'!W18,'H.I 9.6.1'!W33,'H.I 9.6.1'!W65)</f>
        <v>1.1000000000000001</v>
      </c>
      <c r="C47" s="117">
        <f>+MAX('H.I 9.6.1'!Y5,'H.I 9.6.1'!Y18,'H.I 9.6.1'!Y33,'H.I 9.6.1'!Y65)</f>
        <v>1.1000000000000001</v>
      </c>
      <c r="D47" s="100"/>
      <c r="E47" s="100"/>
      <c r="F47" s="101"/>
      <c r="G47" s="101"/>
      <c r="H47" s="101"/>
      <c r="I47" s="101"/>
      <c r="J47" s="101"/>
      <c r="K47" s="82" t="s">
        <v>45</v>
      </c>
      <c r="L47" s="118">
        <f>+IF($E$10=setup!$B$6,Metric_Conversion!L47,Metric_Conversion!L47*1000/25.4)</f>
        <v>16.964600329384883</v>
      </c>
      <c r="M47" s="119" t="str">
        <f>+IF(E10=setup!B6,"m/s","ft/s")</f>
        <v>m/s</v>
      </c>
    </row>
    <row r="48" spans="1:21" ht="13.5" thickBot="1" x14ac:dyDescent="0.25">
      <c r="A48" s="102" t="s">
        <v>46</v>
      </c>
      <c r="B48" s="92">
        <f>+'Gulich-Table 6.2'!L25</f>
        <v>1.074433762917459</v>
      </c>
      <c r="C48" s="118">
        <f>+'Gulich-Table 6.2'!L26</f>
        <v>1.068230949341004</v>
      </c>
      <c r="D48" s="100"/>
      <c r="E48" s="100"/>
      <c r="F48" s="101"/>
      <c r="G48" s="101"/>
      <c r="H48" s="100"/>
      <c r="I48" s="100"/>
      <c r="J48" s="101"/>
      <c r="K48" s="101"/>
      <c r="L48" s="101"/>
      <c r="M48" s="95"/>
    </row>
    <row r="49" spans="1:19" ht="13.5" thickBot="1" x14ac:dyDescent="0.25">
      <c r="A49" s="102" t="s">
        <v>47</v>
      </c>
      <c r="B49" s="93">
        <f>+'TMP handbook Table C.8.1'!P11</f>
        <v>1.3897685483870972</v>
      </c>
      <c r="C49" s="118">
        <f>+'TMP handbook Table C.8.1'!P12</f>
        <v>1.3897685483870972</v>
      </c>
      <c r="D49" s="100"/>
      <c r="E49" s="101"/>
      <c r="F49" s="101"/>
      <c r="G49" s="101"/>
      <c r="H49" s="101"/>
      <c r="I49" s="101"/>
      <c r="J49" s="101"/>
      <c r="K49" s="101"/>
      <c r="L49" s="101"/>
      <c r="M49" s="95"/>
      <c r="O49" s="5"/>
      <c r="R49" s="5"/>
    </row>
    <row r="50" spans="1:19" x14ac:dyDescent="0.2">
      <c r="A50" s="102" t="s">
        <v>48</v>
      </c>
      <c r="B50" s="93">
        <f>+AVERAGE('TMP special'!X17:X18,'TMP special'!X22)</f>
        <v>2.0880976596138234</v>
      </c>
      <c r="C50" s="118">
        <f>+AVERAGE('TMP special'!X19:X21)</f>
        <v>1.5758832029388046</v>
      </c>
      <c r="D50" s="100"/>
      <c r="E50" s="101"/>
      <c r="F50" s="101"/>
      <c r="G50" s="101"/>
      <c r="H50" s="101"/>
      <c r="I50" s="101"/>
      <c r="J50" s="101"/>
      <c r="K50" s="101"/>
      <c r="L50" s="101"/>
      <c r="M50" s="95"/>
    </row>
    <row r="51" spans="1:19" x14ac:dyDescent="0.2">
      <c r="A51" s="103"/>
      <c r="B51" s="100"/>
      <c r="C51" s="100"/>
      <c r="D51" s="100"/>
      <c r="E51" s="104" t="s">
        <v>36</v>
      </c>
      <c r="F51" s="104" t="s">
        <v>49</v>
      </c>
      <c r="G51" s="104" t="s">
        <v>50</v>
      </c>
      <c r="H51" s="104" t="s">
        <v>51</v>
      </c>
      <c r="I51" s="104" t="s">
        <v>52</v>
      </c>
      <c r="J51" s="104" t="s">
        <v>53</v>
      </c>
      <c r="K51" s="104" t="s">
        <v>54</v>
      </c>
      <c r="L51" s="104" t="s">
        <v>55</v>
      </c>
      <c r="M51" s="104" t="str">
        <f>+Metric_Conversion!M51</f>
        <v>Rave</v>
      </c>
    </row>
    <row r="52" spans="1:19" x14ac:dyDescent="0.2">
      <c r="A52" s="99"/>
      <c r="B52" s="104" t="s">
        <v>56</v>
      </c>
      <c r="C52" s="100"/>
      <c r="D52" s="100"/>
      <c r="E52" s="117">
        <f>+F25</f>
        <v>15900</v>
      </c>
      <c r="F52" s="94">
        <f>+IF($E$10=setup!$B$6,Metric_Conversion!F52,Metric_Conversion!F52/0.3048)</f>
        <v>12.100000000000001</v>
      </c>
      <c r="G52" s="94">
        <f>+IF($E$10=setup!$B$6,Metric_Conversion!G52,Metric_Conversion!G52/0.3048)</f>
        <v>11.818771392092049</v>
      </c>
      <c r="H52" s="94">
        <f>+IF($E$10=setup!$B$6,Metric_Conversion!H52,Metric_Conversion!H52/0.3048)</f>
        <v>15.287454032258069</v>
      </c>
      <c r="I52" s="94" t="str">
        <f>+IF(Metric_Conversion!I52="","",IF($E$10=setup!$B$6,Metric_Conversion!I52,Metric_Conversion!I52/0.3048))</f>
        <v/>
      </c>
      <c r="J52" s="94">
        <f>+MIN(F52:I52)</f>
        <v>11.818771392092049</v>
      </c>
      <c r="K52" s="94">
        <f>+MAX(F52:I52)</f>
        <v>15.287454032258069</v>
      </c>
      <c r="L52" s="94">
        <f>+AVERAGE(J52:K52)</f>
        <v>13.553112712175059</v>
      </c>
      <c r="M52" s="94">
        <f>+Metric_Conversion!M52</f>
        <v>1.2321011556522781</v>
      </c>
    </row>
    <row r="53" spans="1:19" x14ac:dyDescent="0.2">
      <c r="A53" s="99"/>
      <c r="B53" s="82" t="s">
        <v>38</v>
      </c>
      <c r="C53" s="83" t="s">
        <v>40</v>
      </c>
      <c r="D53" s="100"/>
      <c r="E53" s="117">
        <f t="shared" ref="E53:E57" si="1">+F26</f>
        <v>26500</v>
      </c>
      <c r="F53" s="94">
        <f>+IF($E$10=setup!$B$6,Metric_Conversion!F53,Metric_Conversion!F53/0.3048)</f>
        <v>11.55</v>
      </c>
      <c r="G53" s="94">
        <f>+IF($E$10=setup!$B$6,Metric_Conversion!G53,Metric_Conversion!G53/0.3048)</f>
        <v>11.281554510633319</v>
      </c>
      <c r="H53" s="94">
        <f>+IF($E$10=setup!$B$6,Metric_Conversion!H53,Metric_Conversion!H53/0.3048)</f>
        <v>14.592569758064521</v>
      </c>
      <c r="I53" s="94" t="str">
        <f>+IF(Metric_Conversion!I53="","",IF($E$10=setup!$B$6,Metric_Conversion!I53,Metric_Conversion!I53/0.3048))</f>
        <v/>
      </c>
      <c r="J53" s="94">
        <f t="shared" ref="J53:J57" si="2">+MIN(F53:I53)</f>
        <v>11.281554510633319</v>
      </c>
      <c r="K53" s="94">
        <f t="shared" ref="K53:K57" si="3">+MAX(F53:I53)</f>
        <v>14.592569758064521</v>
      </c>
      <c r="L53" s="94">
        <f t="shared" ref="L53:L57" si="4">+AVERAGE(J53:K53)</f>
        <v>12.93706213434892</v>
      </c>
      <c r="M53" s="94">
        <f>+Metric_Conversion!M53</f>
        <v>1.2321011556522781</v>
      </c>
    </row>
    <row r="54" spans="1:19" x14ac:dyDescent="0.2">
      <c r="A54" s="102" t="s">
        <v>44</v>
      </c>
      <c r="B54" s="91">
        <f>+MAX('H.I 9.6.1'!X5,'H.I 9.6.1'!X18,'H.I 9.6.1'!X33,'H.I 9.6.1'!X65)</f>
        <v>1</v>
      </c>
      <c r="C54" s="91">
        <f>+MAX('H.I 9.6.1'!Z5,'H.I 9.6.1'!Z18,'H.I 9.6.1'!Z33,'H.I 9.6.1'!Z65)</f>
        <v>1</v>
      </c>
      <c r="D54" s="100"/>
      <c r="E54" s="117">
        <f t="shared" si="1"/>
        <v>37100</v>
      </c>
      <c r="F54" s="94">
        <f>+IF($E$10=setup!$B$6,Metric_Conversion!F54,Metric_Conversion!F54/0.3048)</f>
        <v>11</v>
      </c>
      <c r="G54" s="94">
        <f>+IF($E$10=setup!$B$6,Metric_Conversion!G54,Metric_Conversion!G54/0.3048)</f>
        <v>10.68230949341004</v>
      </c>
      <c r="H54" s="94">
        <f>+IF($E$10=setup!$B$6,Metric_Conversion!H54,Metric_Conversion!H54/0.3048)</f>
        <v>13.897685483870973</v>
      </c>
      <c r="I54" s="94" t="str">
        <f>+IF(Metric_Conversion!I54="","",IF($E$10=setup!$B$6,Metric_Conversion!I54,Metric_Conversion!I54/0.3048))</f>
        <v/>
      </c>
      <c r="J54" s="94">
        <f t="shared" si="2"/>
        <v>10.68230949341004</v>
      </c>
      <c r="K54" s="94">
        <f t="shared" si="3"/>
        <v>13.897685483870973</v>
      </c>
      <c r="L54" s="94">
        <f t="shared" si="4"/>
        <v>12.289997488640505</v>
      </c>
      <c r="M54" s="94">
        <f>+Metric_Conversion!M54</f>
        <v>1.2289997488640505</v>
      </c>
    </row>
    <row r="55" spans="1:19" x14ac:dyDescent="0.2">
      <c r="A55" s="102" t="s">
        <v>46</v>
      </c>
      <c r="B55" s="92">
        <f>+'Gulich-Table 6.2'!M25</f>
        <v>0.6</v>
      </c>
      <c r="C55" s="92">
        <f>+'Gulich-Table 6.2'!M26</f>
        <v>0.6</v>
      </c>
      <c r="D55" s="100"/>
      <c r="E55" s="117">
        <f t="shared" si="1"/>
        <v>53000</v>
      </c>
      <c r="F55" s="94">
        <f>+IF($E$10=setup!$B$6,Metric_Conversion!F55,Metric_Conversion!F55/0.3048)</f>
        <v>11.66</v>
      </c>
      <c r="G55" s="94">
        <f>+IF($E$10=setup!$B$6,Metric_Conversion!G55,Metric_Conversion!G55/0.3048)</f>
        <v>11.323248063014642</v>
      </c>
      <c r="H55" s="94">
        <f>+IF($E$10=setup!$B$6,Metric_Conversion!H55,Metric_Conversion!H55/0.3048)</f>
        <v>14.73154661290323</v>
      </c>
      <c r="I55" s="94" t="str">
        <f>+IF(Metric_Conversion!I55="","",IF($E$10=setup!$B$6,Metric_Conversion!I55,Metric_Conversion!I55/0.3048))</f>
        <v/>
      </c>
      <c r="J55" s="94">
        <f t="shared" si="2"/>
        <v>11.323248063014642</v>
      </c>
      <c r="K55" s="94">
        <f t="shared" si="3"/>
        <v>14.73154661290323</v>
      </c>
      <c r="L55" s="94">
        <f t="shared" si="4"/>
        <v>13.027397337958936</v>
      </c>
      <c r="M55" s="94">
        <f>+Metric_Conversion!M55</f>
        <v>1.2289997488640507</v>
      </c>
    </row>
    <row r="56" spans="1:19" x14ac:dyDescent="0.2">
      <c r="A56" s="102" t="s">
        <v>47</v>
      </c>
      <c r="B56" s="92">
        <f>+'TMP handbook Table C.8.1'!Q11</f>
        <v>0</v>
      </c>
      <c r="C56" s="92">
        <f>+'TMP handbook Table C.8.1'!Q12</f>
        <v>0</v>
      </c>
      <c r="D56" s="100"/>
      <c r="E56" s="117">
        <f t="shared" si="1"/>
        <v>60949.999999999993</v>
      </c>
      <c r="F56" s="94">
        <f>+IF($E$10=setup!$B$6,Metric_Conversion!F56,Metric_Conversion!F56/0.3048)</f>
        <v>14.374999999999998</v>
      </c>
      <c r="G56" s="94">
        <f>+IF($E$10=setup!$B$6,Metric_Conversion!G56,Metric_Conversion!G56/0.3048)</f>
        <v>14.374999999999998</v>
      </c>
      <c r="H56" s="94">
        <f>+IF($E$10=setup!$B$6,Metric_Conversion!H56,Metric_Conversion!H56/0.3048)</f>
        <v>14.374999999999998</v>
      </c>
      <c r="I56" s="94" t="str">
        <f>+IF(Metric_Conversion!I56="","",IF($E$10=setup!$B$6,Metric_Conversion!I56,Metric_Conversion!I56/0.3048))</f>
        <v/>
      </c>
      <c r="J56" s="94">
        <f t="shared" si="2"/>
        <v>14.374999999999998</v>
      </c>
      <c r="K56" s="94">
        <f t="shared" si="3"/>
        <v>14.374999999999998</v>
      </c>
      <c r="L56" s="94">
        <f t="shared" si="4"/>
        <v>14.374999999999998</v>
      </c>
      <c r="M56" s="123">
        <f>+Metric_Conversion!M56</f>
        <v>1.1499999999999999</v>
      </c>
    </row>
    <row r="57" spans="1:19" x14ac:dyDescent="0.2">
      <c r="A57" s="102" t="s">
        <v>48</v>
      </c>
      <c r="B57" s="92">
        <v>0.5</v>
      </c>
      <c r="C57" s="92">
        <v>0.5</v>
      </c>
      <c r="D57" s="100"/>
      <c r="E57" s="117">
        <f t="shared" si="1"/>
        <v>63600</v>
      </c>
      <c r="F57" s="94">
        <f>+IF($E$10=setup!$B$6,Metric_Conversion!F57,Metric_Conversion!F57/0.3048)</f>
        <v>14.850000000000001</v>
      </c>
      <c r="G57" s="94">
        <f>+IF($E$10=setup!$B$6,Metric_Conversion!G57,Metric_Conversion!G57/0.3048)</f>
        <v>14.850000000000001</v>
      </c>
      <c r="H57" s="94">
        <f>+IF($E$10=setup!$B$6,Metric_Conversion!H57,Metric_Conversion!H57/0.3048)</f>
        <v>14.850000000000001</v>
      </c>
      <c r="I57" s="94" t="str">
        <f>+IF(Metric_Conversion!I57="","",IF($E$10=setup!$B$6,Metric_Conversion!I57,Metric_Conversion!I57/0.3048))</f>
        <v/>
      </c>
      <c r="J57" s="94">
        <f t="shared" si="2"/>
        <v>14.850000000000001</v>
      </c>
      <c r="K57" s="94">
        <f t="shared" si="3"/>
        <v>14.850000000000001</v>
      </c>
      <c r="L57" s="94">
        <f t="shared" si="4"/>
        <v>14.850000000000001</v>
      </c>
      <c r="M57" s="123">
        <f>+Metric_Conversion!M57</f>
        <v>1.1000000000000001</v>
      </c>
      <c r="O57" s="1"/>
      <c r="P57" s="6"/>
      <c r="R57" s="1"/>
      <c r="S57" s="6"/>
    </row>
    <row r="58" spans="1:19" x14ac:dyDescent="0.2">
      <c r="A58" s="99"/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88"/>
      <c r="O58" s="2"/>
    </row>
    <row r="59" spans="1:19" x14ac:dyDescent="0.2">
      <c r="A59" s="182" t="s">
        <v>57</v>
      </c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4"/>
    </row>
    <row r="60" spans="1:19" ht="41.45" customHeight="1" x14ac:dyDescent="0.2">
      <c r="A60" s="185" t="s">
        <v>58</v>
      </c>
      <c r="B60" s="186"/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7"/>
    </row>
    <row r="61" spans="1:19" ht="13.5" customHeight="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</sheetData>
  <mergeCells count="9">
    <mergeCell ref="F1:M3"/>
    <mergeCell ref="A1:E3"/>
    <mergeCell ref="A59:M59"/>
    <mergeCell ref="A60:M60"/>
    <mergeCell ref="A44:M44"/>
    <mergeCell ref="E20:G20"/>
    <mergeCell ref="E19:G19"/>
    <mergeCell ref="E21:G21"/>
    <mergeCell ref="A33:M33"/>
  </mergeCells>
  <phoneticPr fontId="13" type="noConversion"/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>
                <anchor moveWithCells="1">
                  <from>
                    <xdr:col>9</xdr:col>
                    <xdr:colOff>66675</xdr:colOff>
                    <xdr:row>7</xdr:row>
                    <xdr:rowOff>219075</xdr:rowOff>
                  </from>
                  <to>
                    <xdr:col>9</xdr:col>
                    <xdr:colOff>295275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2B8D3C-CC52-4653-9A83-BC14AC1202F9}">
          <x14:formula1>
            <xm:f>setup!$B$5:$B$6</xm:f>
          </x14:formula1>
          <xm:sqref>E10</xm:sqref>
        </x14:dataValidation>
        <x14:dataValidation type="list" allowBlank="1" showInputMessage="1" showErrorMessage="1" xr:uid="{199FC42F-2838-42C7-9557-FB97DBE6836F}">
          <x14:formula1>
            <xm:f>setup!$C$5:$C$15</xm:f>
          </x14:formula1>
          <xm:sqref>E19</xm:sqref>
        </x14:dataValidation>
        <x14:dataValidation type="list" allowBlank="1" showInputMessage="1" showErrorMessage="1" xr:uid="{6DE05E75-B42D-4EE4-9BD2-9093105E3D9A}">
          <x14:formula1>
            <xm:f>setup!$D$5:$D$15</xm:f>
          </x14:formula1>
          <xm:sqref>E20</xm:sqref>
        </x14:dataValidation>
        <x14:dataValidation type="list" allowBlank="1" showInputMessage="1" showErrorMessage="1" xr:uid="{9A31AF66-C6D6-4E26-AD52-EC9583A3C883}">
          <x14:formula1>
            <xm:f>setup!$E$5:$E$15</xm:f>
          </x14:formula1>
          <xm:sqref>E21</xm:sqref>
        </x14:dataValidation>
        <x14:dataValidation type="list" allowBlank="1" showInputMessage="1" showErrorMessage="1" xr:uid="{BCC9344D-5CD3-4D1D-8F95-A7BAE1A896B3}">
          <x14:formula1>
            <xm:f>setup!$G$5:$G$15</xm:f>
          </x14:formula1>
          <xm:sqref>J21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92C8-E364-4B96-A0CF-42317912DF10}">
  <sheetPr codeName="Sheet3">
    <pageSetUpPr fitToPage="1"/>
  </sheetPr>
  <dimension ref="A1:Y61"/>
  <sheetViews>
    <sheetView zoomScale="70" zoomScaleNormal="70" workbookViewId="0">
      <selection activeCell="W38" sqref="W38:Y38"/>
    </sheetView>
  </sheetViews>
  <sheetFormatPr defaultColWidth="9.140625" defaultRowHeight="12.75" x14ac:dyDescent="0.2"/>
  <cols>
    <col min="1" max="2" width="7.5703125" style="3" customWidth="1"/>
    <col min="3" max="3" width="6.42578125" style="3" customWidth="1"/>
    <col min="4" max="4" width="8.5703125" style="3" customWidth="1"/>
    <col min="5" max="5" width="9.85546875" style="3" customWidth="1"/>
    <col min="6" max="6" width="9.5703125" style="3" customWidth="1"/>
    <col min="7" max="7" width="12.5703125" style="3" customWidth="1"/>
    <col min="8" max="9" width="17.42578125" style="3" customWidth="1"/>
    <col min="10" max="10" width="19" style="3" customWidth="1"/>
    <col min="11" max="12" width="9.42578125" style="3" customWidth="1"/>
    <col min="13" max="13" width="5.85546875" style="3" customWidth="1"/>
    <col min="14" max="14" width="10.42578125" style="3" customWidth="1"/>
    <col min="15" max="19" width="0" style="3" hidden="1" customWidth="1"/>
    <col min="20" max="16384" width="9.140625" style="3"/>
  </cols>
  <sheetData>
    <row r="1" spans="1:13" ht="18.75" customHeight="1" x14ac:dyDescent="0.2">
      <c r="A1" s="177"/>
      <c r="B1" s="177"/>
      <c r="C1" s="177"/>
      <c r="D1" s="177"/>
      <c r="E1" s="178"/>
      <c r="F1" s="164" t="s">
        <v>7</v>
      </c>
      <c r="G1" s="165"/>
      <c r="H1" s="165"/>
      <c r="I1" s="165"/>
      <c r="J1" s="165"/>
      <c r="K1" s="165"/>
      <c r="L1" s="165"/>
      <c r="M1" s="166"/>
    </row>
    <row r="2" spans="1:13" ht="18.75" customHeight="1" x14ac:dyDescent="0.2">
      <c r="A2" s="177"/>
      <c r="B2" s="177"/>
      <c r="C2" s="177"/>
      <c r="D2" s="177"/>
      <c r="E2" s="178"/>
      <c r="F2" s="167"/>
      <c r="G2" s="168"/>
      <c r="H2" s="168"/>
      <c r="I2" s="168"/>
      <c r="J2" s="168"/>
      <c r="K2" s="168"/>
      <c r="L2" s="168"/>
      <c r="M2" s="169"/>
    </row>
    <row r="3" spans="1:13" ht="18.75" customHeight="1" x14ac:dyDescent="0.2">
      <c r="A3" s="177"/>
      <c r="B3" s="177"/>
      <c r="C3" s="177"/>
      <c r="D3" s="177"/>
      <c r="E3" s="178"/>
      <c r="F3" s="170"/>
      <c r="G3" s="171"/>
      <c r="H3" s="171"/>
      <c r="I3" s="171"/>
      <c r="J3" s="171"/>
      <c r="K3" s="171"/>
      <c r="L3" s="171"/>
      <c r="M3" s="172"/>
    </row>
    <row r="4" spans="1:13" x14ac:dyDescent="0.2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9"/>
    </row>
    <row r="5" spans="1:13" x14ac:dyDescent="0.2">
      <c r="A5" s="12"/>
      <c r="B5" s="19" t="s">
        <v>8</v>
      </c>
      <c r="C5" s="20"/>
      <c r="D5" s="21"/>
      <c r="E5" s="52"/>
      <c r="F5" s="53"/>
      <c r="G5" s="53"/>
      <c r="H5" s="15"/>
      <c r="I5" s="15"/>
      <c r="J5" s="15"/>
      <c r="K5" s="15"/>
      <c r="L5" s="15"/>
      <c r="M5" s="18"/>
    </row>
    <row r="6" spans="1:13" x14ac:dyDescent="0.2">
      <c r="A6" s="12"/>
      <c r="B6" s="19" t="s">
        <v>9</v>
      </c>
      <c r="C6" s="20"/>
      <c r="D6" s="21"/>
      <c r="E6" s="52"/>
      <c r="F6" s="53"/>
      <c r="G6" s="53"/>
      <c r="H6" s="15"/>
      <c r="I6" s="15"/>
      <c r="J6" s="15"/>
      <c r="K6" s="15"/>
      <c r="L6" s="15"/>
      <c r="M6" s="18"/>
    </row>
    <row r="7" spans="1:13" x14ac:dyDescent="0.2">
      <c r="A7" s="12"/>
      <c r="B7" s="19" t="s">
        <v>10</v>
      </c>
      <c r="C7" s="20"/>
      <c r="D7" s="21"/>
      <c r="E7" s="54"/>
      <c r="F7" s="55"/>
      <c r="G7" s="55"/>
      <c r="H7" s="15"/>
      <c r="I7" s="15"/>
      <c r="J7" s="15"/>
      <c r="K7" s="15"/>
      <c r="L7" s="15"/>
      <c r="M7" s="18"/>
    </row>
    <row r="8" spans="1:13" ht="15.75" x14ac:dyDescent="0.25">
      <c r="A8" s="12"/>
      <c r="B8" s="15"/>
      <c r="C8" s="22"/>
      <c r="D8" s="22"/>
      <c r="E8" s="15"/>
      <c r="F8" s="15"/>
      <c r="G8" s="15"/>
      <c r="H8" s="15"/>
      <c r="I8" s="15"/>
      <c r="J8" s="15"/>
      <c r="K8" s="15"/>
      <c r="L8" s="15"/>
      <c r="M8" s="18"/>
    </row>
    <row r="9" spans="1:13" ht="18.75" x14ac:dyDescent="0.3">
      <c r="A9" s="12"/>
      <c r="B9" s="46" t="s">
        <v>11</v>
      </c>
      <c r="C9" s="47"/>
      <c r="D9" s="47"/>
      <c r="E9" s="23"/>
      <c r="F9" s="15"/>
      <c r="G9" s="15"/>
      <c r="H9" s="15"/>
      <c r="I9" s="45" t="s">
        <v>12</v>
      </c>
      <c r="J9" s="15"/>
      <c r="K9" s="15"/>
      <c r="L9" s="15"/>
      <c r="M9" s="18"/>
    </row>
    <row r="10" spans="1:13" x14ac:dyDescent="0.2">
      <c r="A10" s="12"/>
      <c r="B10" s="19" t="s">
        <v>13</v>
      </c>
      <c r="C10" s="20"/>
      <c r="D10" s="21"/>
      <c r="E10" s="26" t="s">
        <v>14</v>
      </c>
      <c r="F10" s="15"/>
      <c r="G10" s="15"/>
      <c r="H10" s="15"/>
      <c r="I10" s="15"/>
      <c r="J10" s="15"/>
      <c r="K10" s="15"/>
      <c r="L10" s="15"/>
      <c r="M10" s="15"/>
    </row>
    <row r="11" spans="1:13" x14ac:dyDescent="0.2">
      <c r="A11" s="12"/>
      <c r="B11" s="19" t="s">
        <v>15</v>
      </c>
      <c r="C11" s="20"/>
      <c r="D11" s="21"/>
      <c r="E11" s="26">
        <f>+Input_Output!E11</f>
        <v>324</v>
      </c>
      <c r="F11" s="15" t="s">
        <v>16</v>
      </c>
      <c r="G11" s="15"/>
      <c r="H11" s="15"/>
      <c r="I11" s="15"/>
      <c r="J11" s="15"/>
      <c r="K11" s="15"/>
      <c r="L11" s="15"/>
      <c r="M11" s="18"/>
    </row>
    <row r="12" spans="1:13" x14ac:dyDescent="0.2">
      <c r="A12" s="12"/>
      <c r="B12" s="19" t="s">
        <v>17</v>
      </c>
      <c r="C12" s="20"/>
      <c r="D12" s="21"/>
      <c r="E12" s="26">
        <f>+IF(Input_Output!$E$10=setup!$B$6,Input_Output!E12,Input_Output!E12*0.22712)</f>
        <v>53000</v>
      </c>
      <c r="F12" s="15" t="s">
        <v>59</v>
      </c>
      <c r="G12" s="15"/>
      <c r="H12" s="15"/>
      <c r="I12" s="15"/>
      <c r="J12" s="15"/>
      <c r="K12" s="15"/>
      <c r="L12" s="15"/>
      <c r="M12" s="18"/>
    </row>
    <row r="13" spans="1:13" x14ac:dyDescent="0.2">
      <c r="A13" s="12"/>
      <c r="B13" s="19" t="s">
        <v>18</v>
      </c>
      <c r="C13" s="20"/>
      <c r="D13" s="21"/>
      <c r="E13" s="26">
        <f>+IF(Input_Output!$E$10=setup!$B$6,Input_Output!E13,Input_Output!E13*0.3048)</f>
        <v>27</v>
      </c>
      <c r="F13" s="15" t="s">
        <v>60</v>
      </c>
      <c r="G13" s="15"/>
      <c r="H13" s="15"/>
      <c r="I13" s="45" t="s">
        <v>19</v>
      </c>
      <c r="J13" s="50">
        <f>+Input_Output!J13</f>
        <v>0</v>
      </c>
      <c r="K13" s="15" t="s">
        <v>20</v>
      </c>
      <c r="L13" s="15"/>
      <c r="M13" s="18"/>
    </row>
    <row r="14" spans="1:13" x14ac:dyDescent="0.2">
      <c r="A14" s="12"/>
      <c r="B14" s="19" t="s">
        <v>21</v>
      </c>
      <c r="C14" s="20"/>
      <c r="D14" s="21"/>
      <c r="E14" s="26">
        <f>+IF(Input_Output!$E$10=setup!$B$6,Input_Output!E14,Input_Output!E14*0.3048)</f>
        <v>27</v>
      </c>
      <c r="F14" s="15" t="s">
        <v>60</v>
      </c>
      <c r="G14" s="15"/>
      <c r="H14" s="15"/>
      <c r="I14" s="15"/>
      <c r="J14" s="15"/>
      <c r="K14" s="15"/>
      <c r="L14" s="15"/>
      <c r="M14" s="18"/>
    </row>
    <row r="15" spans="1:13" x14ac:dyDescent="0.2">
      <c r="A15" s="12"/>
      <c r="B15" s="19" t="s">
        <v>22</v>
      </c>
      <c r="C15" s="20"/>
      <c r="D15" s="21"/>
      <c r="E15" s="26">
        <f>+IF(Input_Output!$E$10=setup!$B$6,Input_Output!E15,Input_Output!E15*0.22712)</f>
        <v>53000</v>
      </c>
      <c r="F15" s="15" t="s">
        <v>59</v>
      </c>
      <c r="G15" s="15"/>
      <c r="H15" s="15"/>
      <c r="I15" s="45" t="s">
        <v>23</v>
      </c>
      <c r="J15" s="50">
        <f>Input_Output!J15</f>
        <v>0</v>
      </c>
      <c r="K15" s="15" t="s">
        <v>20</v>
      </c>
      <c r="L15" s="15"/>
      <c r="M15" s="18"/>
    </row>
    <row r="16" spans="1:13" x14ac:dyDescent="0.2">
      <c r="A16" s="12"/>
      <c r="B16" s="19" t="s">
        <v>61</v>
      </c>
      <c r="C16" s="20"/>
      <c r="D16" s="21"/>
      <c r="E16" s="26">
        <f>+IF(Input_Output!$E$10=setup!$B$6,Input_Output!E16,Input_Output!E16*0.73548)</f>
        <v>3500</v>
      </c>
      <c r="F16" s="15" t="s">
        <v>62</v>
      </c>
      <c r="G16" s="15"/>
      <c r="H16" s="15"/>
      <c r="I16" s="15"/>
      <c r="J16" s="15"/>
      <c r="K16" s="15"/>
      <c r="L16" s="15"/>
      <c r="M16" s="18"/>
    </row>
    <row r="17" spans="1:13" x14ac:dyDescent="0.2">
      <c r="A17" s="12"/>
      <c r="B17" s="19" t="s">
        <v>25</v>
      </c>
      <c r="C17" s="20"/>
      <c r="D17" s="21"/>
      <c r="E17" s="26">
        <f>+IF(Input_Output!$E$10=setup!$B$6,Input_Output!E17,Input_Output!E17*0.3048)</f>
        <v>14.7</v>
      </c>
      <c r="F17" s="15" t="s">
        <v>60</v>
      </c>
      <c r="G17" s="15"/>
      <c r="H17" s="15"/>
      <c r="I17" s="45" t="s">
        <v>63</v>
      </c>
      <c r="J17" s="15"/>
      <c r="K17" s="15"/>
      <c r="L17" s="15"/>
      <c r="M17" s="18"/>
    </row>
    <row r="18" spans="1:13" x14ac:dyDescent="0.2">
      <c r="A18" s="12"/>
      <c r="B18" s="19" t="s">
        <v>26</v>
      </c>
      <c r="C18" s="20"/>
      <c r="D18" s="21"/>
      <c r="E18" s="26">
        <f>+IF(Input_Output!$E$10=setup!$B$6,Input_Output!E18,Input_Output!E18*25.4)</f>
        <v>1000</v>
      </c>
      <c r="F18" s="15" t="s">
        <v>64</v>
      </c>
      <c r="G18" s="15"/>
      <c r="H18" s="15"/>
      <c r="I18" s="15"/>
      <c r="J18" s="15"/>
      <c r="K18" s="15"/>
      <c r="L18" s="15"/>
      <c r="M18" s="15"/>
    </row>
    <row r="19" spans="1:13" x14ac:dyDescent="0.2">
      <c r="A19" s="12"/>
      <c r="B19" s="19" t="s">
        <v>27</v>
      </c>
      <c r="C19" s="20"/>
      <c r="D19" s="20"/>
      <c r="E19" s="202" t="str">
        <f>+Input_Output!E19</f>
        <v>API</v>
      </c>
      <c r="F19" s="203"/>
      <c r="G19" s="204"/>
      <c r="H19" s="15"/>
      <c r="I19" s="19" t="s">
        <v>29</v>
      </c>
      <c r="J19" s="26">
        <f>+IF(Input_Output!$E$10=setup!$B$6,Input_Output!J19,(Input_Output!J19-32)*5/9)</f>
        <v>20</v>
      </c>
      <c r="K19" s="15" t="str">
        <f>+IF(E10=setup!B6,"°C","°F")</f>
        <v>°C</v>
      </c>
      <c r="L19" s="15"/>
      <c r="M19" s="18"/>
    </row>
    <row r="20" spans="1:13" x14ac:dyDescent="0.2">
      <c r="A20" s="12"/>
      <c r="B20" s="19" t="s">
        <v>30</v>
      </c>
      <c r="C20" s="20"/>
      <c r="D20" s="21"/>
      <c r="E20" s="202" t="str">
        <f>+Input_Output!E20</f>
        <v>hydrocarbon</v>
      </c>
      <c r="F20" s="203"/>
      <c r="G20" s="204"/>
      <c r="H20" s="15"/>
      <c r="I20" s="15"/>
      <c r="J20" s="15"/>
      <c r="K20" s="15"/>
      <c r="L20" s="15"/>
      <c r="M20" s="18"/>
    </row>
    <row r="21" spans="1:13" x14ac:dyDescent="0.2">
      <c r="A21" s="12"/>
      <c r="B21" s="19" t="s">
        <v>32</v>
      </c>
      <c r="C21" s="20"/>
      <c r="D21" s="21"/>
      <c r="E21" s="54" t="str">
        <f>_xlfn.XLOOKUP(Input_Output!E21,setup!E5:E25,setup!F5:F25)</f>
        <v>cast iron</v>
      </c>
      <c r="F21" s="55"/>
      <c r="G21" s="55"/>
      <c r="H21" s="51" t="str">
        <f>+IF(AND(E21=setup!E5,Metric_Conversion!J15&lt;&gt;0),"wrong material","")</f>
        <v/>
      </c>
      <c r="I21" s="19" t="s">
        <v>34</v>
      </c>
      <c r="J21" s="50" t="s">
        <v>65</v>
      </c>
      <c r="K21" s="15"/>
      <c r="L21" s="15"/>
      <c r="M21" s="18"/>
    </row>
    <row r="22" spans="1:13" x14ac:dyDescent="0.2">
      <c r="A22" s="12"/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8"/>
    </row>
    <row r="23" spans="1:13" x14ac:dyDescent="0.2">
      <c r="A23" s="12"/>
      <c r="B23" s="12"/>
      <c r="C23" s="12"/>
      <c r="D23" s="15" t="s">
        <v>37</v>
      </c>
      <c r="E23" s="19" t="s">
        <v>35</v>
      </c>
      <c r="F23" s="15"/>
      <c r="G23" s="15"/>
      <c r="H23" s="15"/>
      <c r="I23" s="15"/>
      <c r="J23" s="15"/>
      <c r="K23" s="15"/>
      <c r="L23" s="15"/>
      <c r="M23" s="18"/>
    </row>
    <row r="24" spans="1:13" x14ac:dyDescent="0.2">
      <c r="A24" s="12"/>
      <c r="B24" s="12"/>
      <c r="C24" s="12"/>
      <c r="E24" s="15" t="s">
        <v>60</v>
      </c>
      <c r="F24" s="15"/>
      <c r="G24" s="15"/>
      <c r="H24" s="15"/>
      <c r="I24" s="45" t="s">
        <v>38</v>
      </c>
      <c r="J24" s="15"/>
      <c r="K24" s="15"/>
      <c r="L24" s="15"/>
      <c r="M24" s="18"/>
    </row>
    <row r="25" spans="1:13" x14ac:dyDescent="0.2">
      <c r="A25" s="12"/>
      <c r="B25" s="12"/>
      <c r="C25" s="12"/>
      <c r="D25" s="21">
        <f>+Input_Output!D25</f>
        <v>0.3</v>
      </c>
      <c r="E25" s="26">
        <f>+IF(Input_Output!$E$10=setup!$B$6,Input_Output!E25,Input_Output!E25*0.3048)</f>
        <v>11</v>
      </c>
      <c r="F25" s="15"/>
      <c r="G25" s="15"/>
      <c r="H25" s="15"/>
      <c r="I25" s="62" t="s">
        <v>40</v>
      </c>
      <c r="J25" s="15"/>
      <c r="K25" s="15"/>
      <c r="L25" s="15"/>
      <c r="M25" s="15"/>
    </row>
    <row r="26" spans="1:13" x14ac:dyDescent="0.2">
      <c r="A26" s="12"/>
      <c r="B26" s="12"/>
      <c r="C26" s="12"/>
      <c r="D26" s="21">
        <f>+Input_Output!D26</f>
        <v>0.5</v>
      </c>
      <c r="E26" s="26">
        <f>+IF(Input_Output!$E$10=setup!$B$6,Input_Output!E26,Input_Output!E26*0.3048)</f>
        <v>10.5</v>
      </c>
      <c r="F26" s="15"/>
      <c r="G26" s="15"/>
      <c r="H26" s="15"/>
      <c r="I26" s="15"/>
      <c r="J26" s="15"/>
      <c r="K26" s="15"/>
      <c r="L26" s="15"/>
      <c r="M26" s="15"/>
    </row>
    <row r="27" spans="1:13" x14ac:dyDescent="0.2">
      <c r="A27" s="12"/>
      <c r="B27" s="12"/>
      <c r="C27" s="12"/>
      <c r="D27" s="23">
        <f>+Input_Output!D27</f>
        <v>0.7</v>
      </c>
      <c r="E27" s="26">
        <f>+IF(Input_Output!$E$10=setup!$B$6,Input_Output!E27,Input_Output!E27*0.3048)</f>
        <v>10</v>
      </c>
      <c r="F27" s="15"/>
      <c r="G27" s="15"/>
      <c r="H27" s="15"/>
      <c r="I27" s="15"/>
      <c r="J27" s="15"/>
      <c r="K27" s="15"/>
      <c r="L27" s="15"/>
      <c r="M27" s="15"/>
    </row>
    <row r="28" spans="1:13" ht="12.75" customHeight="1" x14ac:dyDescent="0.2">
      <c r="A28" s="12"/>
      <c r="B28" s="12"/>
      <c r="C28" s="12" t="s">
        <v>41</v>
      </c>
      <c r="D28" s="23">
        <f>+Input_Output!D28</f>
        <v>1</v>
      </c>
      <c r="E28" s="26">
        <f>+IF(Input_Output!$E$10=setup!$B$6,Input_Output!E28,Input_Output!E28*0.3048)</f>
        <v>10.6</v>
      </c>
      <c r="F28" s="15"/>
      <c r="G28" s="15"/>
      <c r="H28" s="15"/>
      <c r="I28" s="15"/>
      <c r="J28" s="15"/>
      <c r="K28" s="15"/>
      <c r="L28" s="15"/>
      <c r="M28" s="15"/>
    </row>
    <row r="29" spans="1:13" x14ac:dyDescent="0.2">
      <c r="A29" s="12"/>
      <c r="B29" s="12"/>
      <c r="C29" s="12"/>
      <c r="D29" s="23">
        <f>+Input_Output!D29</f>
        <v>1.1499999999999999</v>
      </c>
      <c r="E29" s="120">
        <f>+IF(Input_Output!$E$10=setup!$B$6,Input_Output!E29,Input_Output!E29*0.3048)</f>
        <v>12.5</v>
      </c>
      <c r="F29" s="15"/>
      <c r="G29" s="15"/>
      <c r="H29" s="15"/>
      <c r="I29" s="15"/>
      <c r="J29" s="15"/>
      <c r="K29" s="15"/>
      <c r="L29" s="15"/>
      <c r="M29" s="15"/>
    </row>
    <row r="30" spans="1:13" ht="22.5" customHeight="1" x14ac:dyDescent="0.2">
      <c r="A30" s="12"/>
      <c r="B30" s="12"/>
      <c r="C30" s="12"/>
      <c r="D30" s="21">
        <f>+Input_Output!D30</f>
        <v>1.2</v>
      </c>
      <c r="E30" s="26">
        <f>+IF(Input_Output!$E$10=setup!$B$6,Input_Output!E30,Input_Output!E30*0.3048)</f>
        <v>13.5</v>
      </c>
      <c r="F30" s="13"/>
      <c r="G30" s="13"/>
      <c r="H30" s="13"/>
      <c r="I30" s="13"/>
      <c r="J30" s="13"/>
      <c r="K30" s="13"/>
      <c r="L30" s="13"/>
      <c r="M30" s="14"/>
    </row>
    <row r="31" spans="1:13" ht="22.5" customHeight="1" x14ac:dyDescent="0.2">
      <c r="A31" s="12"/>
      <c r="B31" s="12"/>
      <c r="C31" s="12"/>
      <c r="D31" s="12"/>
      <c r="E31" s="12"/>
      <c r="F31" s="12"/>
      <c r="G31" s="13"/>
      <c r="H31" s="13"/>
      <c r="I31" s="13"/>
      <c r="J31" s="13"/>
      <c r="K31" s="13"/>
      <c r="L31" s="13"/>
      <c r="M31" s="14"/>
    </row>
    <row r="32" spans="1:13" ht="22.5" customHeight="1" x14ac:dyDescent="0.2">
      <c r="A32" s="12"/>
      <c r="B32" s="12"/>
      <c r="C32" s="12"/>
      <c r="D32" s="12"/>
      <c r="E32" s="12"/>
      <c r="F32" s="12"/>
      <c r="G32" s="13"/>
      <c r="H32" s="13"/>
      <c r="I32" s="13"/>
      <c r="J32" s="13"/>
      <c r="K32" s="13"/>
      <c r="L32" s="13"/>
      <c r="M32" s="14"/>
    </row>
    <row r="33" spans="1:25" ht="22.5" customHeight="1" x14ac:dyDescent="0.3">
      <c r="A33" s="196" t="s">
        <v>42</v>
      </c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7"/>
    </row>
    <row r="34" spans="1:25" ht="22.5" customHeight="1" x14ac:dyDescent="0.2">
      <c r="A34" s="12"/>
      <c r="B34" s="12"/>
      <c r="C34" s="12"/>
      <c r="D34" s="12"/>
      <c r="E34" s="12"/>
      <c r="F34" s="12"/>
      <c r="G34" s="13"/>
      <c r="H34" s="13"/>
      <c r="I34" s="13"/>
      <c r="J34" s="13"/>
      <c r="K34" s="13"/>
      <c r="L34" s="13"/>
      <c r="M34" s="14"/>
    </row>
    <row r="35" spans="1:25" ht="22.5" customHeight="1" x14ac:dyDescent="0.2">
      <c r="A35" s="12"/>
      <c r="B35" s="12"/>
      <c r="C35" s="12"/>
      <c r="D35" s="12"/>
      <c r="E35" s="12"/>
      <c r="F35" s="12"/>
      <c r="G35" s="13"/>
      <c r="H35" s="13"/>
      <c r="I35" s="13"/>
      <c r="J35" s="13"/>
      <c r="K35" s="13"/>
      <c r="L35" s="13"/>
      <c r="M35" s="14"/>
    </row>
    <row r="36" spans="1:25" ht="22.5" customHeight="1" x14ac:dyDescent="0.2">
      <c r="A36" s="12"/>
      <c r="B36" s="12"/>
      <c r="C36" s="12"/>
      <c r="D36" s="12"/>
      <c r="E36" s="12"/>
      <c r="F36" s="12"/>
      <c r="G36" s="13"/>
      <c r="H36" s="13"/>
      <c r="I36" s="13"/>
      <c r="J36" s="13"/>
      <c r="K36" s="13"/>
      <c r="L36" s="13"/>
      <c r="M36" s="14"/>
    </row>
    <row r="37" spans="1:25" ht="22.5" customHeight="1" x14ac:dyDescent="0.2">
      <c r="A37" s="12"/>
      <c r="B37" s="12"/>
      <c r="C37" s="12"/>
      <c r="D37" s="12"/>
      <c r="E37" s="12"/>
      <c r="F37" s="12"/>
      <c r="G37" s="13"/>
      <c r="H37" s="13"/>
      <c r="I37" s="13"/>
      <c r="J37" s="13"/>
      <c r="K37" s="13"/>
      <c r="L37" s="13"/>
      <c r="M37" s="14"/>
    </row>
    <row r="38" spans="1:25" ht="22.5" customHeight="1" x14ac:dyDescent="0.2">
      <c r="A38" s="12"/>
      <c r="B38" s="12"/>
      <c r="C38" s="12"/>
      <c r="D38" s="12"/>
      <c r="E38" s="12"/>
      <c r="F38" s="12"/>
      <c r="G38" s="13"/>
      <c r="H38" s="13"/>
      <c r="I38" s="13"/>
      <c r="J38" s="13"/>
      <c r="K38" s="13"/>
      <c r="L38" s="13"/>
      <c r="M38" s="14"/>
      <c r="W38" s="3">
        <f>+E11/60*2*3.14</f>
        <v>33.912000000000006</v>
      </c>
      <c r="X38" s="3">
        <f>+E18/2000</f>
        <v>0.5</v>
      </c>
      <c r="Y38" s="3">
        <f>+X38*W38</f>
        <v>16.956000000000003</v>
      </c>
    </row>
    <row r="39" spans="1:25" ht="22.5" customHeight="1" x14ac:dyDescent="0.2">
      <c r="A39" s="12"/>
      <c r="B39" s="12"/>
      <c r="C39" s="12"/>
      <c r="D39" s="12"/>
      <c r="E39" s="12"/>
      <c r="F39" s="12"/>
      <c r="G39" s="13"/>
      <c r="H39" s="13"/>
      <c r="I39" s="13"/>
      <c r="J39" s="13"/>
      <c r="K39" s="13"/>
      <c r="L39" s="13"/>
      <c r="M39" s="14"/>
      <c r="U39" s="25"/>
    </row>
    <row r="40" spans="1:25" ht="22.5" customHeight="1" x14ac:dyDescent="0.2">
      <c r="A40" s="12"/>
      <c r="B40" s="12"/>
      <c r="C40" s="12"/>
      <c r="D40" s="12"/>
      <c r="E40" s="12"/>
      <c r="F40" s="12"/>
      <c r="G40" s="13"/>
      <c r="H40" s="13"/>
      <c r="I40" s="13"/>
      <c r="J40" s="13"/>
      <c r="K40" s="13"/>
      <c r="L40" s="13"/>
      <c r="M40" s="14"/>
    </row>
    <row r="41" spans="1:25" ht="22.5" customHeight="1" x14ac:dyDescent="0.2">
      <c r="A41" s="12"/>
      <c r="B41" s="12"/>
      <c r="C41" s="12"/>
      <c r="D41" s="12"/>
      <c r="E41" s="12"/>
      <c r="F41" s="12"/>
      <c r="G41" s="13"/>
      <c r="H41" s="13"/>
      <c r="I41" s="13"/>
      <c r="J41" s="13"/>
      <c r="K41" s="13"/>
      <c r="L41" s="13"/>
      <c r="M41" s="14"/>
    </row>
    <row r="42" spans="1:25" ht="22.5" customHeight="1" x14ac:dyDescent="0.2">
      <c r="A42" s="12"/>
      <c r="B42" s="12"/>
      <c r="C42" s="12"/>
      <c r="D42" s="12"/>
      <c r="E42" s="12"/>
      <c r="F42" s="12"/>
      <c r="G42" s="13"/>
      <c r="H42" s="13"/>
      <c r="I42" s="13"/>
      <c r="J42" s="13"/>
      <c r="K42" s="13"/>
      <c r="L42" s="13"/>
      <c r="M42" s="14"/>
    </row>
    <row r="43" spans="1:25" ht="22.5" customHeight="1" x14ac:dyDescent="0.2">
      <c r="A43" s="12"/>
      <c r="B43" s="8"/>
      <c r="C43" s="8"/>
      <c r="D43" s="8"/>
      <c r="E43" s="8"/>
      <c r="F43" s="8"/>
      <c r="G43" s="10"/>
      <c r="H43" s="10"/>
      <c r="I43" s="10"/>
      <c r="J43" s="10"/>
      <c r="K43" s="10"/>
      <c r="L43" s="10"/>
      <c r="M43" s="11"/>
    </row>
    <row r="44" spans="1:25" ht="18.75" x14ac:dyDescent="0.3">
      <c r="A44" s="196" t="s">
        <v>42</v>
      </c>
      <c r="B44" s="196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7"/>
    </row>
    <row r="45" spans="1:25" x14ac:dyDescent="0.2">
      <c r="A45" s="12"/>
      <c r="B45" s="12" t="s">
        <v>43</v>
      </c>
      <c r="C45" s="17"/>
      <c r="D45" s="15"/>
      <c r="E45" s="15"/>
      <c r="F45" s="15"/>
      <c r="G45" s="15"/>
      <c r="H45" s="15"/>
      <c r="I45" s="15"/>
      <c r="J45" s="15"/>
      <c r="K45" s="15"/>
      <c r="L45" s="15"/>
      <c r="M45" s="15"/>
    </row>
    <row r="46" spans="1:25" x14ac:dyDescent="0.2">
      <c r="A46" s="12"/>
      <c r="B46" s="45" t="s">
        <v>38</v>
      </c>
      <c r="C46" s="62" t="s">
        <v>40</v>
      </c>
      <c r="D46" s="17"/>
      <c r="E46" s="17"/>
      <c r="F46" s="15"/>
      <c r="G46" s="15"/>
      <c r="H46" s="15"/>
      <c r="I46" s="15"/>
      <c r="J46" s="15"/>
      <c r="K46" s="15"/>
      <c r="L46" s="15"/>
      <c r="M46" s="15"/>
      <c r="N46" s="24"/>
    </row>
    <row r="47" spans="1:25" x14ac:dyDescent="0.2">
      <c r="A47" s="15" t="s">
        <v>44</v>
      </c>
      <c r="B47" s="48">
        <f>+MAX('H.I 9.6.1'!W5,'H.I 9.6.1'!W18,'H.I 9.6.1'!W33,'H.I 9.6.1'!W65)</f>
        <v>1.1000000000000001</v>
      </c>
      <c r="C47" s="48">
        <f>+MAX('H.I 9.6.1'!Y5,'H.I 9.6.1'!Y18,'H.I 9.6.1'!Y33,'H.I 9.6.1'!Y65)</f>
        <v>1.1000000000000001</v>
      </c>
      <c r="D47" s="17"/>
      <c r="E47" s="17"/>
      <c r="F47" s="15"/>
      <c r="G47" s="15"/>
      <c r="H47" s="15"/>
      <c r="I47" s="15"/>
      <c r="J47" s="15"/>
      <c r="K47" s="45" t="s">
        <v>45</v>
      </c>
      <c r="L47" s="27">
        <f>+E18/2000*2*PI()/60*E11</f>
        <v>16.964600329384883</v>
      </c>
      <c r="M47" s="16" t="str">
        <f>+IF(E10=setup!B6,"m/s","ft/s")</f>
        <v>m/s</v>
      </c>
    </row>
    <row r="48" spans="1:25" ht="13.5" thickBot="1" x14ac:dyDescent="0.25">
      <c r="A48" s="15" t="s">
        <v>46</v>
      </c>
      <c r="B48" s="27">
        <f>+'Gulich-Table 6.2'!L25</f>
        <v>1.074433762917459</v>
      </c>
      <c r="C48" s="27">
        <f>+'Gulich-Table 6.2'!L26</f>
        <v>1.068230949341004</v>
      </c>
      <c r="D48" s="17"/>
      <c r="E48" s="17"/>
      <c r="F48" s="15"/>
      <c r="G48" s="15"/>
      <c r="H48" s="17"/>
      <c r="I48" s="17"/>
      <c r="J48" s="15"/>
      <c r="K48" s="15"/>
      <c r="L48" s="15"/>
      <c r="M48" s="16"/>
    </row>
    <row r="49" spans="1:19" ht="13.5" thickBot="1" x14ac:dyDescent="0.25">
      <c r="A49" s="15" t="s">
        <v>47</v>
      </c>
      <c r="B49" s="28">
        <f>+'TMP handbook Table C.8.1'!P11</f>
        <v>1.3897685483870972</v>
      </c>
      <c r="C49" s="27">
        <f>+'TMP handbook Table C.8.1'!P12</f>
        <v>1.3897685483870972</v>
      </c>
      <c r="D49" s="17"/>
      <c r="E49" s="15"/>
      <c r="F49" s="15"/>
      <c r="G49" s="15"/>
      <c r="H49" s="15"/>
      <c r="I49" s="15"/>
      <c r="J49" s="15"/>
      <c r="K49" s="15"/>
      <c r="L49" s="15"/>
      <c r="M49" s="16"/>
      <c r="O49" s="5"/>
      <c r="R49" s="5"/>
    </row>
    <row r="50" spans="1:19" x14ac:dyDescent="0.2">
      <c r="A50" s="15" t="s">
        <v>48</v>
      </c>
      <c r="B50" s="28">
        <f>+AVERAGE('TMP special'!X17:X18,'TMP special'!X22)</f>
        <v>2.0880976596138234</v>
      </c>
      <c r="C50" s="27">
        <f>+AVERAGE('TMP special'!X19:X21)</f>
        <v>1.5758832029388046</v>
      </c>
      <c r="D50" s="17"/>
      <c r="E50" s="15"/>
      <c r="F50" s="15"/>
      <c r="G50" s="15"/>
      <c r="H50" s="15"/>
      <c r="I50" s="15"/>
      <c r="J50" s="15"/>
      <c r="K50" s="15"/>
      <c r="L50" s="15"/>
      <c r="M50" s="16"/>
    </row>
    <row r="51" spans="1:19" x14ac:dyDescent="0.2">
      <c r="A51" s="17"/>
      <c r="B51" s="17"/>
      <c r="C51" s="17"/>
      <c r="D51" s="17"/>
      <c r="E51" s="15" t="s">
        <v>37</v>
      </c>
      <c r="F51" s="15" t="s">
        <v>49</v>
      </c>
      <c r="G51" s="15" t="s">
        <v>50</v>
      </c>
      <c r="H51" s="15" t="s">
        <v>66</v>
      </c>
      <c r="I51" s="15" t="s">
        <v>67</v>
      </c>
      <c r="J51" s="15" t="s">
        <v>53</v>
      </c>
      <c r="K51" s="15" t="s">
        <v>54</v>
      </c>
      <c r="L51" s="15" t="s">
        <v>55</v>
      </c>
      <c r="M51" s="16" t="s">
        <v>68</v>
      </c>
    </row>
    <row r="52" spans="1:19" x14ac:dyDescent="0.2">
      <c r="A52" s="12"/>
      <c r="B52" s="15" t="s">
        <v>56</v>
      </c>
      <c r="C52" s="17"/>
      <c r="D52" s="17"/>
      <c r="E52" s="63">
        <f>+D25</f>
        <v>0.3</v>
      </c>
      <c r="F52" s="63">
        <f>+MAX(E25*$B$47,E25+$B$54)</f>
        <v>12.100000000000001</v>
      </c>
      <c r="G52" s="63">
        <f>+MAX(E25*$B$48,E25+$B$55)</f>
        <v>11.818771392092049</v>
      </c>
      <c r="H52" s="63">
        <f>+MAX(E25*$B$49,E25+$B$56)</f>
        <v>15.287454032258069</v>
      </c>
      <c r="I52" s="63" t="str">
        <f>+IF(OR($J$13&lt;&gt;0,$J$15&lt;&gt;0),MAX(E25+0.5,'TMP special'!Y17),"")</f>
        <v/>
      </c>
      <c r="J52" s="63">
        <f>+MIN(F52:I52)</f>
        <v>11.818771392092049</v>
      </c>
      <c r="K52" s="63">
        <f>+MAX(F52:I52)</f>
        <v>15.287454032258069</v>
      </c>
      <c r="L52" s="63">
        <f>+AVERAGE(J52:K52)</f>
        <v>13.553112712175059</v>
      </c>
      <c r="M52" s="63">
        <f>+L52/E25</f>
        <v>1.2321011556522781</v>
      </c>
    </row>
    <row r="53" spans="1:19" x14ac:dyDescent="0.2">
      <c r="A53" s="12"/>
      <c r="B53" s="45" t="s">
        <v>38</v>
      </c>
      <c r="C53" s="62" t="s">
        <v>40</v>
      </c>
      <c r="D53" s="17"/>
      <c r="E53" s="63">
        <f t="shared" ref="E53:E57" si="0">+D26</f>
        <v>0.5</v>
      </c>
      <c r="F53" s="63">
        <f>+MAX(E26*$B$47,E26+$B$54)</f>
        <v>11.55</v>
      </c>
      <c r="G53" s="63">
        <f>+MAX(E26*$B$48,E26+$B$55)</f>
        <v>11.281554510633319</v>
      </c>
      <c r="H53" s="63">
        <f>+MAX(E26*$B$49,E26+$B$56)</f>
        <v>14.592569758064521</v>
      </c>
      <c r="I53" s="63" t="str">
        <f>+IF(OR($J$13&lt;&gt;0,$J$15&lt;&gt;0),MAX(E26+0.5,'TMP special'!Y18),"")</f>
        <v/>
      </c>
      <c r="J53" s="63">
        <f t="shared" ref="J53:J57" si="1">+MIN(F53:I53)</f>
        <v>11.281554510633319</v>
      </c>
      <c r="K53" s="63">
        <f t="shared" ref="K53:K57" si="2">+MAX(F53:I53)</f>
        <v>14.592569758064521</v>
      </c>
      <c r="L53" s="63">
        <f t="shared" ref="L53:L57" si="3">+AVERAGE(J53:K53)</f>
        <v>12.93706213434892</v>
      </c>
      <c r="M53" s="63">
        <f t="shared" ref="M53:M57" si="4">+L53/E26</f>
        <v>1.2321011556522781</v>
      </c>
    </row>
    <row r="54" spans="1:19" x14ac:dyDescent="0.2">
      <c r="A54" s="15" t="s">
        <v>44</v>
      </c>
      <c r="B54" s="48">
        <f>+MAX('H.I 9.6.1'!X5,'H.I 9.6.1'!X18,'H.I 9.6.1'!X33,'H.I 9.6.1'!X65)</f>
        <v>1</v>
      </c>
      <c r="C54" s="48">
        <f>+MAX('H.I 9.6.1'!Z5,'H.I 9.6.1'!Z18,'H.I 9.6.1'!Z33,'H.I 9.6.1'!Z65)</f>
        <v>1</v>
      </c>
      <c r="D54" s="17"/>
      <c r="E54" s="64">
        <f t="shared" si="0"/>
        <v>0.7</v>
      </c>
      <c r="F54" s="64">
        <f>+MAX(E27*$C$47,E27+$C$54)</f>
        <v>11</v>
      </c>
      <c r="G54" s="64">
        <f>+MAX(E27*$C$48,E27+$C$55)</f>
        <v>10.68230949341004</v>
      </c>
      <c r="H54" s="64">
        <f>+MAX(E27*$C$49,E27+$C$56)</f>
        <v>13.897685483870973</v>
      </c>
      <c r="I54" s="64" t="str">
        <f>+IF(OR($J$13&lt;&gt;0,$J$15&lt;&gt;0),MAX(E27+0.5,'TMP special'!Y19),"")</f>
        <v/>
      </c>
      <c r="J54" s="64">
        <f t="shared" si="1"/>
        <v>10.68230949341004</v>
      </c>
      <c r="K54" s="64">
        <f t="shared" si="2"/>
        <v>13.897685483870973</v>
      </c>
      <c r="L54" s="64">
        <f t="shared" si="3"/>
        <v>12.289997488640505</v>
      </c>
      <c r="M54" s="63">
        <f t="shared" si="4"/>
        <v>1.2289997488640505</v>
      </c>
    </row>
    <row r="55" spans="1:19" x14ac:dyDescent="0.2">
      <c r="A55" s="15" t="s">
        <v>46</v>
      </c>
      <c r="B55" s="27">
        <f>+'Gulich-Table 6.2'!M25</f>
        <v>0.6</v>
      </c>
      <c r="C55" s="27">
        <f>+'Gulich-Table 6.2'!M26</f>
        <v>0.6</v>
      </c>
      <c r="D55" s="17"/>
      <c r="E55" s="64">
        <f t="shared" si="0"/>
        <v>1</v>
      </c>
      <c r="F55" s="64">
        <f t="shared" ref="F55" si="5">+MAX(E28*$C$47,E28+$C$54)</f>
        <v>11.66</v>
      </c>
      <c r="G55" s="64">
        <f t="shared" ref="G55" si="6">+MAX(E28*$C$48,E28+$C$55)</f>
        <v>11.323248063014642</v>
      </c>
      <c r="H55" s="64">
        <f t="shared" ref="H55" si="7">+MAX(E28*$C$49,E28+$C$56)</f>
        <v>14.73154661290323</v>
      </c>
      <c r="I55" s="64" t="str">
        <f>+IF(OR($J$13&lt;&gt;0,$J$15&lt;&gt;0),MAX(E28+0.5,'TMP special'!Y20),"")</f>
        <v/>
      </c>
      <c r="J55" s="64">
        <f t="shared" si="1"/>
        <v>11.323248063014642</v>
      </c>
      <c r="K55" s="64">
        <f t="shared" si="2"/>
        <v>14.73154661290323</v>
      </c>
      <c r="L55" s="64">
        <f t="shared" si="3"/>
        <v>13.027397337958936</v>
      </c>
      <c r="M55" s="63">
        <f t="shared" si="4"/>
        <v>1.2289997488640507</v>
      </c>
    </row>
    <row r="56" spans="1:19" x14ac:dyDescent="0.2">
      <c r="A56" s="15" t="s">
        <v>47</v>
      </c>
      <c r="B56" s="27">
        <f>+'TMP handbook Table C.8.1'!Q11</f>
        <v>0</v>
      </c>
      <c r="C56" s="27">
        <f>+'TMP handbook Table C.8.1'!Q12</f>
        <v>0</v>
      </c>
      <c r="D56" s="17"/>
      <c r="E56" s="121">
        <f t="shared" si="0"/>
        <v>1.1499999999999999</v>
      </c>
      <c r="F56" s="64">
        <f>+MAX(E29*1.15,E29+0.6)</f>
        <v>14.374999999999998</v>
      </c>
      <c r="G56" s="64">
        <f>+MAX(E29*1.15,E29+0.6)</f>
        <v>14.374999999999998</v>
      </c>
      <c r="H56" s="64">
        <f>+MAX(E29*1.15,E29+0.6)</f>
        <v>14.374999999999998</v>
      </c>
      <c r="I56" s="64" t="str">
        <f>+IF(OR($J$13&lt;&gt;0,$J$15&lt;&gt;0),MAX(E29+0.5,'TMP special'!Y21),"")</f>
        <v/>
      </c>
      <c r="J56" s="64">
        <f>+MIN(F56:I56)</f>
        <v>14.374999999999998</v>
      </c>
      <c r="K56" s="64">
        <f t="shared" si="2"/>
        <v>14.374999999999998</v>
      </c>
      <c r="L56" s="64">
        <f t="shared" si="3"/>
        <v>14.374999999999998</v>
      </c>
      <c r="M56" s="122">
        <f t="shared" si="4"/>
        <v>1.1499999999999999</v>
      </c>
    </row>
    <row r="57" spans="1:19" x14ac:dyDescent="0.2">
      <c r="A57" s="15" t="s">
        <v>48</v>
      </c>
      <c r="B57" s="27">
        <v>0.5</v>
      </c>
      <c r="C57" s="27">
        <v>0.5</v>
      </c>
      <c r="D57" s="17"/>
      <c r="E57" s="63">
        <f t="shared" si="0"/>
        <v>1.2</v>
      </c>
      <c r="F57" s="63">
        <f>+MAX(E30*1.1,E30+0.5)</f>
        <v>14.850000000000001</v>
      </c>
      <c r="G57" s="63">
        <f>+MAX(E30*1.1,E30+0.5)</f>
        <v>14.850000000000001</v>
      </c>
      <c r="H57" s="63">
        <f>+MAX(E30*1.1,E30+0.5)</f>
        <v>14.850000000000001</v>
      </c>
      <c r="I57" s="63" t="str">
        <f>+IF(OR($J$13&lt;&gt;0,$J$15&lt;&gt;0),MAX(E30+0.5,'TMP special'!Y22),"")</f>
        <v/>
      </c>
      <c r="J57" s="63">
        <f t="shared" si="1"/>
        <v>14.850000000000001</v>
      </c>
      <c r="K57" s="63">
        <f t="shared" si="2"/>
        <v>14.850000000000001</v>
      </c>
      <c r="L57" s="63">
        <f t="shared" si="3"/>
        <v>14.850000000000001</v>
      </c>
      <c r="M57" s="63">
        <f t="shared" si="4"/>
        <v>1.1000000000000001</v>
      </c>
      <c r="O57" s="1"/>
      <c r="P57" s="6"/>
      <c r="R57" s="1"/>
      <c r="S57" s="6"/>
    </row>
    <row r="58" spans="1:19" x14ac:dyDescent="0.2">
      <c r="A58" s="12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8"/>
      <c r="O58" s="2"/>
    </row>
    <row r="59" spans="1:19" x14ac:dyDescent="0.2">
      <c r="A59" s="198" t="s">
        <v>57</v>
      </c>
      <c r="B59" s="198"/>
      <c r="C59" s="198"/>
      <c r="D59" s="198"/>
      <c r="E59" s="198"/>
      <c r="F59" s="198"/>
      <c r="G59" s="198"/>
      <c r="H59" s="198"/>
      <c r="I59" s="198"/>
      <c r="J59" s="198"/>
      <c r="K59" s="198"/>
      <c r="L59" s="198"/>
      <c r="M59" s="199"/>
    </row>
    <row r="60" spans="1:19" ht="41.25" customHeight="1" x14ac:dyDescent="0.2">
      <c r="A60" s="200" t="s">
        <v>69</v>
      </c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1"/>
    </row>
    <row r="61" spans="1:19" ht="13.5" customHeight="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</sheetData>
  <mergeCells count="8">
    <mergeCell ref="A44:M44"/>
    <mergeCell ref="A59:M59"/>
    <mergeCell ref="A60:M60"/>
    <mergeCell ref="A1:E3"/>
    <mergeCell ref="F1:M3"/>
    <mergeCell ref="E19:G19"/>
    <mergeCell ref="E20:G20"/>
    <mergeCell ref="A33:M33"/>
  </mergeCells>
  <pageMargins left="0.7" right="0.7" top="0.75" bottom="0.75" header="0.3" footer="0.3"/>
  <pageSetup scale="78" orientation="portrait" r:id="rId1"/>
  <headerFooter alignWithMargins="0">
    <oddFooter>&amp;L&amp;F&amp;R&amp;D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Check Box 2">
              <controlPr defaultSize="0" autoFill="0" autoLine="0" autoPict="0">
                <anchor moveWithCells="1">
                  <from>
                    <xdr:col>9</xdr:col>
                    <xdr:colOff>66675</xdr:colOff>
                    <xdr:row>15</xdr:row>
                    <xdr:rowOff>219075</xdr:rowOff>
                  </from>
                  <to>
                    <xdr:col>9</xdr:col>
                    <xdr:colOff>295275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eck Box 3">
              <controlPr defaultSize="0" autoFill="0" autoLine="0" autoPict="0">
                <anchor moveWithCells="1">
                  <from>
                    <xdr:col>9</xdr:col>
                    <xdr:colOff>66675</xdr:colOff>
                    <xdr:row>7</xdr:row>
                    <xdr:rowOff>219075</xdr:rowOff>
                  </from>
                  <to>
                    <xdr:col>9</xdr:col>
                    <xdr:colOff>295275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539A863-C036-4747-9CC3-A72E0AF97C1E}">
          <x14:formula1>
            <xm:f>setup!$G$5:$G$15</xm:f>
          </x14:formula1>
          <xm:sqref>J21</xm:sqref>
        </x14:dataValidation>
        <x14:dataValidation type="list" allowBlank="1" showInputMessage="1" showErrorMessage="1" xr:uid="{F4F82147-E3BA-4080-84D1-F8F9188C65C1}">
          <x14:formula1>
            <xm:f>setup!$C$5:$C$15</xm:f>
          </x14:formula1>
          <xm:sqref>E19:E20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B1:K35"/>
  <sheetViews>
    <sheetView zoomScale="130" zoomScaleNormal="130" workbookViewId="0">
      <selection activeCell="B6" sqref="B6"/>
    </sheetView>
  </sheetViews>
  <sheetFormatPr defaultRowHeight="12.75" x14ac:dyDescent="0.2"/>
  <cols>
    <col min="2" max="2" width="17.42578125" customWidth="1"/>
    <col min="3" max="3" width="21.140625" bestFit="1" customWidth="1"/>
    <col min="4" max="4" width="20.42578125" customWidth="1"/>
    <col min="5" max="5" width="23.5703125" bestFit="1" customWidth="1"/>
    <col min="6" max="6" width="23.5703125" customWidth="1"/>
    <col min="7" max="7" width="18.42578125" customWidth="1"/>
    <col min="8" max="8" width="18.85546875" customWidth="1"/>
    <col min="10" max="10" width="12.42578125" customWidth="1"/>
    <col min="11" max="11" width="16.85546875" customWidth="1"/>
  </cols>
  <sheetData>
    <row r="1" spans="2:11" x14ac:dyDescent="0.2">
      <c r="I1" s="7"/>
      <c r="J1" s="7" t="s">
        <v>45</v>
      </c>
      <c r="K1" s="7"/>
    </row>
    <row r="2" spans="2:11" x14ac:dyDescent="0.2">
      <c r="B2" t="s">
        <v>70</v>
      </c>
      <c r="J2">
        <f>+IF(Input_Output!E10=setup!B6,Input_Output!E18/2000*(Input_Output!E11/60*2*PI()),Input_Output!E18/2*0.0833333*(Input_Output!E11/60*2*PI()))</f>
        <v>16.964600329384883</v>
      </c>
    </row>
    <row r="4" spans="2:11" x14ac:dyDescent="0.2">
      <c r="B4" t="s">
        <v>13</v>
      </c>
      <c r="C4" s="7" t="s">
        <v>27</v>
      </c>
      <c r="D4" t="s">
        <v>71</v>
      </c>
      <c r="E4" t="s">
        <v>72</v>
      </c>
      <c r="G4" t="s">
        <v>73</v>
      </c>
    </row>
    <row r="5" spans="2:11" x14ac:dyDescent="0.2">
      <c r="B5" t="s">
        <v>74</v>
      </c>
      <c r="C5" t="s">
        <v>75</v>
      </c>
      <c r="D5" t="s">
        <v>31</v>
      </c>
      <c r="E5" t="s">
        <v>76</v>
      </c>
      <c r="F5" t="s">
        <v>77</v>
      </c>
      <c r="G5" t="s">
        <v>78</v>
      </c>
    </row>
    <row r="6" spans="2:11" x14ac:dyDescent="0.2">
      <c r="B6" t="s">
        <v>14</v>
      </c>
      <c r="C6" t="s">
        <v>79</v>
      </c>
      <c r="D6" t="s">
        <v>80</v>
      </c>
      <c r="E6" t="s">
        <v>81</v>
      </c>
      <c r="F6" t="s">
        <v>77</v>
      </c>
      <c r="G6" t="s">
        <v>82</v>
      </c>
    </row>
    <row r="7" spans="2:11" x14ac:dyDescent="0.2">
      <c r="C7" t="s">
        <v>83</v>
      </c>
      <c r="D7" t="s">
        <v>84</v>
      </c>
      <c r="E7" t="s">
        <v>33</v>
      </c>
      <c r="F7" t="s">
        <v>77</v>
      </c>
      <c r="G7" t="s">
        <v>85</v>
      </c>
    </row>
    <row r="8" spans="2:11" x14ac:dyDescent="0.2">
      <c r="C8" t="s">
        <v>86</v>
      </c>
      <c r="D8" t="s">
        <v>87</v>
      </c>
      <c r="E8" t="s">
        <v>88</v>
      </c>
      <c r="F8" t="s">
        <v>77</v>
      </c>
      <c r="G8" t="s">
        <v>89</v>
      </c>
    </row>
    <row r="9" spans="2:11" x14ac:dyDescent="0.2">
      <c r="C9" t="s">
        <v>90</v>
      </c>
      <c r="D9" t="s">
        <v>91</v>
      </c>
      <c r="E9" t="s">
        <v>92</v>
      </c>
      <c r="F9" t="s">
        <v>77</v>
      </c>
      <c r="G9" t="s">
        <v>93</v>
      </c>
    </row>
    <row r="10" spans="2:11" x14ac:dyDescent="0.2">
      <c r="C10" s="7" t="s">
        <v>94</v>
      </c>
      <c r="E10" t="s">
        <v>95</v>
      </c>
      <c r="F10" t="s">
        <v>77</v>
      </c>
      <c r="G10" t="s">
        <v>96</v>
      </c>
    </row>
    <row r="11" spans="2:11" x14ac:dyDescent="0.2">
      <c r="C11" s="7" t="s">
        <v>28</v>
      </c>
      <c r="E11" t="s">
        <v>97</v>
      </c>
      <c r="F11" t="s">
        <v>77</v>
      </c>
      <c r="G11" t="s">
        <v>65</v>
      </c>
    </row>
    <row r="12" spans="2:11" x14ac:dyDescent="0.2">
      <c r="C12" s="7"/>
      <c r="E12" t="s">
        <v>98</v>
      </c>
      <c r="F12" t="s">
        <v>99</v>
      </c>
      <c r="G12" t="s">
        <v>100</v>
      </c>
    </row>
    <row r="13" spans="2:11" x14ac:dyDescent="0.2">
      <c r="E13" t="s">
        <v>101</v>
      </c>
      <c r="F13" s="7" t="s">
        <v>99</v>
      </c>
      <c r="G13" t="s">
        <v>102</v>
      </c>
    </row>
    <row r="14" spans="2:11" x14ac:dyDescent="0.2">
      <c r="E14" t="s">
        <v>103</v>
      </c>
      <c r="F14" s="7" t="s">
        <v>99</v>
      </c>
    </row>
    <row r="15" spans="2:11" x14ac:dyDescent="0.2">
      <c r="E15" t="s">
        <v>104</v>
      </c>
      <c r="F15" s="7" t="s">
        <v>99</v>
      </c>
    </row>
    <row r="16" spans="2:11" x14ac:dyDescent="0.2">
      <c r="E16" t="s">
        <v>105</v>
      </c>
      <c r="F16" s="7" t="s">
        <v>99</v>
      </c>
    </row>
    <row r="17" spans="5:6" x14ac:dyDescent="0.2">
      <c r="E17" t="s">
        <v>106</v>
      </c>
      <c r="F17" s="7" t="s">
        <v>99</v>
      </c>
    </row>
    <row r="18" spans="5:6" x14ac:dyDescent="0.2">
      <c r="E18" t="s">
        <v>107</v>
      </c>
      <c r="F18" s="7" t="s">
        <v>99</v>
      </c>
    </row>
    <row r="19" spans="5:6" x14ac:dyDescent="0.2">
      <c r="E19" t="s">
        <v>108</v>
      </c>
      <c r="F19" s="7" t="s">
        <v>99</v>
      </c>
    </row>
    <row r="20" spans="5:6" x14ac:dyDescent="0.2">
      <c r="E20" t="s">
        <v>109</v>
      </c>
      <c r="F20" s="7" t="s">
        <v>99</v>
      </c>
    </row>
    <row r="21" spans="5:6" x14ac:dyDescent="0.2">
      <c r="E21" t="s">
        <v>110</v>
      </c>
      <c r="F21" s="7" t="s">
        <v>99</v>
      </c>
    </row>
    <row r="22" spans="5:6" x14ac:dyDescent="0.2">
      <c r="E22" t="s">
        <v>111</v>
      </c>
      <c r="F22" s="7" t="s">
        <v>99</v>
      </c>
    </row>
    <row r="23" spans="5:6" x14ac:dyDescent="0.2">
      <c r="E23" t="s">
        <v>112</v>
      </c>
      <c r="F23" s="7" t="s">
        <v>99</v>
      </c>
    </row>
    <row r="24" spans="5:6" x14ac:dyDescent="0.2">
      <c r="E24" t="s">
        <v>113</v>
      </c>
      <c r="F24" t="s">
        <v>114</v>
      </c>
    </row>
    <row r="25" spans="5:6" x14ac:dyDescent="0.2">
      <c r="E25" t="s">
        <v>115</v>
      </c>
      <c r="F25" t="s">
        <v>114</v>
      </c>
    </row>
    <row r="26" spans="5:6" x14ac:dyDescent="0.2">
      <c r="F26" s="7"/>
    </row>
    <row r="27" spans="5:6" x14ac:dyDescent="0.2">
      <c r="F27" s="7"/>
    </row>
    <row r="28" spans="5:6" x14ac:dyDescent="0.2">
      <c r="F28" s="7"/>
    </row>
    <row r="29" spans="5:6" x14ac:dyDescent="0.2">
      <c r="F29" s="7"/>
    </row>
    <row r="30" spans="5:6" x14ac:dyDescent="0.2">
      <c r="F30" s="7"/>
    </row>
    <row r="31" spans="5:6" x14ac:dyDescent="0.2">
      <c r="F31" s="7"/>
    </row>
    <row r="32" spans="5:6" x14ac:dyDescent="0.2">
      <c r="F32" s="7"/>
    </row>
    <row r="33" spans="6:6" x14ac:dyDescent="0.2">
      <c r="F33" s="7"/>
    </row>
    <row r="34" spans="6:6" x14ac:dyDescent="0.2">
      <c r="F34" s="7"/>
    </row>
    <row r="35" spans="6:6" x14ac:dyDescent="0.2">
      <c r="F35" s="7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7F4F-9045-493D-8835-7F586BFB6EBF}">
  <dimension ref="B1:Z65"/>
  <sheetViews>
    <sheetView workbookViewId="0">
      <selection activeCell="M75" sqref="M75"/>
    </sheetView>
  </sheetViews>
  <sheetFormatPr defaultRowHeight="12.75" x14ac:dyDescent="0.2"/>
  <cols>
    <col min="15" max="15" width="11.42578125" customWidth="1"/>
    <col min="16" max="16" width="14.5703125" customWidth="1"/>
    <col min="17" max="17" width="14.42578125" customWidth="1"/>
    <col min="18" max="18" width="18" customWidth="1"/>
    <col min="21" max="21" width="24.42578125" customWidth="1"/>
  </cols>
  <sheetData>
    <row r="1" spans="2:26" x14ac:dyDescent="0.2">
      <c r="V1" t="s">
        <v>116</v>
      </c>
      <c r="W1">
        <f>+IF(Metric_Conversion!E10=setup!B6,Metric_Conversion!L46,Metric_Conversion!L46/51.64)</f>
        <v>0</v>
      </c>
      <c r="Y1" t="s">
        <v>117</v>
      </c>
      <c r="Z1">
        <f>+IF(Metric_Conversion!E10=setup!B6,Metric_Conversion!E16,Metric_Conversion!E16*0.75)</f>
        <v>3500</v>
      </c>
    </row>
    <row r="2" spans="2:26" x14ac:dyDescent="0.2">
      <c r="B2" s="7" t="s">
        <v>31</v>
      </c>
    </row>
    <row r="3" spans="2:26" x14ac:dyDescent="0.2">
      <c r="P3" s="7" t="s">
        <v>118</v>
      </c>
      <c r="Q3" s="7" t="s">
        <v>119</v>
      </c>
      <c r="W3" t="s">
        <v>38</v>
      </c>
      <c r="Y3" t="s">
        <v>40</v>
      </c>
    </row>
    <row r="4" spans="2:26" x14ac:dyDescent="0.2">
      <c r="N4" s="7" t="s">
        <v>120</v>
      </c>
      <c r="O4" s="7" t="s">
        <v>121</v>
      </c>
      <c r="P4" s="7" t="s">
        <v>43</v>
      </c>
      <c r="Q4" s="7" t="s">
        <v>122</v>
      </c>
      <c r="R4" s="7" t="s">
        <v>123</v>
      </c>
      <c r="S4" s="7" t="s">
        <v>116</v>
      </c>
      <c r="T4" s="7" t="s">
        <v>124</v>
      </c>
      <c r="W4" t="s">
        <v>43</v>
      </c>
      <c r="X4" t="s">
        <v>56</v>
      </c>
      <c r="Y4" t="s">
        <v>43</v>
      </c>
      <c r="Z4" t="s">
        <v>56</v>
      </c>
    </row>
    <row r="5" spans="2:26" x14ac:dyDescent="0.2">
      <c r="N5" s="7" t="s">
        <v>38</v>
      </c>
      <c r="O5" s="7" t="s">
        <v>125</v>
      </c>
      <c r="P5">
        <v>1.1000000000000001</v>
      </c>
      <c r="Q5">
        <v>1</v>
      </c>
      <c r="R5" t="s">
        <v>126</v>
      </c>
      <c r="T5" s="44"/>
      <c r="W5">
        <f>+IF(Metric_Conversion!E20=setup!D5,P5,1.1)</f>
        <v>1.1000000000000001</v>
      </c>
      <c r="X5">
        <f>+IF(Metric_Conversion!E20=setup!D5,Q5,0.5)</f>
        <v>1</v>
      </c>
      <c r="Y5">
        <f>+IF(Metric_Conversion!E20=setup!D5,P6,1.1)</f>
        <v>1.1000000000000001</v>
      </c>
      <c r="Z5">
        <f>+IF(Metric_Conversion!E20=setup!D5,Q6,0.5)</f>
        <v>1</v>
      </c>
    </row>
    <row r="6" spans="2:26" x14ac:dyDescent="0.2">
      <c r="N6" t="s">
        <v>40</v>
      </c>
      <c r="O6" s="7" t="s">
        <v>125</v>
      </c>
      <c r="P6">
        <v>1.1000000000000001</v>
      </c>
      <c r="Q6">
        <v>1</v>
      </c>
    </row>
    <row r="14" spans="2:26" x14ac:dyDescent="0.2">
      <c r="B14" s="7" t="s">
        <v>127</v>
      </c>
    </row>
    <row r="16" spans="2:26" x14ac:dyDescent="0.2">
      <c r="P16" s="7" t="s">
        <v>118</v>
      </c>
      <c r="Q16" s="7" t="s">
        <v>119</v>
      </c>
      <c r="W16" t="s">
        <v>38</v>
      </c>
      <c r="Y16" t="s">
        <v>40</v>
      </c>
    </row>
    <row r="17" spans="2:26" x14ac:dyDescent="0.2">
      <c r="N17" s="7" t="s">
        <v>120</v>
      </c>
      <c r="O17" s="7" t="s">
        <v>121</v>
      </c>
      <c r="P17" s="7" t="s">
        <v>43</v>
      </c>
      <c r="Q17" s="7" t="s">
        <v>122</v>
      </c>
      <c r="R17" s="7" t="s">
        <v>123</v>
      </c>
      <c r="S17" s="7" t="s">
        <v>116</v>
      </c>
      <c r="T17" s="7" t="s">
        <v>124</v>
      </c>
      <c r="W17" t="s">
        <v>43</v>
      </c>
      <c r="X17" t="s">
        <v>56</v>
      </c>
      <c r="Y17" t="s">
        <v>43</v>
      </c>
      <c r="Z17" t="s">
        <v>56</v>
      </c>
    </row>
    <row r="18" spans="2:26" x14ac:dyDescent="0.2">
      <c r="N18" s="7" t="s">
        <v>38</v>
      </c>
      <c r="O18" s="7" t="s">
        <v>125</v>
      </c>
      <c r="P18">
        <v>1.1000000000000001</v>
      </c>
      <c r="Q18">
        <v>0.6</v>
      </c>
      <c r="R18" t="s">
        <v>128</v>
      </c>
      <c r="S18">
        <v>213</v>
      </c>
      <c r="W18">
        <f>+IF(Metric_Conversion!E20=setup!D6,IF(W1&lt;213,P18,P20),1.1)</f>
        <v>1.1000000000000001</v>
      </c>
      <c r="X18">
        <f>+IF(Metric_Conversion!E19=setup!D6,IF(W1&lt;213,Q18,Q20),0.5)</f>
        <v>0.5</v>
      </c>
      <c r="Y18">
        <f>+IF(Metric_Conversion!E19=setup!D6,IF(W1&lt;213,P18,P19),1.1)</f>
        <v>1.1000000000000001</v>
      </c>
      <c r="Z18">
        <f>+IF(Metric_Conversion!E19=setup!D6,IF(W1&lt;213,Q18,Q19),0.5)</f>
        <v>0.5</v>
      </c>
    </row>
    <row r="19" spans="2:26" x14ac:dyDescent="0.2">
      <c r="N19" t="s">
        <v>40</v>
      </c>
      <c r="O19" s="7" t="s">
        <v>125</v>
      </c>
      <c r="P19">
        <v>1.1000000000000001</v>
      </c>
      <c r="Q19">
        <v>0.6</v>
      </c>
      <c r="R19" t="s">
        <v>129</v>
      </c>
      <c r="S19">
        <v>213</v>
      </c>
    </row>
    <row r="20" spans="2:26" x14ac:dyDescent="0.2">
      <c r="N20" t="s">
        <v>130</v>
      </c>
      <c r="O20" s="7" t="s">
        <v>125</v>
      </c>
      <c r="P20">
        <v>1.2</v>
      </c>
      <c r="Q20">
        <v>1</v>
      </c>
      <c r="R20" t="s">
        <v>129</v>
      </c>
      <c r="S20">
        <v>213</v>
      </c>
    </row>
    <row r="30" spans="2:26" x14ac:dyDescent="0.2">
      <c r="B30" t="s">
        <v>131</v>
      </c>
    </row>
    <row r="31" spans="2:26" x14ac:dyDescent="0.2">
      <c r="P31" s="7" t="s">
        <v>118</v>
      </c>
      <c r="Q31" s="7" t="s">
        <v>119</v>
      </c>
      <c r="W31" t="s">
        <v>38</v>
      </c>
      <c r="Y31" t="s">
        <v>40</v>
      </c>
    </row>
    <row r="32" spans="2:26" x14ac:dyDescent="0.2">
      <c r="N32" s="7" t="s">
        <v>120</v>
      </c>
      <c r="O32" s="7" t="s">
        <v>121</v>
      </c>
      <c r="P32" s="7" t="s">
        <v>43</v>
      </c>
      <c r="Q32" s="7" t="s">
        <v>122</v>
      </c>
      <c r="R32" s="7" t="s">
        <v>123</v>
      </c>
      <c r="S32" s="7" t="s">
        <v>116</v>
      </c>
      <c r="T32" s="7" t="s">
        <v>124</v>
      </c>
      <c r="W32" t="s">
        <v>43</v>
      </c>
      <c r="X32" t="s">
        <v>56</v>
      </c>
      <c r="Y32" t="s">
        <v>43</v>
      </c>
      <c r="Z32" t="s">
        <v>56</v>
      </c>
    </row>
    <row r="33" spans="14:26" x14ac:dyDescent="0.2">
      <c r="N33" s="7" t="s">
        <v>38</v>
      </c>
      <c r="O33" s="7" t="s">
        <v>75</v>
      </c>
      <c r="P33">
        <v>1.3</v>
      </c>
      <c r="R33" t="s">
        <v>128</v>
      </c>
      <c r="T33" s="7">
        <v>225</v>
      </c>
      <c r="W33">
        <f>+IF(Metric_Conversion!E20=setup!D7,IF(Metric_Conversion!E19='H.I 9.6.1'!O33,IF(Z1&lt;225,P33,P35),IF(Metric_Conversion!E19='H.I 9.6.1'!O37,'H.I 9.6.1'!P37,IF(Metric_Conversion!E19='H.I 9.6.1'!O39,'H.I 9.6.1'!P39,IF(Metric_Conversion!E19='H.I 9.6.1'!O41,'H.I 9.6.1'!P41,0)))),1.1)</f>
        <v>1.1000000000000001</v>
      </c>
      <c r="X33">
        <f>+IF(Metric_Conversion!E19=setup!D7,IF(Metric_Conversion!E19='H.I 9.6.1'!O33,IF(Z1&lt;225,Q33,Q35),IF(Metric_Conversion!E19='H.I 9.6.1'!O37,'H.I 9.6.1'!Q37,IF(Metric_Conversion!E19='H.I 9.6.1'!O39,'H.I 9.6.1'!Q39,IF(Metric_Conversion!E19='H.I 9.6.1'!O41,'H.I 9.6.1'!Q41,0)))),0.5)</f>
        <v>0.5</v>
      </c>
      <c r="Y33">
        <f>+IF(Metric_Conversion!E20=setup!D7,IF(Metric_Conversion!E19='H.I 9.6.1'!O33,IF(Z1&lt;225,P34,P36),IF(Metric_Conversion!E19='H.I 9.6.1'!O37,'H.I 9.6.1'!P38,IF(Metric_Conversion!E19='H.I 9.6.1'!O39,'H.I 9.6.1'!P40,IF(Metric_Conversion!E19='H.I 9.6.1'!O41,'H.I 9.6.1'!P42,0)))),1.1)</f>
        <v>1.1000000000000001</v>
      </c>
      <c r="Z33">
        <f>+IF(Metric_Conversion!E19=setup!D7,IF(Metric_Conversion!E19='H.I 9.6.1'!O33,IF(Z1&lt;225,Q34,Q36),IF(Metric_Conversion!E19='H.I 9.6.1'!O37,'H.I 9.6.1'!Q38,IF(Metric_Conversion!E19='H.I 9.6.1'!O39,'H.I 9.6.1'!Q40,IF(Metric_Conversion!E19='H.I 9.6.1'!O41,'H.I 9.6.1'!Q42,0)))),0.5)</f>
        <v>0.5</v>
      </c>
    </row>
    <row r="34" spans="14:26" x14ac:dyDescent="0.2">
      <c r="N34" t="s">
        <v>40</v>
      </c>
      <c r="O34" s="7" t="s">
        <v>75</v>
      </c>
      <c r="P34">
        <v>1.1000000000000001</v>
      </c>
      <c r="R34" t="s">
        <v>128</v>
      </c>
      <c r="T34" s="7">
        <v>225</v>
      </c>
    </row>
    <row r="35" spans="14:26" x14ac:dyDescent="0.2">
      <c r="N35" s="7" t="s">
        <v>38</v>
      </c>
      <c r="O35" s="7" t="s">
        <v>75</v>
      </c>
      <c r="P35">
        <v>1.5</v>
      </c>
      <c r="R35" t="s">
        <v>129</v>
      </c>
      <c r="T35" s="7">
        <v>225</v>
      </c>
    </row>
    <row r="36" spans="14:26" x14ac:dyDescent="0.2">
      <c r="N36" t="s">
        <v>40</v>
      </c>
      <c r="O36" s="7" t="s">
        <v>75</v>
      </c>
      <c r="P36">
        <v>1.2</v>
      </c>
      <c r="R36" t="s">
        <v>129</v>
      </c>
      <c r="T36" s="7">
        <v>225</v>
      </c>
    </row>
    <row r="37" spans="14:26" x14ac:dyDescent="0.2">
      <c r="N37" s="7" t="s">
        <v>38</v>
      </c>
      <c r="O37" t="s">
        <v>79</v>
      </c>
      <c r="P37">
        <v>1</v>
      </c>
    </row>
    <row r="38" spans="14:26" x14ac:dyDescent="0.2">
      <c r="N38" t="s">
        <v>40</v>
      </c>
      <c r="O38" t="s">
        <v>79</v>
      </c>
      <c r="P38">
        <v>1</v>
      </c>
    </row>
    <row r="39" spans="14:26" x14ac:dyDescent="0.2">
      <c r="N39" s="7" t="s">
        <v>38</v>
      </c>
      <c r="O39" t="s">
        <v>83</v>
      </c>
      <c r="P39">
        <v>1.3</v>
      </c>
    </row>
    <row r="40" spans="14:26" x14ac:dyDescent="0.2">
      <c r="N40" t="s">
        <v>40</v>
      </c>
      <c r="O40" t="s">
        <v>83</v>
      </c>
      <c r="P40">
        <v>1.1000000000000001</v>
      </c>
    </row>
    <row r="41" spans="14:26" x14ac:dyDescent="0.2">
      <c r="N41" s="7" t="s">
        <v>38</v>
      </c>
      <c r="O41" t="s">
        <v>86</v>
      </c>
      <c r="Q41">
        <v>1</v>
      </c>
    </row>
    <row r="42" spans="14:26" x14ac:dyDescent="0.2">
      <c r="N42" t="s">
        <v>40</v>
      </c>
      <c r="O42" t="s">
        <v>86</v>
      </c>
      <c r="P42">
        <v>1.05</v>
      </c>
    </row>
    <row r="49" spans="2:26" x14ac:dyDescent="0.2">
      <c r="B49" t="s">
        <v>132</v>
      </c>
    </row>
    <row r="50" spans="2:26" x14ac:dyDescent="0.2">
      <c r="P50" s="7" t="s">
        <v>118</v>
      </c>
      <c r="Q50" s="7" t="s">
        <v>119</v>
      </c>
      <c r="W50" t="s">
        <v>38</v>
      </c>
      <c r="Y50" t="s">
        <v>40</v>
      </c>
    </row>
    <row r="51" spans="2:26" x14ac:dyDescent="0.2">
      <c r="N51" s="7" t="s">
        <v>120</v>
      </c>
      <c r="O51" s="7" t="s">
        <v>121</v>
      </c>
      <c r="P51" s="7" t="s">
        <v>43</v>
      </c>
      <c r="Q51" s="7" t="s">
        <v>122</v>
      </c>
      <c r="R51" s="7" t="s">
        <v>123</v>
      </c>
      <c r="S51" s="7" t="s">
        <v>116</v>
      </c>
      <c r="T51" s="7" t="s">
        <v>124</v>
      </c>
      <c r="U51" s="7" t="s">
        <v>72</v>
      </c>
      <c r="W51" t="s">
        <v>43</v>
      </c>
      <c r="X51" t="s">
        <v>56</v>
      </c>
      <c r="Y51" t="s">
        <v>43</v>
      </c>
      <c r="Z51" t="s">
        <v>56</v>
      </c>
    </row>
    <row r="52" spans="2:26" x14ac:dyDescent="0.2">
      <c r="N52" s="7" t="s">
        <v>38</v>
      </c>
      <c r="O52" s="7" t="s">
        <v>94</v>
      </c>
      <c r="P52">
        <v>1.2</v>
      </c>
      <c r="Q52">
        <v>1.5</v>
      </c>
      <c r="R52" t="s">
        <v>128</v>
      </c>
      <c r="T52" s="7">
        <v>45</v>
      </c>
      <c r="U52" t="s">
        <v>77</v>
      </c>
      <c r="W52">
        <f>+IF(AND(CONCATENATE(Metric_Conversion!E19,Metric_Conversion!E21)=CONCATENATE(setup!C10,setup!E5),'H.I 9.6.1'!Z1&lt;45),'H.I 9.6.1'!P52,1.1)</f>
        <v>1.1000000000000001</v>
      </c>
      <c r="X52">
        <f>+IF(AND(CONCATENATE(Metric_Conversion!E19,Metric_Conversion!E21)=CONCATENATE(setup!C10,setup!E5),'H.I 9.6.1'!Z1&lt;45),'H.I 9.6.1'!Q52,0.5)</f>
        <v>0.5</v>
      </c>
      <c r="Y52">
        <f>+IF(AND(CONCATENATE(Metric_Conversion!E19,Metric_Conversion!E21)=CONCATENATE(setup!C10,setup!E5),'H.I 9.6.1'!Z1&lt;45),'H.I 9.6.1'!P53,1.1)</f>
        <v>1.1000000000000001</v>
      </c>
      <c r="Z52">
        <f>+IF(AND(CONCATENATE(Metric_Conversion!E19,Metric_Conversion!E21)=CONCATENATE(setup!C10,setup!E5),'H.I 9.6.1'!Z1&lt;45),'H.I 9.6.1'!Q53,0.5)</f>
        <v>0.5</v>
      </c>
    </row>
    <row r="53" spans="2:26" x14ac:dyDescent="0.2">
      <c r="N53" t="s">
        <v>40</v>
      </c>
      <c r="O53" s="7" t="s">
        <v>94</v>
      </c>
      <c r="P53">
        <v>1.1000000000000001</v>
      </c>
      <c r="Q53">
        <v>1</v>
      </c>
      <c r="R53" t="s">
        <v>128</v>
      </c>
      <c r="T53" s="7">
        <v>45</v>
      </c>
      <c r="U53" t="s">
        <v>77</v>
      </c>
    </row>
    <row r="54" spans="2:26" x14ac:dyDescent="0.2">
      <c r="N54" s="7" t="s">
        <v>38</v>
      </c>
      <c r="O54" s="7" t="s">
        <v>94</v>
      </c>
      <c r="P54">
        <v>1.1000000000000001</v>
      </c>
      <c r="Q54">
        <v>1.5</v>
      </c>
      <c r="R54" t="s">
        <v>129</v>
      </c>
      <c r="T54" s="7">
        <v>45</v>
      </c>
      <c r="U54" t="s">
        <v>77</v>
      </c>
      <c r="W54">
        <f>+IF(AND(CONCATENATE(Metric_Conversion!E19,Metric_Conversion!E21)=CONCATENATE(setup!C10,setup!E5),'H.I 9.6.1'!Z1&gt;45),'H.I 9.6.1'!P54,1.1)</f>
        <v>1.1000000000000001</v>
      </c>
      <c r="X54">
        <f>+IF(AND(CONCATENATE(Metric_Conversion!E19,Metric_Conversion!E21)=CONCATENATE(setup!C10,setup!E5),'H.I 9.6.1'!Z1&gt;45),'H.I 9.6.1'!Q54,0.5)</f>
        <v>0.5</v>
      </c>
      <c r="Y54">
        <f>+IF(AND(CONCATENATE(Metric_Conversion!E19,Metric_Conversion!E21)=CONCATENATE(setup!C10,setup!E5),'H.I 9.6.1'!Z1&gt;45),'H.I 9.6.1'!P55,1.1)</f>
        <v>1.1000000000000001</v>
      </c>
      <c r="Z54">
        <f>+IF(AND(CONCATENATE(Metric_Conversion!E19,Metric_Conversion!E21)=CONCATENATE(setup!C10,setup!E5),'H.I 9.6.1'!Z1&gt;45),'H.I 9.6.1'!Q55,0.5)</f>
        <v>0.5</v>
      </c>
    </row>
    <row r="55" spans="2:26" x14ac:dyDescent="0.2">
      <c r="N55" t="s">
        <v>40</v>
      </c>
      <c r="O55" s="7" t="s">
        <v>94</v>
      </c>
      <c r="P55">
        <v>1.05</v>
      </c>
      <c r="Q55">
        <v>1</v>
      </c>
      <c r="R55" t="s">
        <v>129</v>
      </c>
      <c r="T55" s="7">
        <v>45</v>
      </c>
      <c r="U55" t="s">
        <v>77</v>
      </c>
    </row>
    <row r="56" spans="2:26" x14ac:dyDescent="0.2">
      <c r="N56" s="7" t="s">
        <v>38</v>
      </c>
      <c r="O56" s="7" t="s">
        <v>94</v>
      </c>
      <c r="P56">
        <v>1.3</v>
      </c>
      <c r="Q56">
        <v>1.5</v>
      </c>
      <c r="R56" t="s">
        <v>128</v>
      </c>
      <c r="T56" s="7">
        <v>45</v>
      </c>
      <c r="U56" t="s">
        <v>99</v>
      </c>
      <c r="W56">
        <f>+IF(AND(CONCATENATE(Metric_Conversion!E19,Metric_Conversion!E21)=CONCATENATE(setup!C10,setup!E6),'H.I 9.6.1'!Z1&lt;45),'H.I 9.6.1'!P56,1.1)</f>
        <v>1.1000000000000001</v>
      </c>
      <c r="X56">
        <f>+IF(AND(CONCATENATE(Metric_Conversion!E19,Metric_Conversion!E21)=CONCATENATE(setup!C10,setup!E6),'H.I 9.6.1'!Z1&lt;45),'H.I 9.6.1'!Q56,0.5)</f>
        <v>0.5</v>
      </c>
      <c r="Y56">
        <f>+IF(AND(CONCATENATE(Metric_Conversion!E19,Metric_Conversion!E21)=CONCATENATE(setup!C10,setup!E6),'H.I 9.6.1'!Z1&lt;45),'H.I 9.6.1'!P57,1.1)</f>
        <v>1.1000000000000001</v>
      </c>
      <c r="Z56">
        <f>+IF(AND(CONCATENATE(Metric_Conversion!E19,Metric_Conversion!E21)=CONCATENATE(setup!C10,setup!E6),'H.I 9.6.1'!Z1&lt;45),'H.I 9.6.1'!Q57,0.5)</f>
        <v>0.5</v>
      </c>
    </row>
    <row r="57" spans="2:26" x14ac:dyDescent="0.2">
      <c r="N57" t="s">
        <v>40</v>
      </c>
      <c r="O57" s="7" t="s">
        <v>94</v>
      </c>
      <c r="P57">
        <v>1.2</v>
      </c>
      <c r="Q57">
        <v>1</v>
      </c>
      <c r="R57" t="s">
        <v>128</v>
      </c>
      <c r="T57" s="7">
        <v>45</v>
      </c>
      <c r="U57" t="s">
        <v>99</v>
      </c>
    </row>
    <row r="58" spans="2:26" x14ac:dyDescent="0.2">
      <c r="N58" s="7" t="s">
        <v>38</v>
      </c>
      <c r="O58" s="7" t="s">
        <v>94</v>
      </c>
      <c r="P58">
        <v>1.2</v>
      </c>
      <c r="Q58">
        <v>1.5</v>
      </c>
      <c r="R58" t="s">
        <v>129</v>
      </c>
      <c r="T58" s="7">
        <v>45</v>
      </c>
      <c r="U58" t="s">
        <v>99</v>
      </c>
      <c r="W58">
        <f>+IF(AND(CONCATENATE(Metric_Conversion!E19,Metric_Conversion!E21)=CONCATENATE(setup!C10,setup!E6),'H.I 9.6.1'!Z1&gt;45),'H.I 9.6.1'!P58,1.1)</f>
        <v>1.1000000000000001</v>
      </c>
      <c r="X58">
        <f>+IF(AND(CONCATENATE(Metric_Conversion!E19,Metric_Conversion!E21)=CONCATENATE(setup!C10,setup!E6),'H.I 9.6.1'!Z1&gt;45),'H.I 9.6.1'!Q58,0.5)</f>
        <v>0.5</v>
      </c>
      <c r="Y58">
        <f>+IF(AND(CONCATENATE(Metric_Conversion!E19,Metric_Conversion!E21)=CONCATENATE(setup!C10,setup!E6),'H.I 9.6.1'!Z1&gt;45),'H.I 9.6.1'!P59,1.1)</f>
        <v>1.1000000000000001</v>
      </c>
      <c r="Z58">
        <f>+IF(AND(CONCATENATE(Metric_Conversion!E19,Metric_Conversion!E21)=CONCATENATE(setup!C10,setup!E6),'H.I 9.6.1'!Z1&gt;45),'H.I 9.6.1'!Q59,0.5)</f>
        <v>0.5</v>
      </c>
    </row>
    <row r="59" spans="2:26" x14ac:dyDescent="0.2">
      <c r="N59" t="s">
        <v>40</v>
      </c>
      <c r="O59" s="7" t="s">
        <v>94</v>
      </c>
      <c r="P59">
        <v>1.1000000000000001</v>
      </c>
      <c r="Q59">
        <v>1</v>
      </c>
      <c r="R59" t="s">
        <v>129</v>
      </c>
      <c r="T59" s="7">
        <v>45</v>
      </c>
      <c r="U59" t="s">
        <v>99</v>
      </c>
    </row>
    <row r="60" spans="2:26" x14ac:dyDescent="0.2">
      <c r="N60" s="7" t="s">
        <v>38</v>
      </c>
      <c r="O60" t="s">
        <v>90</v>
      </c>
      <c r="P60">
        <v>1.1000000000000001</v>
      </c>
      <c r="Q60">
        <v>1.5</v>
      </c>
      <c r="R60" t="s">
        <v>128</v>
      </c>
      <c r="T60">
        <v>75</v>
      </c>
      <c r="U60" t="s">
        <v>114</v>
      </c>
      <c r="W60" cm="1">
        <f t="array" ref="W60">+IF(AND(CONCATENATE(Metric_Conversion!E19,Metric_Conversion!E21)=CONCATENATE(setup!C9:'setup'!E7),'H.I 9.6.1'!Z1&lt;75),'H.I 9.6.1'!P60,1.1)</f>
        <v>1.1000000000000001</v>
      </c>
      <c r="X60" cm="1">
        <f t="array" ref="X60">+IF(AND(CONCATENATE(Metric_Conversion!E19,Metric_Conversion!E21)=CONCATENATE(setup!C9:'setup'!E7),'H.I 9.6.1'!Z1&lt;75),'H.I 9.6.1'!Q60,0.5)</f>
        <v>0.5</v>
      </c>
      <c r="Y60" cm="1">
        <f t="array" ref="Y60">+IF(AND(CONCATENATE(Metric_Conversion!E19,Metric_Conversion!E21)=CONCATENATE(setup!C9:'setup'!E7),'H.I 9.6.1'!Z1&lt;75),'H.I 9.6.1'!P61,1.1)</f>
        <v>1.1000000000000001</v>
      </c>
      <c r="Z60" cm="1">
        <f t="array" ref="Z60">+IF(AND(CONCATENATE(Metric_Conversion!E19,Metric_Conversion!E21)=CONCATENATE(setup!C9:'setup'!E7),'H.I 9.6.1'!Z1&lt;75),'H.I 9.6.1'!Q61,0.5)</f>
        <v>0.5</v>
      </c>
    </row>
    <row r="61" spans="2:26" x14ac:dyDescent="0.2">
      <c r="N61" t="s">
        <v>40</v>
      </c>
      <c r="O61" t="s">
        <v>90</v>
      </c>
      <c r="P61">
        <v>1.05</v>
      </c>
      <c r="Q61">
        <v>1</v>
      </c>
      <c r="R61" t="s">
        <v>128</v>
      </c>
      <c r="T61">
        <v>75</v>
      </c>
      <c r="U61" t="s">
        <v>114</v>
      </c>
    </row>
    <row r="62" spans="2:26" x14ac:dyDescent="0.2">
      <c r="N62" s="7" t="s">
        <v>38</v>
      </c>
      <c r="O62" t="s">
        <v>90</v>
      </c>
      <c r="P62">
        <v>1.2</v>
      </c>
      <c r="Q62">
        <v>1.5</v>
      </c>
      <c r="R62" t="s">
        <v>129</v>
      </c>
      <c r="T62">
        <v>75</v>
      </c>
      <c r="U62" t="s">
        <v>114</v>
      </c>
      <c r="W62">
        <f>+IF(AND(CONCATENATE(Metric_Conversion!E19,Metric_Conversion!E21)=CONCATENATE(setup!C9,setup!E7),'H.I 9.6.1'!Z1&gt;75),'H.I 9.6.1'!P62,1.1)</f>
        <v>1.1000000000000001</v>
      </c>
      <c r="X62">
        <f>+IF(AND(CONCATENATE(Metric_Conversion!E19,Metric_Conversion!E21)=CONCATENATE(setup!C9,setup!E7),'H.I 9.6.1'!Z1&gt;75),'H.I 9.6.1'!Q62,0.5)</f>
        <v>0.5</v>
      </c>
      <c r="Y62">
        <f>+IF(AND(CONCATENATE(Metric_Conversion!E19,Metric_Conversion!E21)=CONCATENATE(setup!C9,setup!E7),'H.I 9.6.1'!Z1&gt;75),'H.I 9.6.1'!P63,1.1)</f>
        <v>1.1000000000000001</v>
      </c>
      <c r="Z62">
        <f>+IF(AND(CONCATENATE(Metric_Conversion!E19,Metric_Conversion!E21)=CONCATENATE(setup!C9,setup!E7),'H.I 9.6.1'!Z1&gt;75),'H.I 9.6.1'!Q63,0.5)</f>
        <v>0.5</v>
      </c>
    </row>
    <row r="63" spans="2:26" x14ac:dyDescent="0.2">
      <c r="N63" t="s">
        <v>40</v>
      </c>
      <c r="O63" t="s">
        <v>90</v>
      </c>
      <c r="P63">
        <v>1.1000000000000001</v>
      </c>
      <c r="Q63">
        <v>1</v>
      </c>
      <c r="R63" t="s">
        <v>129</v>
      </c>
      <c r="T63">
        <v>75</v>
      </c>
      <c r="U63" t="s">
        <v>114</v>
      </c>
    </row>
    <row r="65" spans="22:26" x14ac:dyDescent="0.2">
      <c r="V65" t="s">
        <v>133</v>
      </c>
      <c r="W65">
        <f>MAX(W52:W62)</f>
        <v>1.1000000000000001</v>
      </c>
      <c r="X65">
        <f t="shared" ref="X65:Z65" si="0">MAX(X52:X62)</f>
        <v>0.5</v>
      </c>
      <c r="Y65">
        <f t="shared" si="0"/>
        <v>1.1000000000000001</v>
      </c>
      <c r="Z65">
        <f t="shared" si="0"/>
        <v>0.5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5776-9D4A-4C82-82FD-983FA4D9F3FD}">
  <dimension ref="K1:O26"/>
  <sheetViews>
    <sheetView topLeftCell="A7" zoomScale="145" zoomScaleNormal="145" workbookViewId="0">
      <selection activeCell="L26" sqref="L26"/>
    </sheetView>
  </sheetViews>
  <sheetFormatPr defaultRowHeight="12.75" x14ac:dyDescent="0.2"/>
  <sheetData>
    <row r="1" spans="11:15" x14ac:dyDescent="0.2">
      <c r="K1" t="s">
        <v>45</v>
      </c>
      <c r="L1" s="44">
        <f>+Metric_Conversion!L47</f>
        <v>16.964600329384883</v>
      </c>
      <c r="N1" t="s">
        <v>134</v>
      </c>
      <c r="O1">
        <f>+Metric_Conversion!E28*2*9.81/('Gulich-Table 6.2'!L1)^2</f>
        <v>0.72263268876763631</v>
      </c>
    </row>
    <row r="3" spans="11:15" x14ac:dyDescent="0.2">
      <c r="L3" t="s">
        <v>135</v>
      </c>
      <c r="N3" t="s">
        <v>136</v>
      </c>
    </row>
    <row r="4" spans="11:15" x14ac:dyDescent="0.2">
      <c r="K4" t="s">
        <v>90</v>
      </c>
      <c r="L4">
        <v>1</v>
      </c>
      <c r="N4">
        <f>+IF(OR(Metric_Conversion!E20=setup!D8,Metric_Conversion!E20=setup!D7),'Gulich-Table 6.2'!L4,IF(Metric_Conversion!E20=setup!D5,'Gulich-Table 6.2'!L6,'Gulich-Table 6.2'!L5))</f>
        <v>0.75</v>
      </c>
    </row>
    <row r="5" spans="11:15" x14ac:dyDescent="0.2">
      <c r="K5" t="s">
        <v>91</v>
      </c>
      <c r="L5">
        <v>1.1499999999999999</v>
      </c>
    </row>
    <row r="6" spans="11:15" x14ac:dyDescent="0.2">
      <c r="K6" t="s">
        <v>31</v>
      </c>
      <c r="L6">
        <v>0.75</v>
      </c>
    </row>
    <row r="8" spans="11:15" x14ac:dyDescent="0.2">
      <c r="L8" t="s">
        <v>137</v>
      </c>
    </row>
    <row r="10" spans="11:15" x14ac:dyDescent="0.2">
      <c r="K10" t="s">
        <v>40</v>
      </c>
      <c r="L10">
        <v>1.1000000000000001</v>
      </c>
      <c r="M10" t="s">
        <v>138</v>
      </c>
    </row>
    <row r="11" spans="11:15" x14ac:dyDescent="0.2">
      <c r="K11" t="s">
        <v>38</v>
      </c>
      <c r="L11">
        <v>1.2</v>
      </c>
    </row>
    <row r="17" spans="11:15" x14ac:dyDescent="0.2">
      <c r="K17" t="s">
        <v>90</v>
      </c>
      <c r="L17" t="s">
        <v>40</v>
      </c>
      <c r="N17" t="s">
        <v>38</v>
      </c>
    </row>
    <row r="18" spans="11:15" x14ac:dyDescent="0.2">
      <c r="K18" t="s">
        <v>139</v>
      </c>
      <c r="L18" t="s">
        <v>43</v>
      </c>
      <c r="M18" t="s">
        <v>56</v>
      </c>
      <c r="N18" t="s">
        <v>43</v>
      </c>
      <c r="O18" t="s">
        <v>56</v>
      </c>
    </row>
    <row r="19" spans="11:15" x14ac:dyDescent="0.2">
      <c r="K19">
        <v>9.99</v>
      </c>
      <c r="L19">
        <v>1.25</v>
      </c>
      <c r="M19">
        <v>0.6</v>
      </c>
      <c r="N19">
        <v>1.25</v>
      </c>
      <c r="O19">
        <v>0.6</v>
      </c>
    </row>
    <row r="20" spans="11:15" x14ac:dyDescent="0.2">
      <c r="K20">
        <v>10</v>
      </c>
      <c r="L20">
        <f>1+L10*N4*(0.05+2*(L1/100)^3)/O1</f>
        <v>1.068230949341004</v>
      </c>
      <c r="M20">
        <v>0.6</v>
      </c>
      <c r="N20">
        <f>1+L11*N4*(0.05+2*(L1/100)^3)/O1</f>
        <v>1.074433762917459</v>
      </c>
      <c r="O20">
        <v>0.6</v>
      </c>
    </row>
    <row r="21" spans="11:15" x14ac:dyDescent="0.2">
      <c r="K21">
        <v>50</v>
      </c>
      <c r="L21">
        <f>+L20</f>
        <v>1.068230949341004</v>
      </c>
      <c r="M21">
        <f>+M20</f>
        <v>0.6</v>
      </c>
      <c r="N21">
        <f>+N20</f>
        <v>1.074433762917459</v>
      </c>
      <c r="O21">
        <f>+O20</f>
        <v>0.6</v>
      </c>
    </row>
    <row r="24" spans="11:15" x14ac:dyDescent="0.2">
      <c r="K24" t="s">
        <v>140</v>
      </c>
      <c r="L24" t="s">
        <v>43</v>
      </c>
      <c r="M24" t="s">
        <v>56</v>
      </c>
    </row>
    <row r="25" spans="11:15" x14ac:dyDescent="0.2">
      <c r="K25" t="s">
        <v>38</v>
      </c>
      <c r="L25" s="44">
        <f>+IF(L1&lt;10,N19,N20)</f>
        <v>1.074433762917459</v>
      </c>
      <c r="M25">
        <v>0.6</v>
      </c>
      <c r="O25" s="44">
        <f>+IF(O1&lt;10,Q19,Q20)</f>
        <v>0</v>
      </c>
    </row>
    <row r="26" spans="11:15" x14ac:dyDescent="0.2">
      <c r="K26" t="s">
        <v>40</v>
      </c>
      <c r="L26" s="44">
        <f>+IF(L1&lt;10,L19,L20)</f>
        <v>1.068230949341004</v>
      </c>
      <c r="M26">
        <v>0.6</v>
      </c>
      <c r="O26" s="44">
        <f>+IF(O1&lt;10,O19,O20)</f>
        <v>0.6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4A4CD-3530-4C03-8DDA-DC4CA6DC638E}">
  <dimension ref="O1:Q37"/>
  <sheetViews>
    <sheetView topLeftCell="A16" workbookViewId="0">
      <selection activeCell="Q1" sqref="Q1"/>
    </sheetView>
  </sheetViews>
  <sheetFormatPr defaultRowHeight="12.75" x14ac:dyDescent="0.2"/>
  <sheetData>
    <row r="1" spans="15:17" x14ac:dyDescent="0.2">
      <c r="O1">
        <f>+'Gulich-Table 6.2'!L1</f>
        <v>16.964600329384883</v>
      </c>
      <c r="Q1" s="65">
        <f>+Metric_Conversion!E28</f>
        <v>10.6</v>
      </c>
    </row>
    <row r="5" spans="15:17" x14ac:dyDescent="0.2">
      <c r="O5" t="s">
        <v>45</v>
      </c>
      <c r="P5" t="s">
        <v>43</v>
      </c>
      <c r="Q5" t="s">
        <v>56</v>
      </c>
    </row>
    <row r="6" spans="15:17" x14ac:dyDescent="0.2">
      <c r="O6">
        <v>9.99</v>
      </c>
      <c r="P6">
        <v>1.1000000000000001</v>
      </c>
      <c r="Q6">
        <v>0.5</v>
      </c>
    </row>
    <row r="7" spans="15:17" x14ac:dyDescent="0.2">
      <c r="O7">
        <v>10.99</v>
      </c>
      <c r="P7">
        <v>1.25</v>
      </c>
    </row>
    <row r="8" spans="15:17" x14ac:dyDescent="0.2">
      <c r="O8">
        <v>59.99</v>
      </c>
      <c r="P8" s="44">
        <f>+IF(Metric_Conversion!E21=setup!E5,'TMP handbook Table C.8.1'!P37,'TMP handbook Table C.8.1'!Q37)</f>
        <v>1.3897685483870972</v>
      </c>
    </row>
    <row r="10" spans="15:17" x14ac:dyDescent="0.2">
      <c r="O10" t="s">
        <v>140</v>
      </c>
      <c r="P10" t="s">
        <v>43</v>
      </c>
      <c r="Q10" t="s">
        <v>56</v>
      </c>
    </row>
    <row r="11" spans="15:17" x14ac:dyDescent="0.2">
      <c r="O11" t="s">
        <v>38</v>
      </c>
      <c r="P11">
        <f>+IF(O1&lt;O6,P6,IF(AND(O1&gt;O6,O1&lt;O7),P7,IF(AND(O1&gt;O7,O1&lt;O8),P8,1)))</f>
        <v>1.3897685483870972</v>
      </c>
      <c r="Q11">
        <f>+IF(O1&lt;O6,Q6,IF(AND(O1&gt;O6,O1&lt;O7),Q7,IF(AND(O1&gt;O7,O1&lt;O8),Q8,0)))</f>
        <v>0</v>
      </c>
    </row>
    <row r="12" spans="15:17" x14ac:dyDescent="0.2">
      <c r="O12" t="s">
        <v>40</v>
      </c>
      <c r="P12">
        <f>+P11</f>
        <v>1.3897685483870972</v>
      </c>
      <c r="Q12">
        <f>+Q11</f>
        <v>0</v>
      </c>
    </row>
    <row r="29" spans="15:17" x14ac:dyDescent="0.2">
      <c r="P29" t="s">
        <v>141</v>
      </c>
      <c r="Q29" t="s">
        <v>142</v>
      </c>
    </row>
    <row r="30" spans="15:17" x14ac:dyDescent="0.2">
      <c r="O30">
        <v>2</v>
      </c>
      <c r="P30">
        <v>1.54</v>
      </c>
      <c r="Q30">
        <v>1.25</v>
      </c>
    </row>
    <row r="31" spans="15:17" x14ac:dyDescent="0.2">
      <c r="O31">
        <v>10</v>
      </c>
      <c r="P31">
        <v>1.69</v>
      </c>
      <c r="Q31">
        <v>1.38</v>
      </c>
    </row>
    <row r="32" spans="15:17" x14ac:dyDescent="0.2">
      <c r="O32">
        <v>20</v>
      </c>
      <c r="P32">
        <v>1.86</v>
      </c>
      <c r="Q32">
        <v>1.53</v>
      </c>
    </row>
    <row r="33" spans="15:17" x14ac:dyDescent="0.2">
      <c r="O33">
        <v>30</v>
      </c>
      <c r="P33">
        <v>1.98</v>
      </c>
      <c r="Q33">
        <v>1.65</v>
      </c>
    </row>
    <row r="34" spans="15:17" x14ac:dyDescent="0.2">
      <c r="O34">
        <v>40</v>
      </c>
      <c r="P34">
        <v>2.06</v>
      </c>
      <c r="Q34">
        <v>1.72</v>
      </c>
    </row>
    <row r="35" spans="15:17" x14ac:dyDescent="0.2">
      <c r="O35">
        <v>50</v>
      </c>
      <c r="P35">
        <v>2.12</v>
      </c>
      <c r="Q35">
        <v>1.75</v>
      </c>
    </row>
    <row r="37" spans="15:17" x14ac:dyDescent="0.2">
      <c r="O37" t="s">
        <v>143</v>
      </c>
      <c r="P37" s="44">
        <f>+_xlfn.FORECAST.LINEAR(Q1,P30:P35,O30:O35)</f>
        <v>1.6969524193548389</v>
      </c>
      <c r="Q37" s="44">
        <f>+_xlfn.FORECAST.LINEAR(Q1,Q30:Q35,O30:O35)</f>
        <v>1.3897685483870972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3D23D-903B-4034-B421-0616FF5B5B50}">
  <dimension ref="P6:AS169"/>
  <sheetViews>
    <sheetView topLeftCell="T28" zoomScale="115" zoomScaleNormal="115" workbookViewId="0">
      <selection activeCell="AG46" sqref="AG46"/>
    </sheetView>
  </sheetViews>
  <sheetFormatPr defaultRowHeight="12.75" x14ac:dyDescent="0.2"/>
  <cols>
    <col min="17" max="17" width="12.5703125" bestFit="1" customWidth="1"/>
    <col min="18" max="18" width="12" bestFit="1" customWidth="1"/>
    <col min="19" max="19" width="24" customWidth="1"/>
    <col min="20" max="20" width="26.5703125" customWidth="1"/>
    <col min="21" max="21" width="12.5703125" bestFit="1" customWidth="1"/>
  </cols>
  <sheetData>
    <row r="6" spans="16:27" x14ac:dyDescent="0.2">
      <c r="P6" t="s">
        <v>143</v>
      </c>
    </row>
    <row r="8" spans="16:27" x14ac:dyDescent="0.2">
      <c r="P8" t="s">
        <v>144</v>
      </c>
      <c r="Q8" s="49" t="s">
        <v>145</v>
      </c>
      <c r="R8" t="s">
        <v>146</v>
      </c>
      <c r="S8" t="s">
        <v>147</v>
      </c>
      <c r="T8" t="s">
        <v>148</v>
      </c>
      <c r="U8" t="s">
        <v>149</v>
      </c>
      <c r="V8" t="s">
        <v>150</v>
      </c>
      <c r="W8" t="s">
        <v>151</v>
      </c>
      <c r="Y8" t="s">
        <v>152</v>
      </c>
      <c r="Z8">
        <v>0.5</v>
      </c>
      <c r="AA8" t="s">
        <v>153</v>
      </c>
    </row>
    <row r="11" spans="16:27" x14ac:dyDescent="0.2">
      <c r="P11" t="s">
        <v>144</v>
      </c>
      <c r="Q11" s="49" t="s">
        <v>145</v>
      </c>
      <c r="R11" t="s">
        <v>154</v>
      </c>
      <c r="S11" t="s">
        <v>147</v>
      </c>
      <c r="T11" t="s">
        <v>148</v>
      </c>
      <c r="U11" t="s">
        <v>149</v>
      </c>
      <c r="V11" t="s">
        <v>150</v>
      </c>
      <c r="W11" t="s">
        <v>151</v>
      </c>
    </row>
    <row r="12" spans="16:27" x14ac:dyDescent="0.2">
      <c r="S12">
        <v>1</v>
      </c>
    </row>
    <row r="16" spans="16:27" x14ac:dyDescent="0.2">
      <c r="P16" t="s">
        <v>37</v>
      </c>
      <c r="R16" t="s">
        <v>146</v>
      </c>
      <c r="S16" t="s">
        <v>155</v>
      </c>
      <c r="T16" t="s">
        <v>156</v>
      </c>
      <c r="U16" t="s">
        <v>157</v>
      </c>
      <c r="V16" t="s">
        <v>150</v>
      </c>
      <c r="W16" t="s">
        <v>158</v>
      </c>
      <c r="X16" t="s">
        <v>43</v>
      </c>
      <c r="Y16" t="s">
        <v>144</v>
      </c>
    </row>
    <row r="17" spans="16:25" x14ac:dyDescent="0.2">
      <c r="P17">
        <v>0.3</v>
      </c>
      <c r="R17" s="65">
        <f>+Metric_Conversion!E25</f>
        <v>11</v>
      </c>
      <c r="S17" s="56">
        <f>+AI45</f>
        <v>2.0935441163622199</v>
      </c>
      <c r="T17" s="44">
        <f t="shared" ref="T17:T22" si="0">+$AN$66+$AM$66*(LOG10(R17))+$AL$66*(LOG10(R17))^2+$AK$66*(LOG10(R17))^3+$AJ$66*(LOG10(R17))^4+$AI$66*(LOG10(R17))^5</f>
        <v>1.0788284339755183</v>
      </c>
      <c r="U17">
        <f t="shared" ref="U17:U22" si="1">+$Q$156+$R$156*(LOG10(R17))+$S$156*(LOG10(R17))^2+$T$156*(LOG10(R17))^3+$U$156*(LOG10(R17))^4</f>
        <v>1.0000479807664229</v>
      </c>
      <c r="V17">
        <f>+$R$82</f>
        <v>1.1000000000000001</v>
      </c>
      <c r="W17">
        <v>1</v>
      </c>
      <c r="X17">
        <f>+(W17*V17*U17*T17*S17)</f>
        <v>2.4845516175363662</v>
      </c>
      <c r="Y17">
        <f>+X17*R17</f>
        <v>27.330067792900028</v>
      </c>
    </row>
    <row r="18" spans="16:25" x14ac:dyDescent="0.2">
      <c r="P18">
        <v>0.5</v>
      </c>
      <c r="R18" s="65">
        <f>+Metric_Conversion!E26</f>
        <v>10.5</v>
      </c>
      <c r="S18" s="56">
        <f t="shared" ref="S18:S22" si="2">+AI46</f>
        <v>1.9800000004374998</v>
      </c>
      <c r="T18" s="44">
        <f t="shared" si="0"/>
        <v>1.0775018645644878</v>
      </c>
      <c r="U18">
        <f t="shared" si="1"/>
        <v>0.99999446273142012</v>
      </c>
      <c r="V18">
        <f t="shared" ref="V18:V22" si="3">+$R$82</f>
        <v>1.1000000000000001</v>
      </c>
      <c r="W18">
        <v>1</v>
      </c>
      <c r="X18">
        <f t="shared" ref="X18:X22" si="4">+(W18*V18*U18*T18*S18)</f>
        <v>2.3467860666832956</v>
      </c>
      <c r="Y18">
        <f t="shared" ref="Y18:Y22" si="5">+X18*R18</f>
        <v>24.641253700174605</v>
      </c>
    </row>
    <row r="19" spans="16:25" x14ac:dyDescent="0.2">
      <c r="P19">
        <v>0.8</v>
      </c>
      <c r="R19" s="65">
        <f>+Metric_Conversion!E27</f>
        <v>10</v>
      </c>
      <c r="S19" s="56">
        <f t="shared" si="2"/>
        <v>1.5844375657799779</v>
      </c>
      <c r="T19" s="44">
        <f t="shared" si="0"/>
        <v>1.0761538026275816</v>
      </c>
      <c r="U19">
        <f t="shared" si="1"/>
        <v>0.99994619699999987</v>
      </c>
      <c r="V19">
        <f t="shared" si="3"/>
        <v>1.1000000000000001</v>
      </c>
      <c r="W19">
        <v>1</v>
      </c>
      <c r="X19">
        <f t="shared" si="4"/>
        <v>1.8755074492273913</v>
      </c>
      <c r="Y19">
        <f t="shared" si="5"/>
        <v>18.755074492273913</v>
      </c>
    </row>
    <row r="20" spans="16:25" x14ac:dyDescent="0.2">
      <c r="P20">
        <v>1</v>
      </c>
      <c r="R20" s="65">
        <f>+Metric_Conversion!E28</f>
        <v>10.6</v>
      </c>
      <c r="S20" s="56">
        <f t="shared" si="2"/>
        <v>1.2</v>
      </c>
      <c r="T20" s="44">
        <f>+$AN$66+$AM$66*(LOG10(R20))+$AL$66*(LOG10(R20))^2+$AK$66*(LOG10(R20))^3+$AJ$66*(LOG10(R20))^4+$AI$66*(LOG10(R20))^5</f>
        <v>1.0777688412836519</v>
      </c>
      <c r="U20">
        <f t="shared" si="1"/>
        <v>1.0000048042658869</v>
      </c>
      <c r="V20">
        <f t="shared" si="3"/>
        <v>1.1000000000000001</v>
      </c>
      <c r="W20">
        <v>1</v>
      </c>
      <c r="X20">
        <f t="shared" si="4"/>
        <v>1.4226617053066837</v>
      </c>
      <c r="Y20">
        <f t="shared" si="5"/>
        <v>15.080214076250847</v>
      </c>
    </row>
    <row r="21" spans="16:25" x14ac:dyDescent="0.2">
      <c r="P21">
        <v>1.1000000000000001</v>
      </c>
      <c r="R21" s="65">
        <f>+Metric_Conversion!E29</f>
        <v>12.5</v>
      </c>
      <c r="S21" s="56">
        <f t="shared" si="2"/>
        <v>1.2</v>
      </c>
      <c r="T21" s="44">
        <f t="shared" si="0"/>
        <v>1.082695177163487</v>
      </c>
      <c r="U21">
        <f t="shared" si="1"/>
        <v>1.00022588160948</v>
      </c>
      <c r="V21">
        <f t="shared" si="3"/>
        <v>1.1000000000000001</v>
      </c>
      <c r="W21">
        <v>1</v>
      </c>
      <c r="X21">
        <f t="shared" si="4"/>
        <v>1.4294804542823387</v>
      </c>
      <c r="Y21">
        <f t="shared" si="5"/>
        <v>17.868505678529235</v>
      </c>
    </row>
    <row r="22" spans="16:25" x14ac:dyDescent="0.2">
      <c r="P22">
        <v>1.25</v>
      </c>
      <c r="R22" s="65">
        <f>+Metric_Conversion!E30</f>
        <v>13.5</v>
      </c>
      <c r="S22" s="56">
        <f t="shared" si="2"/>
        <v>1.2</v>
      </c>
      <c r="T22" s="44">
        <f t="shared" si="0"/>
        <v>1.085192158585071</v>
      </c>
      <c r="U22">
        <f t="shared" si="1"/>
        <v>1.0003502000150222</v>
      </c>
      <c r="V22">
        <f t="shared" si="3"/>
        <v>1.1000000000000001</v>
      </c>
      <c r="W22">
        <v>1</v>
      </c>
      <c r="X22">
        <f t="shared" si="4"/>
        <v>1.4329552946218085</v>
      </c>
      <c r="Y22">
        <f t="shared" si="5"/>
        <v>19.344896477394414</v>
      </c>
    </row>
    <row r="35" spans="16:35" x14ac:dyDescent="0.2">
      <c r="AF35" t="s">
        <v>159</v>
      </c>
      <c r="AG35">
        <v>2.1417874399999999</v>
      </c>
    </row>
    <row r="36" spans="16:35" x14ac:dyDescent="0.2">
      <c r="AF36" t="s">
        <v>160</v>
      </c>
      <c r="AG36">
        <v>-3.0683252809999999</v>
      </c>
    </row>
    <row r="37" spans="16:35" x14ac:dyDescent="0.2">
      <c r="AF37" t="s">
        <v>161</v>
      </c>
      <c r="AG37">
        <v>21.093623183999998</v>
      </c>
    </row>
    <row r="38" spans="16:35" x14ac:dyDescent="0.2">
      <c r="AF38" t="s">
        <v>162</v>
      </c>
      <c r="AG38">
        <v>-50.241030586999997</v>
      </c>
    </row>
    <row r="39" spans="16:35" x14ac:dyDescent="0.2">
      <c r="AF39" t="s">
        <v>163</v>
      </c>
      <c r="AG39">
        <v>44.857198060999998</v>
      </c>
    </row>
    <row r="40" spans="16:35" x14ac:dyDescent="0.2">
      <c r="AF40" t="s">
        <v>164</v>
      </c>
      <c r="AG40">
        <v>-13.583252816</v>
      </c>
    </row>
    <row r="42" spans="16:35" x14ac:dyDescent="0.2">
      <c r="AE42" t="s">
        <v>140</v>
      </c>
      <c r="AF42" s="7" t="s">
        <v>165</v>
      </c>
      <c r="AG42" t="b">
        <v>0</v>
      </c>
    </row>
    <row r="44" spans="16:35" x14ac:dyDescent="0.2">
      <c r="AE44" s="7" t="s">
        <v>37</v>
      </c>
      <c r="AI44" s="7" t="s">
        <v>155</v>
      </c>
    </row>
    <row r="45" spans="16:35" x14ac:dyDescent="0.2">
      <c r="AE45">
        <f>+Metric_Conversion!D25</f>
        <v>0.3</v>
      </c>
      <c r="AF45" s="44">
        <f>+IF(AE45&lt;0.5,1.5,IF(AE45&lt;1,_xlfn.FORECAST.LINEAR(AE45,$R$51:$R$53,$Q$51:$Q$53),1.1))</f>
        <v>1.5</v>
      </c>
      <c r="AG45" s="44">
        <f>IF(AE45&lt;1,$AG$35+$AG$36*AE45+$AG$37*AE45^2+$AG$38*AE45^3+$AG$39*AE45^4+$AG$40*AE45^5,1.2)</f>
        <v>2.0935441163622199</v>
      </c>
      <c r="AI45" s="56">
        <f>+IF($AG$42=TRUE,AF45,AG45)</f>
        <v>2.0935441163622199</v>
      </c>
    </row>
    <row r="46" spans="16:35" x14ac:dyDescent="0.2">
      <c r="P46" t="s">
        <v>147</v>
      </c>
      <c r="Q46" s="49" t="s">
        <v>166</v>
      </c>
      <c r="AE46">
        <f>+Metric_Conversion!D26</f>
        <v>0.5</v>
      </c>
      <c r="AF46" s="44">
        <f t="shared" ref="AF46:AF50" si="6">+IF(AE46&lt;0.5,1.5,IF(AE46&lt;1,_xlfn.FORECAST.LINEAR(AE46,$R$51:$R$53,$Q$51:$Q$53),1.1))</f>
        <v>1.5166666666666666</v>
      </c>
      <c r="AG46" s="44">
        <f t="shared" ref="AG46:AG50" si="7">IF(AE46&lt;1,$AG$35+$AG$36*AE46+$AG$37*AE46^2+$AG$38*AE46^3+$AG$39*AE46^4+$AG$40*AE46^5,1.2)</f>
        <v>1.9800000004374998</v>
      </c>
      <c r="AI46" s="56">
        <f t="shared" ref="AI46:AI50" si="8">+IF($AG$42=TRUE,AF46,AG46)</f>
        <v>1.9800000004374998</v>
      </c>
    </row>
    <row r="47" spans="16:35" x14ac:dyDescent="0.2">
      <c r="AE47">
        <f>+Metric_Conversion!D27</f>
        <v>0.7</v>
      </c>
      <c r="AF47" s="44">
        <f t="shared" si="6"/>
        <v>1.3566666666666667</v>
      </c>
      <c r="AG47" s="44">
        <f t="shared" si="7"/>
        <v>1.5844375657799779</v>
      </c>
      <c r="AI47" s="56">
        <f t="shared" si="8"/>
        <v>1.5844375657799779</v>
      </c>
    </row>
    <row r="48" spans="16:35" x14ac:dyDescent="0.2">
      <c r="Q48" t="s">
        <v>167</v>
      </c>
      <c r="R48" t="s">
        <v>168</v>
      </c>
      <c r="S48" t="s">
        <v>169</v>
      </c>
      <c r="AE48">
        <f>+Metric_Conversion!D28</f>
        <v>1</v>
      </c>
      <c r="AF48" s="44">
        <f t="shared" si="6"/>
        <v>1.1000000000000001</v>
      </c>
      <c r="AG48" s="44">
        <f t="shared" si="7"/>
        <v>1.2</v>
      </c>
      <c r="AI48" s="56">
        <f t="shared" si="8"/>
        <v>1.2</v>
      </c>
    </row>
    <row r="49" spans="16:40" x14ac:dyDescent="0.2">
      <c r="Q49">
        <v>0.1</v>
      </c>
      <c r="R49">
        <v>1.5</v>
      </c>
      <c r="S49">
        <v>2</v>
      </c>
      <c r="AE49">
        <f>+Metric_Conversion!D29</f>
        <v>1.1499999999999999</v>
      </c>
      <c r="AF49" s="44">
        <f t="shared" si="6"/>
        <v>1.1000000000000001</v>
      </c>
      <c r="AG49" s="44">
        <f t="shared" si="7"/>
        <v>1.2</v>
      </c>
      <c r="AI49" s="56">
        <f t="shared" si="8"/>
        <v>1.2</v>
      </c>
    </row>
    <row r="50" spans="16:40" x14ac:dyDescent="0.2">
      <c r="Q50">
        <v>0.25</v>
      </c>
      <c r="R50">
        <v>1.5</v>
      </c>
      <c r="S50">
        <v>2.0699999999999998</v>
      </c>
      <c r="AE50">
        <f>+Metric_Conversion!D30</f>
        <v>1.2</v>
      </c>
      <c r="AF50" s="44">
        <f t="shared" si="6"/>
        <v>1.1000000000000001</v>
      </c>
      <c r="AG50" s="44">
        <f t="shared" si="7"/>
        <v>1.2</v>
      </c>
      <c r="AI50" s="56">
        <f t="shared" si="8"/>
        <v>1.2</v>
      </c>
    </row>
    <row r="51" spans="16:40" x14ac:dyDescent="0.2">
      <c r="Q51">
        <v>0.5</v>
      </c>
      <c r="R51">
        <v>1.5</v>
      </c>
      <c r="S51">
        <v>1.98</v>
      </c>
    </row>
    <row r="52" spans="16:40" x14ac:dyDescent="0.2">
      <c r="Q52">
        <v>0.75</v>
      </c>
      <c r="R52">
        <v>1.35</v>
      </c>
      <c r="S52">
        <v>1.48</v>
      </c>
    </row>
    <row r="53" spans="16:40" x14ac:dyDescent="0.2">
      <c r="Q53">
        <v>1</v>
      </c>
      <c r="R53">
        <v>1.1000000000000001</v>
      </c>
      <c r="S53">
        <v>1.2</v>
      </c>
    </row>
    <row r="54" spans="16:40" x14ac:dyDescent="0.2">
      <c r="Q54">
        <v>1.25</v>
      </c>
      <c r="R54">
        <v>1.1000000000000001</v>
      </c>
      <c r="S54">
        <v>1.2</v>
      </c>
    </row>
    <row r="62" spans="16:40" x14ac:dyDescent="0.2">
      <c r="W62" t="s">
        <v>140</v>
      </c>
      <c r="X62" t="s">
        <v>156</v>
      </c>
    </row>
    <row r="64" spans="16:40" x14ac:dyDescent="0.2">
      <c r="P64" t="s">
        <v>35</v>
      </c>
      <c r="Q64" t="s">
        <v>170</v>
      </c>
      <c r="R64" t="s">
        <v>90</v>
      </c>
      <c r="S64" t="s">
        <v>31</v>
      </c>
      <c r="W64" t="s">
        <v>35</v>
      </c>
      <c r="X64" t="s">
        <v>171</v>
      </c>
      <c r="Y64" t="s">
        <v>156</v>
      </c>
      <c r="AE64" s="7" t="s">
        <v>171</v>
      </c>
      <c r="AH64" t="s">
        <v>172</v>
      </c>
      <c r="AI64" t="s">
        <v>173</v>
      </c>
      <c r="AJ64" t="s">
        <v>174</v>
      </c>
      <c r="AK64" t="s">
        <v>175</v>
      </c>
      <c r="AL64" t="s">
        <v>176</v>
      </c>
      <c r="AM64" t="s">
        <v>177</v>
      </c>
      <c r="AN64" t="s">
        <v>178</v>
      </c>
    </row>
    <row r="65" spans="16:45" x14ac:dyDescent="0.2">
      <c r="P65">
        <v>0.15</v>
      </c>
      <c r="Q65">
        <v>1.8</v>
      </c>
      <c r="R65">
        <v>1.8</v>
      </c>
      <c r="S65">
        <v>1.05</v>
      </c>
      <c r="W65" s="66">
        <f>+Metric_Conversion!E25</f>
        <v>11</v>
      </c>
      <c r="X65">
        <f>+LOG10(W65)</f>
        <v>1.0413926851582251</v>
      </c>
      <c r="AE65">
        <f>+LOG10(P65)</f>
        <v>-0.82390874094431876</v>
      </c>
      <c r="AF65">
        <f>+IF(OR(Metric_Conversion!$E$20=setup!$D$6,Metric_Conversion!$E$20=setup!$D$8),'TMP special'!Q65,IF(Metric_Conversion!$E$20=setup!$D$5,'TMP special'!S65,'TMP special'!R65))</f>
        <v>1.05</v>
      </c>
      <c r="AH65" s="57" cm="1">
        <f t="array" ref="AH65:AN65">LINEST(AF65:AF76,AE65:AE76^{1,2,3,4,5,6})</f>
        <v>4.651145235031893E-3</v>
      </c>
      <c r="AI65" s="57">
        <v>-8.6167625379711087E-3</v>
      </c>
      <c r="AJ65" s="57">
        <v>-4.0591932067865393E-3</v>
      </c>
      <c r="AK65" s="57">
        <v>2.4129484527931826E-2</v>
      </c>
      <c r="AL65" s="57">
        <v>1.4315970914123514E-2</v>
      </c>
      <c r="AM65" s="57">
        <v>-2.6473340120610877E-3</v>
      </c>
      <c r="AN65" s="57">
        <v>1.0485825568730491</v>
      </c>
      <c r="AO65" s="58">
        <v>6</v>
      </c>
    </row>
    <row r="66" spans="16:45" x14ac:dyDescent="0.2">
      <c r="P66">
        <v>0.3</v>
      </c>
      <c r="Q66">
        <v>1.32</v>
      </c>
      <c r="R66">
        <v>1.32</v>
      </c>
      <c r="S66">
        <v>1.05</v>
      </c>
      <c r="W66" s="66">
        <f>+Metric_Conversion!E26</f>
        <v>10.5</v>
      </c>
      <c r="X66">
        <f t="shared" ref="X66:X70" si="9">+LOG10(W66)</f>
        <v>1.0211892990699381</v>
      </c>
      <c r="AE66">
        <f t="shared" ref="AE66:AE76" si="10">+LOG10(P66)</f>
        <v>-0.52287874528033762</v>
      </c>
      <c r="AF66">
        <f>+IF(OR(Metric_Conversion!$E$20=setup!$D$6,Metric_Conversion!$E$20=setup!$D$8),'TMP special'!Q66,IF(Metric_Conversion!$E$20=setup!$D$5,'TMP special'!S66,'TMP special'!R66))</f>
        <v>1.05</v>
      </c>
      <c r="AH66" s="57"/>
      <c r="AI66" s="57" cm="1">
        <f t="array" ref="AI66:AN66">LINEST(AF65:AF76,AE65:AE76^{1,2,3,4,5})</f>
        <v>8.0884911441369174E-3</v>
      </c>
      <c r="AJ66" s="57">
        <v>-1.5220148758164935E-2</v>
      </c>
      <c r="AK66" s="57">
        <v>1.0608435304445475E-2</v>
      </c>
      <c r="AL66" s="57">
        <v>2.5920663669085308E-2</v>
      </c>
      <c r="AM66" s="57">
        <v>-6.2500566383302944E-4</v>
      </c>
      <c r="AN66" s="57">
        <v>1.0473813669319116</v>
      </c>
      <c r="AO66" s="58">
        <v>5</v>
      </c>
    </row>
    <row r="67" spans="16:45" x14ac:dyDescent="0.2">
      <c r="P67">
        <v>0.5</v>
      </c>
      <c r="Q67">
        <v>1.2</v>
      </c>
      <c r="R67">
        <v>1.2</v>
      </c>
      <c r="S67">
        <v>1.05</v>
      </c>
      <c r="W67" s="67">
        <f>+Metric_Conversion!E27</f>
        <v>10</v>
      </c>
      <c r="X67">
        <f t="shared" si="9"/>
        <v>1</v>
      </c>
      <c r="AE67">
        <f t="shared" si="10"/>
        <v>-0.3010299956639812</v>
      </c>
      <c r="AF67">
        <f>+IF(OR(Metric_Conversion!$E$20=setup!$D$6,Metric_Conversion!$E$20=setup!$D$8),'TMP special'!Q67,IF(Metric_Conversion!$E$20=setup!$D$5,'TMP special'!S67,'TMP special'!R67))</f>
        <v>1.05</v>
      </c>
      <c r="AH67" s="57"/>
      <c r="AI67" s="57"/>
      <c r="AJ67" s="57" cm="1">
        <f t="array" ref="AJ67:AN67">LINEST(AF65:AF76,AE65:AE76^{1,2,3,4})</f>
        <v>8.1345815040529297E-3</v>
      </c>
      <c r="AK67" s="57">
        <v>4.1098994085350957E-3</v>
      </c>
      <c r="AL67" s="57">
        <v>6.219144614736381E-3</v>
      </c>
      <c r="AM67" s="57">
        <v>5.16176310485531E-3</v>
      </c>
      <c r="AN67" s="57">
        <v>1.0496387844694808</v>
      </c>
      <c r="AO67" s="58">
        <v>4</v>
      </c>
    </row>
    <row r="68" spans="16:45" x14ac:dyDescent="0.2">
      <c r="P68">
        <v>1</v>
      </c>
      <c r="Q68">
        <v>1.1000000000000001</v>
      </c>
      <c r="R68">
        <v>1.1000000000000001</v>
      </c>
      <c r="S68">
        <v>1.05</v>
      </c>
      <c r="W68" s="67">
        <f>+Metric_Conversion!E28</f>
        <v>10.6</v>
      </c>
      <c r="X68">
        <f t="shared" si="9"/>
        <v>1.0253058652647702</v>
      </c>
      <c r="AE68">
        <f t="shared" si="10"/>
        <v>0</v>
      </c>
      <c r="AF68">
        <f>+IF(OR(Metric_Conversion!$E$20=setup!$D$6,Metric_Conversion!$E$20=setup!$D$8),'TMP special'!Q68,IF(Metric_Conversion!$E$20=setup!$D$5,'TMP special'!S68,'TMP special'!R68))</f>
        <v>1.05</v>
      </c>
      <c r="AH68" s="57"/>
      <c r="AI68" s="57"/>
      <c r="AJ68" s="57"/>
      <c r="AK68" s="57" cm="1">
        <f t="array" ref="AK68:AN68">LINEST(AF65:AF76,AE65:AE76^{1,2,3})</f>
        <v>2.3404400484891681E-2</v>
      </c>
      <c r="AL68" s="57">
        <v>5.0241113984220718E-3</v>
      </c>
      <c r="AM68" s="57">
        <v>-7.1086977994152169E-3</v>
      </c>
      <c r="AN68" s="57">
        <v>1.0507868628968067</v>
      </c>
      <c r="AO68" s="58">
        <v>3</v>
      </c>
    </row>
    <row r="69" spans="16:45" x14ac:dyDescent="0.2">
      <c r="P69">
        <v>2</v>
      </c>
      <c r="Q69">
        <v>1.08</v>
      </c>
      <c r="R69">
        <v>1.08</v>
      </c>
      <c r="S69">
        <v>1.05</v>
      </c>
      <c r="W69" s="67">
        <f>+Metric_Conversion!E29</f>
        <v>12.5</v>
      </c>
      <c r="X69">
        <f t="shared" si="9"/>
        <v>1.0969100130080565</v>
      </c>
      <c r="AE69">
        <f t="shared" si="10"/>
        <v>0.3010299956639812</v>
      </c>
      <c r="AF69">
        <f>+IF(OR(Metric_Conversion!$E$20=setup!$D$6,Metric_Conversion!$E$20=setup!$D$8),'TMP special'!Q69,IF(Metric_Conversion!$E$20=setup!$D$5,'TMP special'!S69,'TMP special'!R69))</f>
        <v>1.05</v>
      </c>
      <c r="AH69" s="57"/>
      <c r="AI69" s="57"/>
      <c r="AJ69" s="57"/>
      <c r="AK69" s="57"/>
      <c r="AL69" s="57" cm="1">
        <f t="array" ref="AL69:AN69">LINEST(AF65:AF76,AE65:AE76^{1,2})</f>
        <v>4.6487482823388812E-2</v>
      </c>
      <c r="AM69" s="57">
        <v>1.2946936092692385E-3</v>
      </c>
      <c r="AN69" s="57">
        <v>1.0362425024764219</v>
      </c>
      <c r="AO69" s="58">
        <v>2</v>
      </c>
    </row>
    <row r="70" spans="16:45" x14ac:dyDescent="0.2">
      <c r="P70">
        <v>3</v>
      </c>
      <c r="Q70">
        <v>1.08</v>
      </c>
      <c r="R70">
        <v>1.08</v>
      </c>
      <c r="S70">
        <v>1.05</v>
      </c>
      <c r="W70" s="66">
        <f>+Metric_Conversion!E30</f>
        <v>13.5</v>
      </c>
      <c r="X70">
        <f t="shared" si="9"/>
        <v>1.1303337684950061</v>
      </c>
      <c r="AE70">
        <f t="shared" si="10"/>
        <v>0.47712125471966244</v>
      </c>
      <c r="AF70">
        <f>+IF(OR(Metric_Conversion!$E$20=setup!$D$6,Metric_Conversion!$E$20=setup!$D$8),'TMP special'!Q70,IF(Metric_Conversion!$E$20=setup!$D$5,'TMP special'!S70,'TMP special'!R70))</f>
        <v>1.05</v>
      </c>
      <c r="AH70" s="57"/>
      <c r="AI70" s="57"/>
      <c r="AJ70" s="57"/>
      <c r="AK70" s="57"/>
      <c r="AL70" s="57"/>
      <c r="AM70" s="57" cm="1">
        <f t="array" ref="AM70:AN70">LINEST(AF65:AF76,AE65:AE76^{1})</f>
        <v>5.7279883279220636E-2</v>
      </c>
      <c r="AN70" s="57">
        <v>1.0555794445585007</v>
      </c>
      <c r="AO70" s="58">
        <v>1</v>
      </c>
    </row>
    <row r="71" spans="16:45" x14ac:dyDescent="0.2">
      <c r="P71">
        <v>5</v>
      </c>
      <c r="Q71">
        <v>1.1000000000000001</v>
      </c>
      <c r="R71">
        <v>1.1000000000000001</v>
      </c>
      <c r="S71">
        <v>1.06</v>
      </c>
      <c r="AE71">
        <f t="shared" si="10"/>
        <v>0.69897000433601886</v>
      </c>
      <c r="AF71">
        <f>+IF(OR(Metric_Conversion!$E$20=setup!$D$6,Metric_Conversion!$E$20=setup!$D$8),'TMP special'!Q71,IF(Metric_Conversion!$E$20=setup!$D$5,'TMP special'!S71,'TMP special'!R71))</f>
        <v>1.06</v>
      </c>
      <c r="AL71" s="49" t="s">
        <v>179</v>
      </c>
      <c r="AS71" s="59"/>
    </row>
    <row r="72" spans="16:45" x14ac:dyDescent="0.2">
      <c r="P72">
        <v>10</v>
      </c>
      <c r="Q72">
        <v>1.18</v>
      </c>
      <c r="R72">
        <v>1.17</v>
      </c>
      <c r="S72">
        <v>1.08</v>
      </c>
      <c r="W72" s="61" t="s">
        <v>38</v>
      </c>
      <c r="AE72">
        <f t="shared" si="10"/>
        <v>1</v>
      </c>
      <c r="AF72">
        <f>+IF(OR(Metric_Conversion!$E$20=setup!$D$6,Metric_Conversion!$E$20=setup!$D$8),'TMP special'!Q72,IF(Metric_Conversion!$E$20=setup!$D$5,'TMP special'!S72,'TMP special'!R72))</f>
        <v>1.08</v>
      </c>
      <c r="AL72" s="49" t="s">
        <v>180</v>
      </c>
      <c r="AS72" s="59"/>
    </row>
    <row r="73" spans="16:45" x14ac:dyDescent="0.2">
      <c r="P73">
        <v>20</v>
      </c>
      <c r="Q73">
        <v>1.33</v>
      </c>
      <c r="R73">
        <v>1.29</v>
      </c>
      <c r="S73">
        <v>1.1000000000000001</v>
      </c>
      <c r="W73" s="60" t="s">
        <v>40</v>
      </c>
      <c r="AE73">
        <f t="shared" si="10"/>
        <v>1.3010299956639813</v>
      </c>
      <c r="AF73">
        <f>+IF(OR(Metric_Conversion!$E$20=setup!$D$6,Metric_Conversion!$E$20=setup!$D$8),'TMP special'!Q73,IF(Metric_Conversion!$E$20=setup!$D$5,'TMP special'!S73,'TMP special'!R73))</f>
        <v>1.1000000000000001</v>
      </c>
      <c r="AL73" s="49" t="s">
        <v>181</v>
      </c>
    </row>
    <row r="74" spans="16:45" x14ac:dyDescent="0.2">
      <c r="P74">
        <v>30</v>
      </c>
      <c r="Q74">
        <v>1.46</v>
      </c>
      <c r="R74">
        <v>1.37</v>
      </c>
      <c r="S74">
        <v>1.1200000000000001</v>
      </c>
      <c r="AE74">
        <f t="shared" si="10"/>
        <v>1.4771212547196624</v>
      </c>
      <c r="AF74">
        <f>+IF(OR(Metric_Conversion!$E$20=setup!$D$6,Metric_Conversion!$E$20=setup!$D$8),'TMP special'!Q74,IF(Metric_Conversion!$E$20=setup!$D$5,'TMP special'!S74,'TMP special'!R74))</f>
        <v>1.1200000000000001</v>
      </c>
      <c r="AL74" s="49" t="s">
        <v>182</v>
      </c>
    </row>
    <row r="75" spans="16:45" x14ac:dyDescent="0.2">
      <c r="P75">
        <v>60</v>
      </c>
      <c r="Q75">
        <v>1.8</v>
      </c>
      <c r="R75">
        <v>1.5</v>
      </c>
      <c r="S75">
        <v>1.18</v>
      </c>
      <c r="AE75">
        <f t="shared" si="10"/>
        <v>1.7781512503836436</v>
      </c>
      <c r="AF75">
        <f>+IF(OR(Metric_Conversion!$E$20=setup!$D$6,Metric_Conversion!$E$20=setup!$D$8),'TMP special'!Q75,IF(Metric_Conversion!$E$20=setup!$D$5,'TMP special'!S75,'TMP special'!R75))</f>
        <v>1.18</v>
      </c>
      <c r="AL75" s="49" t="s">
        <v>183</v>
      </c>
    </row>
    <row r="76" spans="16:45" x14ac:dyDescent="0.2">
      <c r="P76">
        <v>100</v>
      </c>
      <c r="R76">
        <v>1.63</v>
      </c>
      <c r="S76">
        <v>1.25</v>
      </c>
      <c r="AE76">
        <f t="shared" si="10"/>
        <v>2</v>
      </c>
      <c r="AF76">
        <f>+IF(OR(Metric_Conversion!$E$20=setup!$D$6,Metric_Conversion!$E$20=setup!$D$8),'TMP special'!Q76,IF(Metric_Conversion!$E$20=setup!$D$5,'TMP special'!S76,'TMP special'!R76))</f>
        <v>1.25</v>
      </c>
      <c r="AL76" s="49" t="s">
        <v>184</v>
      </c>
    </row>
    <row r="82" spans="16:29" x14ac:dyDescent="0.2">
      <c r="P82" s="7" t="s">
        <v>185</v>
      </c>
      <c r="R82">
        <f>+IF(Metric_Conversion!J15&gt;1,'TMP special'!AC90,IF(AND(Metric_Conversion!E20=setup!D9,Metric_Conversion!J15&lt;1),'TMP special'!S98,IF(Metric_Conversion!J13&lt;6,'TMP special'!Q98,'TMP special'!R98)))</f>
        <v>1.1000000000000001</v>
      </c>
    </row>
    <row r="84" spans="16:29" x14ac:dyDescent="0.2">
      <c r="P84" t="s">
        <v>186</v>
      </c>
    </row>
    <row r="85" spans="16:29" x14ac:dyDescent="0.2">
      <c r="P85" t="s">
        <v>187</v>
      </c>
      <c r="Q85" t="s">
        <v>188</v>
      </c>
      <c r="R85" t="s">
        <v>189</v>
      </c>
      <c r="S85" t="s">
        <v>190</v>
      </c>
      <c r="T85" t="s">
        <v>191</v>
      </c>
      <c r="U85" s="7" t="s">
        <v>192</v>
      </c>
      <c r="V85" s="7" t="s">
        <v>193</v>
      </c>
      <c r="W85" s="7" t="s">
        <v>194</v>
      </c>
      <c r="AA85" s="7" t="s">
        <v>140</v>
      </c>
      <c r="AB85" s="7" t="s">
        <v>192</v>
      </c>
      <c r="AC85">
        <f>+Metric_Conversion!J15</f>
        <v>0</v>
      </c>
    </row>
    <row r="86" spans="16:29" x14ac:dyDescent="0.2">
      <c r="P86" t="s">
        <v>195</v>
      </c>
      <c r="Q86">
        <v>1</v>
      </c>
      <c r="R86">
        <v>1.05</v>
      </c>
      <c r="S86">
        <v>1.1000000000000001</v>
      </c>
      <c r="T86" t="s">
        <v>196</v>
      </c>
      <c r="U86">
        <v>1</v>
      </c>
      <c r="V86">
        <v>1.1000000000000001</v>
      </c>
      <c r="W86">
        <v>1.05</v>
      </c>
      <c r="AB86" s="7" t="s">
        <v>197</v>
      </c>
      <c r="AC86" s="7" t="s">
        <v>186</v>
      </c>
    </row>
    <row r="87" spans="16:29" x14ac:dyDescent="0.2">
      <c r="P87" t="s">
        <v>195</v>
      </c>
      <c r="Q87">
        <v>1</v>
      </c>
      <c r="R87">
        <v>1.05</v>
      </c>
      <c r="S87">
        <v>1.1000000000000001</v>
      </c>
      <c r="T87" t="s">
        <v>198</v>
      </c>
      <c r="U87">
        <v>5</v>
      </c>
      <c r="V87">
        <v>1.1200000000000001</v>
      </c>
      <c r="W87">
        <v>1.05</v>
      </c>
      <c r="AB87" s="7">
        <v>4</v>
      </c>
      <c r="AC87">
        <f>+IF(AC85&lt;50,_xlfn.FORECAST.LINEAR(AC85,V86:V92,U86:U92),1.3)</f>
        <v>1.0982538686741949</v>
      </c>
    </row>
    <row r="88" spans="16:29" x14ac:dyDescent="0.2">
      <c r="P88" t="s">
        <v>195</v>
      </c>
      <c r="Q88">
        <v>1</v>
      </c>
      <c r="R88">
        <v>1.05</v>
      </c>
      <c r="S88">
        <v>1.1000000000000001</v>
      </c>
      <c r="T88" t="s">
        <v>199</v>
      </c>
      <c r="U88">
        <v>10</v>
      </c>
      <c r="V88">
        <v>1.1399999999999999</v>
      </c>
      <c r="W88">
        <v>1.06</v>
      </c>
      <c r="AB88" s="7">
        <v>6</v>
      </c>
      <c r="AC88">
        <f>+IF(AC85&lt;50,_xlfn.FORECAST.LINEAR(AC85,W86:W92,U86:U92),1.1)</f>
        <v>1.0479715600167294</v>
      </c>
    </row>
    <row r="89" spans="16:29" x14ac:dyDescent="0.2">
      <c r="P89" t="s">
        <v>195</v>
      </c>
      <c r="Q89">
        <v>1</v>
      </c>
      <c r="R89">
        <v>1</v>
      </c>
      <c r="S89">
        <v>1</v>
      </c>
      <c r="T89" t="s">
        <v>200</v>
      </c>
      <c r="U89">
        <v>20</v>
      </c>
      <c r="V89">
        <v>1.18</v>
      </c>
      <c r="W89">
        <v>1.07</v>
      </c>
      <c r="AA89" t="s">
        <v>143</v>
      </c>
      <c r="AB89" t="s">
        <v>197</v>
      </c>
      <c r="AC89">
        <f>+Metric_Conversion!J13</f>
        <v>0</v>
      </c>
    </row>
    <row r="90" spans="16:29" x14ac:dyDescent="0.2">
      <c r="P90" t="s">
        <v>201</v>
      </c>
      <c r="Q90">
        <v>1</v>
      </c>
      <c r="R90">
        <v>1</v>
      </c>
      <c r="S90">
        <v>1</v>
      </c>
      <c r="T90" t="s">
        <v>202</v>
      </c>
      <c r="U90">
        <v>30</v>
      </c>
      <c r="V90">
        <v>1.22</v>
      </c>
      <c r="W90">
        <v>1.08</v>
      </c>
      <c r="AB90" t="s">
        <v>186</v>
      </c>
      <c r="AC90">
        <f>+IF(AC89&lt;4,AC87,IF(AC89&gt;6,AC88,_xlfn.FORECAST.LINEAR(AC89,AC87:AC88,AB87:AB88)))</f>
        <v>1.0982538686741949</v>
      </c>
    </row>
    <row r="91" spans="16:29" x14ac:dyDescent="0.2">
      <c r="P91" t="s">
        <v>201</v>
      </c>
      <c r="Q91">
        <v>1.05</v>
      </c>
      <c r="R91">
        <v>1.05</v>
      </c>
      <c r="S91">
        <v>1</v>
      </c>
      <c r="T91" t="s">
        <v>203</v>
      </c>
      <c r="U91">
        <v>40</v>
      </c>
      <c r="V91">
        <v>1.2649999999999999</v>
      </c>
      <c r="W91">
        <v>1.0900000000000001</v>
      </c>
    </row>
    <row r="92" spans="16:29" x14ac:dyDescent="0.2">
      <c r="P92" t="s">
        <v>201</v>
      </c>
      <c r="Q92">
        <v>1.05</v>
      </c>
      <c r="R92">
        <v>1.05</v>
      </c>
      <c r="S92">
        <v>1.05</v>
      </c>
      <c r="T92" t="s">
        <v>204</v>
      </c>
      <c r="U92">
        <v>50</v>
      </c>
      <c r="V92">
        <v>1.3</v>
      </c>
      <c r="W92">
        <v>1.1000000000000001</v>
      </c>
    </row>
    <row r="93" spans="16:29" x14ac:dyDescent="0.2">
      <c r="P93" t="s">
        <v>77</v>
      </c>
      <c r="Q93">
        <v>1.05</v>
      </c>
      <c r="R93">
        <v>1.1499999999999999</v>
      </c>
      <c r="T93" t="s">
        <v>205</v>
      </c>
      <c r="U93">
        <v>60</v>
      </c>
      <c r="V93">
        <v>1.3</v>
      </c>
      <c r="W93">
        <v>1.1000000000000001</v>
      </c>
    </row>
    <row r="94" spans="16:29" x14ac:dyDescent="0.2">
      <c r="P94" t="s">
        <v>77</v>
      </c>
      <c r="Q94">
        <v>1.05</v>
      </c>
      <c r="R94">
        <v>1.1499999999999999</v>
      </c>
      <c r="T94" t="s">
        <v>206</v>
      </c>
      <c r="U94">
        <v>500</v>
      </c>
      <c r="V94">
        <v>1.3</v>
      </c>
      <c r="W94">
        <v>1.1000000000000001</v>
      </c>
    </row>
    <row r="95" spans="16:29" x14ac:dyDescent="0.2">
      <c r="P95" t="s">
        <v>77</v>
      </c>
      <c r="Q95">
        <v>1.1000000000000001</v>
      </c>
      <c r="R95">
        <v>1.2</v>
      </c>
    </row>
    <row r="97" spans="16:20" x14ac:dyDescent="0.2">
      <c r="P97" t="s">
        <v>207</v>
      </c>
    </row>
    <row r="98" spans="16:20" x14ac:dyDescent="0.2">
      <c r="P98" t="str">
        <f>+Metric_Conversion!E21</f>
        <v>cast iron</v>
      </c>
      <c r="Q98">
        <f>+IF(P98=setup!E6,MAX('TMP special'!Q86:Q89),IF(P98=setup!E7,MAX('TMP special'!Q90:Q92),MAX('TMP special'!Q93:Q95)))</f>
        <v>1.1000000000000001</v>
      </c>
      <c r="R98">
        <f>+IF(P98=setup!E6,MAX('TMP special'!R86:R89),IF(P98=setup!E7,MAX('TMP special'!R90:R92),MAX('TMP special'!R93:R95)))</f>
        <v>1.2</v>
      </c>
      <c r="S98">
        <f>+IF(P98="cast iron",MAX('TMP special'!S86:S89),IF(P98="stainless",MAX('TMP special'!S90:S92),"wrong material"))</f>
        <v>1.1000000000000001</v>
      </c>
    </row>
    <row r="103" spans="16:20" x14ac:dyDescent="0.2">
      <c r="P103" s="7"/>
      <c r="S103" s="7"/>
    </row>
    <row r="104" spans="16:20" x14ac:dyDescent="0.2">
      <c r="P104" s="7"/>
      <c r="S104" s="7"/>
    </row>
    <row r="108" spans="16:20" x14ac:dyDescent="0.2">
      <c r="P108" t="s">
        <v>157</v>
      </c>
    </row>
    <row r="111" spans="16:20" x14ac:dyDescent="0.2">
      <c r="P111" t="s">
        <v>208</v>
      </c>
      <c r="Q111">
        <f>IF(Metric_Conversion!E10=setup!B6,Metric_Conversion!J19,-32+5/9*Metric_Conversion!J19)</f>
        <v>20</v>
      </c>
      <c r="S111" t="s">
        <v>73</v>
      </c>
      <c r="T111" t="s">
        <v>209</v>
      </c>
    </row>
    <row r="112" spans="16:20" x14ac:dyDescent="0.2">
      <c r="S112" t="s">
        <v>78</v>
      </c>
      <c r="T112">
        <v>0</v>
      </c>
    </row>
    <row r="113" spans="16:40" x14ac:dyDescent="0.2">
      <c r="P113" t="s">
        <v>210</v>
      </c>
      <c r="Q113">
        <f>+Q111+_xlfn.XLOOKUP(Metric_Conversion!J21,'TMP special'!S112:S120,'TMP special'!T112:T120,0)</f>
        <v>200</v>
      </c>
      <c r="S113" t="s">
        <v>82</v>
      </c>
      <c r="T113">
        <v>0</v>
      </c>
    </row>
    <row r="114" spans="16:40" x14ac:dyDescent="0.2">
      <c r="S114" t="s">
        <v>85</v>
      </c>
      <c r="T114">
        <v>0</v>
      </c>
    </row>
    <row r="115" spans="16:40" x14ac:dyDescent="0.2">
      <c r="S115" t="s">
        <v>89</v>
      </c>
      <c r="T115">
        <v>50</v>
      </c>
    </row>
    <row r="116" spans="16:40" x14ac:dyDescent="0.2">
      <c r="S116" t="s">
        <v>93</v>
      </c>
      <c r="T116">
        <v>120</v>
      </c>
    </row>
    <row r="117" spans="16:40" x14ac:dyDescent="0.2">
      <c r="S117" t="s">
        <v>96</v>
      </c>
      <c r="T117">
        <v>140</v>
      </c>
    </row>
    <row r="118" spans="16:40" x14ac:dyDescent="0.2">
      <c r="S118" t="s">
        <v>65</v>
      </c>
      <c r="T118">
        <v>180</v>
      </c>
    </row>
    <row r="119" spans="16:40" x14ac:dyDescent="0.2">
      <c r="S119" t="s">
        <v>100</v>
      </c>
      <c r="T119">
        <v>90</v>
      </c>
    </row>
    <row r="120" spans="16:40" x14ac:dyDescent="0.2">
      <c r="S120" t="s">
        <v>102</v>
      </c>
      <c r="T120">
        <v>0</v>
      </c>
    </row>
    <row r="123" spans="16:40" x14ac:dyDescent="0.2">
      <c r="P123" t="s">
        <v>35</v>
      </c>
      <c r="Q123" t="s">
        <v>211</v>
      </c>
      <c r="R123">
        <v>50</v>
      </c>
      <c r="S123">
        <v>80</v>
      </c>
      <c r="T123">
        <v>100</v>
      </c>
      <c r="U123">
        <v>120</v>
      </c>
      <c r="V123">
        <v>140</v>
      </c>
      <c r="W123">
        <v>160</v>
      </c>
      <c r="X123">
        <v>180</v>
      </c>
      <c r="Y123">
        <v>200</v>
      </c>
      <c r="Z123">
        <v>220</v>
      </c>
      <c r="AA123">
        <v>240</v>
      </c>
      <c r="AC123" t="s">
        <v>212</v>
      </c>
    </row>
    <row r="124" spans="16:40" x14ac:dyDescent="0.2">
      <c r="P124">
        <v>0.2</v>
      </c>
      <c r="Q124">
        <f>+LOG10(P124)</f>
        <v>-0.69897000433601875</v>
      </c>
      <c r="R124">
        <v>1</v>
      </c>
      <c r="S124">
        <v>0.65</v>
      </c>
      <c r="AC124">
        <v>0.2</v>
      </c>
      <c r="AD124">
        <f>+LOG10(AC124)</f>
        <v>-0.69897000433601875</v>
      </c>
      <c r="AF124">
        <f t="shared" ref="AF124:AF132" si="11">+S$141+S$142*$AD124+S$143*$AD124^2+S$144*$AD124^3+S$145*$AD124^4</f>
        <v>0.65492506722592103</v>
      </c>
      <c r="AG124">
        <f t="shared" ref="AG124:AG132" si="12">+T$141+T$142*$AD124+T$143*$AD124^2+T$144*$AD124^3+T$145*$AD124^4</f>
        <v>0.22982121833827029</v>
      </c>
      <c r="AH124">
        <f t="shared" ref="AH124:AH132" si="13">+U$141+U$142*$AD124+U$143*$AD124^2+U$144*$AD124^3+U$145*$AD124^4</f>
        <v>-0.41733959277338378</v>
      </c>
      <c r="AI124">
        <f t="shared" ref="AI124:AI132" si="14">+V$141+V$142*$AD124+V$143*$AD124^2+V$144*$AD124^3+V$145*$AD124^4</f>
        <v>-0.84296057372290389</v>
      </c>
      <c r="AJ124">
        <f t="shared" ref="AJ124:AJ132" si="15">+W$141+W$142*$AD124+W$143*$AD124^2+W$144*$AD124^3+W$145*$AD124^4</f>
        <v>-1.4843066915915388</v>
      </c>
      <c r="AK124">
        <f t="shared" ref="AK124:AK132" si="16">+X$141+X$142*$AD124+X$143*$AD124^2+X$144*$AD124^3+X$145*$AD124^4</f>
        <v>-2.0996004832152497</v>
      </c>
      <c r="AL124">
        <f t="shared" ref="AL124:AL132" si="17">+Y$141+Y$142*$AD124+Y$143*$AD124^2+Y$144*$AD124^3+Y$145*$AD124^4</f>
        <v>-3.1478936364684671</v>
      </c>
      <c r="AM124">
        <f t="shared" ref="AM124:AM132" si="18">+Z$141+Z$142*$AD124+Z$143*$AD124^2+Z$144*$AD124^3+Z$145*$AD124^4</f>
        <v>-4.1891394168877971</v>
      </c>
      <c r="AN124">
        <f t="shared" ref="AN124:AN132" si="19">+AA$141+AA$142*$AD124+AA$143*$AD124^2+AA$144*$AD124^3+AA$145*$AD124^4</f>
        <v>-4.8149137196242684</v>
      </c>
    </row>
    <row r="125" spans="16:40" x14ac:dyDescent="0.2">
      <c r="P125">
        <v>0.3</v>
      </c>
      <c r="Q125">
        <f t="shared" ref="Q125:Q139" si="20">+LOG10(P125)</f>
        <v>-0.52287874528033762</v>
      </c>
      <c r="R125">
        <v>1</v>
      </c>
      <c r="S125">
        <v>0.77</v>
      </c>
      <c r="T125">
        <v>0.45</v>
      </c>
      <c r="AC125">
        <v>0.5</v>
      </c>
      <c r="AD125">
        <f t="shared" ref="AD125:AD132" si="21">+LOG10(AC125)</f>
        <v>-0.3010299956639812</v>
      </c>
      <c r="AF125">
        <f t="shared" si="11"/>
        <v>0.85402273532270645</v>
      </c>
      <c r="AG125">
        <f t="shared" si="12"/>
        <v>0.6566194934781916</v>
      </c>
      <c r="AH125">
        <f t="shared" si="13"/>
        <v>0.35602582923685266</v>
      </c>
      <c r="AI125">
        <f t="shared" si="14"/>
        <v>9.6582878486169629E-2</v>
      </c>
      <c r="AJ125">
        <f t="shared" si="15"/>
        <v>-0.22734932447077963</v>
      </c>
      <c r="AK125">
        <f t="shared" si="16"/>
        <v>-0.55898633312576418</v>
      </c>
      <c r="AL125">
        <f t="shared" si="17"/>
        <v>-1.070776646561119</v>
      </c>
      <c r="AM125">
        <f t="shared" si="18"/>
        <v>-1.6026014024509962</v>
      </c>
      <c r="AN125">
        <f t="shared" si="19"/>
        <v>-1.9867414056327399</v>
      </c>
    </row>
    <row r="126" spans="16:40" x14ac:dyDescent="0.2">
      <c r="P126">
        <v>0.5</v>
      </c>
      <c r="Q126">
        <f t="shared" si="20"/>
        <v>-0.3010299956639812</v>
      </c>
      <c r="R126">
        <v>1</v>
      </c>
      <c r="S126">
        <v>0.85</v>
      </c>
      <c r="T126">
        <v>0.66</v>
      </c>
      <c r="U126" s="7">
        <v>0.35</v>
      </c>
      <c r="AC126">
        <v>1</v>
      </c>
      <c r="AD126">
        <f t="shared" si="21"/>
        <v>0</v>
      </c>
      <c r="AF126">
        <f t="shared" si="11"/>
        <v>0.93169102500000001</v>
      </c>
      <c r="AG126">
        <f t="shared" si="12"/>
        <v>0.82942822800000005</v>
      </c>
      <c r="AH126">
        <f t="shared" si="13"/>
        <v>0.67326838200000005</v>
      </c>
      <c r="AI126">
        <f t="shared" si="14"/>
        <v>0.51623217499999996</v>
      </c>
      <c r="AJ126">
        <f t="shared" si="15"/>
        <v>0.33165906299999998</v>
      </c>
      <c r="AK126">
        <f t="shared" si="16"/>
        <v>0.13302770899999999</v>
      </c>
      <c r="AL126">
        <f t="shared" si="17"/>
        <v>-0.146218719</v>
      </c>
      <c r="AM126">
        <f t="shared" si="18"/>
        <v>-0.44209109600000002</v>
      </c>
      <c r="AN126">
        <f t="shared" si="19"/>
        <v>-0.68803271499999996</v>
      </c>
    </row>
    <row r="127" spans="16:40" x14ac:dyDescent="0.2">
      <c r="P127">
        <v>0.8</v>
      </c>
      <c r="Q127">
        <f t="shared" si="20"/>
        <v>-9.6910013008056392E-2</v>
      </c>
      <c r="R127">
        <v>1</v>
      </c>
      <c r="S127">
        <v>0.91</v>
      </c>
      <c r="T127">
        <v>0.79</v>
      </c>
      <c r="U127">
        <v>0.6</v>
      </c>
      <c r="V127">
        <v>0.4</v>
      </c>
      <c r="AC127">
        <v>2</v>
      </c>
      <c r="AD127">
        <f t="shared" si="21"/>
        <v>0.3010299956639812</v>
      </c>
      <c r="AF127">
        <f t="shared" si="11"/>
        <v>0.97031653641639226</v>
      </c>
      <c r="AG127">
        <f t="shared" si="12"/>
        <v>0.92019884577253774</v>
      </c>
      <c r="AH127">
        <f t="shared" si="13"/>
        <v>0.84292917332972428</v>
      </c>
      <c r="AI127">
        <f t="shared" si="14"/>
        <v>0.76268045618547686</v>
      </c>
      <c r="AJ127">
        <f t="shared" si="15"/>
        <v>0.66080100366518157</v>
      </c>
      <c r="AK127">
        <f t="shared" si="16"/>
        <v>0.54678145422928015</v>
      </c>
      <c r="AL127">
        <f t="shared" si="17"/>
        <v>0.40063643738144133</v>
      </c>
      <c r="AM127">
        <f t="shared" si="18"/>
        <v>0.24961062166505957</v>
      </c>
      <c r="AN127">
        <f t="shared" si="19"/>
        <v>0.1051905996101806</v>
      </c>
    </row>
    <row r="128" spans="16:40" x14ac:dyDescent="0.2">
      <c r="P128">
        <v>1</v>
      </c>
      <c r="Q128">
        <f t="shared" si="20"/>
        <v>0</v>
      </c>
      <c r="R128">
        <v>1</v>
      </c>
      <c r="S128">
        <v>0.93</v>
      </c>
      <c r="T128">
        <v>0.83</v>
      </c>
      <c r="U128">
        <v>0.68</v>
      </c>
      <c r="V128">
        <v>0.52</v>
      </c>
      <c r="W128">
        <v>0.33</v>
      </c>
      <c r="AC128">
        <v>5</v>
      </c>
      <c r="AD128">
        <f t="shared" si="21"/>
        <v>0.69897000433601886</v>
      </c>
      <c r="AF128">
        <f t="shared" si="11"/>
        <v>0.98889945484144726</v>
      </c>
      <c r="AG128">
        <f t="shared" si="12"/>
        <v>0.96925621553520314</v>
      </c>
      <c r="AH128">
        <f t="shared" si="13"/>
        <v>0.93779679067346178</v>
      </c>
      <c r="AI128">
        <f t="shared" si="14"/>
        <v>0.91814228760227456</v>
      </c>
      <c r="AJ128">
        <f t="shared" si="15"/>
        <v>0.87365588040521025</v>
      </c>
      <c r="AK128">
        <f t="shared" si="16"/>
        <v>0.82336483104535585</v>
      </c>
      <c r="AL128">
        <f t="shared" si="17"/>
        <v>0.76056597399974113</v>
      </c>
      <c r="AM128">
        <f t="shared" si="18"/>
        <v>0.70807356280589673</v>
      </c>
      <c r="AN128">
        <f t="shared" si="19"/>
        <v>0.64770917609114653</v>
      </c>
    </row>
    <row r="129" spans="16:40" x14ac:dyDescent="0.2">
      <c r="P129">
        <v>1.5</v>
      </c>
      <c r="Q129">
        <f t="shared" si="20"/>
        <v>0.17609125905568124</v>
      </c>
      <c r="R129">
        <v>1</v>
      </c>
      <c r="S129">
        <v>0.96</v>
      </c>
      <c r="T129">
        <v>0.88</v>
      </c>
      <c r="U129">
        <v>0.78</v>
      </c>
      <c r="V129">
        <v>0.68</v>
      </c>
      <c r="W129">
        <v>0.55000000000000004</v>
      </c>
      <c r="X129">
        <v>0.4</v>
      </c>
      <c r="AC129">
        <v>10</v>
      </c>
      <c r="AD129">
        <f t="shared" si="21"/>
        <v>1</v>
      </c>
      <c r="AF129">
        <f t="shared" si="11"/>
        <v>0.99276650400000022</v>
      </c>
      <c r="AG129">
        <f t="shared" si="12"/>
        <v>0.9819812670000001</v>
      </c>
      <c r="AH129">
        <f t="shared" si="13"/>
        <v>0.96369327599999999</v>
      </c>
      <c r="AI129">
        <f t="shared" si="14"/>
        <v>0.96259147599999995</v>
      </c>
      <c r="AJ129">
        <f t="shared" si="15"/>
        <v>0.94087951700000017</v>
      </c>
      <c r="AK129">
        <f t="shared" si="16"/>
        <v>0.91695498899999994</v>
      </c>
      <c r="AL129">
        <f t="shared" si="17"/>
        <v>0.88095391299999992</v>
      </c>
      <c r="AM129">
        <f t="shared" si="18"/>
        <v>0.86054127000000025</v>
      </c>
      <c r="AN129">
        <f t="shared" si="19"/>
        <v>0.83292241600000028</v>
      </c>
    </row>
    <row r="130" spans="16:40" x14ac:dyDescent="0.2">
      <c r="P130">
        <v>2</v>
      </c>
      <c r="Q130">
        <f t="shared" si="20"/>
        <v>0.3010299956639812</v>
      </c>
      <c r="R130">
        <v>1</v>
      </c>
      <c r="S130">
        <v>0.97</v>
      </c>
      <c r="T130">
        <v>0.92</v>
      </c>
      <c r="U130">
        <v>0.84</v>
      </c>
      <c r="V130">
        <v>0.76</v>
      </c>
      <c r="W130">
        <v>0.66</v>
      </c>
      <c r="X130">
        <v>0.55000000000000004</v>
      </c>
      <c r="Y130">
        <v>0.4</v>
      </c>
      <c r="Z130">
        <v>0.25</v>
      </c>
      <c r="AC130">
        <v>20</v>
      </c>
      <c r="AD130">
        <f t="shared" si="21"/>
        <v>1.3010299956639813</v>
      </c>
      <c r="AF130">
        <f t="shared" si="11"/>
        <v>0.99474358002497187</v>
      </c>
      <c r="AG130">
        <f t="shared" si="12"/>
        <v>0.98831585176904935</v>
      </c>
      <c r="AH130">
        <f t="shared" si="13"/>
        <v>0.97645173008017161</v>
      </c>
      <c r="AI130">
        <f t="shared" si="14"/>
        <v>0.97775314551778092</v>
      </c>
      <c r="AJ130">
        <f t="shared" si="15"/>
        <v>0.97030617034083066</v>
      </c>
      <c r="AK130">
        <f t="shared" si="16"/>
        <v>0.96198035574541485</v>
      </c>
      <c r="AL130">
        <f t="shared" si="17"/>
        <v>0.94067920414582162</v>
      </c>
      <c r="AM130">
        <f t="shared" si="18"/>
        <v>0.93320926054888298</v>
      </c>
      <c r="AN130">
        <f t="shared" si="19"/>
        <v>0.91999528232609173</v>
      </c>
    </row>
    <row r="131" spans="16:40" x14ac:dyDescent="0.2">
      <c r="P131">
        <v>3</v>
      </c>
      <c r="Q131">
        <f t="shared" si="20"/>
        <v>0.47712125471966244</v>
      </c>
      <c r="R131">
        <v>1</v>
      </c>
      <c r="S131">
        <v>0.98</v>
      </c>
      <c r="T131">
        <v>0.95</v>
      </c>
      <c r="U131">
        <v>0.89</v>
      </c>
      <c r="V131">
        <v>0.85</v>
      </c>
      <c r="W131">
        <v>0.78</v>
      </c>
      <c r="X131">
        <v>0.7</v>
      </c>
      <c r="Y131">
        <v>0.6</v>
      </c>
      <c r="Z131">
        <v>0.5</v>
      </c>
      <c r="AA131">
        <v>0.4</v>
      </c>
      <c r="AC131">
        <v>50</v>
      </c>
      <c r="AD131">
        <f t="shared" si="21"/>
        <v>1.6989700043360187</v>
      </c>
      <c r="AF131">
        <f t="shared" si="11"/>
        <v>0.99596272246565487</v>
      </c>
      <c r="AG131">
        <f t="shared" si="12"/>
        <v>0.99182763010444674</v>
      </c>
      <c r="AH131">
        <f t="shared" si="13"/>
        <v>0.98321102777772973</v>
      </c>
      <c r="AI131">
        <f t="shared" si="14"/>
        <v>0.98110789997141679</v>
      </c>
      <c r="AJ131">
        <f t="shared" si="15"/>
        <v>0.98250281041585974</v>
      </c>
      <c r="AK131">
        <f t="shared" si="16"/>
        <v>0.98320633606437735</v>
      </c>
      <c r="AL131">
        <f t="shared" si="17"/>
        <v>0.97565545771373108</v>
      </c>
      <c r="AM131">
        <f t="shared" si="18"/>
        <v>0.97187126934437873</v>
      </c>
      <c r="AN131">
        <f t="shared" si="19"/>
        <v>0.96565462946304459</v>
      </c>
    </row>
    <row r="132" spans="16:40" x14ac:dyDescent="0.2">
      <c r="P132">
        <v>5</v>
      </c>
      <c r="Q132">
        <f t="shared" si="20"/>
        <v>0.69897000433601886</v>
      </c>
      <c r="R132">
        <v>1</v>
      </c>
      <c r="S132">
        <v>0.99</v>
      </c>
      <c r="T132">
        <v>0.97</v>
      </c>
      <c r="U132">
        <v>0.94</v>
      </c>
      <c r="V132">
        <v>0.91500000000000004</v>
      </c>
      <c r="W132">
        <v>0.87</v>
      </c>
      <c r="X132">
        <v>0.82</v>
      </c>
      <c r="Y132">
        <v>0.76</v>
      </c>
      <c r="Z132">
        <v>0.71</v>
      </c>
      <c r="AA132">
        <v>0.65</v>
      </c>
      <c r="AC132">
        <v>80</v>
      </c>
      <c r="AD132">
        <f t="shared" si="21"/>
        <v>1.9030899869919435</v>
      </c>
      <c r="AF132">
        <f t="shared" si="11"/>
        <v>0.99345770272838285</v>
      </c>
      <c r="AG132">
        <f t="shared" si="12"/>
        <v>0.98744544906391229</v>
      </c>
      <c r="AH132">
        <f t="shared" si="13"/>
        <v>0.9757724654501716</v>
      </c>
      <c r="AI132">
        <f t="shared" si="14"/>
        <v>0.97865650822965344</v>
      </c>
      <c r="AJ132">
        <f t="shared" si="15"/>
        <v>0.97753291416024513</v>
      </c>
      <c r="AK132">
        <f t="shared" si="16"/>
        <v>0.97716757363166651</v>
      </c>
      <c r="AL132">
        <f t="shared" si="17"/>
        <v>0.97363996162924926</v>
      </c>
      <c r="AM132">
        <f t="shared" si="18"/>
        <v>0.96846291386146888</v>
      </c>
      <c r="AN132">
        <f t="shared" si="19"/>
        <v>0.96813558347241147</v>
      </c>
    </row>
    <row r="133" spans="16:40" x14ac:dyDescent="0.2">
      <c r="P133">
        <v>10</v>
      </c>
      <c r="Q133">
        <f t="shared" si="20"/>
        <v>1</v>
      </c>
      <c r="R133">
        <v>1</v>
      </c>
      <c r="S133">
        <v>0.995</v>
      </c>
      <c r="T133">
        <v>0.98499999999999999</v>
      </c>
      <c r="U133">
        <v>0.97</v>
      </c>
      <c r="V133">
        <v>0.96499999999999997</v>
      </c>
      <c r="W133">
        <v>0.94</v>
      </c>
      <c r="X133">
        <v>0.91500000000000004</v>
      </c>
      <c r="Y133">
        <v>0.88</v>
      </c>
      <c r="Z133">
        <v>0.86</v>
      </c>
      <c r="AA133">
        <v>0.83</v>
      </c>
    </row>
    <row r="134" spans="16:40" x14ac:dyDescent="0.2">
      <c r="P134">
        <v>20</v>
      </c>
      <c r="Q134">
        <f t="shared" si="20"/>
        <v>1.3010299956639813</v>
      </c>
      <c r="R134">
        <v>1</v>
      </c>
      <c r="S134">
        <v>0.995</v>
      </c>
      <c r="T134">
        <v>0.99</v>
      </c>
      <c r="U134">
        <v>0.98</v>
      </c>
      <c r="V134">
        <v>0.98</v>
      </c>
      <c r="W134">
        <v>0.97499999999999998</v>
      </c>
      <c r="X134">
        <v>0.96499999999999997</v>
      </c>
      <c r="Y134">
        <v>0.94</v>
      </c>
      <c r="Z134">
        <v>0.93</v>
      </c>
      <c r="AA134">
        <v>0.92</v>
      </c>
    </row>
    <row r="135" spans="16:40" x14ac:dyDescent="0.2">
      <c r="P135">
        <v>30</v>
      </c>
      <c r="Q135">
        <f t="shared" si="20"/>
        <v>1.4771212547196624</v>
      </c>
      <c r="R135">
        <v>1</v>
      </c>
      <c r="S135">
        <v>0.995</v>
      </c>
      <c r="T135">
        <v>0.99</v>
      </c>
      <c r="U135">
        <v>0.98</v>
      </c>
      <c r="V135">
        <v>0.98</v>
      </c>
      <c r="W135">
        <v>0.98</v>
      </c>
      <c r="X135">
        <v>0.98</v>
      </c>
      <c r="Y135">
        <v>0.96499999999999997</v>
      </c>
      <c r="Z135">
        <v>0.96</v>
      </c>
      <c r="AA135">
        <v>0.95</v>
      </c>
    </row>
    <row r="136" spans="16:40" x14ac:dyDescent="0.2">
      <c r="P136">
        <v>40</v>
      </c>
      <c r="Q136">
        <f t="shared" si="20"/>
        <v>1.6020599913279623</v>
      </c>
      <c r="R136">
        <v>1</v>
      </c>
      <c r="S136">
        <v>0.995</v>
      </c>
      <c r="T136">
        <v>0.99</v>
      </c>
      <c r="U136">
        <v>0.98</v>
      </c>
      <c r="V136">
        <v>0.98</v>
      </c>
      <c r="W136">
        <v>0.98</v>
      </c>
      <c r="X136">
        <v>0.98</v>
      </c>
      <c r="Y136">
        <v>0.97</v>
      </c>
      <c r="Z136">
        <v>0.97</v>
      </c>
      <c r="AA136">
        <v>0.96</v>
      </c>
    </row>
    <row r="137" spans="16:40" x14ac:dyDescent="0.2">
      <c r="P137">
        <v>50</v>
      </c>
      <c r="Q137">
        <f t="shared" si="20"/>
        <v>1.6989700043360187</v>
      </c>
      <c r="R137">
        <v>1</v>
      </c>
      <c r="S137">
        <v>0.995</v>
      </c>
      <c r="T137">
        <v>0.99</v>
      </c>
      <c r="U137">
        <v>0.98</v>
      </c>
      <c r="V137">
        <v>0.98</v>
      </c>
      <c r="W137">
        <v>0.98</v>
      </c>
      <c r="X137">
        <v>0.98</v>
      </c>
      <c r="Y137">
        <v>0.97499999999999998</v>
      </c>
      <c r="Z137">
        <v>0.97</v>
      </c>
      <c r="AA137">
        <v>0.96499999999999997</v>
      </c>
    </row>
    <row r="138" spans="16:40" x14ac:dyDescent="0.2">
      <c r="P138">
        <v>60</v>
      </c>
      <c r="Q138">
        <f t="shared" si="20"/>
        <v>1.7781512503836436</v>
      </c>
      <c r="R138">
        <v>1</v>
      </c>
      <c r="S138">
        <v>0.995</v>
      </c>
      <c r="T138">
        <v>0.99</v>
      </c>
      <c r="U138">
        <v>0.98</v>
      </c>
      <c r="V138">
        <v>0.98</v>
      </c>
      <c r="W138">
        <v>0.98</v>
      </c>
      <c r="X138">
        <v>0.98</v>
      </c>
      <c r="Y138">
        <v>0.97499999999999998</v>
      </c>
      <c r="Z138">
        <v>0.97</v>
      </c>
      <c r="AA138">
        <v>0.96499999999999997</v>
      </c>
    </row>
    <row r="139" spans="16:40" x14ac:dyDescent="0.2">
      <c r="P139">
        <v>80</v>
      </c>
      <c r="Q139">
        <f t="shared" si="20"/>
        <v>1.9030899869919435</v>
      </c>
      <c r="R139">
        <v>1</v>
      </c>
      <c r="S139">
        <v>0.995</v>
      </c>
      <c r="T139">
        <v>0.99</v>
      </c>
      <c r="U139">
        <v>0.98</v>
      </c>
      <c r="V139">
        <v>0.98</v>
      </c>
      <c r="W139">
        <v>0.98</v>
      </c>
      <c r="X139">
        <v>0.98</v>
      </c>
      <c r="Y139">
        <v>0.97499999999999998</v>
      </c>
      <c r="Z139">
        <v>0.97</v>
      </c>
      <c r="AA139">
        <v>0.97</v>
      </c>
    </row>
    <row r="140" spans="16:40" x14ac:dyDescent="0.2">
      <c r="P140" t="s">
        <v>213</v>
      </c>
    </row>
    <row r="141" spans="16:40" x14ac:dyDescent="0.2">
      <c r="Q141" t="s">
        <v>159</v>
      </c>
      <c r="R141">
        <v>1</v>
      </c>
      <c r="S141">
        <v>0.93169102500000001</v>
      </c>
      <c r="T141">
        <v>0.82942822800000005</v>
      </c>
      <c r="U141">
        <v>0.67326838200000005</v>
      </c>
      <c r="V141">
        <v>0.51623217499999996</v>
      </c>
      <c r="W141">
        <v>0.33165906299999998</v>
      </c>
      <c r="X141">
        <v>0.13302770899999999</v>
      </c>
      <c r="Y141">
        <v>-0.146218719</v>
      </c>
      <c r="Z141">
        <v>-0.44209109600000002</v>
      </c>
      <c r="AA141">
        <v>-0.68803271499999996</v>
      </c>
    </row>
    <row r="142" spans="16:40" x14ac:dyDescent="0.2">
      <c r="Q142" t="s">
        <v>160</v>
      </c>
      <c r="R142">
        <v>0</v>
      </c>
      <c r="S142">
        <v>0.18274278899999999</v>
      </c>
      <c r="T142">
        <v>0.41703903799999997</v>
      </c>
      <c r="U142">
        <v>0.77214521599999997</v>
      </c>
      <c r="V142">
        <v>1.0714272279999999</v>
      </c>
      <c r="W142">
        <v>1.4270103460000001</v>
      </c>
      <c r="X142">
        <v>1.7787384289999999</v>
      </c>
      <c r="Y142">
        <v>2.363827933</v>
      </c>
      <c r="Z142">
        <v>2.979287845</v>
      </c>
      <c r="AA142">
        <v>3.3760210509999999</v>
      </c>
    </row>
    <row r="143" spans="16:40" x14ac:dyDescent="0.2">
      <c r="Q143" t="s">
        <v>161</v>
      </c>
      <c r="R143">
        <v>0</v>
      </c>
      <c r="S143">
        <v>-0.213310106</v>
      </c>
      <c r="T143">
        <v>-0.44857934599999999</v>
      </c>
      <c r="U143">
        <v>-0.80720936700000001</v>
      </c>
      <c r="V143">
        <v>-0.95017880600000004</v>
      </c>
      <c r="W143">
        <v>-1.260229907</v>
      </c>
      <c r="X143">
        <v>-1.525520123</v>
      </c>
      <c r="Y143">
        <v>-2.0703658549999999</v>
      </c>
      <c r="Z143">
        <v>-2.5705322769999999</v>
      </c>
      <c r="AA143">
        <v>-2.7737117119999999</v>
      </c>
    </row>
    <row r="144" spans="16:40" x14ac:dyDescent="0.2">
      <c r="Q144" t="s">
        <v>162</v>
      </c>
      <c r="R144">
        <v>0</v>
      </c>
      <c r="S144">
        <v>0.114954114</v>
      </c>
      <c r="T144">
        <v>0.22905545699999999</v>
      </c>
      <c r="U144">
        <v>0.40370904099999999</v>
      </c>
      <c r="V144">
        <v>0.38553590500000001</v>
      </c>
      <c r="W144">
        <v>0.53162567199999999</v>
      </c>
      <c r="X144">
        <v>0.638961734</v>
      </c>
      <c r="Y144">
        <v>0.88432058199999997</v>
      </c>
      <c r="Z144">
        <v>1.0722880720000001</v>
      </c>
      <c r="AA144">
        <v>1.0881022300000001</v>
      </c>
    </row>
    <row r="145" spans="16:28" x14ac:dyDescent="0.2">
      <c r="Q145" t="s">
        <v>163</v>
      </c>
      <c r="R145">
        <v>0</v>
      </c>
      <c r="S145">
        <v>-2.3311318000000001E-2</v>
      </c>
      <c r="T145">
        <v>-4.496211E-2</v>
      </c>
      <c r="U145">
        <v>-7.8219996E-2</v>
      </c>
      <c r="V145">
        <v>-6.0425026E-2</v>
      </c>
      <c r="W145">
        <v>-8.9185657000000002E-2</v>
      </c>
      <c r="X145">
        <v>-0.10825276</v>
      </c>
      <c r="Y145">
        <v>-0.15061002800000001</v>
      </c>
      <c r="Z145">
        <v>-0.17841127400000001</v>
      </c>
      <c r="AA145">
        <v>-0.16945643799999999</v>
      </c>
    </row>
    <row r="147" spans="16:28" x14ac:dyDescent="0.2">
      <c r="P147" t="s">
        <v>214</v>
      </c>
      <c r="W147" t="s">
        <v>212</v>
      </c>
    </row>
    <row r="148" spans="16:28" x14ac:dyDescent="0.2">
      <c r="X148" t="s">
        <v>159</v>
      </c>
      <c r="Y148" t="s">
        <v>160</v>
      </c>
      <c r="Z148" t="s">
        <v>161</v>
      </c>
      <c r="AA148" t="s">
        <v>162</v>
      </c>
      <c r="AB148" t="s">
        <v>163</v>
      </c>
    </row>
    <row r="149" spans="16:28" x14ac:dyDescent="0.2">
      <c r="Q149" t="s">
        <v>159</v>
      </c>
      <c r="R149" t="s">
        <v>160</v>
      </c>
      <c r="S149" t="s">
        <v>161</v>
      </c>
      <c r="T149" t="s">
        <v>162</v>
      </c>
      <c r="U149" t="s">
        <v>163</v>
      </c>
      <c r="W149">
        <v>50</v>
      </c>
      <c r="X149">
        <f>+Q$150+Q$151*$W149+Q$152*$W149^2</f>
        <v>1.0149961700000001</v>
      </c>
      <c r="Y149">
        <f t="shared" ref="Y149:AB152" si="22">+R$150+R$151*$W149+R$152*$W149^2</f>
        <v>-2.6608809999999983E-2</v>
      </c>
      <c r="Z149">
        <f t="shared" si="22"/>
        <v>1.0368048000000019E-2</v>
      </c>
      <c r="AA149">
        <f t="shared" si="22"/>
        <v>2.2221190000000016E-3</v>
      </c>
      <c r="AB149">
        <f t="shared" si="22"/>
        <v>-1.3391900000000014E-3</v>
      </c>
    </row>
    <row r="150" spans="16:28" x14ac:dyDescent="0.2">
      <c r="P150" t="s">
        <v>215</v>
      </c>
      <c r="Q150">
        <v>1.03474412</v>
      </c>
      <c r="R150">
        <v>-0.18693201000000001</v>
      </c>
      <c r="S150">
        <v>0.27430974800000002</v>
      </c>
      <c r="T150">
        <v>-0.15999353099999999</v>
      </c>
      <c r="U150">
        <v>3.4008110000000001E-2</v>
      </c>
      <c r="W150">
        <v>100</v>
      </c>
      <c r="X150">
        <f t="shared" ref="X150:X152" si="23">+Q$150+Q$151*$W150+Q$152*$W150^2</f>
        <v>0.81377822000000011</v>
      </c>
      <c r="Y150">
        <f t="shared" si="22"/>
        <v>0.44785439000000005</v>
      </c>
      <c r="Z150">
        <f t="shared" si="22"/>
        <v>-0.45908865199999999</v>
      </c>
      <c r="AA150">
        <f t="shared" si="22"/>
        <v>0.222402769</v>
      </c>
      <c r="AB150">
        <f t="shared" si="22"/>
        <v>-4.1881490000000007E-2</v>
      </c>
    </row>
    <row r="151" spans="16:28" x14ac:dyDescent="0.2">
      <c r="P151" t="s">
        <v>216</v>
      </c>
      <c r="Q151">
        <v>1.419741E-3</v>
      </c>
      <c r="R151">
        <v>6.5063999999999999E-5</v>
      </c>
      <c r="S151">
        <v>-3.2236840000000001E-3</v>
      </c>
      <c r="T151">
        <v>2.6646629999999998E-3</v>
      </c>
      <c r="U151">
        <v>-6.5499600000000003E-4</v>
      </c>
      <c r="W151">
        <v>150</v>
      </c>
      <c r="X151">
        <f t="shared" si="23"/>
        <v>0.43109026999999989</v>
      </c>
      <c r="Y151">
        <f t="shared" si="22"/>
        <v>1.2364575899999999</v>
      </c>
      <c r="Z151">
        <f t="shared" si="22"/>
        <v>-1.1340603520000001</v>
      </c>
      <c r="AA151">
        <f t="shared" si="22"/>
        <v>0.50054841900000002</v>
      </c>
      <c r="AB151">
        <f t="shared" si="22"/>
        <v>-8.7618790000000002E-2</v>
      </c>
    </row>
    <row r="152" spans="16:28" x14ac:dyDescent="0.2">
      <c r="P152" t="s">
        <v>217</v>
      </c>
      <c r="Q152">
        <v>-3.6294000000000002E-5</v>
      </c>
      <c r="R152">
        <v>6.2828000000000002E-5</v>
      </c>
      <c r="S152">
        <v>-4.1103000000000003E-5</v>
      </c>
      <c r="T152">
        <v>1.1593000000000001E-5</v>
      </c>
      <c r="U152">
        <v>-1.0389999999999999E-6</v>
      </c>
      <c r="W152">
        <v>250</v>
      </c>
      <c r="X152">
        <f t="shared" si="23"/>
        <v>-0.87869563000000017</v>
      </c>
      <c r="Y152">
        <f t="shared" si="22"/>
        <v>3.75608399</v>
      </c>
      <c r="Z152">
        <f t="shared" si="22"/>
        <v>-3.1005487519999999</v>
      </c>
      <c r="AA152">
        <f t="shared" si="22"/>
        <v>1.230734719</v>
      </c>
      <c r="AB152">
        <f t="shared" si="22"/>
        <v>-0.19467838999999998</v>
      </c>
    </row>
    <row r="155" spans="16:28" x14ac:dyDescent="0.2">
      <c r="P155" t="s">
        <v>218</v>
      </c>
      <c r="Q155" t="s">
        <v>159</v>
      </c>
      <c r="R155" t="s">
        <v>160</v>
      </c>
      <c r="S155" t="s">
        <v>161</v>
      </c>
      <c r="T155" t="s">
        <v>162</v>
      </c>
      <c r="U155" t="s">
        <v>163</v>
      </c>
    </row>
    <row r="156" spans="16:28" x14ac:dyDescent="0.2">
      <c r="P156" s="65">
        <f>+Metric_Conversion!J19</f>
        <v>20</v>
      </c>
      <c r="Q156">
        <f>+Q$150+Q$151*$P$156+Q$152*$P$156^2</f>
        <v>1.04862134</v>
      </c>
      <c r="R156">
        <f>+R$150+R$151*$P$156+R$152*$P$156^2</f>
        <v>-0.16049953000000003</v>
      </c>
      <c r="S156">
        <f>+S$150+S$151*$P$156+S$152*$P$156^2</f>
        <v>0.19339486800000003</v>
      </c>
      <c r="T156">
        <f>+T$150+T$151*$P$156+T$152*$P$156^2</f>
        <v>-0.10206307100000001</v>
      </c>
      <c r="U156">
        <f>+U$150+U$151*$P$156+U$152*$P$156^2</f>
        <v>2.0492590000000001E-2</v>
      </c>
    </row>
    <row r="163" spans="16:19" x14ac:dyDescent="0.2">
      <c r="P163" t="s">
        <v>35</v>
      </c>
      <c r="Q163" t="s">
        <v>211</v>
      </c>
      <c r="S163" t="s">
        <v>157</v>
      </c>
    </row>
    <row r="164" spans="16:19" x14ac:dyDescent="0.2">
      <c r="P164" s="65">
        <f>+Metric_Conversion!E25</f>
        <v>11</v>
      </c>
      <c r="Q164">
        <f>+LOG10(P164)</f>
        <v>1.0413926851582251</v>
      </c>
      <c r="S164">
        <f>+$Q$156+$R$156*Q164+$S$156*Q164^2+$T$156*Q164^3+$U$156*Q164^4</f>
        <v>1.0000479807664229</v>
      </c>
    </row>
    <row r="165" spans="16:19" x14ac:dyDescent="0.2">
      <c r="P165" s="65">
        <f>+Metric_Conversion!E26</f>
        <v>10.5</v>
      </c>
      <c r="Q165">
        <f t="shared" ref="Q165:Q169" si="24">+LOG10(P165)</f>
        <v>1.0211892990699381</v>
      </c>
      <c r="S165">
        <f t="shared" ref="S165:S169" si="25">+$Q$156+$R$156*Q165+$S$156*Q165^2+$T$156*Q165^3+$U$156*Q165^4</f>
        <v>0.99999446273142012</v>
      </c>
    </row>
    <row r="166" spans="16:19" x14ac:dyDescent="0.2">
      <c r="P166" s="65">
        <f>+Metric_Conversion!E27</f>
        <v>10</v>
      </c>
      <c r="Q166">
        <f t="shared" si="24"/>
        <v>1</v>
      </c>
      <c r="S166">
        <f t="shared" si="25"/>
        <v>0.99994619699999987</v>
      </c>
    </row>
    <row r="167" spans="16:19" x14ac:dyDescent="0.2">
      <c r="P167" s="65">
        <f>+Metric_Conversion!E28</f>
        <v>10.6</v>
      </c>
      <c r="Q167">
        <f t="shared" si="24"/>
        <v>1.0253058652647702</v>
      </c>
      <c r="S167">
        <f t="shared" si="25"/>
        <v>1.0000048042658869</v>
      </c>
    </row>
    <row r="168" spans="16:19" x14ac:dyDescent="0.2">
      <c r="P168" s="65">
        <f>+Metric_Conversion!E29</f>
        <v>12.5</v>
      </c>
      <c r="Q168">
        <f t="shared" si="24"/>
        <v>1.0969100130080565</v>
      </c>
      <c r="S168">
        <f t="shared" si="25"/>
        <v>1.00022588160948</v>
      </c>
    </row>
    <row r="169" spans="16:19" x14ac:dyDescent="0.2">
      <c r="P169" s="65">
        <f>+Metric_Conversion!E30</f>
        <v>13.5</v>
      </c>
      <c r="Q169">
        <f t="shared" si="24"/>
        <v>1.1303337684950061</v>
      </c>
      <c r="S169">
        <f t="shared" si="25"/>
        <v>1.0003502000150222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C6180B-7B0A-4563-8876-7AE06F1D471E}"/>
</file>

<file path=customXml/itemProps2.xml><?xml version="1.0" encoding="utf-8"?>
<ds:datastoreItem xmlns:ds="http://schemas.openxmlformats.org/officeDocument/2006/customXml" ds:itemID="{90098DE5-6FF4-4227-B3D4-609AB9ECB213}">
  <ds:schemaRefs>
    <ds:schemaRef ds:uri="http://purl.org/dc/elements/1.1/"/>
    <ds:schemaRef ds:uri="http://schemas.microsoft.com/office/2006/documentManagement/types"/>
    <ds:schemaRef ds:uri="http://purl.org/dc/terms/"/>
    <ds:schemaRef ds:uri="2710bc8b-17c9-4e36-a567-5a8748d28b44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f16ae08e-32aa-43c4-955b-813e13c9303e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5</vt:i4>
      </vt:variant>
    </vt:vector>
  </HeadingPairs>
  <TitlesOfParts>
    <vt:vector size="13" baseType="lpstr">
      <vt:lpstr>Cover</vt:lpstr>
      <vt:lpstr>Input_Output</vt:lpstr>
      <vt:lpstr>Metric_Conversion</vt:lpstr>
      <vt:lpstr>setup</vt:lpstr>
      <vt:lpstr>H.I 9.6.1</vt:lpstr>
      <vt:lpstr>Gulich-Table 6.2</vt:lpstr>
      <vt:lpstr>TMP handbook Table C.8.1</vt:lpstr>
      <vt:lpstr>TMP special</vt:lpstr>
      <vt:lpstr>Cover!Area_stampa</vt:lpstr>
      <vt:lpstr>Input_Output!Area_stampa</vt:lpstr>
      <vt:lpstr>Metric_Conversion!Area_stampa</vt:lpstr>
      <vt:lpstr>Input_Output!Suction_Diameter</vt:lpstr>
      <vt:lpstr>Metric_Conversion!Suction_Diameter</vt:lpstr>
    </vt:vector>
  </TitlesOfParts>
  <Manager/>
  <Company>Sulzer Pumps (US)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Luigi DeFranco</dc:creator>
  <cp:keywords/>
  <dc:description/>
  <cp:lastModifiedBy>Tommaso Morelli Stefani</cp:lastModifiedBy>
  <cp:revision/>
  <dcterms:created xsi:type="dcterms:W3CDTF">2005-04-18T17:50:19Z</dcterms:created>
  <dcterms:modified xsi:type="dcterms:W3CDTF">2025-05-19T14:46:02Z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