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2\3. Tommaso\SOP e Mod Impeller peripheral speed\"/>
    </mc:Choice>
  </mc:AlternateContent>
  <xr:revisionPtr revIDLastSave="0" documentId="13_ncr:1_{4DA656A4-D676-45A0-A577-031E9C63C8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ver" sheetId="7" r:id="rId1"/>
    <sheet name="Input_Output" sheetId="5" r:id="rId2"/>
    <sheet name="setup" sheetId="6" r:id="rId3"/>
    <sheet name="Metric Conversion" sheetId="14" r:id="rId4"/>
    <sheet name="Gulich" sheetId="15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bga2">#REF!</definedName>
    <definedName name="_Col1">#REF!</definedName>
    <definedName name="_Col2">#REF!</definedName>
    <definedName name="_Col3">#REF!</definedName>
    <definedName name="_Col4">#REF!</definedName>
    <definedName name="_xleta.IF" hidden="1" xlm="1">#NAME?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Input_Output!$B$3:$M$48</definedName>
    <definedName name="_xlnm.Print_Area" localSheetId="3">'Metric Conversion'!$B$3:$M$60</definedName>
    <definedName name="asdfg">[1]DAF!$F$17:$F$20</definedName>
    <definedName name="bga">#REF!</definedName>
    <definedName name="bp">#REF!</definedName>
    <definedName name="CARATTERISTICHE">#REF!</definedName>
    <definedName name="CK">#REF!</definedName>
    <definedName name="CURVA_RIFERIMENTO">#REF!</definedName>
    <definedName name="d">#REF!</definedName>
    <definedName name="das">#REF!</definedName>
    <definedName name="DATA">[2]Bearings!$B$6:$Z$14</definedName>
    <definedName name="ddd">'[3]From RPI'!$AB$90</definedName>
    <definedName name="DEN">'[4] '!$C$5:$C$37</definedName>
    <definedName name="Doc_type">#REF!</definedName>
    <definedName name="DOCID">[5]listes!$C$2:$C$150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3">'Metric Conversion'!#REF!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3">'Metric Conversion'!#REF!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3">'Metric Conversion'!#REF!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3">'Metric Conversion'!#REF!</definedName>
    <definedName name="Impeller_Inlet_Diameter">#REF!</definedName>
    <definedName name="indx">#REF!</definedName>
    <definedName name="INT_DIAM">#REF!</definedName>
    <definedName name="Items">#REF!</definedName>
    <definedName name="kl">#REF!</definedName>
    <definedName name="KR">#REF!</definedName>
    <definedName name="LAG">#REF!</definedName>
    <definedName name="Language">#REF!</definedName>
    <definedName name="Larghezza">#REF!</definedName>
    <definedName name="LENGHTS">#REF!</definedName>
    <definedName name="LINE_LIST_UNIT_31">#REF!</definedName>
    <definedName name="ListIndex">#REF!</definedName>
    <definedName name="MAT">#REF!</definedName>
    <definedName name="Number">#REF!</definedName>
    <definedName name="pipesize">#REF!</definedName>
    <definedName name="Portata">#REF!</definedName>
    <definedName name="portatacalcolo">'[6]Basi di progetto'!$D$16</definedName>
    <definedName name="portataminima">'[6]Basi di progetto'!$D$10</definedName>
    <definedName name="portatanera">'[6]Basi di progetto'!$D$14</definedName>
    <definedName name="portcalcolo">#REF!</definedName>
    <definedName name="portnera">#REF!</definedName>
    <definedName name="Print_Area_MI">#REF!</definedName>
    <definedName name="prtpioggia">'[6]Basi di progetto'!$D$12</definedName>
    <definedName name="pump">#REF!</definedName>
    <definedName name="PUMPCALC">'[7]PUMP CALCULATION'!$J$4</definedName>
    <definedName name="PUMPDATA">'[7]PUMP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RPM">#REF!</definedName>
    <definedName name="s">'[3]From RPI'!$AB$88</definedName>
    <definedName name="solub">#REF!</definedName>
    <definedName name="Speed">[8]Utility!$A$3</definedName>
    <definedName name="Suction_Diameter" localSheetId="0">#REF!</definedName>
    <definedName name="Suction_Diameter" localSheetId="1">Input_Output!$O$16</definedName>
    <definedName name="Suction_Diameter" localSheetId="3">'Metric Conversion'!$O$16</definedName>
    <definedName name="Suction_Diameter">#REF!</definedName>
    <definedName name="Sup">#REF!</definedName>
    <definedName name="title">#REF!</definedName>
    <definedName name="TRASPORTA">#REF!</definedName>
    <definedName name="uh">#REF!</definedName>
    <definedName name="UNIT">[5]listes!$D$2:$D$150</definedName>
    <definedName name="Unit_number">#REF!</definedName>
    <definedName name="units">#REF!</definedName>
    <definedName name="Value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[5]listes!$A$2:$A$25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5" l="1"/>
  <c r="K11" i="5"/>
  <c r="J10" i="5"/>
  <c r="C44" i="15"/>
  <c r="B44" i="15"/>
  <c r="D18" i="15" s="1"/>
  <c r="J17" i="14"/>
  <c r="J15" i="14"/>
  <c r="E16" i="14"/>
  <c r="E14" i="14"/>
  <c r="E15" i="14"/>
  <c r="B23" i="14"/>
  <c r="E17" i="14"/>
  <c r="E18" i="14"/>
  <c r="E19" i="14"/>
  <c r="E20" i="14"/>
  <c r="E23" i="14"/>
  <c r="E24" i="14"/>
  <c r="E25" i="14"/>
  <c r="E26" i="14"/>
  <c r="E27" i="14"/>
  <c r="E28" i="14"/>
  <c r="E31" i="14"/>
  <c r="E32" i="14"/>
  <c r="E33" i="14"/>
  <c r="E34" i="14"/>
  <c r="B24" i="14"/>
  <c r="B25" i="14"/>
  <c r="B12" i="14"/>
  <c r="B13" i="14"/>
  <c r="B14" i="14"/>
  <c r="B15" i="14"/>
  <c r="B16" i="14"/>
  <c r="B17" i="14"/>
  <c r="B18" i="14"/>
  <c r="B19" i="14"/>
  <c r="B20" i="14"/>
  <c r="B21" i="14"/>
  <c r="B22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E35" i="14"/>
  <c r="E36" i="14"/>
  <c r="E37" i="14"/>
  <c r="E38" i="14"/>
  <c r="E39" i="14"/>
  <c r="E40" i="14"/>
  <c r="E41" i="14"/>
  <c r="E42" i="14"/>
  <c r="E43" i="14"/>
  <c r="E44" i="14"/>
  <c r="I15" i="14"/>
  <c r="H14" i="5"/>
  <c r="F14" i="5"/>
  <c r="F12" i="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50" i="15"/>
  <c r="A12" i="15" l="1"/>
  <c r="C17" i="15" s="1"/>
  <c r="C20" i="15" s="1"/>
  <c r="H13" i="5"/>
  <c r="H12" i="5"/>
  <c r="C16" i="15" l="1"/>
  <c r="C15" i="15"/>
  <c r="C19" i="15"/>
  <c r="G11" i="5"/>
  <c r="G10" i="5"/>
  <c r="G14" i="5" s="1"/>
  <c r="E13" i="14"/>
  <c r="E12" i="14"/>
  <c r="E11" i="14"/>
  <c r="B11" i="14"/>
  <c r="B10" i="14"/>
  <c r="F14" i="14"/>
  <c r="F13" i="14"/>
  <c r="F12" i="14"/>
  <c r="J5" i="6"/>
  <c r="E22" i="14" l="1"/>
  <c r="F25" i="5" s="1"/>
  <c r="G25" i="5" s="1"/>
  <c r="E21" i="14"/>
  <c r="G13" i="5"/>
  <c r="G12" i="5"/>
  <c r="F24" i="5" l="1"/>
  <c r="G24" i="5" s="1"/>
  <c r="B8" i="15"/>
  <c r="F13" i="5" l="1"/>
  <c r="B12" i="15" l="1" a="1"/>
  <c r="B12" i="15" s="1"/>
  <c r="C8" i="15"/>
  <c r="D20" i="15" l="1"/>
  <c r="D16" i="15"/>
  <c r="E29" i="14"/>
  <c r="D17" i="15"/>
  <c r="D15" i="15"/>
  <c r="D19" i="15" s="1"/>
  <c r="AU56" i="15"/>
  <c r="AX61" i="15"/>
  <c r="AV67" i="15"/>
  <c r="AV56" i="15"/>
  <c r="AT62" i="15"/>
  <c r="AW67" i="15"/>
  <c r="AV62" i="15"/>
  <c r="AX57" i="15"/>
  <c r="AV63" i="15"/>
  <c r="AT69" i="15"/>
  <c r="AV64" i="15"/>
  <c r="AW64" i="15"/>
  <c r="AX64" i="15"/>
  <c r="AY64" i="15" s="1"/>
  <c r="AW70" i="15"/>
  <c r="AX59" i="15"/>
  <c r="AV60" i="15"/>
  <c r="AW66" i="15"/>
  <c r="AV61" i="15"/>
  <c r="AT67" i="15"/>
  <c r="AX55" i="15"/>
  <c r="AW61" i="15"/>
  <c r="AU62" i="15"/>
  <c r="AW62" i="15"/>
  <c r="AU63" i="15"/>
  <c r="AT58" i="15"/>
  <c r="AW63" i="15"/>
  <c r="AU69" i="15"/>
  <c r="AU58" i="15"/>
  <c r="AV69" i="15"/>
  <c r="AV58" i="15"/>
  <c r="AT64" i="15"/>
  <c r="AW69" i="15"/>
  <c r="AW58" i="15"/>
  <c r="AU64" i="15"/>
  <c r="AX69" i="15"/>
  <c r="AY69" i="15" s="1"/>
  <c r="AX58" i="15"/>
  <c r="AT70" i="15"/>
  <c r="AT59" i="15"/>
  <c r="AU70" i="15"/>
  <c r="AU59" i="15"/>
  <c r="AV70" i="15"/>
  <c r="AV59" i="15"/>
  <c r="AT65" i="15"/>
  <c r="AW59" i="15"/>
  <c r="AX70" i="15"/>
  <c r="AV65" i="15"/>
  <c r="AT60" i="15"/>
  <c r="AU71" i="15"/>
  <c r="AX65" i="15"/>
  <c r="AY65" i="15" s="1"/>
  <c r="AV71" i="15"/>
  <c r="AW71" i="15"/>
  <c r="AW60" i="15"/>
  <c r="AX71" i="15"/>
  <c r="AV66" i="15"/>
  <c r="AT61" i="15"/>
  <c r="AV55" i="15"/>
  <c r="AU61" i="15"/>
  <c r="AX66" i="15"/>
  <c r="AW55" i="15"/>
  <c r="AT56" i="15"/>
  <c r="AU67" i="15"/>
  <c r="AT55" i="15"/>
  <c r="AX67" i="15"/>
  <c r="AT68" i="15"/>
  <c r="AU68" i="15"/>
  <c r="AX62" i="15"/>
  <c r="AV57" i="15"/>
  <c r="AX68" i="15"/>
  <c r="AX63" i="15"/>
  <c r="AU65" i="15"/>
  <c r="AT71" i="15"/>
  <c r="AW65" i="15"/>
  <c r="AU60" i="15"/>
  <c r="AT66" i="15"/>
  <c r="AU66" i="15"/>
  <c r="AX60" i="15"/>
  <c r="AU55" i="15"/>
  <c r="AW56" i="15"/>
  <c r="AX56" i="15"/>
  <c r="AY56" i="15" s="1"/>
  <c r="AT57" i="15"/>
  <c r="AU57" i="15"/>
  <c r="AV68" i="15"/>
  <c r="AT63" i="15"/>
  <c r="AW68" i="15"/>
  <c r="AW57" i="15"/>
  <c r="AY67" i="15" l="1"/>
  <c r="AY70" i="15"/>
  <c r="AY55" i="15"/>
  <c r="AY68" i="15"/>
  <c r="AY58" i="15"/>
  <c r="AY57" i="15"/>
  <c r="E30" i="14"/>
  <c r="F30" i="5" s="1"/>
  <c r="G30" i="5" s="1"/>
  <c r="AY63" i="15"/>
  <c r="AY60" i="15"/>
  <c r="AY59" i="15"/>
  <c r="AY62" i="15"/>
  <c r="AY61" i="15"/>
  <c r="AY66" i="15"/>
  <c r="AY71" i="15"/>
  <c r="F29" i="5"/>
  <c r="G29" i="5" s="1"/>
  <c r="F29" i="14"/>
  <c r="F30" i="14" l="1"/>
  <c r="I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<sst xmlns="http://schemas.openxmlformats.org/spreadsheetml/2006/main" count="306" uniqueCount="149">
  <si>
    <t>First issue</t>
  </si>
  <si>
    <t>Rev.</t>
  </si>
  <si>
    <t>Date</t>
  </si>
  <si>
    <t>Description</t>
  </si>
  <si>
    <t>Prepared</t>
  </si>
  <si>
    <t>Checked</t>
  </si>
  <si>
    <t>Approved</t>
  </si>
  <si>
    <t>Blade tip speed calculation</t>
  </si>
  <si>
    <t>PUMP MODEL</t>
  </si>
  <si>
    <t>PUMP SIZE</t>
  </si>
  <si>
    <t>DRAWING NUMBER</t>
  </si>
  <si>
    <t>INPUT DATA at maximum diameter</t>
  </si>
  <si>
    <t>Pumped fluid</t>
  </si>
  <si>
    <t>Demineralized water</t>
  </si>
  <si>
    <t>unit system</t>
  </si>
  <si>
    <t>SI</t>
  </si>
  <si>
    <t>speed</t>
  </si>
  <si>
    <t>RPM</t>
  </si>
  <si>
    <t>Qbep</t>
  </si>
  <si>
    <t>Hbep @ Dmax</t>
  </si>
  <si>
    <t>D2max</t>
  </si>
  <si>
    <t>Material</t>
  </si>
  <si>
    <t>Austenitic A451/A743 CF-3M</t>
  </si>
  <si>
    <t>stages</t>
  </si>
  <si>
    <t>double suction</t>
  </si>
  <si>
    <t>no</t>
  </si>
  <si>
    <t>OUTPUT DATA</t>
  </si>
  <si>
    <t>US</t>
  </si>
  <si>
    <t>specific speed</t>
  </si>
  <si>
    <t>u2 @ specified D2</t>
  </si>
  <si>
    <t>U2max based on max Energy application</t>
  </si>
  <si>
    <t>U2max based on material selection and pumped fluid</t>
  </si>
  <si>
    <t>Notes:</t>
  </si>
  <si>
    <t>Blade Tip Speed Calculation refers to J.F.Gulich "Centrifugal Pumps" Ed.2020
Material data refers to J.F.Gulich "Centrifugal Pumps" Ed.2020 -Tabe 14.6 - 14.17</t>
  </si>
  <si>
    <t>setup for selection</t>
  </si>
  <si>
    <t>pump service</t>
  </si>
  <si>
    <t>applications</t>
  </si>
  <si>
    <t>casting quality</t>
  </si>
  <si>
    <t>material (ASTM)</t>
  </si>
  <si>
    <t>ro</t>
  </si>
  <si>
    <t>Rm</t>
  </si>
  <si>
    <t>Ry</t>
  </si>
  <si>
    <t>Sz</t>
  </si>
  <si>
    <t>Szz</t>
  </si>
  <si>
    <t>Cav.Erosion</t>
  </si>
  <si>
    <t>Pitting Index</t>
  </si>
  <si>
    <t>wal</t>
  </si>
  <si>
    <t>u2</t>
  </si>
  <si>
    <t xml:space="preserve">open </t>
  </si>
  <si>
    <t>poor</t>
  </si>
  <si>
    <t>yes</t>
  </si>
  <si>
    <t>Cast Iron A278-30</t>
  </si>
  <si>
    <t>Hydrocarbon</t>
  </si>
  <si>
    <t>closed</t>
  </si>
  <si>
    <t>average</t>
  </si>
  <si>
    <t>Nodular Cast Iron A536-60-40-18</t>
  </si>
  <si>
    <t>Seawater</t>
  </si>
  <si>
    <t>high</t>
  </si>
  <si>
    <t>Ni Resist A439 Type D2</t>
  </si>
  <si>
    <t>Slurry</t>
  </si>
  <si>
    <t>Cast Steel A216 Gr WCB</t>
  </si>
  <si>
    <t>Potable water</t>
  </si>
  <si>
    <t>Martensitic A487/A743 CA6NM Gr A</t>
  </si>
  <si>
    <t>Produced water</t>
  </si>
  <si>
    <t>Martensitic A487/A743 CA15 Gr D</t>
  </si>
  <si>
    <t>Austenitic A451/A743 CF-3</t>
  </si>
  <si>
    <t>Duplex A995/A890 1B</t>
  </si>
  <si>
    <t>Duplex A995/A890 4A CD3MN</t>
  </si>
  <si>
    <t>Duplex A995 3A</t>
  </si>
  <si>
    <t>SuperDuplex A995/A890 6A CD3MWCuN</t>
  </si>
  <si>
    <t>SuperDuplex A995/A890 5A CE3MN</t>
  </si>
  <si>
    <t>B584 C86300</t>
  </si>
  <si>
    <t>B427 C90700</t>
  </si>
  <si>
    <t>C148 958</t>
  </si>
  <si>
    <t>Hastelloy CA574 N10276</t>
  </si>
  <si>
    <t>Vaned channels thickness Calculation</t>
  </si>
  <si>
    <t>°</t>
  </si>
  <si>
    <t>Thickness calculation refers to J.F.Gulich "Centrifugal Pumps" Ed.2020 - Table 14.3
Material data refers to J.F.Gulich "Centrifugal Pumps" Ed.2020 -Tabe 14.11 - 16</t>
  </si>
  <si>
    <t>Nq.ref</t>
  </si>
  <si>
    <t>U2max</t>
  </si>
  <si>
    <t>U2</t>
  </si>
  <si>
    <t>Nq</t>
  </si>
  <si>
    <t>curve1</t>
  </si>
  <si>
    <t>curve2</t>
  </si>
  <si>
    <t>curve3</t>
  </si>
  <si>
    <t>W2</t>
  </si>
  <si>
    <t>G1</t>
  </si>
  <si>
    <t>G2</t>
  </si>
  <si>
    <t>G3</t>
  </si>
  <si>
    <t>C0</t>
  </si>
  <si>
    <t>Nq&lt;26</t>
  </si>
  <si>
    <t>C1</t>
  </si>
  <si>
    <t>W*</t>
  </si>
  <si>
    <t>C2</t>
  </si>
  <si>
    <t>C3</t>
  </si>
  <si>
    <t>26&lt;Nq&lt;32</t>
  </si>
  <si>
    <t>Nq&gt;32</t>
  </si>
  <si>
    <t>C4</t>
  </si>
  <si>
    <t>C5</t>
  </si>
  <si>
    <t>C6</t>
  </si>
  <si>
    <t>for slurry</t>
  </si>
  <si>
    <t>metal</t>
  </si>
  <si>
    <t>rubber</t>
  </si>
  <si>
    <t>u2ref</t>
  </si>
  <si>
    <t>u2,ax</t>
  </si>
  <si>
    <t>Gulich</t>
  </si>
  <si>
    <t>PerPlexity</t>
  </si>
  <si>
    <t>seawater</t>
  </si>
  <si>
    <t>water</t>
  </si>
  <si>
    <t>demi</t>
  </si>
  <si>
    <t>slurry</t>
  </si>
  <si>
    <t>Water</t>
  </si>
  <si>
    <t>Gas/Air</t>
  </si>
  <si>
    <t>Corrosive/Slurry</t>
  </si>
  <si>
    <t>NQ</t>
  </si>
  <si>
    <t>130 ft/s ​</t>
  </si>
  <si>
    <t>~40 m/s ​</t>
  </si>
  <si>
    <t>Nodular CI A536-60-40-18</t>
  </si>
  <si>
    <t>170-180 ft/s ​</t>
  </si>
  <si>
    <t>~52-55 m/s ​</t>
  </si>
  <si>
    <t>150 ft/s ​</t>
  </si>
  <si>
    <t>~46 m/s ​</t>
  </si>
  <si>
    <t>250 ft/s ​</t>
  </si>
  <si>
    <t>~76 m/s ​</t>
  </si>
  <si>
    <t>Mart. CA6NM/CA15</t>
  </si>
  <si>
    <t>300 ft/s ​</t>
  </si>
  <si>
    <t>~91 m/s ​</t>
  </si>
  <si>
    <t>Aust. CF-3/CF-3M</t>
  </si>
  <si>
    <t>Duplex/Super Duplex</t>
  </si>
  <si>
    <t>B584 C86300 Bronze</t>
  </si>
  <si>
    <t>B427 C90700 Bronze</t>
  </si>
  <si>
    <t>Duplex A995/A890 1B, 4A, 3A</t>
  </si>
  <si>
    <t>330 ft/s ​</t>
  </si>
  <si>
    <t>~100 m/s ​</t>
  </si>
  <si>
    <t>C148 958 NiAl Bronze</t>
  </si>
  <si>
    <t>SuperDuplex A995/A890 6A, 5A</t>
  </si>
  <si>
    <t>350 ft/s ​</t>
  </si>
  <si>
    <t>~107 m/s ​</t>
  </si>
  <si>
    <t>B584 C86300 (Manganese Bronze)</t>
  </si>
  <si>
    <t>200 ft/s ​</t>
  </si>
  <si>
    <t>~61 m/s ​</t>
  </si>
  <si>
    <t>B427 C90700 (Tin Bronze)</t>
  </si>
  <si>
    <t>C148 958 (Nickel Aluminum Bronze)</t>
  </si>
  <si>
    <t>Steam</t>
  </si>
  <si>
    <t>Fluid Dynamic Engineer - L. DeFranco</t>
  </si>
  <si>
    <t>Client Qualification/ EHSS - A. Banfi/ T. Morelli Stefani</t>
  </si>
  <si>
    <t>R&amp;D &amp; Prod. Eng. Manager - M. Borghetti</t>
  </si>
  <si>
    <t>Blade tip speed calculation
(Linked to SOP-857)</t>
  </si>
  <si>
    <t>Mod.559-0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</si>
</sst>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General_)"/>
    <numFmt numFmtId="166" formatCode="&quot;$&quot;#,##0.00;[Red]\-&quot;$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sz val="8.75"/>
      <name val="Segoe UI"/>
      <family val="2"/>
    </font>
    <font>
      <sz val="8"/>
      <color rgb="FF000000"/>
      <name val="Arial"/>
      <family val="2"/>
    </font>
    <font>
      <sz val="14"/>
      <name val="Arial"/>
      <family val="2"/>
    </font>
    <font>
      <b/>
      <sz val="14"/>
      <name val="TradeGothic"/>
    </font>
    <font>
      <sz val="20"/>
      <name val="TradeGothic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165" fontId="7" fillId="0" borderId="0"/>
    <xf numFmtId="166" fontId="13" fillId="0" borderId="0" applyFont="0" applyFill="0" applyBorder="0" applyAlignment="0" applyProtection="0"/>
    <xf numFmtId="0" fontId="2" fillId="0" borderId="0"/>
    <xf numFmtId="0" fontId="16" fillId="0" borderId="0" applyNumberFormat="0" applyFill="0" applyBorder="0" applyAlignment="0" applyProtection="0"/>
  </cellStyleXfs>
  <cellXfs count="248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3" fillId="0" borderId="0" xfId="2"/>
    <xf numFmtId="0" fontId="3" fillId="0" borderId="0" xfId="2" applyAlignment="1">
      <alignment wrapText="1"/>
    </xf>
    <xf numFmtId="164" fontId="3" fillId="0" borderId="10" xfId="2" applyNumberFormat="1" applyBorder="1" applyAlignment="1">
      <alignment horizontal="center"/>
    </xf>
    <xf numFmtId="0" fontId="3" fillId="0" borderId="12" xfId="2" applyBorder="1"/>
    <xf numFmtId="0" fontId="3" fillId="0" borderId="0" xfId="0" applyFont="1"/>
    <xf numFmtId="0" fontId="3" fillId="0" borderId="0" xfId="2" quotePrefix="1"/>
    <xf numFmtId="0" fontId="3" fillId="0" borderId="0" xfId="2" applyAlignment="1">
      <alignment horizontal="center" vertical="center"/>
    </xf>
    <xf numFmtId="0" fontId="3" fillId="0" borderId="16" xfId="3" applyBorder="1" applyAlignment="1">
      <alignment horizontal="center" vertical="center"/>
    </xf>
    <xf numFmtId="0" fontId="3" fillId="0" borderId="17" xfId="3" applyBorder="1" applyAlignment="1">
      <alignment horizontal="center" vertical="center"/>
    </xf>
    <xf numFmtId="0" fontId="3" fillId="0" borderId="18" xfId="3" applyBorder="1" applyAlignment="1">
      <alignment horizontal="center" vertical="center"/>
    </xf>
    <xf numFmtId="165" fontId="7" fillId="0" borderId="0" xfId="4"/>
    <xf numFmtId="0" fontId="3" fillId="0" borderId="19" xfId="3" applyBorder="1" applyAlignment="1">
      <alignment horizontal="center" vertical="center"/>
    </xf>
    <xf numFmtId="0" fontId="3" fillId="0" borderId="0" xfId="3" applyAlignment="1">
      <alignment horizontal="center" vertical="center"/>
    </xf>
    <xf numFmtId="0" fontId="3" fillId="0" borderId="20" xfId="3" applyBorder="1" applyAlignment="1">
      <alignment horizontal="center" vertical="center"/>
    </xf>
    <xf numFmtId="0" fontId="8" fillId="0" borderId="0" xfId="3" applyFont="1" applyAlignment="1">
      <alignment horizontal="center" vertical="top"/>
    </xf>
    <xf numFmtId="0" fontId="3" fillId="0" borderId="0" xfId="3" applyAlignment="1">
      <alignment horizontal="center"/>
    </xf>
    <xf numFmtId="0" fontId="9" fillId="0" borderId="0" xfId="3" applyFont="1" applyAlignment="1">
      <alignment horizontal="center" vertical="top"/>
    </xf>
    <xf numFmtId="0" fontId="10" fillId="0" borderId="20" xfId="3" applyFont="1" applyBorder="1" applyAlignment="1">
      <alignment horizontal="center" vertical="top"/>
    </xf>
    <xf numFmtId="0" fontId="11" fillId="0" borderId="19" xfId="3" applyFont="1" applyBorder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1" fillId="0" borderId="20" xfId="3" applyFont="1" applyBorder="1" applyAlignment="1">
      <alignment horizontal="center" vertical="center"/>
    </xf>
    <xf numFmtId="0" fontId="5" fillId="4" borderId="3" xfId="2" applyFont="1" applyFill="1" applyBorder="1" applyProtection="1">
      <protection locked="0"/>
    </xf>
    <xf numFmtId="0" fontId="5" fillId="4" borderId="5" xfId="2" applyFont="1" applyFill="1" applyBorder="1" applyProtection="1">
      <protection locked="0"/>
    </xf>
    <xf numFmtId="0" fontId="5" fillId="5" borderId="2" xfId="2" applyFont="1" applyFill="1" applyBorder="1"/>
    <xf numFmtId="0" fontId="5" fillId="5" borderId="3" xfId="2" applyFont="1" applyFill="1" applyBorder="1"/>
    <xf numFmtId="0" fontId="5" fillId="5" borderId="4" xfId="2" applyFont="1" applyFill="1" applyBorder="1"/>
    <xf numFmtId="0" fontId="5" fillId="3" borderId="6" xfId="2" applyFont="1" applyFill="1" applyBorder="1"/>
    <xf numFmtId="0" fontId="4" fillId="5" borderId="9" xfId="2" applyFont="1" applyFill="1" applyBorder="1"/>
    <xf numFmtId="0" fontId="5" fillId="5" borderId="14" xfId="2" applyFont="1" applyFill="1" applyBorder="1"/>
    <xf numFmtId="0" fontId="3" fillId="3" borderId="9" xfId="2" applyFill="1" applyBorder="1"/>
    <xf numFmtId="0" fontId="3" fillId="3" borderId="7" xfId="2" applyFill="1" applyBorder="1"/>
    <xf numFmtId="0" fontId="5" fillId="3" borderId="0" xfId="2" applyFont="1" applyFill="1"/>
    <xf numFmtId="0" fontId="3" fillId="3" borderId="14" xfId="2" applyFill="1" applyBorder="1"/>
    <xf numFmtId="0" fontId="3" fillId="3" borderId="15" xfId="2" applyFill="1" applyBorder="1"/>
    <xf numFmtId="0" fontId="6" fillId="3" borderId="0" xfId="2" applyFont="1" applyFill="1"/>
    <xf numFmtId="0" fontId="0" fillId="4" borderId="0" xfId="0" applyFill="1"/>
    <xf numFmtId="0" fontId="3" fillId="4" borderId="0" xfId="0" applyFont="1" applyFill="1"/>
    <xf numFmtId="0" fontId="2" fillId="0" borderId="0" xfId="6"/>
    <xf numFmtId="0" fontId="2" fillId="0" borderId="0" xfId="6" applyAlignment="1">
      <alignment textRotation="90"/>
    </xf>
    <xf numFmtId="164" fontId="2" fillId="0" borderId="0" xfId="6" applyNumberFormat="1"/>
    <xf numFmtId="0" fontId="2" fillId="6" borderId="17" xfId="6" applyFill="1" applyBorder="1"/>
    <xf numFmtId="0" fontId="2" fillId="7" borderId="36" xfId="6" applyFill="1" applyBorder="1"/>
    <xf numFmtId="0" fontId="2" fillId="8" borderId="0" xfId="6" applyFill="1"/>
    <xf numFmtId="0" fontId="2" fillId="9" borderId="36" xfId="6" applyFill="1" applyBorder="1"/>
    <xf numFmtId="0" fontId="2" fillId="10" borderId="22" xfId="6" applyFill="1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17" fillId="0" borderId="37" xfId="0" applyFont="1" applyBorder="1" applyAlignment="1">
      <alignment vertical="center" wrapText="1"/>
    </xf>
    <xf numFmtId="0" fontId="16" fillId="0" borderId="37" xfId="7" applyBorder="1" applyAlignment="1">
      <alignment vertical="center" wrapText="1"/>
    </xf>
    <xf numFmtId="0" fontId="17" fillId="0" borderId="38" xfId="0" applyFont="1" applyBorder="1" applyAlignment="1">
      <alignment vertical="center" wrapText="1"/>
    </xf>
    <xf numFmtId="0" fontId="16" fillId="0" borderId="39" xfId="7" applyBorder="1" applyAlignment="1">
      <alignment vertical="center" wrapText="1"/>
    </xf>
    <xf numFmtId="0" fontId="16" fillId="0" borderId="40" xfId="7" applyBorder="1" applyAlignment="1">
      <alignment vertical="center" wrapText="1"/>
    </xf>
    <xf numFmtId="0" fontId="17" fillId="0" borderId="41" xfId="0" applyFont="1" applyBorder="1" applyAlignment="1">
      <alignment vertical="center" wrapText="1"/>
    </xf>
    <xf numFmtId="0" fontId="16" fillId="0" borderId="42" xfId="7" applyBorder="1" applyAlignment="1">
      <alignment vertical="center" wrapText="1"/>
    </xf>
    <xf numFmtId="0" fontId="17" fillId="0" borderId="43" xfId="0" applyFont="1" applyBorder="1" applyAlignment="1">
      <alignment vertical="center" wrapText="1"/>
    </xf>
    <xf numFmtId="0" fontId="16" fillId="0" borderId="44" xfId="7" applyBorder="1" applyAlignment="1">
      <alignment vertical="center" wrapText="1"/>
    </xf>
    <xf numFmtId="0" fontId="16" fillId="0" borderId="0" xfId="7" applyBorder="1" applyAlignment="1">
      <alignment vertical="center" wrapText="1"/>
    </xf>
    <xf numFmtId="0" fontId="17" fillId="0" borderId="39" xfId="0" applyFont="1" applyBorder="1" applyAlignment="1">
      <alignment vertical="center" wrapText="1"/>
    </xf>
    <xf numFmtId="0" fontId="17" fillId="0" borderId="40" xfId="0" applyFont="1" applyBorder="1" applyAlignment="1">
      <alignment vertical="center" wrapText="1"/>
    </xf>
    <xf numFmtId="0" fontId="17" fillId="0" borderId="42" xfId="0" applyFont="1" applyBorder="1" applyAlignment="1">
      <alignment vertical="center" wrapText="1"/>
    </xf>
    <xf numFmtId="0" fontId="17" fillId="0" borderId="44" xfId="0" applyFont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2" fillId="0" borderId="0" xfId="6" applyAlignment="1">
      <alignment horizontal="right"/>
    </xf>
    <xf numFmtId="0" fontId="18" fillId="0" borderId="0" xfId="0" applyFont="1"/>
    <xf numFmtId="0" fontId="19" fillId="0" borderId="0" xfId="2" applyFont="1"/>
    <xf numFmtId="0" fontId="4" fillId="3" borderId="9" xfId="2" applyFont="1" applyFill="1" applyBorder="1"/>
    <xf numFmtId="0" fontId="4" fillId="3" borderId="14" xfId="2" applyFont="1" applyFill="1" applyBorder="1"/>
    <xf numFmtId="0" fontId="19" fillId="3" borderId="15" xfId="2" applyFont="1" applyFill="1" applyBorder="1"/>
    <xf numFmtId="0" fontId="4" fillId="3" borderId="7" xfId="2" applyFont="1" applyFill="1" applyBorder="1"/>
    <xf numFmtId="0" fontId="4" fillId="5" borderId="2" xfId="2" applyFont="1" applyFill="1" applyBorder="1"/>
    <xf numFmtId="0" fontId="4" fillId="5" borderId="3" xfId="2" applyFont="1" applyFill="1" applyBorder="1"/>
    <xf numFmtId="0" fontId="4" fillId="5" borderId="4" xfId="2" applyFont="1" applyFill="1" applyBorder="1"/>
    <xf numFmtId="0" fontId="4" fillId="4" borderId="2" xfId="2" applyFont="1" applyFill="1" applyBorder="1" applyProtection="1">
      <protection locked="0"/>
    </xf>
    <xf numFmtId="0" fontId="4" fillId="4" borderId="3" xfId="2" applyFont="1" applyFill="1" applyBorder="1" applyProtection="1">
      <protection locked="0"/>
    </xf>
    <xf numFmtId="0" fontId="4" fillId="3" borderId="0" xfId="2" applyFont="1" applyFill="1"/>
    <xf numFmtId="0" fontId="4" fillId="3" borderId="6" xfId="2" applyFont="1" applyFill="1" applyBorder="1"/>
    <xf numFmtId="0" fontId="4" fillId="4" borderId="8" xfId="2" applyFont="1" applyFill="1" applyBorder="1" applyProtection="1">
      <protection locked="0"/>
    </xf>
    <xf numFmtId="0" fontId="4" fillId="4" borderId="5" xfId="2" applyFont="1" applyFill="1" applyBorder="1" applyProtection="1">
      <protection locked="0"/>
    </xf>
    <xf numFmtId="0" fontId="20" fillId="3" borderId="0" xfId="2" applyFont="1" applyFill="1"/>
    <xf numFmtId="0" fontId="19" fillId="0" borderId="0" xfId="0" applyFont="1"/>
    <xf numFmtId="0" fontId="4" fillId="5" borderId="14" xfId="2" applyFont="1" applyFill="1" applyBorder="1"/>
    <xf numFmtId="1" fontId="4" fillId="4" borderId="4" xfId="1" applyNumberFormat="1" applyFont="1" applyFill="1" applyBorder="1" applyAlignment="1" applyProtection="1">
      <alignment horizontal="center"/>
      <protection locked="0"/>
    </xf>
    <xf numFmtId="0" fontId="4" fillId="3" borderId="1" xfId="2" applyFont="1" applyFill="1" applyBorder="1" applyAlignment="1">
      <alignment horizontal="right"/>
    </xf>
    <xf numFmtId="1" fontId="4" fillId="4" borderId="1" xfId="1" applyNumberFormat="1" applyFont="1" applyFill="1" applyBorder="1" applyAlignment="1" applyProtection="1">
      <alignment horizontal="center"/>
      <protection locked="0"/>
    </xf>
    <xf numFmtId="164" fontId="4" fillId="3" borderId="1" xfId="2" applyNumberFormat="1" applyFont="1" applyFill="1" applyBorder="1"/>
    <xf numFmtId="0" fontId="19" fillId="3" borderId="0" xfId="2" applyFont="1" applyFill="1" applyAlignment="1">
      <alignment wrapText="1"/>
    </xf>
    <xf numFmtId="0" fontId="19" fillId="3" borderId="7" xfId="2" applyFont="1" applyFill="1" applyBorder="1"/>
    <xf numFmtId="0" fontId="19" fillId="0" borderId="0" xfId="2" quotePrefix="1" applyFont="1"/>
    <xf numFmtId="164" fontId="19" fillId="0" borderId="10" xfId="2" applyNumberFormat="1" applyFont="1" applyBorder="1" applyAlignment="1">
      <alignment horizontal="center"/>
    </xf>
    <xf numFmtId="1" fontId="5" fillId="0" borderId="4" xfId="1" applyNumberFormat="1" applyFont="1" applyFill="1" applyBorder="1" applyAlignment="1" applyProtection="1">
      <alignment horizontal="center"/>
      <protection locked="0"/>
    </xf>
    <xf numFmtId="1" fontId="5" fillId="0" borderId="1" xfId="1" applyNumberFormat="1" applyFont="1" applyFill="1" applyBorder="1" applyAlignment="1" applyProtection="1">
      <alignment horizontal="center"/>
      <protection locked="0"/>
    </xf>
    <xf numFmtId="0" fontId="5" fillId="0" borderId="2" xfId="2" applyFont="1" applyBorder="1" applyProtection="1">
      <protection locked="0"/>
    </xf>
    <xf numFmtId="0" fontId="5" fillId="0" borderId="8" xfId="2" applyFont="1" applyBorder="1" applyProtection="1">
      <protection locked="0"/>
    </xf>
    <xf numFmtId="164" fontId="5" fillId="0" borderId="1" xfId="1" applyNumberFormat="1" applyFont="1" applyFill="1" applyBorder="1" applyAlignment="1" applyProtection="1">
      <alignment horizontal="center"/>
      <protection locked="0"/>
    </xf>
    <xf numFmtId="0" fontId="4" fillId="5" borderId="5" xfId="2" applyFont="1" applyFill="1" applyBorder="1"/>
    <xf numFmtId="0" fontId="4" fillId="3" borderId="0" xfId="2" applyFont="1" applyFill="1" applyAlignment="1">
      <alignment horizontal="center"/>
    </xf>
    <xf numFmtId="164" fontId="4" fillId="3" borderId="5" xfId="2" applyNumberFormat="1" applyFont="1" applyFill="1" applyBorder="1"/>
    <xf numFmtId="164" fontId="4" fillId="3" borderId="3" xfId="2" applyNumberFormat="1" applyFont="1" applyFill="1" applyBorder="1"/>
    <xf numFmtId="0" fontId="2" fillId="0" borderId="16" xfId="6" applyBorder="1"/>
    <xf numFmtId="0" fontId="2" fillId="0" borderId="17" xfId="6" applyBorder="1"/>
    <xf numFmtId="0" fontId="2" fillId="0" borderId="18" xfId="6" applyBorder="1"/>
    <xf numFmtId="0" fontId="2" fillId="0" borderId="19" xfId="6" applyBorder="1"/>
    <xf numFmtId="0" fontId="2" fillId="0" borderId="20" xfId="6" applyBorder="1"/>
    <xf numFmtId="0" fontId="2" fillId="0" borderId="21" xfId="6" applyBorder="1"/>
    <xf numFmtId="0" fontId="2" fillId="0" borderId="22" xfId="6" applyBorder="1"/>
    <xf numFmtId="0" fontId="2" fillId="0" borderId="23" xfId="6" applyBorder="1"/>
    <xf numFmtId="0" fontId="2" fillId="6" borderId="16" xfId="6" applyFill="1" applyBorder="1"/>
    <xf numFmtId="0" fontId="2" fillId="6" borderId="19" xfId="6" applyFill="1" applyBorder="1"/>
    <xf numFmtId="0" fontId="2" fillId="6" borderId="0" xfId="6" applyFill="1"/>
    <xf numFmtId="0" fontId="2" fillId="7" borderId="48" xfId="6" applyFill="1" applyBorder="1"/>
    <xf numFmtId="0" fontId="2" fillId="8" borderId="19" xfId="6" applyFill="1" applyBorder="1"/>
    <xf numFmtId="0" fontId="2" fillId="9" borderId="48" xfId="6" applyFill="1" applyBorder="1"/>
    <xf numFmtId="0" fontId="2" fillId="10" borderId="19" xfId="6" applyFill="1" applyBorder="1"/>
    <xf numFmtId="0" fontId="2" fillId="10" borderId="0" xfId="6" applyFill="1"/>
    <xf numFmtId="11" fontId="2" fillId="0" borderId="0" xfId="6" applyNumberFormat="1"/>
    <xf numFmtId="0" fontId="2" fillId="10" borderId="21" xfId="6" applyFill="1" applyBorder="1"/>
    <xf numFmtId="0" fontId="2" fillId="0" borderId="1" xfId="6" applyBorder="1"/>
    <xf numFmtId="0" fontId="2" fillId="0" borderId="49" xfId="6" applyBorder="1"/>
    <xf numFmtId="0" fontId="2" fillId="0" borderId="50" xfId="6" applyBorder="1"/>
    <xf numFmtId="11" fontId="2" fillId="0" borderId="20" xfId="6" applyNumberFormat="1" applyBorder="1"/>
    <xf numFmtId="11" fontId="2" fillId="0" borderId="22" xfId="6" applyNumberFormat="1" applyBorder="1"/>
    <xf numFmtId="11" fontId="2" fillId="0" borderId="23" xfId="6" applyNumberFormat="1" applyBorder="1"/>
    <xf numFmtId="0" fontId="2" fillId="8" borderId="1" xfId="6" applyFill="1" applyBorder="1"/>
    <xf numFmtId="0" fontId="2" fillId="8" borderId="0" xfId="6" applyFill="1" applyAlignment="1">
      <alignment textRotation="90"/>
    </xf>
    <xf numFmtId="164" fontId="2" fillId="8" borderId="1" xfId="6" applyNumberFormat="1" applyFill="1" applyBorder="1"/>
    <xf numFmtId="164" fontId="2" fillId="8" borderId="0" xfId="6" applyNumberFormat="1" applyFill="1"/>
    <xf numFmtId="0" fontId="0" fillId="8" borderId="0" xfId="0" applyFill="1"/>
    <xf numFmtId="164" fontId="2" fillId="8" borderId="3" xfId="6" applyNumberFormat="1" applyFill="1" applyBorder="1"/>
    <xf numFmtId="0" fontId="0" fillId="8" borderId="5" xfId="0" applyFill="1" applyBorder="1" applyAlignment="1">
      <alignment horizontal="right"/>
    </xf>
    <xf numFmtId="0" fontId="2" fillId="8" borderId="5" xfId="6" applyFill="1" applyBorder="1"/>
    <xf numFmtId="0" fontId="0" fillId="8" borderId="3" xfId="0" applyFill="1" applyBorder="1" applyAlignment="1">
      <alignment horizontal="right"/>
    </xf>
    <xf numFmtId="0" fontId="2" fillId="8" borderId="3" xfId="6" applyFill="1" applyBorder="1"/>
    <xf numFmtId="0" fontId="3" fillId="8" borderId="5" xfId="0" applyFont="1" applyFill="1" applyBorder="1" applyAlignment="1">
      <alignment horizontal="right"/>
    </xf>
    <xf numFmtId="0" fontId="2" fillId="11" borderId="19" xfId="6" applyFill="1" applyBorder="1"/>
    <xf numFmtId="0" fontId="2" fillId="11" borderId="0" xfId="6" applyFill="1"/>
    <xf numFmtId="0" fontId="0" fillId="11" borderId="0" xfId="0" applyFill="1" applyAlignment="1">
      <alignment horizontal="right"/>
    </xf>
    <xf numFmtId="0" fontId="3" fillId="11" borderId="0" xfId="0" applyFont="1" applyFill="1" applyAlignment="1">
      <alignment horizontal="right"/>
    </xf>
    <xf numFmtId="0" fontId="2" fillId="11" borderId="0" xfId="6" applyFill="1" applyAlignment="1">
      <alignment horizontal="center"/>
    </xf>
    <xf numFmtId="164" fontId="2" fillId="11" borderId="0" xfId="6" applyNumberFormat="1" applyFill="1" applyAlignment="1">
      <alignment horizontal="center"/>
    </xf>
    <xf numFmtId="0" fontId="1" fillId="11" borderId="0" xfId="6" applyFont="1" applyFill="1"/>
    <xf numFmtId="0" fontId="1" fillId="0" borderId="0" xfId="6" applyFont="1"/>
    <xf numFmtId="0" fontId="19" fillId="4" borderId="1" xfId="2" applyFont="1" applyFill="1" applyBorder="1"/>
    <xf numFmtId="0" fontId="4" fillId="5" borderId="7" xfId="2" applyFont="1" applyFill="1" applyBorder="1"/>
    <xf numFmtId="0" fontId="4" fillId="5" borderId="0" xfId="2" applyFont="1" applyFill="1"/>
    <xf numFmtId="0" fontId="4" fillId="5" borderId="6" xfId="2" applyFont="1" applyFill="1" applyBorder="1"/>
    <xf numFmtId="0" fontId="4" fillId="5" borderId="1" xfId="2" applyFont="1" applyFill="1" applyBorder="1"/>
    <xf numFmtId="164" fontId="2" fillId="8" borderId="0" xfId="6" applyNumberFormat="1" applyFill="1" applyAlignment="1">
      <alignment horizontal="right"/>
    </xf>
    <xf numFmtId="1" fontId="19" fillId="0" borderId="0" xfId="2" applyNumberFormat="1" applyFont="1"/>
    <xf numFmtId="0" fontId="1" fillId="8" borderId="0" xfId="6" applyFont="1" applyFill="1"/>
    <xf numFmtId="0" fontId="17" fillId="11" borderId="46" xfId="0" applyFont="1" applyFill="1" applyBorder="1" applyAlignment="1">
      <alignment horizontal="center" vertical="top" wrapText="1"/>
    </xf>
    <xf numFmtId="0" fontId="17" fillId="11" borderId="47" xfId="0" applyFont="1" applyFill="1" applyBorder="1" applyAlignment="1">
      <alignment horizontal="center" vertical="top" wrapText="1"/>
    </xf>
    <xf numFmtId="0" fontId="17" fillId="0" borderId="45" xfId="0" applyFont="1" applyBorder="1" applyAlignment="1">
      <alignment horizontal="left" vertical="top" wrapText="1"/>
    </xf>
    <xf numFmtId="0" fontId="17" fillId="0" borderId="46" xfId="0" applyFont="1" applyBorder="1" applyAlignment="1">
      <alignment horizontal="left" vertical="top" wrapText="1"/>
    </xf>
    <xf numFmtId="0" fontId="17" fillId="0" borderId="47" xfId="0" applyFont="1" applyBorder="1" applyAlignment="1">
      <alignment horizontal="left" vertical="top" wrapText="1"/>
    </xf>
    <xf numFmtId="166" fontId="3" fillId="0" borderId="21" xfId="5" applyFont="1" applyBorder="1" applyAlignment="1">
      <alignment horizontal="right" vertical="center"/>
    </xf>
    <xf numFmtId="166" fontId="7" fillId="0" borderId="22" xfId="5" applyFont="1" applyBorder="1" applyAlignment="1">
      <alignment horizontal="right" vertical="center"/>
    </xf>
    <xf numFmtId="166" fontId="7" fillId="0" borderId="23" xfId="5" applyFont="1" applyBorder="1" applyAlignment="1">
      <alignment horizontal="right" vertical="center"/>
    </xf>
    <xf numFmtId="166" fontId="3" fillId="0" borderId="31" xfId="5" applyFont="1" applyBorder="1" applyAlignment="1">
      <alignment horizontal="center" vertical="center"/>
    </xf>
    <xf numFmtId="166" fontId="3" fillId="0" borderId="32" xfId="5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0" fontId="14" fillId="0" borderId="34" xfId="3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0" fontId="14" fillId="0" borderId="35" xfId="3" applyFont="1" applyBorder="1" applyAlignment="1">
      <alignment horizontal="center" vertical="center"/>
    </xf>
    <xf numFmtId="0" fontId="13" fillId="0" borderId="2" xfId="3" applyFont="1" applyBorder="1" applyAlignment="1">
      <alignment horizontal="center" vertical="center" wrapText="1"/>
    </xf>
    <xf numFmtId="0" fontId="13" fillId="0" borderId="3" xfId="3" applyFont="1" applyBorder="1" applyAlignment="1">
      <alignment horizontal="center" vertical="center" wrapText="1"/>
    </xf>
    <xf numFmtId="0" fontId="13" fillId="0" borderId="30" xfId="3" applyFont="1" applyBorder="1" applyAlignment="1">
      <alignment horizontal="center" vertical="center" wrapText="1"/>
    </xf>
    <xf numFmtId="0" fontId="3" fillId="0" borderId="29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0" fontId="3" fillId="0" borderId="2" xfId="3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30" xfId="3" applyBorder="1" applyAlignment="1">
      <alignment horizontal="center" vertical="center"/>
    </xf>
    <xf numFmtId="0" fontId="13" fillId="0" borderId="29" xfId="3" applyFont="1" applyBorder="1" applyAlignment="1">
      <alignment horizontal="center" vertical="center"/>
    </xf>
    <xf numFmtId="0" fontId="13" fillId="0" borderId="4" xfId="3" applyFont="1" applyBorder="1" applyAlignment="1">
      <alignment horizontal="center" vertical="center"/>
    </xf>
    <xf numFmtId="14" fontId="13" fillId="0" borderId="2" xfId="3" applyNumberFormat="1" applyFont="1" applyBorder="1" applyAlignment="1">
      <alignment horizontal="center" vertical="center"/>
    </xf>
    <xf numFmtId="14" fontId="13" fillId="0" borderId="3" xfId="3" applyNumberFormat="1" applyFont="1" applyBorder="1" applyAlignment="1">
      <alignment horizontal="center" vertical="center"/>
    </xf>
    <xf numFmtId="14" fontId="13" fillId="0" borderId="4" xfId="3" applyNumberFormat="1" applyFont="1" applyBorder="1" applyAlignment="1">
      <alignment horizontal="center" vertical="center"/>
    </xf>
    <xf numFmtId="0" fontId="13" fillId="0" borderId="2" xfId="3" applyFont="1" applyBorder="1" applyAlignment="1">
      <alignment horizontal="center" vertical="center"/>
    </xf>
    <xf numFmtId="0" fontId="13" fillId="0" borderId="3" xfId="3" applyFont="1" applyBorder="1" applyAlignment="1">
      <alignment horizontal="center" vertical="center"/>
    </xf>
    <xf numFmtId="0" fontId="13" fillId="0" borderId="4" xfId="3" applyFont="1" applyBorder="1" applyAlignment="1">
      <alignment horizontal="center" vertical="center" wrapText="1"/>
    </xf>
    <xf numFmtId="0" fontId="11" fillId="0" borderId="16" xfId="3" applyFont="1" applyBorder="1" applyAlignment="1">
      <alignment horizontal="center" vertical="center" wrapText="1"/>
    </xf>
    <xf numFmtId="0" fontId="11" fillId="0" borderId="17" xfId="3" applyFont="1" applyBorder="1" applyAlignment="1">
      <alignment horizontal="center" vertical="center" wrapText="1"/>
    </xf>
    <xf numFmtId="0" fontId="11" fillId="0" borderId="18" xfId="3" applyFont="1" applyBorder="1" applyAlignment="1">
      <alignment horizontal="center" vertical="center" wrapText="1"/>
    </xf>
    <xf numFmtId="0" fontId="11" fillId="0" borderId="19" xfId="3" applyFont="1" applyBorder="1" applyAlignment="1">
      <alignment horizontal="center" vertical="center" wrapText="1"/>
    </xf>
    <xf numFmtId="0" fontId="11" fillId="0" borderId="0" xfId="3" applyFont="1" applyAlignment="1">
      <alignment horizontal="center" vertical="center" wrapText="1"/>
    </xf>
    <xf numFmtId="0" fontId="11" fillId="0" borderId="20" xfId="3" applyFont="1" applyBorder="1" applyAlignment="1">
      <alignment horizontal="center" vertical="center" wrapText="1"/>
    </xf>
    <xf numFmtId="0" fontId="11" fillId="0" borderId="21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3" xfId="3" applyFont="1" applyBorder="1" applyAlignment="1">
      <alignment horizontal="center" vertical="center" wrapText="1"/>
    </xf>
    <xf numFmtId="0" fontId="3" fillId="0" borderId="24" xfId="3" applyBorder="1" applyAlignment="1">
      <alignment horizontal="center" vertical="center"/>
    </xf>
    <xf numFmtId="0" fontId="3" fillId="0" borderId="25" xfId="3" applyBorder="1" applyAlignment="1">
      <alignment horizontal="center" vertical="center"/>
    </xf>
    <xf numFmtId="0" fontId="3" fillId="0" borderId="26" xfId="3" applyBorder="1" applyAlignment="1">
      <alignment horizontal="center" vertical="center"/>
    </xf>
    <xf numFmtId="0" fontId="3" fillId="0" borderId="27" xfId="3" applyBorder="1" applyAlignment="1">
      <alignment horizontal="center" vertical="center"/>
    </xf>
    <xf numFmtId="0" fontId="3" fillId="0" borderId="28" xfId="3" applyBorder="1" applyAlignment="1">
      <alignment horizontal="center" vertical="center"/>
    </xf>
    <xf numFmtId="0" fontId="4" fillId="0" borderId="9" xfId="2" applyFont="1" applyBorder="1" applyAlignment="1">
      <alignment horizontal="center" vertical="top" wrapText="1"/>
    </xf>
    <xf numFmtId="0" fontId="4" fillId="0" borderId="14" xfId="2" applyFont="1" applyBorder="1" applyAlignment="1">
      <alignment horizontal="center" vertical="top" wrapText="1"/>
    </xf>
    <xf numFmtId="0" fontId="4" fillId="0" borderId="15" xfId="2" applyFont="1" applyBorder="1" applyAlignment="1">
      <alignment horizontal="center" vertical="top" wrapText="1"/>
    </xf>
    <xf numFmtId="0" fontId="4" fillId="0" borderId="8" xfId="2" applyFont="1" applyBorder="1" applyAlignment="1">
      <alignment horizontal="center" vertical="top" wrapText="1"/>
    </xf>
    <xf numFmtId="0" fontId="4" fillId="0" borderId="5" xfId="2" applyFont="1" applyBorder="1" applyAlignment="1">
      <alignment horizontal="center" vertical="top" wrapText="1"/>
    </xf>
    <xf numFmtId="0" fontId="4" fillId="0" borderId="13" xfId="2" applyFont="1" applyBorder="1" applyAlignment="1">
      <alignment horizontal="center" vertical="top" wrapText="1"/>
    </xf>
    <xf numFmtId="0" fontId="4" fillId="3" borderId="9" xfId="0" applyFont="1" applyFill="1" applyBorder="1" applyAlignment="1">
      <alignment horizontal="right" wrapText="1"/>
    </xf>
    <xf numFmtId="0" fontId="4" fillId="3" borderId="14" xfId="0" applyFont="1" applyFill="1" applyBorder="1" applyAlignment="1">
      <alignment horizontal="right" wrapText="1"/>
    </xf>
    <xf numFmtId="0" fontId="4" fillId="3" borderId="15" xfId="0" applyFont="1" applyFill="1" applyBorder="1" applyAlignment="1">
      <alignment horizontal="right" wrapText="1"/>
    </xf>
    <xf numFmtId="0" fontId="4" fillId="3" borderId="7" xfId="0" applyFont="1" applyFill="1" applyBorder="1" applyAlignment="1">
      <alignment horizontal="right" wrapText="1"/>
    </xf>
    <xf numFmtId="0" fontId="4" fillId="3" borderId="0" xfId="0" applyFont="1" applyFill="1" applyAlignment="1">
      <alignment horizontal="right" wrapText="1"/>
    </xf>
    <xf numFmtId="0" fontId="4" fillId="3" borderId="6" xfId="0" applyFont="1" applyFill="1" applyBorder="1" applyAlignment="1">
      <alignment horizontal="right" wrapText="1"/>
    </xf>
    <xf numFmtId="0" fontId="4" fillId="3" borderId="8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4" fillId="3" borderId="13" xfId="0" applyFont="1" applyFill="1" applyBorder="1" applyAlignment="1">
      <alignment horizontal="right" wrapText="1"/>
    </xf>
    <xf numFmtId="0" fontId="19" fillId="0" borderId="9" xfId="2" applyFont="1" applyBorder="1" applyAlignment="1">
      <alignment horizontal="center"/>
    </xf>
    <xf numFmtId="0" fontId="19" fillId="0" borderId="14" xfId="2" applyFont="1" applyBorder="1" applyAlignment="1">
      <alignment horizontal="center"/>
    </xf>
    <xf numFmtId="0" fontId="19" fillId="0" borderId="15" xfId="2" applyFont="1" applyBorder="1" applyAlignment="1">
      <alignment horizontal="center"/>
    </xf>
    <xf numFmtId="0" fontId="19" fillId="0" borderId="7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19" fillId="0" borderId="6" xfId="2" applyFont="1" applyBorder="1" applyAlignment="1">
      <alignment horizontal="center"/>
    </xf>
    <xf numFmtId="0" fontId="19" fillId="0" borderId="8" xfId="2" applyFont="1" applyBorder="1" applyAlignment="1">
      <alignment horizontal="center"/>
    </xf>
    <xf numFmtId="0" fontId="19" fillId="0" borderId="5" xfId="2" applyFont="1" applyBorder="1" applyAlignment="1">
      <alignment horizontal="center"/>
    </xf>
    <xf numFmtId="0" fontId="19" fillId="0" borderId="13" xfId="2" applyFont="1" applyBorder="1" applyAlignment="1">
      <alignment horizontal="center"/>
    </xf>
    <xf numFmtId="0" fontId="4" fillId="2" borderId="9" xfId="2" applyFont="1" applyFill="1" applyBorder="1" applyAlignment="1">
      <alignment horizontal="center"/>
    </xf>
    <xf numFmtId="0" fontId="4" fillId="2" borderId="14" xfId="2" applyFont="1" applyFill="1" applyBorder="1" applyAlignment="1">
      <alignment horizontal="center"/>
    </xf>
    <xf numFmtId="0" fontId="4" fillId="2" borderId="15" xfId="2" applyFont="1" applyFill="1" applyBorder="1" applyAlignment="1">
      <alignment horizontal="center"/>
    </xf>
    <xf numFmtId="164" fontId="4" fillId="4" borderId="2" xfId="1" applyNumberFormat="1" applyFont="1" applyFill="1" applyBorder="1" applyAlignment="1" applyProtection="1">
      <alignment horizontal="center"/>
      <protection locked="0"/>
    </xf>
    <xf numFmtId="164" fontId="4" fillId="4" borderId="3" xfId="1" applyNumberFormat="1" applyFont="1" applyFill="1" applyBorder="1" applyAlignment="1" applyProtection="1">
      <alignment horizontal="center"/>
      <protection locked="0"/>
    </xf>
    <xf numFmtId="164" fontId="4" fillId="4" borderId="4" xfId="1" applyNumberFormat="1" applyFont="1" applyFill="1" applyBorder="1" applyAlignment="1" applyProtection="1">
      <alignment horizontal="center"/>
      <protection locked="0"/>
    </xf>
    <xf numFmtId="164" fontId="4" fillId="4" borderId="1" xfId="1" applyNumberFormat="1" applyFont="1" applyFill="1" applyBorder="1" applyAlignment="1" applyProtection="1">
      <alignment horizontal="center"/>
      <protection locked="0"/>
    </xf>
    <xf numFmtId="0" fontId="21" fillId="12" borderId="0" xfId="2" applyFont="1" applyFill="1" applyAlignment="1">
      <alignment horizontal="center" vertical="center" wrapText="1"/>
    </xf>
    <xf numFmtId="0" fontId="4" fillId="5" borderId="0" xfId="2" applyFont="1" applyFill="1" applyAlignment="1">
      <alignment horizontal="center" vertical="center"/>
    </xf>
    <xf numFmtId="9" fontId="19" fillId="4" borderId="1" xfId="1" applyFont="1" applyFill="1" applyBorder="1" applyAlignment="1">
      <alignment horizontal="center"/>
    </xf>
    <xf numFmtId="0" fontId="4" fillId="5" borderId="2" xfId="2" applyFont="1" applyFill="1" applyBorder="1" applyAlignment="1">
      <alignment horizontal="center"/>
    </xf>
    <xf numFmtId="0" fontId="4" fillId="5" borderId="4" xfId="2" applyFont="1" applyFill="1" applyBorder="1" applyAlignment="1">
      <alignment horizontal="center"/>
    </xf>
    <xf numFmtId="0" fontId="3" fillId="0" borderId="9" xfId="2" applyBorder="1" applyAlignment="1">
      <alignment horizontal="center"/>
    </xf>
    <xf numFmtId="0" fontId="3" fillId="0" borderId="14" xfId="2" applyBorder="1" applyAlignment="1">
      <alignment horizontal="center"/>
    </xf>
    <xf numFmtId="0" fontId="3" fillId="0" borderId="15" xfId="2" applyBorder="1" applyAlignment="1">
      <alignment horizontal="center"/>
    </xf>
    <xf numFmtId="0" fontId="3" fillId="0" borderId="7" xfId="2" applyBorder="1" applyAlignment="1">
      <alignment horizontal="center"/>
    </xf>
    <xf numFmtId="0" fontId="3" fillId="0" borderId="0" xfId="2" applyAlignment="1">
      <alignment horizontal="center"/>
    </xf>
    <xf numFmtId="0" fontId="3" fillId="0" borderId="6" xfId="2" applyBorder="1" applyAlignment="1">
      <alignment horizontal="center"/>
    </xf>
    <xf numFmtId="0" fontId="3" fillId="0" borderId="8" xfId="2" applyBorder="1" applyAlignment="1">
      <alignment horizontal="center"/>
    </xf>
    <xf numFmtId="0" fontId="3" fillId="0" borderId="5" xfId="2" applyBorder="1" applyAlignment="1">
      <alignment horizontal="center"/>
    </xf>
    <xf numFmtId="0" fontId="3" fillId="0" borderId="13" xfId="2" applyBorder="1" applyAlignment="1">
      <alignment horizontal="center"/>
    </xf>
    <xf numFmtId="0" fontId="5" fillId="2" borderId="2" xfId="2" applyFont="1" applyFill="1" applyBorder="1" applyAlignment="1">
      <alignment horizontal="center"/>
    </xf>
    <xf numFmtId="0" fontId="5" fillId="2" borderId="3" xfId="2" applyFont="1" applyFill="1" applyBorder="1" applyAlignment="1">
      <alignment horizontal="center"/>
    </xf>
    <xf numFmtId="0" fontId="5" fillId="2" borderId="4" xfId="2" applyFont="1" applyFill="1" applyBorder="1" applyAlignment="1">
      <alignment horizontal="center"/>
    </xf>
    <xf numFmtId="0" fontId="5" fillId="0" borderId="8" xfId="2" applyFont="1" applyBorder="1" applyAlignment="1">
      <alignment horizontal="center" vertical="top" wrapText="1"/>
    </xf>
    <xf numFmtId="0" fontId="5" fillId="0" borderId="5" xfId="2" applyFont="1" applyBorder="1" applyAlignment="1">
      <alignment horizontal="center" vertical="top" wrapText="1"/>
    </xf>
    <xf numFmtId="0" fontId="5" fillId="0" borderId="13" xfId="2" applyFont="1" applyBorder="1" applyAlignment="1">
      <alignment horizontal="center" vertical="top" wrapText="1"/>
    </xf>
  </cellXfs>
  <cellStyles count="8">
    <cellStyle name="Collegamento ipertestuale" xfId="7" builtinId="8"/>
    <cellStyle name="Normale" xfId="0" builtinId="0"/>
    <cellStyle name="Normale 2" xfId="2" xr:uid="{795928D0-5C76-4F0F-A20E-094B7972AE98}"/>
    <cellStyle name="Normale 2 2" xfId="6" xr:uid="{B2410AA6-0D99-422A-A8E6-D6E85D47B4A3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57959543574558"/>
          <c:y val="6.0104685087124743E-2"/>
          <c:w val="0.82759630640785253"/>
          <c:h val="0.84532628105458285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"/>
                  <c:y val="3.3669917822703038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Gulich!$I$10:$I$14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Gulich!$J$10:$J$14</c:f>
              <c:numCache>
                <c:formatCode>General</c:formatCode>
                <c:ptCount val="5"/>
                <c:pt idx="0">
                  <c:v>65</c:v>
                </c:pt>
                <c:pt idx="1">
                  <c:v>69</c:v>
                </c:pt>
                <c:pt idx="2">
                  <c:v>79</c:v>
                </c:pt>
                <c:pt idx="3">
                  <c:v>96</c:v>
                </c:pt>
                <c:pt idx="4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9-401E-BD48-6D696F37766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4649679446941918E-2"/>
                  <c:y val="-6.372004271746666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Gulich!$I$10:$I$14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Gulich!$K$10:$K$14</c:f>
              <c:numCache>
                <c:formatCode>General</c:formatCode>
                <c:ptCount val="5"/>
                <c:pt idx="0">
                  <c:v>50</c:v>
                </c:pt>
                <c:pt idx="1">
                  <c:v>53</c:v>
                </c:pt>
                <c:pt idx="2">
                  <c:v>60</c:v>
                </c:pt>
                <c:pt idx="3">
                  <c:v>72</c:v>
                </c:pt>
                <c:pt idx="4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79-401E-BD48-6D696F37766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2208066205784931E-2"/>
                  <c:y val="-9.8183811942534255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Gulich!$I$10:$I$14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Gulich!$L$10:$L$14</c:f>
              <c:numCache>
                <c:formatCode>General</c:formatCode>
                <c:ptCount val="5"/>
                <c:pt idx="0">
                  <c:v>38</c:v>
                </c:pt>
                <c:pt idx="1">
                  <c:v>40</c:v>
                </c:pt>
                <c:pt idx="2">
                  <c:v>45</c:v>
                </c:pt>
                <c:pt idx="3">
                  <c:v>55</c:v>
                </c:pt>
                <c:pt idx="4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79-401E-BD48-6D696F377660}"/>
            </c:ext>
          </c:extLst>
        </c:ser>
        <c:ser>
          <c:idx val="6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4.9966557588716591E-2"/>
                  <c:y val="-0.26156153158868889"/>
                </c:manualLayout>
              </c:layout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Gulich!$I$16:$I$41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Gulich!$J$16:$J$41</c:f>
              <c:numCache>
                <c:formatCode>General</c:formatCode>
                <c:ptCount val="26"/>
                <c:pt idx="0">
                  <c:v>128</c:v>
                </c:pt>
                <c:pt idx="1">
                  <c:v>103</c:v>
                </c:pt>
                <c:pt idx="2">
                  <c:v>92</c:v>
                </c:pt>
                <c:pt idx="3">
                  <c:v>84</c:v>
                </c:pt>
                <c:pt idx="4">
                  <c:v>77</c:v>
                </c:pt>
                <c:pt idx="5">
                  <c:v>71</c:v>
                </c:pt>
                <c:pt idx="6">
                  <c:v>66</c:v>
                </c:pt>
                <c:pt idx="7">
                  <c:v>62</c:v>
                </c:pt>
                <c:pt idx="8">
                  <c:v>55</c:v>
                </c:pt>
                <c:pt idx="9">
                  <c:v>50</c:v>
                </c:pt>
                <c:pt idx="10">
                  <c:v>46</c:v>
                </c:pt>
                <c:pt idx="11">
                  <c:v>43.5</c:v>
                </c:pt>
                <c:pt idx="12">
                  <c:v>41</c:v>
                </c:pt>
                <c:pt idx="13">
                  <c:v>38.700000000000003</c:v>
                </c:pt>
                <c:pt idx="14">
                  <c:v>36.6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32.299999999999997</c:v>
                </c:pt>
                <c:pt idx="19">
                  <c:v>31.5</c:v>
                </c:pt>
                <c:pt idx="20">
                  <c:v>31</c:v>
                </c:pt>
                <c:pt idx="21">
                  <c:v>30.7</c:v>
                </c:pt>
                <c:pt idx="22">
                  <c:v>30.3</c:v>
                </c:pt>
                <c:pt idx="23">
                  <c:v>30</c:v>
                </c:pt>
                <c:pt idx="24">
                  <c:v>29.5</c:v>
                </c:pt>
                <c:pt idx="25">
                  <c:v>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C79-401E-BD48-6D696F377660}"/>
            </c:ext>
          </c:extLst>
        </c:ser>
        <c:ser>
          <c:idx val="7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4.9966557588716591E-2"/>
                  <c:y val="-0.14101205930888355"/>
                </c:manualLayout>
              </c:layout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Gulich!$I$16:$I$41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Gulich!$K$16:$K$41</c:f>
              <c:numCache>
                <c:formatCode>General</c:formatCode>
                <c:ptCount val="26"/>
                <c:pt idx="0">
                  <c:v>98</c:v>
                </c:pt>
                <c:pt idx="1">
                  <c:v>80</c:v>
                </c:pt>
                <c:pt idx="2">
                  <c:v>70</c:v>
                </c:pt>
                <c:pt idx="3">
                  <c:v>63</c:v>
                </c:pt>
                <c:pt idx="4">
                  <c:v>60</c:v>
                </c:pt>
                <c:pt idx="5">
                  <c:v>55</c:v>
                </c:pt>
                <c:pt idx="6">
                  <c:v>51</c:v>
                </c:pt>
                <c:pt idx="7">
                  <c:v>47</c:v>
                </c:pt>
                <c:pt idx="8">
                  <c:v>42</c:v>
                </c:pt>
                <c:pt idx="9">
                  <c:v>38</c:v>
                </c:pt>
                <c:pt idx="10">
                  <c:v>35</c:v>
                </c:pt>
                <c:pt idx="11">
                  <c:v>33</c:v>
                </c:pt>
                <c:pt idx="12">
                  <c:v>31</c:v>
                </c:pt>
                <c:pt idx="13">
                  <c:v>29.3</c:v>
                </c:pt>
                <c:pt idx="14">
                  <c:v>28</c:v>
                </c:pt>
                <c:pt idx="15">
                  <c:v>27</c:v>
                </c:pt>
                <c:pt idx="16">
                  <c:v>26</c:v>
                </c:pt>
                <c:pt idx="17">
                  <c:v>25.2</c:v>
                </c:pt>
                <c:pt idx="18">
                  <c:v>24.8</c:v>
                </c:pt>
                <c:pt idx="19">
                  <c:v>24.4</c:v>
                </c:pt>
                <c:pt idx="20">
                  <c:v>24</c:v>
                </c:pt>
                <c:pt idx="21">
                  <c:v>23.6</c:v>
                </c:pt>
                <c:pt idx="22">
                  <c:v>23.3</c:v>
                </c:pt>
                <c:pt idx="23">
                  <c:v>22.9</c:v>
                </c:pt>
                <c:pt idx="24">
                  <c:v>22.6</c:v>
                </c:pt>
                <c:pt idx="2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C79-401E-BD48-6D696F377660}"/>
            </c:ext>
          </c:extLst>
        </c:ser>
        <c:ser>
          <c:idx val="8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Gulich!$I$16:$I$41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Gulich!$L$16:$L$41</c:f>
              <c:numCache>
                <c:formatCode>General</c:formatCode>
                <c:ptCount val="26"/>
                <c:pt idx="0">
                  <c:v>75</c:v>
                </c:pt>
                <c:pt idx="1">
                  <c:v>60</c:v>
                </c:pt>
                <c:pt idx="2">
                  <c:v>54</c:v>
                </c:pt>
                <c:pt idx="3">
                  <c:v>49</c:v>
                </c:pt>
                <c:pt idx="4">
                  <c:v>45</c:v>
                </c:pt>
                <c:pt idx="5">
                  <c:v>42</c:v>
                </c:pt>
                <c:pt idx="6">
                  <c:v>39</c:v>
                </c:pt>
                <c:pt idx="7">
                  <c:v>36.299999999999997</c:v>
                </c:pt>
                <c:pt idx="8">
                  <c:v>32</c:v>
                </c:pt>
                <c:pt idx="9">
                  <c:v>29</c:v>
                </c:pt>
                <c:pt idx="10">
                  <c:v>27</c:v>
                </c:pt>
                <c:pt idx="11">
                  <c:v>25.5</c:v>
                </c:pt>
                <c:pt idx="12">
                  <c:v>24</c:v>
                </c:pt>
                <c:pt idx="13">
                  <c:v>22.5</c:v>
                </c:pt>
                <c:pt idx="14">
                  <c:v>21</c:v>
                </c:pt>
                <c:pt idx="15">
                  <c:v>20</c:v>
                </c:pt>
                <c:pt idx="16">
                  <c:v>19.399999999999999</c:v>
                </c:pt>
                <c:pt idx="17">
                  <c:v>19.2</c:v>
                </c:pt>
                <c:pt idx="18">
                  <c:v>18.7</c:v>
                </c:pt>
                <c:pt idx="19">
                  <c:v>18.3</c:v>
                </c:pt>
                <c:pt idx="20">
                  <c:v>18</c:v>
                </c:pt>
                <c:pt idx="21">
                  <c:v>17.7</c:v>
                </c:pt>
                <c:pt idx="22">
                  <c:v>17.5</c:v>
                </c:pt>
                <c:pt idx="23">
                  <c:v>17.399999999999999</c:v>
                </c:pt>
                <c:pt idx="24">
                  <c:v>17.2</c:v>
                </c:pt>
                <c:pt idx="25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C79-401E-BD48-6D696F37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78991"/>
        <c:axId val="1591579823"/>
      </c:scatterChart>
      <c:valAx>
        <c:axId val="1591578991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579823"/>
        <c:crosses val="autoZero"/>
        <c:crossBetween val="midCat"/>
      </c:valAx>
      <c:valAx>
        <c:axId val="1591579823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0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578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33227634577513"/>
          <c:y val="3.3019105170269243E-2"/>
          <c:w val="0.86502480057047426"/>
          <c:h val="0.8893745488103063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Gulich!$Y$56:$Y$62</c:f>
              <c:numCache>
                <c:formatCode>General</c:formatCode>
                <c:ptCount val="7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150</c:v>
                </c:pt>
                <c:pt idx="5">
                  <c:v>250</c:v>
                </c:pt>
                <c:pt idx="6">
                  <c:v>300</c:v>
                </c:pt>
              </c:numCache>
            </c:numRef>
          </c:xVal>
          <c:yVal>
            <c:numRef>
              <c:f>Gulich!$Z$56:$Z$62</c:f>
              <c:numCache>
                <c:formatCode>General</c:formatCode>
                <c:ptCount val="7"/>
                <c:pt idx="0">
                  <c:v>0.32</c:v>
                </c:pt>
                <c:pt idx="1">
                  <c:v>0.42</c:v>
                </c:pt>
                <c:pt idx="2">
                  <c:v>0.53</c:v>
                </c:pt>
                <c:pt idx="3">
                  <c:v>0.67</c:v>
                </c:pt>
                <c:pt idx="4">
                  <c:v>0.78</c:v>
                </c:pt>
                <c:pt idx="5">
                  <c:v>0.89</c:v>
                </c:pt>
                <c:pt idx="6">
                  <c:v>0.93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F-40B9-91A1-1953E6F98F1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Gulich!$B$8</c:f>
              <c:numCache>
                <c:formatCode>0.0</c:formatCode>
                <c:ptCount val="1"/>
                <c:pt idx="0">
                  <c:v>33.018405427382731</c:v>
                </c:pt>
              </c:numCache>
            </c:numRef>
          </c:xVal>
          <c:yVal>
            <c:numRef>
              <c:f>Gulich!$B$12</c:f>
              <c:numCache>
                <c:formatCode>0.0</c:formatCode>
                <c:ptCount val="1"/>
                <c:pt idx="0">
                  <c:v>0.45896847791677708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F-40B9-91A1-1953E6F98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921520"/>
        <c:axId val="905920560"/>
      </c:scatterChart>
      <c:valAx>
        <c:axId val="905921520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20560"/>
        <c:crosses val="autoZero"/>
        <c:crossBetween val="midCat"/>
      </c:valAx>
      <c:valAx>
        <c:axId val="90592056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2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Gulich!$AN$55:$AN$71</c:f>
              <c:strCache>
                <c:ptCount val="17"/>
                <c:pt idx="0">
                  <c:v>Cast Iron A278-30</c:v>
                </c:pt>
                <c:pt idx="1">
                  <c:v>Nodular Cast Iron A536-60-40-18</c:v>
                </c:pt>
                <c:pt idx="2">
                  <c:v>Ni Resist A439 Type D2</c:v>
                </c:pt>
                <c:pt idx="3">
                  <c:v>Cast Steel A216 Gr WCB</c:v>
                </c:pt>
                <c:pt idx="4">
                  <c:v>Martensitic A487/A743 CA6NM Gr A</c:v>
                </c:pt>
                <c:pt idx="5">
                  <c:v>Martensitic A487/A743 CA15 Gr D</c:v>
                </c:pt>
                <c:pt idx="6">
                  <c:v>Austenitic A451/A743 CF-3</c:v>
                </c:pt>
                <c:pt idx="7">
                  <c:v>Austenitic A451/A743 CF-3M</c:v>
                </c:pt>
                <c:pt idx="8">
                  <c:v>Duplex A995/A890 1B</c:v>
                </c:pt>
                <c:pt idx="9">
                  <c:v>Duplex A995/A890 4A CD3MN</c:v>
                </c:pt>
                <c:pt idx="10">
                  <c:v>Duplex A995 3A</c:v>
                </c:pt>
                <c:pt idx="11">
                  <c:v>SuperDuplex A995/A890 6A CD3MWCuN</c:v>
                </c:pt>
                <c:pt idx="12">
                  <c:v>SuperDuplex A995/A890 5A CE3MN</c:v>
                </c:pt>
                <c:pt idx="13">
                  <c:v>B584 C86300</c:v>
                </c:pt>
                <c:pt idx="14">
                  <c:v>B427 C90700</c:v>
                </c:pt>
                <c:pt idx="15">
                  <c:v>C148 958</c:v>
                </c:pt>
                <c:pt idx="16">
                  <c:v>Hastelloy CA574 N10276</c:v>
                </c:pt>
              </c:strCache>
            </c:strRef>
          </c:cat>
          <c:val>
            <c:numRef>
              <c:f>Gulich!$AV$55:$AV$71</c:f>
              <c:numCache>
                <c:formatCode>0.0</c:formatCode>
                <c:ptCount val="17"/>
                <c:pt idx="0">
                  <c:v>12.575736294919691</c:v>
                </c:pt>
                <c:pt idx="1">
                  <c:v>19.597954007046383</c:v>
                </c:pt>
                <c:pt idx="2">
                  <c:v>16.79824629175404</c:v>
                </c:pt>
                <c:pt idx="3">
                  <c:v>27.997077152923403</c:v>
                </c:pt>
                <c:pt idx="4">
                  <c:v>33.596492583508081</c:v>
                </c:pt>
                <c:pt idx="5">
                  <c:v>33.596492583508081</c:v>
                </c:pt>
                <c:pt idx="6">
                  <c:v>33.596492583508081</c:v>
                </c:pt>
                <c:pt idx="7">
                  <c:v>33.596492583508081</c:v>
                </c:pt>
                <c:pt idx="8">
                  <c:v>41.949718881593427</c:v>
                </c:pt>
                <c:pt idx="9">
                  <c:v>41.949718881593427</c:v>
                </c:pt>
                <c:pt idx="10">
                  <c:v>41.949718881593427</c:v>
                </c:pt>
                <c:pt idx="11">
                  <c:v>41.949718881593427</c:v>
                </c:pt>
                <c:pt idx="12">
                  <c:v>41.949718881593427</c:v>
                </c:pt>
                <c:pt idx="13">
                  <c:v>22.397661722338722</c:v>
                </c:pt>
                <c:pt idx="14">
                  <c:v>16.79824629175404</c:v>
                </c:pt>
                <c:pt idx="15">
                  <c:v>27.997077152923403</c:v>
                </c:pt>
                <c:pt idx="16">
                  <c:v>41.949718881593427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3-42B9-98EB-A5DC8A1CDB1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Gulich!$AN$55:$AN$71</c:f>
              <c:strCache>
                <c:ptCount val="17"/>
                <c:pt idx="0">
                  <c:v>Cast Iron A278-30</c:v>
                </c:pt>
                <c:pt idx="1">
                  <c:v>Nodular Cast Iron A536-60-40-18</c:v>
                </c:pt>
                <c:pt idx="2">
                  <c:v>Ni Resist A439 Type D2</c:v>
                </c:pt>
                <c:pt idx="3">
                  <c:v>Cast Steel A216 Gr WCB</c:v>
                </c:pt>
                <c:pt idx="4">
                  <c:v>Martensitic A487/A743 CA6NM Gr A</c:v>
                </c:pt>
                <c:pt idx="5">
                  <c:v>Martensitic A487/A743 CA15 Gr D</c:v>
                </c:pt>
                <c:pt idx="6">
                  <c:v>Austenitic A451/A743 CF-3</c:v>
                </c:pt>
                <c:pt idx="7">
                  <c:v>Austenitic A451/A743 CF-3M</c:v>
                </c:pt>
                <c:pt idx="8">
                  <c:v>Duplex A995/A890 1B</c:v>
                </c:pt>
                <c:pt idx="9">
                  <c:v>Duplex A995/A890 4A CD3MN</c:v>
                </c:pt>
                <c:pt idx="10">
                  <c:v>Duplex A995 3A</c:v>
                </c:pt>
                <c:pt idx="11">
                  <c:v>SuperDuplex A995/A890 6A CD3MWCuN</c:v>
                </c:pt>
                <c:pt idx="12">
                  <c:v>SuperDuplex A995/A890 5A CE3MN</c:v>
                </c:pt>
                <c:pt idx="13">
                  <c:v>B584 C86300</c:v>
                </c:pt>
                <c:pt idx="14">
                  <c:v>B427 C90700</c:v>
                </c:pt>
                <c:pt idx="15">
                  <c:v>C148 958</c:v>
                </c:pt>
                <c:pt idx="16">
                  <c:v>Hastelloy CA574 N10276</c:v>
                </c:pt>
              </c:strCache>
            </c:strRef>
          </c:cat>
          <c:val>
            <c:numRef>
              <c:f>Gulich!$AX$55:$AX$71</c:f>
              <c:numCache>
                <c:formatCode>0.0</c:formatCode>
                <c:ptCount val="17"/>
                <c:pt idx="0">
                  <c:v>5.5994154305846804</c:v>
                </c:pt>
                <c:pt idx="1">
                  <c:v>8.3991231458770201</c:v>
                </c:pt>
                <c:pt idx="2">
                  <c:v>7.7106704290018557</c:v>
                </c:pt>
                <c:pt idx="3">
                  <c:v>18.175151725504374</c:v>
                </c:pt>
                <c:pt idx="4">
                  <c:v>23.086114439213887</c:v>
                </c:pt>
                <c:pt idx="5">
                  <c:v>23.086114439213887</c:v>
                </c:pt>
                <c:pt idx="6">
                  <c:v>21.663312157671879</c:v>
                </c:pt>
                <c:pt idx="7">
                  <c:v>21.663312157671879</c:v>
                </c:pt>
                <c:pt idx="8">
                  <c:v>26.574274871381391</c:v>
                </c:pt>
                <c:pt idx="9">
                  <c:v>26.574274871381391</c:v>
                </c:pt>
                <c:pt idx="10">
                  <c:v>26.574274871381391</c:v>
                </c:pt>
                <c:pt idx="11">
                  <c:v>26.574274871381391</c:v>
                </c:pt>
                <c:pt idx="12">
                  <c:v>26.574274871381391</c:v>
                </c:pt>
                <c:pt idx="13">
                  <c:v>15.375444010212032</c:v>
                </c:pt>
                <c:pt idx="14">
                  <c:v>12.575736294919691</c:v>
                </c:pt>
                <c:pt idx="15">
                  <c:v>22.397661722338722</c:v>
                </c:pt>
                <c:pt idx="16">
                  <c:v>29.373982586673733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3-42B9-98EB-A5DC8A1C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523024"/>
        <c:axId val="458523504"/>
      </c:barChart>
      <c:catAx>
        <c:axId val="45852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3504"/>
        <c:crosses val="autoZero"/>
        <c:auto val="1"/>
        <c:lblAlgn val="ctr"/>
        <c:lblOffset val="100"/>
        <c:noMultiLvlLbl val="0"/>
      </c:catAx>
      <c:valAx>
        <c:axId val="45852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image" Target="../media/image13.png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png"/><Relationship Id="rId11" Type="http://schemas.openxmlformats.org/officeDocument/2006/relationships/chart" Target="../charts/chart3.xml"/><Relationship Id="rId5" Type="http://schemas.openxmlformats.org/officeDocument/2006/relationships/image" Target="../media/image8.png"/><Relationship Id="rId10" Type="http://schemas.openxmlformats.org/officeDocument/2006/relationships/chart" Target="../charts/chart2.xml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2</xdr:col>
      <xdr:colOff>1522776</xdr:colOff>
      <xdr:row>2</xdr:row>
      <xdr:rowOff>206607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96</xdr:row>
      <xdr:rowOff>28575</xdr:rowOff>
    </xdr:from>
    <xdr:to>
      <xdr:col>5</xdr:col>
      <xdr:colOff>151910</xdr:colOff>
      <xdr:row>139</xdr:row>
      <xdr:rowOff>53340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302309</xdr:colOff>
      <xdr:row>22</xdr:row>
      <xdr:rowOff>5421</xdr:rowOff>
    </xdr:from>
    <xdr:to>
      <xdr:col>15</xdr:col>
      <xdr:colOff>474001</xdr:colOff>
      <xdr:row>72</xdr:row>
      <xdr:rowOff>55649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CAF57DEB-CC19-DABE-454B-1A210A709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39694" y="4049883"/>
          <a:ext cx="10950475" cy="848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114826</xdr:colOff>
      <xdr:row>2</xdr:row>
      <xdr:rowOff>206607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68CD7D9-5F22-4823-BF2B-8DF87E9E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71148" cy="640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177792</xdr:colOff>
      <xdr:row>26</xdr:row>
      <xdr:rowOff>1016</xdr:rowOff>
    </xdr:from>
    <xdr:ext cx="6859502" cy="3611218"/>
    <xdr:pic>
      <xdr:nvPicPr>
        <xdr:cNvPr id="4" name="Immagine 3">
          <a:extLst>
            <a:ext uri="{FF2B5EF4-FFF2-40B4-BE49-F238E27FC236}">
              <a16:creationId xmlns:a16="http://schemas.microsoft.com/office/drawing/2014/main" id="{866EB66C-3E3E-458A-895F-E09F73757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8145" y="5088487"/>
          <a:ext cx="6859502" cy="3611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394607</xdr:colOff>
      <xdr:row>1</xdr:row>
      <xdr:rowOff>85453</xdr:rowOff>
    </xdr:from>
    <xdr:ext cx="4199650" cy="1367635"/>
    <xdr:pic>
      <xdr:nvPicPr>
        <xdr:cNvPr id="5" name="Immagine 4">
          <a:extLst>
            <a:ext uri="{FF2B5EF4-FFF2-40B4-BE49-F238E27FC236}">
              <a16:creationId xmlns:a16="http://schemas.microsoft.com/office/drawing/2014/main" id="{81267D9F-17B0-4055-AEB6-A5F9CA1C9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180703"/>
          <a:ext cx="4199650" cy="1367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</xdr:col>
      <xdr:colOff>136333</xdr:colOff>
      <xdr:row>26</xdr:row>
      <xdr:rowOff>20375</xdr:rowOff>
    </xdr:from>
    <xdr:to>
      <xdr:col>21</xdr:col>
      <xdr:colOff>353786</xdr:colOff>
      <xdr:row>45</xdr:row>
      <xdr:rowOff>129705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E004656C-2743-4DBA-A182-4F8514D02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133669</xdr:colOff>
      <xdr:row>48</xdr:row>
      <xdr:rowOff>92545</xdr:rowOff>
    </xdr:from>
    <xdr:to>
      <xdr:col>19</xdr:col>
      <xdr:colOff>55388</xdr:colOff>
      <xdr:row>109</xdr:row>
      <xdr:rowOff>151914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1866BF5-3B80-BCD3-06A8-54F862BB5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50205" y="8460938"/>
          <a:ext cx="7094316" cy="11046321"/>
        </a:xfrm>
        <a:prstGeom prst="rect">
          <a:avLst/>
        </a:prstGeom>
      </xdr:spPr>
    </xdr:pic>
    <xdr:clientData/>
  </xdr:twoCellAnchor>
  <xdr:twoCellAnchor editAs="oneCell">
    <xdr:from>
      <xdr:col>54</xdr:col>
      <xdr:colOff>554275</xdr:colOff>
      <xdr:row>2</xdr:row>
      <xdr:rowOff>46841</xdr:rowOff>
    </xdr:from>
    <xdr:to>
      <xdr:col>65</xdr:col>
      <xdr:colOff>1421</xdr:colOff>
      <xdr:row>58</xdr:row>
      <xdr:rowOff>156081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7D4F2B06-BAED-7C8D-0796-6FE1F27AF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109739" y="237341"/>
          <a:ext cx="6316032" cy="9972514"/>
        </a:xfrm>
        <a:prstGeom prst="rect">
          <a:avLst/>
        </a:prstGeom>
      </xdr:spPr>
    </xdr:pic>
    <xdr:clientData/>
  </xdr:twoCellAnchor>
  <xdr:twoCellAnchor editAs="oneCell">
    <xdr:from>
      <xdr:col>23</xdr:col>
      <xdr:colOff>84347</xdr:colOff>
      <xdr:row>1</xdr:row>
      <xdr:rowOff>72506</xdr:rowOff>
    </xdr:from>
    <xdr:to>
      <xdr:col>35</xdr:col>
      <xdr:colOff>570521</xdr:colOff>
      <xdr:row>31</xdr:row>
      <xdr:rowOff>172448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6FD873D3-0E5E-70B2-A01B-BD43FB2A5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35383" y="167756"/>
          <a:ext cx="7997317" cy="5082333"/>
        </a:xfrm>
        <a:prstGeom prst="rect">
          <a:avLst/>
        </a:prstGeom>
      </xdr:spPr>
    </xdr:pic>
    <xdr:clientData/>
  </xdr:twoCellAnchor>
  <xdr:twoCellAnchor editAs="oneCell">
    <xdr:from>
      <xdr:col>36</xdr:col>
      <xdr:colOff>17082</xdr:colOff>
      <xdr:row>1</xdr:row>
      <xdr:rowOff>73942</xdr:rowOff>
    </xdr:from>
    <xdr:to>
      <xdr:col>45</xdr:col>
      <xdr:colOff>267274</xdr:colOff>
      <xdr:row>51</xdr:row>
      <xdr:rowOff>133702</xdr:rowOff>
    </xdr:to>
    <xdr:pic>
      <xdr:nvPicPr>
        <xdr:cNvPr id="12" name="Immagine 11">
          <a:extLst>
            <a:ext uri="{FF2B5EF4-FFF2-40B4-BE49-F238E27FC236}">
              <a16:creationId xmlns:a16="http://schemas.microsoft.com/office/drawing/2014/main" id="{0F497F5B-8721-18F1-6C5A-34AD50419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305832" y="169192"/>
          <a:ext cx="5883549" cy="8587901"/>
        </a:xfrm>
        <a:prstGeom prst="rect">
          <a:avLst/>
        </a:prstGeom>
      </xdr:spPr>
    </xdr:pic>
    <xdr:clientData/>
  </xdr:twoCellAnchor>
  <xdr:twoCellAnchor editAs="oneCell">
    <xdr:from>
      <xdr:col>45</xdr:col>
      <xdr:colOff>411721</xdr:colOff>
      <xdr:row>2</xdr:row>
      <xdr:rowOff>13494</xdr:rowOff>
    </xdr:from>
    <xdr:to>
      <xdr:col>54</xdr:col>
      <xdr:colOff>438863</xdr:colOff>
      <xdr:row>51</xdr:row>
      <xdr:rowOff>35715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CE58D726-C8F6-2689-49A7-36BE23CC2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333828" y="203994"/>
          <a:ext cx="5649069" cy="8483687"/>
        </a:xfrm>
        <a:prstGeom prst="rect">
          <a:avLst/>
        </a:prstGeom>
      </xdr:spPr>
    </xdr:pic>
    <xdr:clientData/>
  </xdr:twoCellAnchor>
  <xdr:twoCellAnchor editAs="oneCell">
    <xdr:from>
      <xdr:col>23</xdr:col>
      <xdr:colOff>484908</xdr:colOff>
      <xdr:row>31</xdr:row>
      <xdr:rowOff>16920</xdr:rowOff>
    </xdr:from>
    <xdr:to>
      <xdr:col>34</xdr:col>
      <xdr:colOff>321921</xdr:colOff>
      <xdr:row>52</xdr:row>
      <xdr:rowOff>134198</xdr:rowOff>
    </xdr:to>
    <xdr:pic>
      <xdr:nvPicPr>
        <xdr:cNvPr id="14" name="Immagine 13">
          <a:extLst>
            <a:ext uri="{FF2B5EF4-FFF2-40B4-BE49-F238E27FC236}">
              <a16:creationId xmlns:a16="http://schemas.microsoft.com/office/drawing/2014/main" id="{FC5FBBCB-4033-DFEC-EC5F-271039EA2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0799" y="5198520"/>
          <a:ext cx="6698823" cy="3909613"/>
        </a:xfrm>
        <a:prstGeom prst="rect">
          <a:avLst/>
        </a:prstGeom>
      </xdr:spPr>
    </xdr:pic>
    <xdr:clientData/>
  </xdr:twoCellAnchor>
  <xdr:twoCellAnchor>
    <xdr:from>
      <xdr:col>23</xdr:col>
      <xdr:colOff>343346</xdr:colOff>
      <xdr:row>31</xdr:row>
      <xdr:rowOff>156387</xdr:rowOff>
    </xdr:from>
    <xdr:to>
      <xdr:col>34</xdr:col>
      <xdr:colOff>305263</xdr:colOff>
      <xdr:row>51</xdr:row>
      <xdr:rowOff>147774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9DCE8BD8-32BB-D9A1-54E7-0B735E6DB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11205</xdr:colOff>
      <xdr:row>168</xdr:row>
      <xdr:rowOff>599626</xdr:rowOff>
    </xdr:from>
    <xdr:to>
      <xdr:col>20</xdr:col>
      <xdr:colOff>543372</xdr:colOff>
      <xdr:row>177</xdr:row>
      <xdr:rowOff>451037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261DA5D8-53D8-4F8D-B3A0-12F786ED67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470647</xdr:colOff>
      <xdr:row>36</xdr:row>
      <xdr:rowOff>44824</xdr:rowOff>
    </xdr:from>
    <xdr:to>
      <xdr:col>5</xdr:col>
      <xdr:colOff>207124</xdr:colOff>
      <xdr:row>39</xdr:row>
      <xdr:rowOff>129929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5D293B8F-38C0-BD14-E5A4-A40AE3B10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0647" y="6107206"/>
          <a:ext cx="4347586" cy="6172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TM_P\OH2\5%20Design\8%20Calculation\Bearing%20Lif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Rete\Svp\Borghetti\11%20API\01%20OH2\3%20Pump%20selector\Data%20base\REV\XLS\1%20Curve\Nq15%20f=0,935%20test13%203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aring Life"/>
      <sheetName val="Bearings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  <sheetName val="Ra+losses_set1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o2"/>
      <sheetName val="Utility"/>
      <sheetName val="Foglio1"/>
      <sheetName val="Modulo_Dati_1"/>
      <sheetName val="Modulo_Dati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ng-tips.com/threads/maximum-allowable-tip-speed.322568/" TargetMode="External"/><Relationship Id="rId13" Type="http://schemas.openxmlformats.org/officeDocument/2006/relationships/hyperlink" Target="https://www.eng-tips.com/threads/maximum-allowable-tip-speed.322568/" TargetMode="External"/><Relationship Id="rId18" Type="http://schemas.openxmlformats.org/officeDocument/2006/relationships/hyperlink" Target="https://www.eng-tips.com/threads/maximum-allowable-tip-speed.322568/" TargetMode="External"/><Relationship Id="rId26" Type="http://schemas.openxmlformats.org/officeDocument/2006/relationships/hyperlink" Target="https://www.eng-tips.com/threads/maximum-allowable-tip-speed.322568/" TargetMode="External"/><Relationship Id="rId3" Type="http://schemas.openxmlformats.org/officeDocument/2006/relationships/hyperlink" Target="https://www.eng-tips.com/threads/maximum-allowable-tip-speed.322568/" TargetMode="External"/><Relationship Id="rId21" Type="http://schemas.openxmlformats.org/officeDocument/2006/relationships/hyperlink" Target="https://www.eng-tips.com/threads/maximum-allowable-tip-speed.322568/" TargetMode="External"/><Relationship Id="rId7" Type="http://schemas.openxmlformats.org/officeDocument/2006/relationships/hyperlink" Target="https://www.eng-tips.com/threads/maximum-allowable-tip-speed.322568/" TargetMode="External"/><Relationship Id="rId12" Type="http://schemas.openxmlformats.org/officeDocument/2006/relationships/hyperlink" Target="https://www.eng-tips.com/threads/maximum-allowable-tip-speed.322568/" TargetMode="External"/><Relationship Id="rId17" Type="http://schemas.openxmlformats.org/officeDocument/2006/relationships/hyperlink" Target="https://www.eng-tips.com/threads/maximum-allowable-tip-speed.322568/" TargetMode="External"/><Relationship Id="rId25" Type="http://schemas.openxmlformats.org/officeDocument/2006/relationships/hyperlink" Target="https://www.eng-tips.com/threads/maximum-allowable-tip-speed.322568/" TargetMode="External"/><Relationship Id="rId2" Type="http://schemas.openxmlformats.org/officeDocument/2006/relationships/hyperlink" Target="https://www.eng-tips.com/threads/maximum-allowable-tip-speed.322568/" TargetMode="External"/><Relationship Id="rId16" Type="http://schemas.openxmlformats.org/officeDocument/2006/relationships/hyperlink" Target="https://www.eng-tips.com/threads/maximum-allowable-tip-speed.322568/" TargetMode="External"/><Relationship Id="rId20" Type="http://schemas.openxmlformats.org/officeDocument/2006/relationships/hyperlink" Target="https://www.eng-tips.com/threads/maximum-allowable-tip-speed.322568/" TargetMode="External"/><Relationship Id="rId29" Type="http://schemas.openxmlformats.org/officeDocument/2006/relationships/drawing" Target="../drawings/drawing5.xml"/><Relationship Id="rId1" Type="http://schemas.openxmlformats.org/officeDocument/2006/relationships/hyperlink" Target="https://www.eng-tips.com/threads/maximum-allowable-tip-speed.322568/" TargetMode="External"/><Relationship Id="rId6" Type="http://schemas.openxmlformats.org/officeDocument/2006/relationships/hyperlink" Target="https://www.eng-tips.com/threads/maximum-allowable-tip-speed.322568/" TargetMode="External"/><Relationship Id="rId11" Type="http://schemas.openxmlformats.org/officeDocument/2006/relationships/hyperlink" Target="https://www.eng-tips.com/threads/maximum-allowable-tip-speed.322568/" TargetMode="External"/><Relationship Id="rId24" Type="http://schemas.openxmlformats.org/officeDocument/2006/relationships/hyperlink" Target="https://www.eng-tips.com/threads/maximum-allowable-tip-speed.322568/" TargetMode="External"/><Relationship Id="rId5" Type="http://schemas.openxmlformats.org/officeDocument/2006/relationships/hyperlink" Target="https://www.eng-tips.com/threads/maximum-allowable-tip-speed.322568/" TargetMode="External"/><Relationship Id="rId15" Type="http://schemas.openxmlformats.org/officeDocument/2006/relationships/hyperlink" Target="https://www.eng-tips.com/threads/maximum-allowable-tip-speed.322568/" TargetMode="External"/><Relationship Id="rId23" Type="http://schemas.openxmlformats.org/officeDocument/2006/relationships/hyperlink" Target="https://www.eng-tips.com/threads/maximum-allowable-tip-speed.322568/" TargetMode="External"/><Relationship Id="rId28" Type="http://schemas.openxmlformats.org/officeDocument/2006/relationships/hyperlink" Target="https://www.eng-tips.com/threads/maximum-allowable-tip-speed.322568/" TargetMode="External"/><Relationship Id="rId10" Type="http://schemas.openxmlformats.org/officeDocument/2006/relationships/hyperlink" Target="https://www.eng-tips.com/threads/maximum-allowable-tip-speed.322568/" TargetMode="External"/><Relationship Id="rId19" Type="http://schemas.openxmlformats.org/officeDocument/2006/relationships/hyperlink" Target="https://www.eng-tips.com/threads/maximum-allowable-tip-speed.322568/" TargetMode="External"/><Relationship Id="rId4" Type="http://schemas.openxmlformats.org/officeDocument/2006/relationships/hyperlink" Target="https://www.eng-tips.com/threads/maximum-allowable-tip-speed.322568/" TargetMode="External"/><Relationship Id="rId9" Type="http://schemas.openxmlformats.org/officeDocument/2006/relationships/hyperlink" Target="https://www.eng-tips.com/threads/maximum-allowable-tip-speed.322568/" TargetMode="External"/><Relationship Id="rId14" Type="http://schemas.openxmlformats.org/officeDocument/2006/relationships/hyperlink" Target="https://www.eng-tips.com/threads/maximum-allowable-tip-speed.322568/" TargetMode="External"/><Relationship Id="rId22" Type="http://schemas.openxmlformats.org/officeDocument/2006/relationships/hyperlink" Target="https://www.eng-tips.com/threads/maximum-allowable-tip-speed.322568/" TargetMode="External"/><Relationship Id="rId27" Type="http://schemas.openxmlformats.org/officeDocument/2006/relationships/hyperlink" Target="https://www.eng-tips.com/threads/maximum-allowable-tip-speed.322568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topLeftCell="A22" zoomScale="85" zoomScaleNormal="85" zoomScaleSheetLayoutView="100" workbookViewId="0">
      <selection activeCell="AJ48" sqref="AJ48"/>
    </sheetView>
  </sheetViews>
  <sheetFormatPr defaultRowHeight="12" x14ac:dyDescent="0.2"/>
  <cols>
    <col min="1" max="30" width="3.28515625" style="13" customWidth="1"/>
    <col min="31" max="256" width="9.140625" style="13"/>
    <col min="257" max="286" width="3.28515625" style="13" customWidth="1"/>
    <col min="287" max="512" width="9.140625" style="13"/>
    <col min="513" max="542" width="3.28515625" style="13" customWidth="1"/>
    <col min="543" max="768" width="9.140625" style="13"/>
    <col min="769" max="798" width="3.28515625" style="13" customWidth="1"/>
    <col min="799" max="1024" width="9.140625" style="13"/>
    <col min="1025" max="1054" width="3.28515625" style="13" customWidth="1"/>
    <col min="1055" max="1280" width="9.140625" style="13"/>
    <col min="1281" max="1310" width="3.28515625" style="13" customWidth="1"/>
    <col min="1311" max="1536" width="9.140625" style="13"/>
    <col min="1537" max="1566" width="3.28515625" style="13" customWidth="1"/>
    <col min="1567" max="1792" width="9.140625" style="13"/>
    <col min="1793" max="1822" width="3.28515625" style="13" customWidth="1"/>
    <col min="1823" max="2048" width="9.140625" style="13"/>
    <col min="2049" max="2078" width="3.28515625" style="13" customWidth="1"/>
    <col min="2079" max="2304" width="9.140625" style="13"/>
    <col min="2305" max="2334" width="3.28515625" style="13" customWidth="1"/>
    <col min="2335" max="2560" width="9.140625" style="13"/>
    <col min="2561" max="2590" width="3.28515625" style="13" customWidth="1"/>
    <col min="2591" max="2816" width="9.140625" style="13"/>
    <col min="2817" max="2846" width="3.28515625" style="13" customWidth="1"/>
    <col min="2847" max="3072" width="9.140625" style="13"/>
    <col min="3073" max="3102" width="3.28515625" style="13" customWidth="1"/>
    <col min="3103" max="3328" width="9.140625" style="13"/>
    <col min="3329" max="3358" width="3.28515625" style="13" customWidth="1"/>
    <col min="3359" max="3584" width="9.140625" style="13"/>
    <col min="3585" max="3614" width="3.28515625" style="13" customWidth="1"/>
    <col min="3615" max="3840" width="9.140625" style="13"/>
    <col min="3841" max="3870" width="3.28515625" style="13" customWidth="1"/>
    <col min="3871" max="4096" width="9.140625" style="13"/>
    <col min="4097" max="4126" width="3.28515625" style="13" customWidth="1"/>
    <col min="4127" max="4352" width="9.140625" style="13"/>
    <col min="4353" max="4382" width="3.28515625" style="13" customWidth="1"/>
    <col min="4383" max="4608" width="9.140625" style="13"/>
    <col min="4609" max="4638" width="3.28515625" style="13" customWidth="1"/>
    <col min="4639" max="4864" width="9.140625" style="13"/>
    <col min="4865" max="4894" width="3.28515625" style="13" customWidth="1"/>
    <col min="4895" max="5120" width="9.140625" style="13"/>
    <col min="5121" max="5150" width="3.28515625" style="13" customWidth="1"/>
    <col min="5151" max="5376" width="9.140625" style="13"/>
    <col min="5377" max="5406" width="3.28515625" style="13" customWidth="1"/>
    <col min="5407" max="5632" width="9.140625" style="13"/>
    <col min="5633" max="5662" width="3.28515625" style="13" customWidth="1"/>
    <col min="5663" max="5888" width="9.140625" style="13"/>
    <col min="5889" max="5918" width="3.28515625" style="13" customWidth="1"/>
    <col min="5919" max="6144" width="9.140625" style="13"/>
    <col min="6145" max="6174" width="3.28515625" style="13" customWidth="1"/>
    <col min="6175" max="6400" width="9.140625" style="13"/>
    <col min="6401" max="6430" width="3.28515625" style="13" customWidth="1"/>
    <col min="6431" max="6656" width="9.140625" style="13"/>
    <col min="6657" max="6686" width="3.28515625" style="13" customWidth="1"/>
    <col min="6687" max="6912" width="9.140625" style="13"/>
    <col min="6913" max="6942" width="3.28515625" style="13" customWidth="1"/>
    <col min="6943" max="7168" width="9.140625" style="13"/>
    <col min="7169" max="7198" width="3.28515625" style="13" customWidth="1"/>
    <col min="7199" max="7424" width="9.140625" style="13"/>
    <col min="7425" max="7454" width="3.28515625" style="13" customWidth="1"/>
    <col min="7455" max="7680" width="9.140625" style="13"/>
    <col min="7681" max="7710" width="3.28515625" style="13" customWidth="1"/>
    <col min="7711" max="7936" width="9.140625" style="13"/>
    <col min="7937" max="7966" width="3.28515625" style="13" customWidth="1"/>
    <col min="7967" max="8192" width="9.140625" style="13"/>
    <col min="8193" max="8222" width="3.28515625" style="13" customWidth="1"/>
    <col min="8223" max="8448" width="9.140625" style="13"/>
    <col min="8449" max="8478" width="3.28515625" style="13" customWidth="1"/>
    <col min="8479" max="8704" width="9.140625" style="13"/>
    <col min="8705" max="8734" width="3.28515625" style="13" customWidth="1"/>
    <col min="8735" max="8960" width="9.140625" style="13"/>
    <col min="8961" max="8990" width="3.28515625" style="13" customWidth="1"/>
    <col min="8991" max="9216" width="9.140625" style="13"/>
    <col min="9217" max="9246" width="3.28515625" style="13" customWidth="1"/>
    <col min="9247" max="9472" width="9.140625" style="13"/>
    <col min="9473" max="9502" width="3.28515625" style="13" customWidth="1"/>
    <col min="9503" max="9728" width="9.140625" style="13"/>
    <col min="9729" max="9758" width="3.28515625" style="13" customWidth="1"/>
    <col min="9759" max="9984" width="9.140625" style="13"/>
    <col min="9985" max="10014" width="3.28515625" style="13" customWidth="1"/>
    <col min="10015" max="10240" width="9.140625" style="13"/>
    <col min="10241" max="10270" width="3.28515625" style="13" customWidth="1"/>
    <col min="10271" max="10496" width="9.140625" style="13"/>
    <col min="10497" max="10526" width="3.28515625" style="13" customWidth="1"/>
    <col min="10527" max="10752" width="9.140625" style="13"/>
    <col min="10753" max="10782" width="3.28515625" style="13" customWidth="1"/>
    <col min="10783" max="11008" width="9.140625" style="13"/>
    <col min="11009" max="11038" width="3.28515625" style="13" customWidth="1"/>
    <col min="11039" max="11264" width="9.140625" style="13"/>
    <col min="11265" max="11294" width="3.28515625" style="13" customWidth="1"/>
    <col min="11295" max="11520" width="9.140625" style="13"/>
    <col min="11521" max="11550" width="3.28515625" style="13" customWidth="1"/>
    <col min="11551" max="11776" width="9.140625" style="13"/>
    <col min="11777" max="11806" width="3.28515625" style="13" customWidth="1"/>
    <col min="11807" max="12032" width="9.140625" style="13"/>
    <col min="12033" max="12062" width="3.28515625" style="13" customWidth="1"/>
    <col min="12063" max="12288" width="9.140625" style="13"/>
    <col min="12289" max="12318" width="3.28515625" style="13" customWidth="1"/>
    <col min="12319" max="12544" width="9.140625" style="13"/>
    <col min="12545" max="12574" width="3.28515625" style="13" customWidth="1"/>
    <col min="12575" max="12800" width="9.140625" style="13"/>
    <col min="12801" max="12830" width="3.28515625" style="13" customWidth="1"/>
    <col min="12831" max="13056" width="9.140625" style="13"/>
    <col min="13057" max="13086" width="3.28515625" style="13" customWidth="1"/>
    <col min="13087" max="13312" width="9.140625" style="13"/>
    <col min="13313" max="13342" width="3.28515625" style="13" customWidth="1"/>
    <col min="13343" max="13568" width="9.140625" style="13"/>
    <col min="13569" max="13598" width="3.28515625" style="13" customWidth="1"/>
    <col min="13599" max="13824" width="9.140625" style="13"/>
    <col min="13825" max="13854" width="3.28515625" style="13" customWidth="1"/>
    <col min="13855" max="14080" width="9.140625" style="13"/>
    <col min="14081" max="14110" width="3.28515625" style="13" customWidth="1"/>
    <col min="14111" max="14336" width="9.140625" style="13"/>
    <col min="14337" max="14366" width="3.28515625" style="13" customWidth="1"/>
    <col min="14367" max="14592" width="9.140625" style="13"/>
    <col min="14593" max="14622" width="3.28515625" style="13" customWidth="1"/>
    <col min="14623" max="14848" width="9.140625" style="13"/>
    <col min="14849" max="14878" width="3.28515625" style="13" customWidth="1"/>
    <col min="14879" max="15104" width="9.140625" style="13"/>
    <col min="15105" max="15134" width="3.28515625" style="13" customWidth="1"/>
    <col min="15135" max="15360" width="9.140625" style="13"/>
    <col min="15361" max="15390" width="3.28515625" style="13" customWidth="1"/>
    <col min="15391" max="15616" width="9.140625" style="13"/>
    <col min="15617" max="15646" width="3.28515625" style="13" customWidth="1"/>
    <col min="15647" max="15872" width="9.140625" style="13"/>
    <col min="15873" max="15902" width="3.28515625" style="13" customWidth="1"/>
    <col min="15903" max="16128" width="9.140625" style="13"/>
    <col min="16129" max="16158" width="3.28515625" style="13" customWidth="1"/>
    <col min="16159" max="16384" width="9.140625" style="13"/>
  </cols>
  <sheetData>
    <row r="1" spans="1:30" ht="15" customHeight="1" x14ac:dyDescent="0.2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2"/>
    </row>
    <row r="2" spans="1:30" ht="15" customHeight="1" x14ac:dyDescent="0.2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6"/>
    </row>
    <row r="3" spans="1:30" ht="15" customHeight="1" x14ac:dyDescent="0.2">
      <c r="A3" s="14"/>
      <c r="B3" s="15"/>
      <c r="C3" s="15"/>
      <c r="D3" s="15"/>
      <c r="E3" s="15"/>
      <c r="F3" s="15"/>
      <c r="G3" s="15"/>
      <c r="H3" s="17"/>
      <c r="I3" s="17"/>
      <c r="J3" s="17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9"/>
      <c r="X3" s="19"/>
      <c r="Y3" s="19"/>
      <c r="Z3" s="19"/>
      <c r="AA3" s="19"/>
      <c r="AB3" s="19"/>
      <c r="AC3" s="19"/>
      <c r="AD3" s="20"/>
    </row>
    <row r="4" spans="1:30" ht="15" customHeight="1" x14ac:dyDescent="0.2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0" ht="15" customHeight="1" x14ac:dyDescent="0.2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6"/>
    </row>
    <row r="6" spans="1:30" ht="15" customHeight="1" x14ac:dyDescent="0.2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6"/>
    </row>
    <row r="7" spans="1:30" ht="15" customHeight="1" thickBot="1" x14ac:dyDescent="0.25">
      <c r="A7" s="21"/>
      <c r="B7" s="22"/>
      <c r="C7" s="22"/>
      <c r="D7" s="22"/>
      <c r="E7" s="22"/>
      <c r="F7" s="23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22"/>
      <c r="AB7" s="22"/>
      <c r="AC7" s="22"/>
      <c r="AD7" s="24"/>
    </row>
    <row r="8" spans="1:30" ht="15" customHeight="1" x14ac:dyDescent="0.2">
      <c r="A8" s="183" t="s">
        <v>147</v>
      </c>
      <c r="B8" s="184"/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5"/>
    </row>
    <row r="9" spans="1:30" ht="15" customHeight="1" x14ac:dyDescent="0.2">
      <c r="A9" s="186"/>
      <c r="B9" s="187"/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8"/>
    </row>
    <row r="10" spans="1:30" ht="15" customHeight="1" x14ac:dyDescent="0.2">
      <c r="A10" s="186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8"/>
    </row>
    <row r="11" spans="1:30" ht="15" customHeight="1" x14ac:dyDescent="0.2">
      <c r="A11" s="186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8"/>
    </row>
    <row r="12" spans="1:30" ht="15" customHeight="1" x14ac:dyDescent="0.2">
      <c r="A12" s="186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8"/>
    </row>
    <row r="13" spans="1:30" ht="15" customHeight="1" x14ac:dyDescent="0.2">
      <c r="A13" s="186"/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8"/>
    </row>
    <row r="14" spans="1:30" ht="15" customHeight="1" x14ac:dyDescent="0.2">
      <c r="A14" s="186"/>
      <c r="B14" s="187"/>
      <c r="C14" s="187"/>
      <c r="D14" s="187"/>
      <c r="E14" s="187"/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8"/>
    </row>
    <row r="15" spans="1:30" ht="15" customHeight="1" x14ac:dyDescent="0.2">
      <c r="A15" s="186"/>
      <c r="B15" s="187"/>
      <c r="C15" s="187"/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8"/>
    </row>
    <row r="16" spans="1:30" ht="15" customHeight="1" x14ac:dyDescent="0.2">
      <c r="A16" s="186"/>
      <c r="B16" s="187"/>
      <c r="C16" s="187"/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8"/>
    </row>
    <row r="17" spans="1:30" ht="15" customHeight="1" x14ac:dyDescent="0.2">
      <c r="A17" s="186"/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8"/>
    </row>
    <row r="18" spans="1:30" ht="15" customHeight="1" x14ac:dyDescent="0.2">
      <c r="A18" s="186"/>
      <c r="B18" s="187"/>
      <c r="C18" s="187"/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8"/>
    </row>
    <row r="19" spans="1:30" ht="15" customHeight="1" x14ac:dyDescent="0.2">
      <c r="A19" s="186"/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8"/>
    </row>
    <row r="20" spans="1:30" ht="15" customHeight="1" x14ac:dyDescent="0.2">
      <c r="A20" s="186"/>
      <c r="B20" s="187"/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8"/>
    </row>
    <row r="21" spans="1:30" ht="15" customHeight="1" x14ac:dyDescent="0.2">
      <c r="A21" s="186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7"/>
      <c r="AD21" s="188"/>
    </row>
    <row r="22" spans="1:30" ht="15" customHeight="1" x14ac:dyDescent="0.2">
      <c r="A22" s="186"/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8"/>
    </row>
    <row r="23" spans="1:30" ht="15" customHeight="1" x14ac:dyDescent="0.2">
      <c r="A23" s="186"/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8"/>
    </row>
    <row r="24" spans="1:30" ht="15" customHeight="1" x14ac:dyDescent="0.2">
      <c r="A24" s="186"/>
      <c r="B24" s="187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8"/>
    </row>
    <row r="25" spans="1:30" ht="15" customHeight="1" x14ac:dyDescent="0.2">
      <c r="A25" s="186"/>
      <c r="B25" s="187"/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187"/>
      <c r="AD25" s="188"/>
    </row>
    <row r="26" spans="1:30" ht="15" customHeight="1" x14ac:dyDescent="0.2">
      <c r="A26" s="186"/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8"/>
    </row>
    <row r="27" spans="1:30" ht="15" customHeight="1" x14ac:dyDescent="0.2">
      <c r="A27" s="186"/>
      <c r="B27" s="187"/>
      <c r="C27" s="187"/>
      <c r="D27" s="187"/>
      <c r="E27" s="187"/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8"/>
    </row>
    <row r="28" spans="1:30" ht="15" customHeight="1" x14ac:dyDescent="0.2">
      <c r="A28" s="186"/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8"/>
    </row>
    <row r="29" spans="1:30" ht="15" customHeight="1" x14ac:dyDescent="0.2">
      <c r="A29" s="186"/>
      <c r="B29" s="187"/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8"/>
    </row>
    <row r="30" spans="1:30" ht="15" customHeight="1" x14ac:dyDescent="0.2">
      <c r="A30" s="186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8"/>
    </row>
    <row r="31" spans="1:30" ht="15" customHeight="1" x14ac:dyDescent="0.2">
      <c r="A31" s="186"/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8"/>
    </row>
    <row r="32" spans="1:30" ht="15" customHeight="1" x14ac:dyDescent="0.2">
      <c r="A32" s="186"/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  <c r="AB32" s="187"/>
      <c r="AC32" s="187"/>
      <c r="AD32" s="188"/>
    </row>
    <row r="33" spans="1:30" ht="15" customHeight="1" x14ac:dyDescent="0.2">
      <c r="A33" s="186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8"/>
    </row>
    <row r="34" spans="1:30" ht="15" customHeight="1" x14ac:dyDescent="0.2">
      <c r="A34" s="186"/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87"/>
      <c r="AD34" s="188"/>
    </row>
    <row r="35" spans="1:30" ht="15" customHeight="1" x14ac:dyDescent="0.2">
      <c r="A35" s="186"/>
      <c r="B35" s="187"/>
      <c r="C35" s="187"/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7"/>
      <c r="AA35" s="187"/>
      <c r="AB35" s="187"/>
      <c r="AC35" s="187"/>
      <c r="AD35" s="188"/>
    </row>
    <row r="36" spans="1:30" ht="15" customHeight="1" x14ac:dyDescent="0.2">
      <c r="A36" s="186"/>
      <c r="B36" s="187"/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  <c r="AB36" s="187"/>
      <c r="AC36" s="187"/>
      <c r="AD36" s="188"/>
    </row>
    <row r="37" spans="1:30" ht="15" customHeight="1" x14ac:dyDescent="0.2">
      <c r="A37" s="186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8"/>
    </row>
    <row r="38" spans="1:30" ht="15" customHeight="1" x14ac:dyDescent="0.2">
      <c r="A38" s="186"/>
      <c r="B38" s="187"/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8"/>
    </row>
    <row r="39" spans="1:30" ht="15" customHeight="1" thickBot="1" x14ac:dyDescent="0.25">
      <c r="A39" s="189"/>
      <c r="B39" s="190"/>
      <c r="C39" s="190"/>
      <c r="D39" s="190"/>
      <c r="E39" s="190"/>
      <c r="F39" s="190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0"/>
      <c r="AA39" s="190"/>
      <c r="AB39" s="190"/>
      <c r="AC39" s="190"/>
      <c r="AD39" s="191"/>
    </row>
    <row r="40" spans="1:30" ht="30" customHeight="1" x14ac:dyDescent="0.2">
      <c r="A40" s="192"/>
      <c r="B40" s="193"/>
      <c r="C40" s="194"/>
      <c r="D40" s="195"/>
      <c r="E40" s="195"/>
      <c r="F40" s="193"/>
      <c r="G40" s="194"/>
      <c r="H40" s="195"/>
      <c r="I40" s="195"/>
      <c r="J40" s="195"/>
      <c r="K40" s="195"/>
      <c r="L40" s="195"/>
      <c r="M40" s="195"/>
      <c r="N40" s="195"/>
      <c r="O40" s="195"/>
      <c r="P40" s="194"/>
      <c r="Q40" s="195"/>
      <c r="R40" s="195"/>
      <c r="S40" s="195"/>
      <c r="T40" s="193"/>
      <c r="U40" s="194"/>
      <c r="V40" s="195"/>
      <c r="W40" s="195"/>
      <c r="X40" s="195"/>
      <c r="Y40" s="193"/>
      <c r="Z40" s="194"/>
      <c r="AA40" s="195"/>
      <c r="AB40" s="195"/>
      <c r="AC40" s="195"/>
      <c r="AD40" s="196"/>
    </row>
    <row r="41" spans="1:30" ht="30" customHeight="1" x14ac:dyDescent="0.2">
      <c r="A41" s="170"/>
      <c r="B41" s="171"/>
      <c r="C41" s="172"/>
      <c r="D41" s="173"/>
      <c r="E41" s="173"/>
      <c r="F41" s="171"/>
      <c r="G41" s="172"/>
      <c r="H41" s="173"/>
      <c r="I41" s="173"/>
      <c r="J41" s="173"/>
      <c r="K41" s="173"/>
      <c r="L41" s="173"/>
      <c r="M41" s="173"/>
      <c r="N41" s="173"/>
      <c r="O41" s="173"/>
      <c r="P41" s="172"/>
      <c r="Q41" s="173"/>
      <c r="R41" s="173"/>
      <c r="S41" s="173"/>
      <c r="T41" s="171"/>
      <c r="U41" s="172"/>
      <c r="V41" s="173"/>
      <c r="W41" s="173"/>
      <c r="X41" s="173"/>
      <c r="Y41" s="171"/>
      <c r="Z41" s="172"/>
      <c r="AA41" s="173"/>
      <c r="AB41" s="173"/>
      <c r="AC41" s="173"/>
      <c r="AD41" s="174"/>
    </row>
    <row r="42" spans="1:30" ht="30" customHeight="1" x14ac:dyDescent="0.2">
      <c r="A42" s="170"/>
      <c r="B42" s="171"/>
      <c r="C42" s="172"/>
      <c r="D42" s="173"/>
      <c r="E42" s="173"/>
      <c r="F42" s="171"/>
      <c r="G42" s="172"/>
      <c r="H42" s="173"/>
      <c r="I42" s="173"/>
      <c r="J42" s="173"/>
      <c r="K42" s="173"/>
      <c r="L42" s="173"/>
      <c r="M42" s="173"/>
      <c r="N42" s="173"/>
      <c r="O42" s="173"/>
      <c r="P42" s="172"/>
      <c r="Q42" s="173"/>
      <c r="R42" s="173"/>
      <c r="S42" s="173"/>
      <c r="T42" s="171"/>
      <c r="U42" s="172"/>
      <c r="V42" s="173"/>
      <c r="W42" s="173"/>
      <c r="X42" s="173"/>
      <c r="Y42" s="171"/>
      <c r="Z42" s="172"/>
      <c r="AA42" s="173"/>
      <c r="AB42" s="173"/>
      <c r="AC42" s="173"/>
      <c r="AD42" s="174"/>
    </row>
    <row r="43" spans="1:30" ht="30" customHeight="1" x14ac:dyDescent="0.2">
      <c r="A43" s="170"/>
      <c r="B43" s="171"/>
      <c r="C43" s="172"/>
      <c r="D43" s="173"/>
      <c r="E43" s="173"/>
      <c r="F43" s="171"/>
      <c r="G43" s="172"/>
      <c r="H43" s="173"/>
      <c r="I43" s="173"/>
      <c r="J43" s="173"/>
      <c r="K43" s="173"/>
      <c r="L43" s="173"/>
      <c r="M43" s="173"/>
      <c r="N43" s="173"/>
      <c r="O43" s="173"/>
      <c r="P43" s="172"/>
      <c r="Q43" s="173"/>
      <c r="R43" s="173"/>
      <c r="S43" s="173"/>
      <c r="T43" s="171"/>
      <c r="U43" s="172"/>
      <c r="V43" s="173"/>
      <c r="W43" s="173"/>
      <c r="X43" s="173"/>
      <c r="Y43" s="171"/>
      <c r="Z43" s="172"/>
      <c r="AA43" s="173"/>
      <c r="AB43" s="173"/>
      <c r="AC43" s="173"/>
      <c r="AD43" s="174"/>
    </row>
    <row r="44" spans="1:30" ht="30" customHeight="1" x14ac:dyDescent="0.2">
      <c r="A44" s="170"/>
      <c r="B44" s="171"/>
      <c r="C44" s="172"/>
      <c r="D44" s="173"/>
      <c r="E44" s="173"/>
      <c r="F44" s="171"/>
      <c r="G44" s="172"/>
      <c r="H44" s="173"/>
      <c r="I44" s="173"/>
      <c r="J44" s="173"/>
      <c r="K44" s="173"/>
      <c r="L44" s="173"/>
      <c r="M44" s="173"/>
      <c r="N44" s="173"/>
      <c r="O44" s="173"/>
      <c r="P44" s="172"/>
      <c r="Q44" s="173"/>
      <c r="R44" s="173"/>
      <c r="S44" s="173"/>
      <c r="T44" s="171"/>
      <c r="U44" s="172"/>
      <c r="V44" s="173"/>
      <c r="W44" s="173"/>
      <c r="X44" s="173"/>
      <c r="Y44" s="171"/>
      <c r="Z44" s="172"/>
      <c r="AA44" s="173"/>
      <c r="AB44" s="173"/>
      <c r="AC44" s="173"/>
      <c r="AD44" s="174"/>
    </row>
    <row r="45" spans="1:30" ht="30" customHeight="1" x14ac:dyDescent="0.2">
      <c r="A45" s="170"/>
      <c r="B45" s="171"/>
      <c r="C45" s="172"/>
      <c r="D45" s="173"/>
      <c r="E45" s="173"/>
      <c r="F45" s="171"/>
      <c r="G45" s="172"/>
      <c r="H45" s="173"/>
      <c r="I45" s="173"/>
      <c r="J45" s="173"/>
      <c r="K45" s="173"/>
      <c r="L45" s="173"/>
      <c r="M45" s="173"/>
      <c r="N45" s="173"/>
      <c r="O45" s="173"/>
      <c r="P45" s="172"/>
      <c r="Q45" s="173"/>
      <c r="R45" s="173"/>
      <c r="S45" s="173"/>
      <c r="T45" s="171"/>
      <c r="U45" s="172"/>
      <c r="V45" s="173"/>
      <c r="W45" s="173"/>
      <c r="X45" s="173"/>
      <c r="Y45" s="171"/>
      <c r="Z45" s="172"/>
      <c r="AA45" s="173"/>
      <c r="AB45" s="173"/>
      <c r="AC45" s="173"/>
      <c r="AD45" s="174"/>
    </row>
    <row r="46" spans="1:30" ht="35.25" customHeight="1" x14ac:dyDescent="0.2">
      <c r="A46" s="175">
        <v>0</v>
      </c>
      <c r="B46" s="176"/>
      <c r="C46" s="177">
        <v>46003</v>
      </c>
      <c r="D46" s="178"/>
      <c r="E46" s="178"/>
      <c r="F46" s="179"/>
      <c r="G46" s="180" t="s">
        <v>0</v>
      </c>
      <c r="H46" s="181"/>
      <c r="I46" s="181"/>
      <c r="J46" s="181"/>
      <c r="K46" s="181"/>
      <c r="L46" s="181"/>
      <c r="M46" s="181"/>
      <c r="N46" s="181"/>
      <c r="O46" s="181"/>
      <c r="P46" s="167" t="s">
        <v>144</v>
      </c>
      <c r="Q46" s="168"/>
      <c r="R46" s="168"/>
      <c r="S46" s="168"/>
      <c r="T46" s="182"/>
      <c r="U46" s="167" t="s">
        <v>145</v>
      </c>
      <c r="V46" s="168"/>
      <c r="W46" s="168"/>
      <c r="X46" s="168"/>
      <c r="Y46" s="182"/>
      <c r="Z46" s="167" t="s">
        <v>146</v>
      </c>
      <c r="AA46" s="168"/>
      <c r="AB46" s="168"/>
      <c r="AC46" s="168"/>
      <c r="AD46" s="169"/>
    </row>
    <row r="47" spans="1:30" ht="15" customHeight="1" thickBot="1" x14ac:dyDescent="0.25">
      <c r="A47" s="161" t="s">
        <v>1</v>
      </c>
      <c r="B47" s="162"/>
      <c r="C47" s="163" t="s">
        <v>2</v>
      </c>
      <c r="D47" s="164"/>
      <c r="E47" s="164"/>
      <c r="F47" s="165"/>
      <c r="G47" s="163" t="s">
        <v>3</v>
      </c>
      <c r="H47" s="164"/>
      <c r="I47" s="164"/>
      <c r="J47" s="164"/>
      <c r="K47" s="164"/>
      <c r="L47" s="164"/>
      <c r="M47" s="164"/>
      <c r="N47" s="164"/>
      <c r="O47" s="164"/>
      <c r="P47" s="163" t="s">
        <v>4</v>
      </c>
      <c r="Q47" s="164"/>
      <c r="R47" s="164"/>
      <c r="S47" s="164"/>
      <c r="T47" s="165"/>
      <c r="U47" s="163" t="s">
        <v>5</v>
      </c>
      <c r="V47" s="164"/>
      <c r="W47" s="164"/>
      <c r="X47" s="164"/>
      <c r="Y47" s="164"/>
      <c r="Z47" s="163" t="s">
        <v>6</v>
      </c>
      <c r="AA47" s="164"/>
      <c r="AB47" s="164"/>
      <c r="AC47" s="164"/>
      <c r="AD47" s="166"/>
    </row>
    <row r="48" spans="1:30" ht="15" customHeight="1" thickBot="1" x14ac:dyDescent="0.25">
      <c r="A48" s="158" t="s">
        <v>148</v>
      </c>
      <c r="B48" s="159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60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X49"/>
  <sheetViews>
    <sheetView zoomScale="115" zoomScaleNormal="115" workbookViewId="0">
      <selection activeCell="K12" sqref="K12:L12"/>
    </sheetView>
  </sheetViews>
  <sheetFormatPr defaultColWidth="9.140625" defaultRowHeight="18" x14ac:dyDescent="0.25"/>
  <cols>
    <col min="1" max="1" width="7.5703125" style="68" customWidth="1"/>
    <col min="2" max="2" width="7.7109375" style="68" customWidth="1"/>
    <col min="3" max="3" width="24.5703125" style="68" customWidth="1"/>
    <col min="4" max="4" width="12.42578125" style="68" customWidth="1"/>
    <col min="5" max="5" width="15.28515625" style="68" customWidth="1"/>
    <col min="6" max="6" width="9.5703125" style="68" customWidth="1"/>
    <col min="7" max="7" width="12.5703125" style="68" customWidth="1"/>
    <col min="8" max="8" width="12.140625" style="68" customWidth="1"/>
    <col min="9" max="9" width="31.28515625" style="68" customWidth="1"/>
    <col min="10" max="10" width="25" style="68" customWidth="1"/>
    <col min="11" max="11" width="11.140625" style="68" customWidth="1"/>
    <col min="12" max="12" width="11.28515625" style="68" customWidth="1"/>
    <col min="13" max="13" width="5.85546875" style="68" customWidth="1"/>
    <col min="14" max="14" width="10.28515625" style="68" customWidth="1"/>
    <col min="15" max="19" width="0" style="68" hidden="1" customWidth="1"/>
    <col min="20" max="20" width="9.140625" style="68"/>
    <col min="21" max="21" width="12.28515625" style="68" bestFit="1" customWidth="1"/>
    <col min="22" max="22" width="11.85546875" style="68" customWidth="1"/>
    <col min="23" max="16384" width="9.140625" style="68"/>
  </cols>
  <sheetData>
    <row r="1" spans="1:24" ht="18.75" customHeight="1" x14ac:dyDescent="0.25">
      <c r="A1" s="212"/>
      <c r="B1" s="213"/>
      <c r="C1" s="213"/>
      <c r="D1" s="213"/>
      <c r="E1" s="214"/>
      <c r="F1" s="203" t="s">
        <v>7</v>
      </c>
      <c r="G1" s="204"/>
      <c r="H1" s="204"/>
      <c r="I1" s="204"/>
      <c r="J1" s="204"/>
      <c r="K1" s="204"/>
      <c r="L1" s="204"/>
      <c r="M1" s="205"/>
    </row>
    <row r="2" spans="1:24" ht="18.75" customHeight="1" x14ac:dyDescent="0.25">
      <c r="A2" s="215"/>
      <c r="B2" s="216"/>
      <c r="C2" s="216"/>
      <c r="D2" s="216"/>
      <c r="E2" s="217"/>
      <c r="F2" s="206"/>
      <c r="G2" s="207"/>
      <c r="H2" s="207"/>
      <c r="I2" s="207"/>
      <c r="J2" s="207"/>
      <c r="K2" s="207"/>
      <c r="L2" s="207"/>
      <c r="M2" s="208"/>
    </row>
    <row r="3" spans="1:24" ht="18.75" customHeight="1" x14ac:dyDescent="0.25">
      <c r="A3" s="218"/>
      <c r="B3" s="219"/>
      <c r="C3" s="219"/>
      <c r="D3" s="219"/>
      <c r="E3" s="220"/>
      <c r="F3" s="209"/>
      <c r="G3" s="210"/>
      <c r="H3" s="210"/>
      <c r="I3" s="210"/>
      <c r="J3" s="210"/>
      <c r="K3" s="210"/>
      <c r="L3" s="210"/>
      <c r="M3" s="211"/>
    </row>
    <row r="4" spans="1:24" ht="18.75" x14ac:dyDescent="0.3">
      <c r="A4" s="69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1"/>
    </row>
    <row r="5" spans="1:24" ht="18.75" x14ac:dyDescent="0.3">
      <c r="A5" s="72"/>
      <c r="B5" s="73" t="s">
        <v>8</v>
      </c>
      <c r="C5" s="74"/>
      <c r="D5" s="75"/>
      <c r="E5" s="76"/>
      <c r="F5" s="77"/>
      <c r="G5" s="77"/>
      <c r="H5" s="78"/>
      <c r="I5" s="78"/>
      <c r="J5" s="78"/>
      <c r="K5" s="78"/>
      <c r="L5" s="78"/>
      <c r="M5" s="79"/>
    </row>
    <row r="6" spans="1:24" ht="18.75" x14ac:dyDescent="0.3">
      <c r="A6" s="72"/>
      <c r="B6" s="73" t="s">
        <v>9</v>
      </c>
      <c r="C6" s="74"/>
      <c r="D6" s="75"/>
      <c r="E6" s="76"/>
      <c r="F6" s="77"/>
      <c r="G6" s="77"/>
      <c r="H6" s="78"/>
      <c r="I6" s="78"/>
      <c r="J6" s="78"/>
      <c r="K6" s="78"/>
      <c r="L6" s="78"/>
      <c r="M6" s="79"/>
    </row>
    <row r="7" spans="1:24" ht="18.75" x14ac:dyDescent="0.3">
      <c r="A7" s="72"/>
      <c r="B7" s="73" t="s">
        <v>10</v>
      </c>
      <c r="C7" s="74"/>
      <c r="D7" s="75"/>
      <c r="E7" s="80"/>
      <c r="F7" s="81"/>
      <c r="G7" s="81"/>
      <c r="H7" s="78"/>
      <c r="I7" s="78"/>
      <c r="J7" s="78"/>
      <c r="K7" s="78"/>
      <c r="L7" s="78"/>
      <c r="M7" s="79"/>
    </row>
    <row r="8" spans="1:24" ht="18.75" x14ac:dyDescent="0.3">
      <c r="A8" s="72"/>
      <c r="B8" s="78"/>
      <c r="C8" s="82"/>
      <c r="D8" s="82"/>
      <c r="E8" s="78"/>
      <c r="F8" s="78"/>
      <c r="G8" s="78"/>
      <c r="H8" s="78"/>
      <c r="I8" s="78"/>
      <c r="M8" s="79"/>
      <c r="X8" s="83"/>
    </row>
    <row r="9" spans="1:24" ht="18.75" x14ac:dyDescent="0.3">
      <c r="A9" s="72"/>
      <c r="B9" s="31" t="s">
        <v>11</v>
      </c>
      <c r="C9" s="84"/>
      <c r="D9" s="84"/>
      <c r="E9" s="75"/>
      <c r="F9" s="78"/>
      <c r="G9" s="78"/>
      <c r="H9" s="78"/>
      <c r="I9" s="229" t="s">
        <v>12</v>
      </c>
      <c r="J9" s="227" t="s">
        <v>13</v>
      </c>
      <c r="K9" s="227"/>
      <c r="L9" s="227"/>
      <c r="M9" s="79"/>
    </row>
    <row r="10" spans="1:24" ht="18.75" x14ac:dyDescent="0.3">
      <c r="A10" s="72"/>
      <c r="B10" s="73" t="s">
        <v>14</v>
      </c>
      <c r="C10" s="74"/>
      <c r="D10" s="75"/>
      <c r="E10" s="85" t="s">
        <v>15</v>
      </c>
      <c r="F10" s="78"/>
      <c r="G10" s="86" t="str">
        <f>+IF(E10=setup!B6,setup!B5,setup!B6)</f>
        <v>US</v>
      </c>
      <c r="H10" s="78"/>
      <c r="I10" s="229"/>
      <c r="J10" s="146" t="str">
        <f>IF($J$9="Slurry","slurry particle data","")</f>
        <v/>
      </c>
      <c r="K10" s="147"/>
      <c r="L10" s="148"/>
      <c r="M10" s="79"/>
    </row>
    <row r="11" spans="1:24" ht="18.75" x14ac:dyDescent="0.3">
      <c r="A11" s="72"/>
      <c r="B11" s="73" t="s">
        <v>16</v>
      </c>
      <c r="C11" s="74"/>
      <c r="D11" s="75"/>
      <c r="E11" s="87">
        <v>8100</v>
      </c>
      <c r="F11" s="78" t="s">
        <v>17</v>
      </c>
      <c r="G11" s="88">
        <f>+E11</f>
        <v>8100</v>
      </c>
      <c r="H11" s="78" t="s">
        <v>17</v>
      </c>
      <c r="I11" s="229"/>
      <c r="J11" s="149" t="str">
        <f>IF(J9="Slurry","dimension [mm]",IF(J9="Hydrocarbon","Overhung pump? (y or n)",""))</f>
        <v/>
      </c>
      <c r="K11" s="231" t="str">
        <f>IF($J$9="Slurry","mass concentration [%]","")</f>
        <v/>
      </c>
      <c r="L11" s="232"/>
      <c r="M11" s="79"/>
      <c r="T11" s="151"/>
      <c r="U11" s="151"/>
    </row>
    <row r="12" spans="1:24" ht="18.75" x14ac:dyDescent="0.3">
      <c r="A12" s="72"/>
      <c r="B12" s="73" t="s">
        <v>18</v>
      </c>
      <c r="C12" s="74"/>
      <c r="D12" s="75"/>
      <c r="E12" s="87">
        <v>1433</v>
      </c>
      <c r="F12" s="78" t="str">
        <f>+IF($E$10=setup!$B$6,"m3/h","GPM")</f>
        <v>m3/h</v>
      </c>
      <c r="G12" s="88">
        <f>+IF($G$10=setup!$B$5,Input_Output!E12/0.227,Input_Output!E12*0.227)</f>
        <v>6312.7753303964755</v>
      </c>
      <c r="H12" s="78" t="str">
        <f>+IF($E$10=setup!$B$5,"m3/h","GPM")</f>
        <v>GPM</v>
      </c>
      <c r="I12" s="229"/>
      <c r="J12" s="145"/>
      <c r="K12" s="230"/>
      <c r="L12" s="230"/>
      <c r="M12" s="79"/>
    </row>
    <row r="13" spans="1:24" ht="18.75" x14ac:dyDescent="0.3">
      <c r="A13" s="72"/>
      <c r="B13" s="73" t="s">
        <v>19</v>
      </c>
      <c r="C13" s="74"/>
      <c r="D13" s="75"/>
      <c r="E13" s="87">
        <v>831</v>
      </c>
      <c r="F13" s="78" t="str">
        <f>+IF(E10=setup!B6,"m","ft")</f>
        <v>m</v>
      </c>
      <c r="G13" s="88">
        <f>+IF($G$10=setup!$B$5,Input_Output!E13*0.3048,Input_Output!E13/0.3048)</f>
        <v>253.28880000000001</v>
      </c>
      <c r="H13" s="78" t="str">
        <f>+IF($E$10=setup!$B$5,"m","ft")</f>
        <v>ft</v>
      </c>
      <c r="I13" s="78"/>
      <c r="J13" s="78"/>
      <c r="K13" s="78"/>
      <c r="L13" s="78"/>
      <c r="M13" s="79"/>
    </row>
    <row r="14" spans="1:24" ht="18.75" x14ac:dyDescent="0.3">
      <c r="A14" s="72"/>
      <c r="B14" s="73" t="s">
        <v>20</v>
      </c>
      <c r="C14" s="74"/>
      <c r="D14" s="75"/>
      <c r="E14" s="87">
        <v>275</v>
      </c>
      <c r="F14" s="78" t="str">
        <f>+IF($E$10=setup!$B$6,"mm","inch")</f>
        <v>mm</v>
      </c>
      <c r="G14" s="88">
        <f>+IF($G$10=setup!$B$5,Input_Output!E14/25.4,Input_Output!E14*25.4)</f>
        <v>10.826771653543307</v>
      </c>
      <c r="H14" s="78" t="str">
        <f>+IF($E$10=setup!$B$5,"mm","inch")</f>
        <v>inch</v>
      </c>
      <c r="I14" s="73" t="s">
        <v>21</v>
      </c>
      <c r="J14" s="224" t="s">
        <v>22</v>
      </c>
      <c r="K14" s="225"/>
      <c r="L14" s="226"/>
      <c r="M14" s="79"/>
    </row>
    <row r="15" spans="1:24" ht="18.75" x14ac:dyDescent="0.3">
      <c r="A15" s="72"/>
      <c r="B15" s="73" t="s">
        <v>23</v>
      </c>
      <c r="C15" s="74"/>
      <c r="D15" s="75"/>
      <c r="E15" s="87">
        <v>1</v>
      </c>
      <c r="F15" s="78"/>
      <c r="G15" s="78"/>
      <c r="H15" s="78"/>
      <c r="I15" s="78"/>
      <c r="J15" s="78"/>
      <c r="K15" s="78"/>
      <c r="L15" s="78"/>
      <c r="M15" s="79"/>
    </row>
    <row r="16" spans="1:24" ht="18.75" x14ac:dyDescent="0.3">
      <c r="A16" s="72"/>
      <c r="B16" s="73" t="s">
        <v>24</v>
      </c>
      <c r="C16" s="74"/>
      <c r="D16" s="75"/>
      <c r="E16" s="87" t="s">
        <v>25</v>
      </c>
      <c r="F16" s="78"/>
      <c r="G16" s="78"/>
      <c r="I16" s="78"/>
      <c r="J16" s="78"/>
      <c r="K16" s="78"/>
      <c r="L16" s="78"/>
      <c r="M16" s="79"/>
    </row>
    <row r="17" spans="1:13" ht="18.75" x14ac:dyDescent="0.3">
      <c r="A17" s="72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9"/>
    </row>
    <row r="18" spans="1:13" ht="18.75" x14ac:dyDescent="0.3">
      <c r="A18" s="72"/>
      <c r="B18" s="78"/>
      <c r="C18" s="78"/>
      <c r="D18" s="78"/>
      <c r="E18" s="78"/>
      <c r="F18" s="78"/>
      <c r="G18" s="78"/>
      <c r="H18" s="78"/>
      <c r="I18" s="78"/>
      <c r="J18" s="78"/>
      <c r="K18" s="78"/>
      <c r="M18" s="79"/>
    </row>
    <row r="19" spans="1:13" ht="18.75" x14ac:dyDescent="0.3">
      <c r="A19" s="74"/>
      <c r="B19" s="74" t="s">
        <v>26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</row>
    <row r="20" spans="1:13" ht="18.75" x14ac:dyDescent="0.3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9"/>
    </row>
    <row r="21" spans="1:13" ht="18.75" x14ac:dyDescent="0.3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9"/>
    </row>
    <row r="22" spans="1:13" ht="18.75" x14ac:dyDescent="0.3">
      <c r="A22" s="78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9"/>
    </row>
    <row r="23" spans="1:13" ht="18.75" x14ac:dyDescent="0.3">
      <c r="A23" s="78"/>
      <c r="B23" s="78"/>
      <c r="C23" s="78"/>
      <c r="D23" s="78"/>
      <c r="E23" s="78"/>
      <c r="F23" s="99" t="s">
        <v>15</v>
      </c>
      <c r="G23" s="99" t="s">
        <v>27</v>
      </c>
      <c r="H23" s="78"/>
      <c r="I23" s="78"/>
      <c r="J23" s="78"/>
      <c r="K23" s="78"/>
      <c r="L23" s="78"/>
      <c r="M23" s="79"/>
    </row>
    <row r="24" spans="1:13" ht="15.6" customHeight="1" x14ac:dyDescent="0.3">
      <c r="A24" s="89"/>
      <c r="B24" s="78"/>
      <c r="C24" s="98" t="s">
        <v>28</v>
      </c>
      <c r="D24" s="98"/>
      <c r="E24" s="98"/>
      <c r="F24" s="100">
        <f>+'Metric Conversion'!E21</f>
        <v>33.018405427382731</v>
      </c>
      <c r="G24" s="100">
        <f>+F24*51.64</f>
        <v>1705.0704562700444</v>
      </c>
      <c r="H24" s="89"/>
      <c r="I24" s="78"/>
      <c r="J24" s="78"/>
      <c r="K24" s="78"/>
      <c r="L24" s="78"/>
      <c r="M24" s="79"/>
    </row>
    <row r="25" spans="1:13" ht="15.6" customHeight="1" x14ac:dyDescent="0.3">
      <c r="A25" s="90"/>
      <c r="B25" s="78"/>
      <c r="C25" s="98" t="s">
        <v>29</v>
      </c>
      <c r="D25" s="98"/>
      <c r="E25" s="98"/>
      <c r="F25" s="100">
        <f>+'Metric Conversion'!E22</f>
        <v>116.63162726452107</v>
      </c>
      <c r="G25" s="100">
        <f>+F25/0.3048</f>
        <v>382.64969574974106</v>
      </c>
      <c r="H25" s="89"/>
      <c r="I25" s="78"/>
      <c r="J25" s="78"/>
      <c r="K25" s="78"/>
      <c r="L25" s="78"/>
      <c r="M25" s="79"/>
    </row>
    <row r="26" spans="1:13" ht="20.45" customHeight="1" x14ac:dyDescent="0.3">
      <c r="A26" s="78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9"/>
    </row>
    <row r="27" spans="1:13" ht="16.149999999999999" customHeight="1" x14ac:dyDescent="0.3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9"/>
    </row>
    <row r="28" spans="1:13" ht="18.75" x14ac:dyDescent="0.3">
      <c r="A28" s="78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9"/>
    </row>
    <row r="29" spans="1:13" ht="18.75" x14ac:dyDescent="0.3">
      <c r="A29" s="78"/>
      <c r="B29" s="98" t="s">
        <v>30</v>
      </c>
      <c r="C29" s="98"/>
      <c r="D29" s="98"/>
      <c r="E29" s="98"/>
      <c r="F29" s="100">
        <f>+'Metric Conversion'!E29</f>
        <v>123.73877194586007</v>
      </c>
      <c r="G29" s="100">
        <f>+F29/0.3048</f>
        <v>405.96709955990832</v>
      </c>
      <c r="H29" s="78"/>
      <c r="I29" s="228" t="str">
        <f>+IF('Metric Conversion'!F29="NOT VERIFIED","Tip Speed velocity exceeds high energy criteria, reduce the motor speed or impeller diameter",IF('Metric Conversion'!F30="NOT VERIFIED","Tip Speed velocity exceeds material criteria, change material or reduce the motor speed or the impeller diameter","Tip Speed velocity inside the limit"))</f>
        <v>Tip Speed velocity exceeds material criteria, change material or reduce the motor speed or the impeller diameter</v>
      </c>
      <c r="J29" s="228"/>
      <c r="K29" s="228"/>
      <c r="L29" s="78"/>
      <c r="M29" s="79"/>
    </row>
    <row r="30" spans="1:13" ht="18.75" x14ac:dyDescent="0.3">
      <c r="A30" s="78"/>
      <c r="B30" s="74" t="s">
        <v>31</v>
      </c>
      <c r="C30" s="74"/>
      <c r="D30" s="74"/>
      <c r="E30" s="74"/>
      <c r="F30" s="101">
        <f>+'Metric Conversion'!E30</f>
        <v>108.93994338553748</v>
      </c>
      <c r="G30" s="101">
        <f>+F30/0.3048</f>
        <v>357.41451241974238</v>
      </c>
      <c r="H30" s="78"/>
      <c r="I30" s="228"/>
      <c r="J30" s="228"/>
      <c r="K30" s="228"/>
      <c r="L30" s="78"/>
      <c r="M30" s="79"/>
    </row>
    <row r="31" spans="1:13" ht="18.75" x14ac:dyDescent="0.3">
      <c r="A31" s="78"/>
      <c r="B31" s="78"/>
      <c r="C31" s="78"/>
      <c r="D31" s="78"/>
      <c r="E31" s="78"/>
      <c r="F31" s="78"/>
      <c r="G31" s="78"/>
      <c r="H31" s="78"/>
      <c r="I31" s="228"/>
      <c r="J31" s="228"/>
      <c r="K31" s="228"/>
      <c r="L31" s="78"/>
      <c r="M31" s="79"/>
    </row>
    <row r="32" spans="1:13" ht="18.75" x14ac:dyDescent="0.3">
      <c r="A32" s="78"/>
      <c r="B32" s="78"/>
      <c r="C32" s="78"/>
      <c r="D32" s="78"/>
      <c r="E32" s="78"/>
      <c r="F32" s="78"/>
      <c r="G32" s="78"/>
      <c r="H32" s="78"/>
      <c r="I32" s="228"/>
      <c r="J32" s="228"/>
      <c r="K32" s="228"/>
      <c r="L32" s="78"/>
      <c r="M32" s="79"/>
    </row>
    <row r="33" spans="1:18" ht="18.75" x14ac:dyDescent="0.3">
      <c r="A33" s="78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9"/>
    </row>
    <row r="34" spans="1:18" ht="18.75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9"/>
    </row>
    <row r="35" spans="1:18" ht="18.75" x14ac:dyDescent="0.3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9"/>
    </row>
    <row r="36" spans="1:18" ht="18.75" x14ac:dyDescent="0.3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9"/>
    </row>
    <row r="37" spans="1:18" ht="18.75" x14ac:dyDescent="0.3">
      <c r="A37" s="78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9"/>
      <c r="N37" s="91"/>
    </row>
    <row r="38" spans="1:18" ht="18.75" x14ac:dyDescent="0.3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9"/>
    </row>
    <row r="39" spans="1:18" ht="19.5" thickBot="1" x14ac:dyDescent="0.35">
      <c r="A39" s="78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9"/>
    </row>
    <row r="40" spans="1:18" ht="19.5" thickBot="1" x14ac:dyDescent="0.35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9"/>
      <c r="O40" s="92"/>
      <c r="R40" s="92"/>
    </row>
    <row r="41" spans="1:18" ht="18.75" x14ac:dyDescent="0.3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9"/>
    </row>
    <row r="42" spans="1:18" ht="18.75" x14ac:dyDescent="0.3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9"/>
    </row>
    <row r="43" spans="1:18" ht="18.75" x14ac:dyDescent="0.3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9"/>
    </row>
    <row r="44" spans="1:18" ht="18.75" x14ac:dyDescent="0.3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9"/>
    </row>
    <row r="45" spans="1:18" ht="18.75" x14ac:dyDescent="0.3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9"/>
    </row>
    <row r="46" spans="1:18" ht="7.9" customHeight="1" x14ac:dyDescent="0.3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9"/>
    </row>
    <row r="47" spans="1:18" ht="20.45" customHeight="1" x14ac:dyDescent="0.3">
      <c r="A47" s="221" t="s">
        <v>32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3"/>
    </row>
    <row r="48" spans="1:18" ht="37.15" customHeight="1" x14ac:dyDescent="0.25">
      <c r="A48" s="197" t="s">
        <v>33</v>
      </c>
      <c r="B48" s="198"/>
      <c r="C48" s="198"/>
      <c r="D48" s="198"/>
      <c r="E48" s="198"/>
      <c r="F48" s="198"/>
      <c r="G48" s="198"/>
      <c r="H48" s="198"/>
      <c r="I48" s="198"/>
      <c r="J48" s="198"/>
      <c r="K48" s="198"/>
      <c r="L48" s="198"/>
      <c r="M48" s="199"/>
    </row>
    <row r="49" spans="1:13" ht="103.9" customHeight="1" x14ac:dyDescent="0.25">
      <c r="A49" s="200"/>
      <c r="B49" s="201"/>
      <c r="C49" s="201"/>
      <c r="D49" s="201"/>
      <c r="E49" s="201"/>
      <c r="F49" s="201"/>
      <c r="G49" s="201"/>
      <c r="H49" s="201"/>
      <c r="I49" s="201"/>
      <c r="J49" s="201"/>
      <c r="K49" s="201"/>
      <c r="L49" s="201"/>
      <c r="M49" s="202"/>
    </row>
  </sheetData>
  <mergeCells count="10">
    <mergeCell ref="A48:M49"/>
    <mergeCell ref="F1:M3"/>
    <mergeCell ref="A1:E3"/>
    <mergeCell ref="A47:M47"/>
    <mergeCell ref="J14:L14"/>
    <mergeCell ref="J9:L9"/>
    <mergeCell ref="I29:K32"/>
    <mergeCell ref="I9:I12"/>
    <mergeCell ref="K12:L12"/>
    <mergeCell ref="K11:L11"/>
  </mergeCells>
  <phoneticPr fontId="15" type="noConversion"/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A2B8D3C-CC52-4653-9A83-BC14AC1202F9}">
          <x14:formula1>
            <xm:f>setup!$B$5:$B$6</xm:f>
          </x14:formula1>
          <xm:sqref>E10</xm:sqref>
        </x14:dataValidation>
        <x14:dataValidation type="list" allowBlank="1" showInputMessage="1" showErrorMessage="1" xr:uid="{66AF076D-8E08-4916-A8DA-3C177D10B21D}">
          <x14:formula1>
            <xm:f>setup!$G$5:$G$22</xm:f>
          </x14:formula1>
          <xm:sqref>J14</xm:sqref>
        </x14:dataValidation>
        <x14:dataValidation type="list" allowBlank="1" showInputMessage="1" showErrorMessage="1" xr:uid="{DA3C65AC-A35D-401C-A8A1-DFEAFDDB3706}">
          <x14:formula1>
            <xm:f>setup!$C$5:$C$10</xm:f>
          </x14:formula1>
          <xm:sqref>J9:L9</xm:sqref>
        </x14:dataValidation>
        <x14:dataValidation type="list" allowBlank="1" showInputMessage="1" showErrorMessage="1" xr:uid="{3299EDA9-FC7A-458A-8D28-7DF1663DF053}">
          <x14:formula1>
            <xm:f>setup!$F$5:$F$6</xm:f>
          </x14:formula1>
          <xm:sqref>E16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1:Q36"/>
  <sheetViews>
    <sheetView topLeftCell="F1" zoomScale="130" zoomScaleNormal="130" workbookViewId="0">
      <selection activeCell="C5" sqref="C5:C10"/>
    </sheetView>
  </sheetViews>
  <sheetFormatPr defaultRowHeight="12.75" x14ac:dyDescent="0.2"/>
  <cols>
    <col min="2" max="2" width="17.28515625" customWidth="1"/>
    <col min="3" max="3" width="21.140625" bestFit="1" customWidth="1"/>
    <col min="4" max="6" width="20.28515625" customWidth="1"/>
    <col min="7" max="7" width="29.5703125" customWidth="1"/>
    <col min="8" max="8" width="18.28515625" customWidth="1"/>
    <col min="9" max="9" width="18.85546875" customWidth="1"/>
    <col min="11" max="11" width="12.42578125" customWidth="1"/>
    <col min="12" max="12" width="16.85546875" customWidth="1"/>
    <col min="13" max="13" width="10.85546875" customWidth="1"/>
    <col min="14" max="14" width="11.7109375" customWidth="1"/>
  </cols>
  <sheetData>
    <row r="1" spans="2:17" x14ac:dyDescent="0.2">
      <c r="J1" s="7"/>
      <c r="K1" s="7"/>
      <c r="L1" s="7"/>
    </row>
    <row r="2" spans="2:17" x14ac:dyDescent="0.2">
      <c r="B2" t="s">
        <v>34</v>
      </c>
    </row>
    <row r="4" spans="2:17" x14ac:dyDescent="0.2">
      <c r="B4" t="s">
        <v>14</v>
      </c>
      <c r="C4" s="7" t="s">
        <v>35</v>
      </c>
      <c r="D4" t="s">
        <v>36</v>
      </c>
      <c r="E4" t="s">
        <v>37</v>
      </c>
      <c r="F4" t="s">
        <v>24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</row>
    <row r="5" spans="2:17" x14ac:dyDescent="0.2">
      <c r="B5" t="s">
        <v>27</v>
      </c>
      <c r="C5" t="s">
        <v>13</v>
      </c>
      <c r="D5" t="s">
        <v>48</v>
      </c>
      <c r="E5" t="s">
        <v>49</v>
      </c>
      <c r="F5" t="s">
        <v>50</v>
      </c>
      <c r="G5" t="s">
        <v>51</v>
      </c>
      <c r="H5">
        <v>7300</v>
      </c>
      <c r="I5">
        <v>245</v>
      </c>
      <c r="J5">
        <f>+I5*0.4</f>
        <v>98</v>
      </c>
      <c r="K5">
        <v>10</v>
      </c>
      <c r="L5">
        <v>18</v>
      </c>
      <c r="M5">
        <v>11</v>
      </c>
    </row>
    <row r="6" spans="2:17" x14ac:dyDescent="0.2">
      <c r="B6" t="s">
        <v>15</v>
      </c>
      <c r="C6" s="7" t="s">
        <v>52</v>
      </c>
      <c r="D6" t="s">
        <v>53</v>
      </c>
      <c r="E6" t="s">
        <v>54</v>
      </c>
      <c r="F6" t="s">
        <v>25</v>
      </c>
      <c r="G6" t="s">
        <v>55</v>
      </c>
      <c r="H6">
        <v>7100</v>
      </c>
      <c r="I6">
        <v>400</v>
      </c>
      <c r="J6">
        <v>250</v>
      </c>
      <c r="K6">
        <v>4</v>
      </c>
      <c r="L6">
        <v>10</v>
      </c>
      <c r="M6">
        <v>5.5</v>
      </c>
    </row>
    <row r="7" spans="2:17" x14ac:dyDescent="0.2">
      <c r="C7" s="7" t="s">
        <v>56</v>
      </c>
      <c r="E7" t="s">
        <v>57</v>
      </c>
      <c r="G7" s="7" t="s">
        <v>58</v>
      </c>
      <c r="H7">
        <v>7400</v>
      </c>
      <c r="I7">
        <v>370</v>
      </c>
      <c r="J7">
        <v>210</v>
      </c>
      <c r="K7">
        <v>4</v>
      </c>
      <c r="L7">
        <v>15</v>
      </c>
      <c r="M7">
        <v>4.0999999999999996</v>
      </c>
    </row>
    <row r="8" spans="2:17" x14ac:dyDescent="0.2">
      <c r="C8" s="7" t="s">
        <v>59</v>
      </c>
      <c r="G8" s="7" t="s">
        <v>60</v>
      </c>
      <c r="H8">
        <v>7800</v>
      </c>
      <c r="I8">
        <v>420</v>
      </c>
      <c r="J8">
        <v>240</v>
      </c>
      <c r="K8">
        <v>4</v>
      </c>
      <c r="L8">
        <v>8</v>
      </c>
      <c r="M8">
        <v>4.7</v>
      </c>
    </row>
    <row r="9" spans="2:17" x14ac:dyDescent="0.2">
      <c r="C9" s="7" t="s">
        <v>61</v>
      </c>
      <c r="G9" s="7" t="s">
        <v>62</v>
      </c>
      <c r="H9">
        <v>7700</v>
      </c>
      <c r="I9">
        <v>760</v>
      </c>
      <c r="J9">
        <v>550</v>
      </c>
      <c r="K9">
        <v>2</v>
      </c>
      <c r="L9">
        <v>5</v>
      </c>
      <c r="M9">
        <v>1</v>
      </c>
      <c r="N9">
        <v>13</v>
      </c>
      <c r="Q9" s="7"/>
    </row>
    <row r="10" spans="2:17" x14ac:dyDescent="0.2">
      <c r="C10" s="7" t="s">
        <v>63</v>
      </c>
      <c r="G10" s="7" t="s">
        <v>64</v>
      </c>
      <c r="H10">
        <v>7800</v>
      </c>
      <c r="I10">
        <v>690</v>
      </c>
      <c r="J10">
        <v>515</v>
      </c>
      <c r="K10">
        <v>2</v>
      </c>
      <c r="L10">
        <v>5</v>
      </c>
      <c r="M10">
        <v>1</v>
      </c>
      <c r="N10">
        <v>13.3</v>
      </c>
      <c r="Q10" s="7"/>
    </row>
    <row r="11" spans="2:17" x14ac:dyDescent="0.2">
      <c r="C11" s="7"/>
      <c r="G11" s="7" t="s">
        <v>65</v>
      </c>
      <c r="H11">
        <v>7880</v>
      </c>
      <c r="I11">
        <v>485</v>
      </c>
      <c r="J11">
        <v>205</v>
      </c>
      <c r="K11">
        <v>2</v>
      </c>
      <c r="L11">
        <v>5</v>
      </c>
      <c r="M11">
        <v>1.5</v>
      </c>
      <c r="N11">
        <v>18.7</v>
      </c>
      <c r="Q11" s="7"/>
    </row>
    <row r="12" spans="2:17" x14ac:dyDescent="0.2">
      <c r="G12" s="7" t="s">
        <v>22</v>
      </c>
      <c r="H12">
        <v>7900</v>
      </c>
      <c r="I12">
        <v>485</v>
      </c>
      <c r="J12">
        <v>205</v>
      </c>
      <c r="K12">
        <v>2</v>
      </c>
      <c r="L12">
        <v>5</v>
      </c>
      <c r="M12">
        <v>1.5</v>
      </c>
      <c r="N12">
        <v>23.6</v>
      </c>
      <c r="Q12" s="7"/>
    </row>
    <row r="13" spans="2:17" x14ac:dyDescent="0.2">
      <c r="G13" s="7" t="s">
        <v>66</v>
      </c>
      <c r="H13">
        <v>7700</v>
      </c>
      <c r="I13" s="39">
        <v>690</v>
      </c>
      <c r="J13" s="39">
        <v>485</v>
      </c>
      <c r="K13">
        <v>2</v>
      </c>
      <c r="L13">
        <v>5</v>
      </c>
      <c r="M13" s="39">
        <v>1.1000000000000001</v>
      </c>
      <c r="N13" s="40">
        <v>31.7</v>
      </c>
    </row>
    <row r="14" spans="2:17" x14ac:dyDescent="0.2">
      <c r="G14" s="7" t="s">
        <v>67</v>
      </c>
      <c r="H14">
        <v>7700</v>
      </c>
      <c r="I14" s="39">
        <v>620</v>
      </c>
      <c r="J14" s="39">
        <v>415</v>
      </c>
      <c r="K14">
        <v>2</v>
      </c>
      <c r="L14">
        <v>5</v>
      </c>
      <c r="M14">
        <v>1.1000000000000001</v>
      </c>
      <c r="N14">
        <v>34</v>
      </c>
    </row>
    <row r="15" spans="2:17" x14ac:dyDescent="0.2">
      <c r="G15" s="7" t="s">
        <v>68</v>
      </c>
      <c r="H15">
        <v>7700</v>
      </c>
      <c r="I15" s="39">
        <v>655</v>
      </c>
      <c r="J15" s="39">
        <v>450</v>
      </c>
      <c r="K15">
        <v>2</v>
      </c>
      <c r="L15">
        <v>5</v>
      </c>
      <c r="M15">
        <v>1</v>
      </c>
      <c r="N15">
        <v>38</v>
      </c>
    </row>
    <row r="16" spans="2:17" x14ac:dyDescent="0.2">
      <c r="G16" s="7" t="s">
        <v>69</v>
      </c>
      <c r="H16">
        <v>7700</v>
      </c>
      <c r="I16" s="39">
        <v>690</v>
      </c>
      <c r="J16" s="39">
        <v>450</v>
      </c>
      <c r="K16">
        <v>2</v>
      </c>
      <c r="L16">
        <v>5</v>
      </c>
      <c r="M16">
        <v>0.9</v>
      </c>
      <c r="N16">
        <v>45</v>
      </c>
    </row>
    <row r="17" spans="3:14" x14ac:dyDescent="0.2">
      <c r="G17" s="7" t="s">
        <v>70</v>
      </c>
      <c r="H17">
        <v>7800</v>
      </c>
      <c r="I17" s="39">
        <v>690</v>
      </c>
      <c r="J17">
        <v>515</v>
      </c>
      <c r="K17">
        <v>2</v>
      </c>
      <c r="L17">
        <v>5</v>
      </c>
      <c r="M17">
        <v>1</v>
      </c>
      <c r="N17">
        <v>47</v>
      </c>
    </row>
    <row r="18" spans="3:14" x14ac:dyDescent="0.2">
      <c r="G18" s="7" t="s">
        <v>71</v>
      </c>
      <c r="H18">
        <v>8700</v>
      </c>
      <c r="I18">
        <v>220</v>
      </c>
      <c r="J18">
        <v>90</v>
      </c>
      <c r="K18">
        <v>4</v>
      </c>
      <c r="L18">
        <v>10</v>
      </c>
      <c r="M18">
        <v>5</v>
      </c>
    </row>
    <row r="19" spans="3:14" x14ac:dyDescent="0.2">
      <c r="G19" s="7" t="s">
        <v>72</v>
      </c>
      <c r="H19">
        <v>8700</v>
      </c>
      <c r="I19">
        <v>270</v>
      </c>
      <c r="J19">
        <v>130</v>
      </c>
      <c r="K19">
        <v>4</v>
      </c>
      <c r="L19">
        <v>10</v>
      </c>
      <c r="M19">
        <v>4.5</v>
      </c>
    </row>
    <row r="20" spans="3:14" x14ac:dyDescent="0.2">
      <c r="G20" s="7" t="s">
        <v>73</v>
      </c>
      <c r="H20">
        <v>8700</v>
      </c>
      <c r="I20">
        <v>600</v>
      </c>
      <c r="J20">
        <v>270</v>
      </c>
      <c r="K20">
        <v>4</v>
      </c>
      <c r="L20">
        <v>10</v>
      </c>
      <c r="M20">
        <v>1</v>
      </c>
    </row>
    <row r="21" spans="3:14" x14ac:dyDescent="0.2">
      <c r="G21" s="7" t="s">
        <v>74</v>
      </c>
      <c r="H21">
        <v>8900</v>
      </c>
      <c r="I21">
        <v>700</v>
      </c>
      <c r="J21">
        <v>280</v>
      </c>
      <c r="K21">
        <v>2</v>
      </c>
      <c r="L21">
        <v>5</v>
      </c>
      <c r="M21">
        <v>1</v>
      </c>
    </row>
    <row r="32" spans="3:14" x14ac:dyDescent="0.2">
      <c r="C32" s="67"/>
    </row>
    <row r="33" spans="3:3" x14ac:dyDescent="0.2">
      <c r="C33" s="67"/>
    </row>
    <row r="34" spans="3:3" x14ac:dyDescent="0.2">
      <c r="C34" s="67"/>
    </row>
    <row r="35" spans="3:3" x14ac:dyDescent="0.2">
      <c r="C35" s="67"/>
    </row>
    <row r="36" spans="3:3" x14ac:dyDescent="0.2">
      <c r="C36" s="67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6343D-0044-47DD-97EC-16D31A190E48}">
  <sheetPr codeName="Sheet3">
    <tabColor rgb="FF92D050"/>
    <pageSetUpPr fitToPage="1"/>
  </sheetPr>
  <dimension ref="A1:U61"/>
  <sheetViews>
    <sheetView topLeftCell="A28" zoomScaleNormal="100" workbookViewId="0">
      <selection activeCell="B36" sqref="B36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6.28515625" style="3" customWidth="1"/>
    <col min="4" max="4" width="14.140625" style="3" customWidth="1"/>
    <col min="5" max="5" width="15.2851562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9" style="3" customWidth="1"/>
    <col min="11" max="12" width="9.42578125" style="3" customWidth="1"/>
    <col min="13" max="13" width="5.85546875" style="3" customWidth="1"/>
    <col min="14" max="14" width="10.285156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233"/>
      <c r="B1" s="234"/>
      <c r="C1" s="234"/>
      <c r="D1" s="234"/>
      <c r="E1" s="235"/>
      <c r="F1" s="203" t="s">
        <v>75</v>
      </c>
      <c r="G1" s="204"/>
      <c r="H1" s="204"/>
      <c r="I1" s="204"/>
      <c r="J1" s="204"/>
      <c r="K1" s="204"/>
      <c r="L1" s="204"/>
      <c r="M1" s="205"/>
    </row>
    <row r="2" spans="1:13" ht="18.75" customHeight="1" x14ac:dyDescent="0.2">
      <c r="A2" s="236"/>
      <c r="B2" s="237"/>
      <c r="C2" s="237"/>
      <c r="D2" s="237"/>
      <c r="E2" s="238"/>
      <c r="F2" s="206"/>
      <c r="G2" s="207"/>
      <c r="H2" s="207"/>
      <c r="I2" s="207"/>
      <c r="J2" s="207"/>
      <c r="K2" s="207"/>
      <c r="L2" s="207"/>
      <c r="M2" s="208"/>
    </row>
    <row r="3" spans="1:13" ht="18.75" customHeight="1" x14ac:dyDescent="0.2">
      <c r="A3" s="239"/>
      <c r="B3" s="240"/>
      <c r="C3" s="240"/>
      <c r="D3" s="240"/>
      <c r="E3" s="241"/>
      <c r="F3" s="209"/>
      <c r="G3" s="210"/>
      <c r="H3" s="210"/>
      <c r="I3" s="210"/>
      <c r="J3" s="210"/>
      <c r="K3" s="210"/>
      <c r="L3" s="210"/>
      <c r="M3" s="211"/>
    </row>
    <row r="4" spans="1:13" x14ac:dyDescent="0.2">
      <c r="A4" s="33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7"/>
    </row>
    <row r="5" spans="1:13" x14ac:dyDescent="0.2">
      <c r="A5" s="34"/>
      <c r="B5" s="27" t="s">
        <v>8</v>
      </c>
      <c r="C5" s="28"/>
      <c r="D5" s="29"/>
      <c r="E5" s="95"/>
      <c r="F5" s="25"/>
      <c r="G5" s="25"/>
      <c r="H5" s="35"/>
      <c r="I5" s="35"/>
      <c r="J5" s="35"/>
      <c r="K5" s="35"/>
      <c r="L5" s="35"/>
      <c r="M5" s="30"/>
    </row>
    <row r="6" spans="1:13" x14ac:dyDescent="0.2">
      <c r="A6" s="34"/>
      <c r="B6" s="27" t="s">
        <v>9</v>
      </c>
      <c r="C6" s="28"/>
      <c r="D6" s="29"/>
      <c r="E6" s="95"/>
      <c r="F6" s="25"/>
      <c r="G6" s="25"/>
      <c r="H6" s="35"/>
      <c r="I6" s="35"/>
      <c r="J6" s="35"/>
      <c r="K6" s="35"/>
      <c r="L6" s="35"/>
      <c r="M6" s="30"/>
    </row>
    <row r="7" spans="1:13" x14ac:dyDescent="0.2">
      <c r="A7" s="34"/>
      <c r="B7" s="27" t="s">
        <v>10</v>
      </c>
      <c r="C7" s="28"/>
      <c r="D7" s="29"/>
      <c r="E7" s="96"/>
      <c r="F7" s="26"/>
      <c r="G7" s="26"/>
      <c r="H7" s="35"/>
      <c r="I7" s="35"/>
      <c r="J7" s="35"/>
      <c r="K7" s="35"/>
      <c r="L7" s="35"/>
      <c r="M7" s="30"/>
    </row>
    <row r="8" spans="1:13" ht="15.75" x14ac:dyDescent="0.25">
      <c r="A8" s="34"/>
      <c r="B8" s="35"/>
      <c r="C8" s="38"/>
      <c r="D8" s="38"/>
      <c r="E8" s="35"/>
      <c r="F8" s="35"/>
      <c r="G8" s="35"/>
      <c r="H8" s="35"/>
      <c r="I8" s="35"/>
      <c r="J8" s="35"/>
      <c r="K8" s="35"/>
      <c r="L8" s="35"/>
      <c r="M8" s="30"/>
    </row>
    <row r="9" spans="1:13" ht="18.75" x14ac:dyDescent="0.3">
      <c r="A9" s="34"/>
      <c r="B9" s="31" t="s">
        <v>11</v>
      </c>
      <c r="C9" s="32"/>
      <c r="D9" s="32"/>
      <c r="E9" s="29"/>
      <c r="F9" s="35"/>
      <c r="G9" s="35"/>
      <c r="H9" s="35"/>
      <c r="I9" s="35"/>
      <c r="J9" s="35"/>
      <c r="K9" s="35"/>
      <c r="L9" s="35"/>
      <c r="M9" s="35"/>
    </row>
    <row r="10" spans="1:13" x14ac:dyDescent="0.2">
      <c r="A10" s="34"/>
      <c r="B10" s="27" t="str">
        <f>+Input_Output!B10</f>
        <v>unit system</v>
      </c>
      <c r="C10" s="28"/>
      <c r="D10" s="29"/>
      <c r="E10" s="93" t="s">
        <v>15</v>
      </c>
      <c r="F10" s="35"/>
      <c r="G10" s="35"/>
      <c r="H10" s="35"/>
      <c r="I10" s="35"/>
      <c r="J10" s="35"/>
      <c r="K10" s="35"/>
      <c r="L10" s="35"/>
      <c r="M10" s="35"/>
    </row>
    <row r="11" spans="1:13" x14ac:dyDescent="0.2">
      <c r="A11" s="34"/>
      <c r="B11" s="27" t="str">
        <f>+Input_Output!B11</f>
        <v>speed</v>
      </c>
      <c r="C11" s="28"/>
      <c r="D11" s="29"/>
      <c r="E11" s="94">
        <f>+IF(Input_Output!$E$10=setup!$B$5,Input_Output!E11,Input_Output!E11)</f>
        <v>8100</v>
      </c>
      <c r="F11" s="35" t="s">
        <v>17</v>
      </c>
      <c r="G11" s="35"/>
      <c r="H11" s="35"/>
      <c r="I11" s="35"/>
      <c r="J11" s="35"/>
      <c r="K11" s="35"/>
      <c r="L11" s="35"/>
      <c r="M11" s="35"/>
    </row>
    <row r="12" spans="1:13" x14ac:dyDescent="0.2">
      <c r="A12" s="34"/>
      <c r="B12" s="27" t="str">
        <f>+Input_Output!B12</f>
        <v>Qbep</v>
      </c>
      <c r="C12" s="28"/>
      <c r="D12" s="29"/>
      <c r="E12" s="94">
        <f>+IF(Input_Output!$E$10=setup!$B$5,Input_Output!E12*0.227,Input_Output!E12)</f>
        <v>1433</v>
      </c>
      <c r="F12" s="35" t="str">
        <f>+IF(E10=setup!B6,"m3/h","GPM")</f>
        <v>m3/h</v>
      </c>
      <c r="G12" s="35"/>
      <c r="H12" s="35"/>
      <c r="I12" s="35"/>
      <c r="J12" s="35"/>
      <c r="K12" s="35"/>
      <c r="L12" s="35"/>
      <c r="M12" s="35"/>
    </row>
    <row r="13" spans="1:13" x14ac:dyDescent="0.2">
      <c r="A13" s="34"/>
      <c r="B13" s="27" t="str">
        <f>+Input_Output!B13</f>
        <v>Hbep @ Dmax</v>
      </c>
      <c r="C13" s="28"/>
      <c r="D13" s="29"/>
      <c r="E13" s="94">
        <f>+IF(Input_Output!$E$10=setup!$B$5,Input_Output!E13*0.3048,Input_Output!E13)</f>
        <v>831</v>
      </c>
      <c r="F13" s="35" t="str">
        <f>+IF(E10=setup!B6,"m","ft")</f>
        <v>m</v>
      </c>
      <c r="G13" s="35"/>
      <c r="H13" s="35"/>
      <c r="I13" s="35"/>
      <c r="J13" s="35"/>
      <c r="K13" s="35"/>
      <c r="L13" s="35"/>
      <c r="M13" s="35"/>
    </row>
    <row r="14" spans="1:13" x14ac:dyDescent="0.2">
      <c r="A14" s="34"/>
      <c r="B14" s="27" t="str">
        <f>+Input_Output!B14</f>
        <v>D2max</v>
      </c>
      <c r="C14" s="28"/>
      <c r="D14" s="29"/>
      <c r="E14" s="94">
        <f>+IF(Input_Output!$E$10=setup!$B$5,Input_Output!E14*0.3048,Input_Output!E14)</f>
        <v>275</v>
      </c>
      <c r="F14" s="35" t="str">
        <f>+IF($E$10=setup!$B$6,"mm","in")</f>
        <v>mm</v>
      </c>
      <c r="G14" s="35"/>
      <c r="H14" s="35"/>
      <c r="I14" s="35"/>
      <c r="J14" s="35"/>
      <c r="K14" s="35"/>
      <c r="L14" s="35"/>
      <c r="M14" s="35"/>
    </row>
    <row r="15" spans="1:13" x14ac:dyDescent="0.2">
      <c r="A15" s="34"/>
      <c r="B15" s="27" t="str">
        <f>+Input_Output!B15</f>
        <v>stages</v>
      </c>
      <c r="C15" s="28"/>
      <c r="D15" s="29"/>
      <c r="E15" s="94">
        <f>+IF(Input_Output!$E$10=setup!$B$5,Input_Output!E15*0.3048,Input_Output!E15)</f>
        <v>1</v>
      </c>
      <c r="G15" s="35"/>
      <c r="H15" s="35"/>
      <c r="I15" s="27" t="str">
        <f>+Input_Output!I9</f>
        <v>Pumped fluid</v>
      </c>
      <c r="J15" s="35" t="str">
        <f>+Input_Output!J9</f>
        <v>Demineralized water</v>
      </c>
      <c r="K15" s="35"/>
      <c r="L15" s="35"/>
      <c r="M15" s="30"/>
    </row>
    <row r="16" spans="1:13" x14ac:dyDescent="0.2">
      <c r="A16" s="34"/>
      <c r="B16" s="27" t="str">
        <f>+Input_Output!B16</f>
        <v>double suction</v>
      </c>
      <c r="C16" s="28"/>
      <c r="D16" s="29"/>
      <c r="E16" s="94">
        <f>+IF(Input_Output!E16="no",1,2)</f>
        <v>1</v>
      </c>
      <c r="F16" s="35"/>
      <c r="G16" s="35"/>
      <c r="H16" s="35"/>
      <c r="I16" s="35"/>
      <c r="J16" s="35"/>
      <c r="K16" s="35"/>
      <c r="L16" s="35"/>
      <c r="M16" s="30"/>
    </row>
    <row r="17" spans="1:13" x14ac:dyDescent="0.2">
      <c r="A17" s="34"/>
      <c r="B17" s="27">
        <f>+Input_Output!B17</f>
        <v>0</v>
      </c>
      <c r="C17" s="28"/>
      <c r="D17" s="29"/>
      <c r="E17" s="94">
        <f>+IF(Input_Output!$E$10=setup!$B$5,Input_Output!E20*25.4,Input_Output!E20)</f>
        <v>0</v>
      </c>
      <c r="F17" s="35"/>
      <c r="G17" s="35"/>
      <c r="H17" s="35"/>
      <c r="I17" s="27" t="s">
        <v>21</v>
      </c>
      <c r="J17" s="35" t="str">
        <f>+Input_Output!J14</f>
        <v>Austenitic A451/A743 CF-3M</v>
      </c>
      <c r="K17" s="35"/>
      <c r="M17" s="30"/>
    </row>
    <row r="18" spans="1:13" x14ac:dyDescent="0.2">
      <c r="A18" s="34"/>
      <c r="B18" s="27">
        <f>+Input_Output!B18</f>
        <v>0</v>
      </c>
      <c r="C18" s="28"/>
      <c r="D18" s="29"/>
      <c r="E18" s="94">
        <f>+IF(Input_Output!$E$10=setup!$B$5,Input_Output!E21*25.4,Input_Output!E21)</f>
        <v>0</v>
      </c>
      <c r="F18" s="35"/>
      <c r="G18" s="35"/>
      <c r="H18" s="35"/>
      <c r="I18" s="35"/>
      <c r="J18" s="35"/>
      <c r="K18" s="35"/>
      <c r="L18" s="35"/>
      <c r="M18" s="30"/>
    </row>
    <row r="19" spans="1:13" x14ac:dyDescent="0.2">
      <c r="A19" s="34"/>
      <c r="B19" s="27" t="str">
        <f>+Input_Output!B19</f>
        <v>OUTPUT DATA</v>
      </c>
      <c r="C19" s="28"/>
      <c r="D19" s="29"/>
      <c r="E19" s="94">
        <f>+IF(Input_Output!$E$10=setup!$B$5,Input_Output!E22*25.4,Input_Output!E22)</f>
        <v>0</v>
      </c>
      <c r="F19" s="35"/>
      <c r="G19" s="35"/>
      <c r="H19" s="35"/>
      <c r="I19" s="35"/>
      <c r="J19" s="35"/>
      <c r="K19" s="35"/>
      <c r="L19" s="35"/>
      <c r="M19" s="30"/>
    </row>
    <row r="20" spans="1:13" x14ac:dyDescent="0.2">
      <c r="A20" s="34"/>
      <c r="B20" s="27">
        <f>+Input_Output!C23</f>
        <v>0</v>
      </c>
      <c r="C20" s="28"/>
      <c r="D20" s="29"/>
      <c r="E20" s="94">
        <f>+IF(Input_Output!$E$10=setup!$B$5,Input_Output!E23*25.4,Input_Output!E23)</f>
        <v>0</v>
      </c>
      <c r="F20" s="35"/>
      <c r="G20" s="35"/>
      <c r="H20" s="35"/>
      <c r="I20" s="35"/>
      <c r="J20" s="35"/>
      <c r="K20" s="35"/>
      <c r="L20" s="35"/>
      <c r="M20" s="30"/>
    </row>
    <row r="21" spans="1:13" x14ac:dyDescent="0.2">
      <c r="A21" s="34"/>
      <c r="B21" s="27" t="str">
        <f>+Input_Output!C24</f>
        <v>specific speed</v>
      </c>
      <c r="C21" s="28"/>
      <c r="D21" s="29"/>
      <c r="E21" s="97">
        <f>+E11/60*(E12/(IF(E15=1,E16,1)))^0.5/(E13/E15)^0.75</f>
        <v>33.018405427382731</v>
      </c>
      <c r="F21" s="35"/>
      <c r="G21" s="35"/>
      <c r="H21" s="35"/>
      <c r="I21" s="35"/>
      <c r="J21" s="35"/>
      <c r="K21" s="35"/>
      <c r="L21" s="35"/>
      <c r="M21" s="30"/>
    </row>
    <row r="22" spans="1:13" x14ac:dyDescent="0.2">
      <c r="A22" s="34"/>
      <c r="B22" s="27" t="str">
        <f>+Input_Output!C25</f>
        <v>u2 @ specified D2</v>
      </c>
      <c r="C22" s="28"/>
      <c r="D22" s="29"/>
      <c r="E22" s="97">
        <f>+E14/2000*E11/60*2*PI()</f>
        <v>116.63162726452107</v>
      </c>
      <c r="F22" s="35"/>
      <c r="G22" s="35"/>
      <c r="H22" s="35"/>
      <c r="I22" s="35"/>
      <c r="J22" s="35"/>
      <c r="K22" s="35"/>
      <c r="L22" s="35"/>
      <c r="M22" s="30"/>
    </row>
    <row r="23" spans="1:13" x14ac:dyDescent="0.2">
      <c r="A23" s="34"/>
      <c r="B23" s="27">
        <f>+Input_Output!C26</f>
        <v>0</v>
      </c>
      <c r="C23" s="28"/>
      <c r="D23" s="29"/>
      <c r="E23" s="94">
        <f>+IF(Input_Output!$E$10=setup!$B$5,Input_Output!E26*25.4,Input_Output!E26)</f>
        <v>0</v>
      </c>
      <c r="F23" s="35"/>
      <c r="G23" s="35"/>
      <c r="H23" s="35"/>
      <c r="I23" s="35"/>
      <c r="J23" s="35"/>
      <c r="K23" s="35"/>
      <c r="L23" s="35"/>
      <c r="M23" s="30"/>
    </row>
    <row r="24" spans="1:13" x14ac:dyDescent="0.2">
      <c r="A24" s="34"/>
      <c r="B24" s="27">
        <f>+Input_Output!C27</f>
        <v>0</v>
      </c>
      <c r="C24" s="28"/>
      <c r="D24" s="29"/>
      <c r="E24" s="94">
        <f>+IF(Input_Output!$E$10=setup!$B$5,Input_Output!E27*25.4,Input_Output!E27)</f>
        <v>0</v>
      </c>
      <c r="F24" s="35"/>
      <c r="G24" s="35"/>
      <c r="H24" s="35"/>
      <c r="I24" s="35"/>
      <c r="J24" s="35"/>
      <c r="K24" s="35"/>
      <c r="L24" s="35"/>
      <c r="M24" s="30"/>
    </row>
    <row r="25" spans="1:13" x14ac:dyDescent="0.2">
      <c r="A25" s="34"/>
      <c r="B25" s="27">
        <f>+Input_Output!C28</f>
        <v>0</v>
      </c>
      <c r="C25" s="28"/>
      <c r="D25" s="29"/>
      <c r="E25" s="94">
        <f>+IF(Input_Output!$E$10=setup!$B$5,Input_Output!E28*25.4,Input_Output!E28)</f>
        <v>0</v>
      </c>
      <c r="F25" s="35"/>
      <c r="G25" s="35"/>
      <c r="H25" s="35"/>
      <c r="I25" s="35"/>
      <c r="J25" s="35"/>
      <c r="K25" s="35"/>
      <c r="L25" s="35"/>
      <c r="M25" s="30"/>
    </row>
    <row r="26" spans="1:13" x14ac:dyDescent="0.2">
      <c r="A26" s="34"/>
      <c r="B26" s="27">
        <f>+Input_Output!B26</f>
        <v>0</v>
      </c>
      <c r="C26" s="28"/>
      <c r="D26" s="29"/>
      <c r="E26" s="94">
        <f>+IF(Input_Output!$E$10=setup!$B$5,Input_Output!E29*25.4,Input_Output!E29)</f>
        <v>0</v>
      </c>
      <c r="F26" s="35"/>
      <c r="G26" s="35"/>
      <c r="H26" s="35"/>
      <c r="I26" s="35"/>
      <c r="J26" s="35"/>
      <c r="K26" s="35"/>
      <c r="L26" s="35"/>
      <c r="M26" s="30"/>
    </row>
    <row r="27" spans="1:13" x14ac:dyDescent="0.2">
      <c r="A27" s="34"/>
      <c r="B27" s="27">
        <f>+Input_Output!B27</f>
        <v>0</v>
      </c>
      <c r="C27" s="28"/>
      <c r="D27" s="29"/>
      <c r="E27" s="94">
        <f>+IF(Input_Output!$E$10=setup!$B$5,Input_Output!E30*25.4,Input_Output!E30)</f>
        <v>0</v>
      </c>
      <c r="F27" s="35"/>
      <c r="G27" s="35"/>
      <c r="H27" s="35"/>
      <c r="I27" s="35"/>
      <c r="J27" s="35"/>
      <c r="K27" s="35"/>
      <c r="L27" s="35"/>
      <c r="M27" s="30"/>
    </row>
    <row r="28" spans="1:13" ht="12.75" customHeight="1" x14ac:dyDescent="0.2">
      <c r="A28" s="34"/>
      <c r="B28" s="27">
        <f>+Input_Output!B28</f>
        <v>0</v>
      </c>
      <c r="C28" s="28"/>
      <c r="D28" s="29"/>
      <c r="E28" s="94">
        <f>+IF(Input_Output!$E$10=setup!$B$5,Input_Output!E31*25.4,Input_Output!E31)</f>
        <v>0</v>
      </c>
      <c r="F28" s="35"/>
      <c r="G28" s="35"/>
      <c r="H28" s="35"/>
      <c r="I28" s="35"/>
      <c r="J28" s="35"/>
      <c r="K28" s="35"/>
      <c r="L28" s="35"/>
      <c r="M28" s="30"/>
    </row>
    <row r="29" spans="1:13" x14ac:dyDescent="0.2">
      <c r="A29" s="34"/>
      <c r="B29" s="27" t="str">
        <f>+Input_Output!B29</f>
        <v>U2max based on max Energy application</v>
      </c>
      <c r="C29" s="28"/>
      <c r="D29" s="29"/>
      <c r="E29" s="97">
        <f>+Gulich!C8</f>
        <v>123.73877194586007</v>
      </c>
      <c r="F29" s="35" t="str">
        <f>+IF(E29&gt;E22,"VERIFIED","NOT VERIFIED")</f>
        <v>VERIFIED</v>
      </c>
      <c r="G29" s="35"/>
      <c r="H29" s="35"/>
      <c r="I29" s="35"/>
      <c r="J29" s="35"/>
      <c r="K29" s="35"/>
      <c r="L29" s="35"/>
      <c r="M29" s="30"/>
    </row>
    <row r="30" spans="1:13" x14ac:dyDescent="0.2">
      <c r="A30" s="34"/>
      <c r="B30" s="27" t="str">
        <f>+Input_Output!B30</f>
        <v>U2max based on material selection and pumped fluid</v>
      </c>
      <c r="C30" s="28"/>
      <c r="D30" s="29"/>
      <c r="E30" s="97">
        <f>+_xlfn.XLOOKUP(J15,Gulich!B15:B20,Gulich!D15:D20)</f>
        <v>108.93994338553748</v>
      </c>
      <c r="F30" s="35" t="str">
        <f>+IF(E30&gt;E22,"VERIFIED","NOT VERIFIED")</f>
        <v>NOT VERIFIED</v>
      </c>
      <c r="G30" s="35"/>
      <c r="H30" s="35"/>
      <c r="I30" s="35"/>
      <c r="J30" s="35"/>
      <c r="K30" s="35"/>
      <c r="L30" s="35"/>
      <c r="M30" s="30"/>
    </row>
    <row r="31" spans="1:13" x14ac:dyDescent="0.2">
      <c r="A31" s="34"/>
      <c r="B31" s="27">
        <f>+Input_Output!B31</f>
        <v>0</v>
      </c>
      <c r="C31" s="28"/>
      <c r="D31" s="29"/>
      <c r="E31" s="94">
        <f>+IF(Input_Output!$E$10=setup!$B$5,Input_Output!E34*25.4,Input_Output!E34)</f>
        <v>0</v>
      </c>
      <c r="F31" s="35"/>
      <c r="G31" s="35"/>
      <c r="H31" s="35"/>
      <c r="I31" s="35"/>
      <c r="J31" s="35"/>
      <c r="K31" s="35"/>
      <c r="L31" s="35"/>
      <c r="M31" s="30"/>
    </row>
    <row r="32" spans="1:13" x14ac:dyDescent="0.2">
      <c r="A32" s="34"/>
      <c r="B32" s="27">
        <f>+Input_Output!B32</f>
        <v>0</v>
      </c>
      <c r="C32" s="28"/>
      <c r="D32" s="29"/>
      <c r="E32" s="94">
        <f>+IF(Input_Output!$E$10=setup!$B$5,Input_Output!E35*25.4,Input_Output!E35)</f>
        <v>0</v>
      </c>
      <c r="F32" s="35"/>
      <c r="G32" s="35"/>
      <c r="H32" s="35"/>
      <c r="I32" s="35"/>
      <c r="J32" s="35"/>
      <c r="K32" s="35"/>
      <c r="L32" s="35"/>
      <c r="M32" s="30"/>
    </row>
    <row r="33" spans="1:21" ht="22.5" customHeight="1" x14ac:dyDescent="0.2">
      <c r="A33" s="34"/>
      <c r="B33" s="27">
        <f>+Input_Output!B33</f>
        <v>0</v>
      </c>
      <c r="C33" s="28"/>
      <c r="D33" s="29"/>
      <c r="E33" s="94">
        <f>+IF(Input_Output!$E$10=setup!$B$5,Input_Output!E36*25.4,Input_Output!E36)</f>
        <v>0</v>
      </c>
      <c r="F33" s="35"/>
      <c r="G33" s="35"/>
      <c r="H33" s="35"/>
      <c r="I33" s="35"/>
      <c r="J33" s="35"/>
      <c r="K33" s="35"/>
      <c r="L33" s="35"/>
      <c r="M33" s="30"/>
    </row>
    <row r="34" spans="1:21" ht="22.5" customHeight="1" x14ac:dyDescent="0.2">
      <c r="A34" s="34"/>
      <c r="B34" s="27">
        <f>+Input_Output!B34</f>
        <v>0</v>
      </c>
      <c r="C34" s="28"/>
      <c r="D34" s="29"/>
      <c r="E34" s="94">
        <f>+IF(Input_Output!$E$10=setup!$B$5,Input_Output!E37*25.4,Input_Output!E37)</f>
        <v>0</v>
      </c>
      <c r="F34" s="35" t="s">
        <v>76</v>
      </c>
      <c r="G34" s="35"/>
      <c r="H34" s="35"/>
      <c r="I34" s="35"/>
      <c r="J34" s="35"/>
      <c r="K34" s="35"/>
      <c r="L34" s="35"/>
      <c r="M34" s="30"/>
    </row>
    <row r="35" spans="1:21" ht="22.5" customHeight="1" x14ac:dyDescent="0.2">
      <c r="A35" s="34"/>
      <c r="B35" s="27">
        <f>+Input_Output!B35</f>
        <v>0</v>
      </c>
      <c r="C35" s="28"/>
      <c r="D35" s="29"/>
      <c r="E35" s="94">
        <f>+Input_Output!E35</f>
        <v>0</v>
      </c>
      <c r="F35" s="35" t="s">
        <v>76</v>
      </c>
      <c r="G35" s="35"/>
      <c r="H35" s="35"/>
      <c r="I35" s="35"/>
      <c r="J35" s="35"/>
      <c r="K35" s="35"/>
      <c r="L35" s="35"/>
      <c r="M35" s="30"/>
    </row>
    <row r="36" spans="1:21" ht="22.5" customHeight="1" x14ac:dyDescent="0.2">
      <c r="A36" s="34"/>
      <c r="B36" s="27">
        <f>+Input_Output!B36</f>
        <v>0</v>
      </c>
      <c r="C36" s="28"/>
      <c r="D36" s="29"/>
      <c r="E36" s="94">
        <f>+Input_Output!E36</f>
        <v>0</v>
      </c>
      <c r="F36" s="35" t="s">
        <v>76</v>
      </c>
      <c r="G36" s="35"/>
      <c r="H36" s="35"/>
      <c r="I36" s="35"/>
      <c r="J36" s="35"/>
      <c r="K36" s="35"/>
      <c r="L36" s="35"/>
      <c r="M36" s="30"/>
    </row>
    <row r="37" spans="1:21" ht="22.5" customHeight="1" x14ac:dyDescent="0.2">
      <c r="A37" s="34"/>
      <c r="B37" s="27">
        <f>+Input_Output!B37</f>
        <v>0</v>
      </c>
      <c r="C37" s="28"/>
      <c r="D37" s="29"/>
      <c r="E37" s="94">
        <f>+Input_Output!E37</f>
        <v>0</v>
      </c>
      <c r="F37" s="35" t="s">
        <v>76</v>
      </c>
      <c r="G37" s="35"/>
      <c r="H37" s="35"/>
      <c r="I37" s="35"/>
      <c r="J37" s="35"/>
      <c r="K37" s="35"/>
      <c r="L37" s="35"/>
      <c r="M37" s="30"/>
    </row>
    <row r="38" spans="1:21" ht="22.5" customHeight="1" x14ac:dyDescent="0.2">
      <c r="A38" s="34"/>
      <c r="B38" s="27">
        <f>+Input_Output!B38</f>
        <v>0</v>
      </c>
      <c r="C38" s="28"/>
      <c r="D38" s="29"/>
      <c r="E38" s="94">
        <f>+Input_Output!E38</f>
        <v>0</v>
      </c>
      <c r="F38" s="35" t="s">
        <v>76</v>
      </c>
      <c r="G38" s="35"/>
      <c r="H38" s="35"/>
      <c r="I38" s="35"/>
      <c r="J38" s="35"/>
      <c r="K38" s="35"/>
      <c r="L38" s="35"/>
      <c r="M38" s="30"/>
    </row>
    <row r="39" spans="1:21" ht="22.5" customHeight="1" x14ac:dyDescent="0.2">
      <c r="A39" s="34"/>
      <c r="B39" s="27">
        <f>+Input_Output!B39</f>
        <v>0</v>
      </c>
      <c r="C39" s="28"/>
      <c r="D39" s="29"/>
      <c r="E39" s="94">
        <f>+Input_Output!E39</f>
        <v>0</v>
      </c>
      <c r="F39" s="35" t="s">
        <v>76</v>
      </c>
      <c r="G39" s="35"/>
      <c r="H39" s="35"/>
      <c r="I39" s="35"/>
      <c r="J39" s="35"/>
      <c r="K39" s="35"/>
      <c r="L39" s="35"/>
      <c r="M39" s="30"/>
      <c r="U39" s="9"/>
    </row>
    <row r="40" spans="1:21" ht="22.5" customHeight="1" x14ac:dyDescent="0.2">
      <c r="A40" s="34"/>
      <c r="B40" s="27">
        <f>+Input_Output!B40</f>
        <v>0</v>
      </c>
      <c r="C40" s="28"/>
      <c r="D40" s="29"/>
      <c r="E40" s="94">
        <f>+Input_Output!E40</f>
        <v>0</v>
      </c>
      <c r="F40" s="35" t="s">
        <v>76</v>
      </c>
      <c r="G40" s="35"/>
      <c r="H40" s="35"/>
      <c r="I40" s="35"/>
      <c r="J40" s="35"/>
      <c r="K40" s="35"/>
      <c r="L40" s="35"/>
      <c r="M40" s="30"/>
    </row>
    <row r="41" spans="1:21" ht="22.5" customHeight="1" x14ac:dyDescent="0.2">
      <c r="A41" s="34"/>
      <c r="B41" s="27">
        <f>+Input_Output!B41</f>
        <v>0</v>
      </c>
      <c r="C41" s="28"/>
      <c r="D41" s="29"/>
      <c r="E41" s="94">
        <f>+Input_Output!E41</f>
        <v>0</v>
      </c>
      <c r="F41" s="35" t="s">
        <v>76</v>
      </c>
      <c r="G41" s="35"/>
      <c r="H41" s="35"/>
      <c r="I41" s="35"/>
      <c r="J41" s="35"/>
      <c r="K41" s="35"/>
      <c r="L41" s="35"/>
      <c r="M41" s="30"/>
    </row>
    <row r="42" spans="1:21" ht="22.5" customHeight="1" x14ac:dyDescent="0.2">
      <c r="A42" s="34"/>
      <c r="B42" s="27">
        <f>+Input_Output!B42</f>
        <v>0</v>
      </c>
      <c r="C42" s="28"/>
      <c r="D42" s="29"/>
      <c r="E42" s="94">
        <f>+Input_Output!E42</f>
        <v>0</v>
      </c>
      <c r="F42" s="35" t="s">
        <v>76</v>
      </c>
      <c r="G42" s="35"/>
      <c r="H42" s="35"/>
      <c r="I42" s="35"/>
      <c r="J42" s="35"/>
      <c r="K42" s="35"/>
      <c r="L42" s="35"/>
      <c r="M42" s="30"/>
    </row>
    <row r="43" spans="1:21" ht="22.5" customHeight="1" x14ac:dyDescent="0.2">
      <c r="A43" s="34"/>
      <c r="B43" s="27">
        <f>+Input_Output!B43</f>
        <v>0</v>
      </c>
      <c r="C43" s="28"/>
      <c r="D43" s="29"/>
      <c r="E43" s="94">
        <f>+Input_Output!E43</f>
        <v>0</v>
      </c>
      <c r="F43" s="35" t="s">
        <v>76</v>
      </c>
      <c r="G43" s="35"/>
      <c r="H43" s="35"/>
      <c r="I43" s="35"/>
      <c r="J43" s="35"/>
      <c r="K43" s="35"/>
      <c r="L43" s="35"/>
      <c r="M43" s="30"/>
    </row>
    <row r="44" spans="1:21" x14ac:dyDescent="0.2">
      <c r="A44" s="34"/>
      <c r="B44" s="27">
        <f>+Input_Output!B44</f>
        <v>0</v>
      </c>
      <c r="C44" s="28"/>
      <c r="D44" s="29"/>
      <c r="E44" s="94">
        <f>+Input_Output!E44</f>
        <v>0</v>
      </c>
      <c r="F44" s="35" t="s">
        <v>76</v>
      </c>
      <c r="G44" s="35"/>
      <c r="H44" s="35"/>
      <c r="I44" s="35"/>
      <c r="J44" s="35"/>
      <c r="K44" s="35"/>
      <c r="L44" s="35"/>
      <c r="M44" s="30"/>
    </row>
    <row r="45" spans="1:21" x14ac:dyDescent="0.2">
      <c r="A45" s="35"/>
      <c r="B45" s="27">
        <f>+Input_Output!B45</f>
        <v>0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0"/>
    </row>
    <row r="46" spans="1:21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0"/>
      <c r="N46" s="8"/>
    </row>
    <row r="47" spans="1:21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0"/>
    </row>
    <row r="48" spans="1:21" ht="13.5" thickBo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0"/>
    </row>
    <row r="49" spans="1:19" ht="13.5" thickBot="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0"/>
      <c r="O49" s="5"/>
      <c r="R49" s="5"/>
    </row>
    <row r="50" spans="1:19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0"/>
    </row>
    <row r="51" spans="1:19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0"/>
    </row>
    <row r="52" spans="1:19" x14ac:dyDescent="0.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0"/>
    </row>
    <row r="53" spans="1:19" x14ac:dyDescent="0.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0"/>
    </row>
    <row r="54" spans="1:19" x14ac:dyDescent="0.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0"/>
    </row>
    <row r="55" spans="1:19" x14ac:dyDescent="0.2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0"/>
    </row>
    <row r="56" spans="1:19" x14ac:dyDescent="0.2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0"/>
    </row>
    <row r="57" spans="1:19" x14ac:dyDescent="0.2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0"/>
      <c r="O57" s="1"/>
      <c r="P57" s="6"/>
      <c r="R57" s="1"/>
      <c r="S57" s="6"/>
    </row>
    <row r="58" spans="1:19" x14ac:dyDescent="0.2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0"/>
      <c r="O58" s="2"/>
    </row>
    <row r="59" spans="1:19" x14ac:dyDescent="0.2">
      <c r="A59" s="242" t="s">
        <v>32</v>
      </c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4"/>
    </row>
    <row r="60" spans="1:19" ht="41.25" customHeight="1" x14ac:dyDescent="0.2">
      <c r="A60" s="245" t="s">
        <v>77</v>
      </c>
      <c r="B60" s="246"/>
      <c r="C60" s="246"/>
      <c r="D60" s="246"/>
      <c r="E60" s="246"/>
      <c r="F60" s="246"/>
      <c r="G60" s="246"/>
      <c r="H60" s="246"/>
      <c r="I60" s="246"/>
      <c r="J60" s="246"/>
      <c r="K60" s="246"/>
      <c r="L60" s="246"/>
      <c r="M60" s="247"/>
    </row>
    <row r="61" spans="1:19" ht="13.5" customHeight="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</sheetData>
  <mergeCells count="4">
    <mergeCell ref="A1:E3"/>
    <mergeCell ref="F1:M3"/>
    <mergeCell ref="A59:M59"/>
    <mergeCell ref="A60:M60"/>
  </mergeCells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13E1DF9-16B7-4266-A283-5268BDC479A4}">
          <x14:formula1>
            <xm:f>setup!$B$5:$B$6</xm:f>
          </x14:formula1>
          <xm:sqref>E10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DA93-07A9-4239-8388-E4B2928A4BC0}">
  <dimension ref="A1:BM181"/>
  <sheetViews>
    <sheetView zoomScale="70" zoomScaleNormal="70" workbookViewId="0">
      <selection activeCell="AK59" sqref="AK59:AQ59"/>
    </sheetView>
  </sheetViews>
  <sheetFormatPr defaultColWidth="9.140625" defaultRowHeight="15" x14ac:dyDescent="0.25"/>
  <cols>
    <col min="1" max="1" width="30.7109375" style="41" customWidth="1"/>
    <col min="2" max="15" width="9.140625" style="41"/>
    <col min="16" max="18" width="13.42578125" style="41" bestFit="1" customWidth="1"/>
    <col min="19" max="21" width="9.140625" style="41"/>
    <col min="22" max="23" width="13.42578125" style="41" customWidth="1"/>
    <col min="24" max="16384" width="9.140625" style="41"/>
  </cols>
  <sheetData>
    <row r="1" spans="1:65" ht="7.5" customHeight="1" thickBot="1" x14ac:dyDescent="0.3">
      <c r="X1" s="102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4"/>
    </row>
    <row r="2" spans="1:65" ht="7.5" customHeight="1" x14ac:dyDescent="0.25">
      <c r="I2" s="102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4"/>
      <c r="X2" s="105"/>
      <c r="AK2" s="102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4"/>
    </row>
    <row r="3" spans="1:65" ht="7.5" customHeight="1" x14ac:dyDescent="0.25">
      <c r="I3" s="105"/>
      <c r="V3" s="106"/>
      <c r="X3" s="105"/>
      <c r="AK3" s="105"/>
      <c r="BM3" s="106"/>
    </row>
    <row r="4" spans="1:65" ht="7.5" customHeight="1" x14ac:dyDescent="0.25">
      <c r="I4" s="105"/>
      <c r="V4" s="106"/>
      <c r="X4" s="105"/>
      <c r="AK4" s="105"/>
      <c r="BM4" s="106"/>
    </row>
    <row r="5" spans="1:65" ht="7.5" customHeight="1" x14ac:dyDescent="0.25">
      <c r="I5" s="105"/>
      <c r="V5" s="106"/>
      <c r="X5" s="105"/>
      <c r="AK5" s="105"/>
      <c r="BM5" s="106"/>
    </row>
    <row r="6" spans="1:65" ht="7.5" customHeight="1" x14ac:dyDescent="0.25">
      <c r="A6" s="46"/>
      <c r="B6" s="46"/>
      <c r="C6" s="46"/>
      <c r="D6" s="46"/>
      <c r="E6" s="46"/>
      <c r="I6" s="105"/>
      <c r="V6" s="106"/>
      <c r="X6" s="105"/>
      <c r="AK6" s="105"/>
      <c r="BM6" s="106"/>
    </row>
    <row r="7" spans="1:65" x14ac:dyDescent="0.25">
      <c r="A7" s="46"/>
      <c r="B7" s="126" t="s">
        <v>78</v>
      </c>
      <c r="C7" s="126" t="s">
        <v>79</v>
      </c>
      <c r="D7" s="127"/>
      <c r="E7" s="127"/>
      <c r="F7" s="42"/>
      <c r="I7" s="105"/>
      <c r="V7" s="106"/>
      <c r="X7" s="105"/>
      <c r="AK7" s="105"/>
      <c r="BM7" s="106"/>
    </row>
    <row r="8" spans="1:65" x14ac:dyDescent="0.25">
      <c r="A8" s="46"/>
      <c r="B8" s="128">
        <f>+'Metric Conversion'!E21</f>
        <v>33.018405427382731</v>
      </c>
      <c r="C8" s="126">
        <f>+IF(B8&lt;26,$P$12+$P$13*B8+$P$14*B8^2+$P$15*B8^3,IF(B8&gt;32,$P$19+$P$20*B8+$P$21*B8^2+$P$22*B8^3+$P$23*B8^4+$P$24*B8^5+$P$25*B8^6,P17))</f>
        <v>123.73877194586007</v>
      </c>
      <c r="D8" s="46"/>
      <c r="E8" s="46"/>
      <c r="I8" s="105" t="s">
        <v>47</v>
      </c>
      <c r="O8" s="41" t="s">
        <v>80</v>
      </c>
      <c r="V8" s="106"/>
      <c r="X8" s="105"/>
      <c r="AK8" s="105"/>
      <c r="BM8" s="106"/>
    </row>
    <row r="9" spans="1:65" ht="15.75" thickBot="1" x14ac:dyDescent="0.3">
      <c r="A9" s="46"/>
      <c r="B9" s="129"/>
      <c r="C9" s="46"/>
      <c r="D9" s="46"/>
      <c r="E9" s="46"/>
      <c r="I9" s="105" t="s">
        <v>81</v>
      </c>
      <c r="J9" s="41" t="s">
        <v>82</v>
      </c>
      <c r="K9" s="41" t="s">
        <v>83</v>
      </c>
      <c r="L9" s="41" t="s">
        <v>84</v>
      </c>
      <c r="V9" s="106"/>
      <c r="X9" s="105"/>
      <c r="AK9" s="105"/>
      <c r="BM9" s="106"/>
    </row>
    <row r="10" spans="1:65" ht="15.75" thickBot="1" x14ac:dyDescent="0.3">
      <c r="A10" s="46"/>
      <c r="B10" s="46"/>
      <c r="C10" s="46"/>
      <c r="D10" s="46"/>
      <c r="E10" s="46"/>
      <c r="I10" s="110">
        <v>5</v>
      </c>
      <c r="J10" s="44">
        <v>65</v>
      </c>
      <c r="K10" s="44">
        <v>50</v>
      </c>
      <c r="L10" s="44">
        <v>38</v>
      </c>
      <c r="V10" s="106"/>
      <c r="X10" s="105"/>
      <c r="AK10" s="105"/>
      <c r="BM10" s="106"/>
    </row>
    <row r="11" spans="1:65" x14ac:dyDescent="0.25">
      <c r="A11" s="46"/>
      <c r="B11" s="129" t="s">
        <v>85</v>
      </c>
      <c r="C11" s="46"/>
      <c r="D11" s="130"/>
      <c r="E11" s="130"/>
      <c r="F11"/>
      <c r="G11" s="7"/>
      <c r="I11" s="111">
        <v>10</v>
      </c>
      <c r="J11" s="112">
        <v>69</v>
      </c>
      <c r="K11" s="112">
        <v>53</v>
      </c>
      <c r="L11" s="112">
        <v>40</v>
      </c>
      <c r="N11" s="102"/>
      <c r="O11" s="103"/>
      <c r="P11" s="103" t="s">
        <v>86</v>
      </c>
      <c r="Q11" s="103" t="s">
        <v>87</v>
      </c>
      <c r="R11" s="104" t="s">
        <v>88</v>
      </c>
      <c r="V11" s="106"/>
      <c r="X11" s="105"/>
      <c r="AK11" s="105"/>
      <c r="BM11" s="106"/>
    </row>
    <row r="12" spans="1:65" x14ac:dyDescent="0.25">
      <c r="A12" s="131" t="str">
        <f>+'Metric Conversion'!J17</f>
        <v>Austenitic A451/A743 CF-3M</v>
      </c>
      <c r="B12" s="131" cm="1">
        <f t="array" ref="B12">+TREND(Z56:Z62,Y56:Y62^{1,2,3,4},B8^{1,2,3,4})</f>
        <v>0.45896847791677708</v>
      </c>
      <c r="C12" s="46"/>
      <c r="D12" s="46"/>
      <c r="E12" s="46"/>
      <c r="I12" s="111">
        <v>15</v>
      </c>
      <c r="J12" s="112">
        <v>79</v>
      </c>
      <c r="K12" s="112">
        <v>60</v>
      </c>
      <c r="L12" s="112">
        <v>45</v>
      </c>
      <c r="N12" s="105"/>
      <c r="O12" s="41" t="s">
        <v>89</v>
      </c>
      <c r="P12" s="41">
        <v>60.4</v>
      </c>
      <c r="Q12" s="41">
        <v>43.6</v>
      </c>
      <c r="R12" s="106">
        <v>34.6</v>
      </c>
      <c r="V12" s="106"/>
      <c r="X12" s="105"/>
      <c r="AK12" s="105"/>
      <c r="BM12" s="106"/>
    </row>
    <row r="13" spans="1:65" ht="15.75" thickBot="1" x14ac:dyDescent="0.3">
      <c r="A13" s="46"/>
      <c r="B13" s="46"/>
      <c r="C13" s="46"/>
      <c r="D13" s="46"/>
      <c r="E13" s="46"/>
      <c r="I13" s="111">
        <v>20</v>
      </c>
      <c r="J13" s="112">
        <v>96</v>
      </c>
      <c r="K13" s="112">
        <v>72</v>
      </c>
      <c r="L13" s="112">
        <v>55</v>
      </c>
      <c r="N13" s="121" t="s">
        <v>90</v>
      </c>
      <c r="O13" s="41" t="s">
        <v>91</v>
      </c>
      <c r="P13" s="41">
        <v>1.2</v>
      </c>
      <c r="Q13" s="41">
        <v>1.861904762</v>
      </c>
      <c r="R13" s="106">
        <v>1.0190479189999999</v>
      </c>
      <c r="V13" s="106"/>
      <c r="X13" s="105"/>
      <c r="AK13" s="105"/>
      <c r="BM13" s="106"/>
    </row>
    <row r="14" spans="1:65" ht="15.75" thickBot="1" x14ac:dyDescent="0.3">
      <c r="A14" s="46"/>
      <c r="B14" s="129"/>
      <c r="C14" s="152" t="s">
        <v>92</v>
      </c>
      <c r="D14" s="46" t="s">
        <v>79</v>
      </c>
      <c r="E14" s="46"/>
      <c r="I14" s="113">
        <v>25</v>
      </c>
      <c r="J14" s="45">
        <v>128</v>
      </c>
      <c r="K14" s="45">
        <v>98</v>
      </c>
      <c r="L14" s="45">
        <v>75</v>
      </c>
      <c r="N14" s="105"/>
      <c r="O14" s="41" t="s">
        <v>93</v>
      </c>
      <c r="P14" s="41">
        <v>-0.09</v>
      </c>
      <c r="Q14" s="41">
        <v>-0.15428571399999999</v>
      </c>
      <c r="R14" s="106">
        <v>-9.2857143000000003E-2</v>
      </c>
      <c r="V14" s="106"/>
      <c r="X14" s="105"/>
      <c r="AK14" s="105"/>
      <c r="BM14" s="106"/>
    </row>
    <row r="15" spans="1:65" ht="15.75" thickBot="1" x14ac:dyDescent="0.3">
      <c r="A15" s="46"/>
      <c r="B15" s="132" t="s">
        <v>13</v>
      </c>
      <c r="C15" s="133">
        <f>+_xlfn.XLOOKUP(A12,AN55:AN71,AQ55:AQ71)</f>
        <v>50</v>
      </c>
      <c r="D15" s="133">
        <f>+C15/$B$12</f>
        <v>108.93994338553748</v>
      </c>
      <c r="E15" s="46"/>
      <c r="I15" s="114">
        <v>29</v>
      </c>
      <c r="J15" s="46">
        <v>128</v>
      </c>
      <c r="K15" s="46">
        <v>98</v>
      </c>
      <c r="L15" s="46">
        <v>75</v>
      </c>
      <c r="N15" s="105"/>
      <c r="O15" s="41" t="s">
        <v>94</v>
      </c>
      <c r="P15" s="41">
        <v>6.0000000000000001E-3</v>
      </c>
      <c r="Q15" s="41">
        <v>6.6666670000000003E-3</v>
      </c>
      <c r="R15" s="106">
        <v>4.6666670000000002E-3</v>
      </c>
      <c r="V15" s="106"/>
      <c r="X15" s="105"/>
      <c r="AK15" s="105"/>
      <c r="BM15" s="106"/>
    </row>
    <row r="16" spans="1:65" ht="15.75" thickBot="1" x14ac:dyDescent="0.3">
      <c r="A16" s="46"/>
      <c r="B16" s="134" t="s">
        <v>52</v>
      </c>
      <c r="C16" s="135">
        <f>+_xlfn.XLOOKUP(A12,AN55:AN71,AP55:AP71)</f>
        <v>50</v>
      </c>
      <c r="D16" s="135">
        <f>IF(Input_Output!J12="y",62,C16/$B$12)</f>
        <v>108.93994338553748</v>
      </c>
      <c r="E16" s="46"/>
      <c r="I16" s="115">
        <v>32</v>
      </c>
      <c r="J16" s="47">
        <v>128</v>
      </c>
      <c r="K16" s="47">
        <v>98</v>
      </c>
      <c r="L16" s="47">
        <v>75</v>
      </c>
      <c r="N16" s="105"/>
      <c r="R16" s="106"/>
      <c r="V16" s="106"/>
      <c r="X16" s="105"/>
      <c r="AK16" s="105"/>
      <c r="BM16" s="106"/>
    </row>
    <row r="17" spans="1:65" x14ac:dyDescent="0.25">
      <c r="A17" s="46"/>
      <c r="B17" s="134" t="s">
        <v>56</v>
      </c>
      <c r="C17" s="135">
        <f>+_xlfn.XLOOKUP(A12,AN55:AN71,AO55:AO71)</f>
        <v>40</v>
      </c>
      <c r="D17" s="135">
        <f>+C17/$B$12</f>
        <v>87.151954708429969</v>
      </c>
      <c r="E17" s="46"/>
      <c r="I17" s="116">
        <v>40</v>
      </c>
      <c r="J17" s="117">
        <v>103</v>
      </c>
      <c r="K17" s="117">
        <v>80</v>
      </c>
      <c r="L17" s="117">
        <v>60</v>
      </c>
      <c r="N17" s="122" t="s">
        <v>95</v>
      </c>
      <c r="O17" s="41" t="s">
        <v>89</v>
      </c>
      <c r="P17" s="41">
        <v>128</v>
      </c>
      <c r="Q17" s="41">
        <v>98</v>
      </c>
      <c r="R17" s="106">
        <v>75</v>
      </c>
      <c r="V17" s="106"/>
      <c r="X17" s="105"/>
      <c r="AK17" s="105"/>
      <c r="BM17" s="106"/>
    </row>
    <row r="18" spans="1:65" x14ac:dyDescent="0.25">
      <c r="A18" s="46"/>
      <c r="B18" s="134" t="s">
        <v>59</v>
      </c>
      <c r="C18" s="135"/>
      <c r="D18" s="135">
        <f>+B44</f>
        <v>47</v>
      </c>
      <c r="E18" s="46"/>
      <c r="I18" s="116">
        <v>45</v>
      </c>
      <c r="J18" s="117">
        <v>92</v>
      </c>
      <c r="K18" s="117">
        <v>70</v>
      </c>
      <c r="L18" s="117">
        <v>54</v>
      </c>
      <c r="N18" s="105"/>
      <c r="R18" s="106"/>
      <c r="V18" s="106"/>
      <c r="X18" s="105"/>
      <c r="AK18" s="105"/>
      <c r="BM18" s="106"/>
    </row>
    <row r="19" spans="1:65" x14ac:dyDescent="0.25">
      <c r="A19" s="46"/>
      <c r="B19" s="136" t="s">
        <v>61</v>
      </c>
      <c r="C19" s="133">
        <f>+_xlfn.XLOOKUP(A12,AN55:AN71,AP55:AP71)</f>
        <v>50</v>
      </c>
      <c r="D19" s="133">
        <f>+D15</f>
        <v>108.93994338553748</v>
      </c>
      <c r="E19" s="46"/>
      <c r="I19" s="116">
        <v>50</v>
      </c>
      <c r="J19" s="117">
        <v>84</v>
      </c>
      <c r="K19" s="117">
        <v>63</v>
      </c>
      <c r="L19" s="117">
        <v>49</v>
      </c>
      <c r="N19" s="105"/>
      <c r="O19" s="41" t="s">
        <v>89</v>
      </c>
      <c r="P19" s="41">
        <v>327.69153626999997</v>
      </c>
      <c r="Q19" s="41">
        <v>249.78261234799999</v>
      </c>
      <c r="R19" s="106">
        <v>192.964697718</v>
      </c>
      <c r="V19" s="106"/>
      <c r="X19" s="105"/>
      <c r="AK19" s="105"/>
      <c r="BM19" s="106"/>
    </row>
    <row r="20" spans="1:65" x14ac:dyDescent="0.25">
      <c r="A20" s="46"/>
      <c r="B20" s="150" t="s">
        <v>63</v>
      </c>
      <c r="C20" s="46">
        <f>+C17</f>
        <v>40</v>
      </c>
      <c r="D20" s="135">
        <f>+C20/$B$12</f>
        <v>87.151954708429969</v>
      </c>
      <c r="E20" s="46"/>
      <c r="I20" s="116">
        <v>55</v>
      </c>
      <c r="J20" s="117">
        <v>77</v>
      </c>
      <c r="K20" s="117">
        <v>60</v>
      </c>
      <c r="L20" s="117">
        <v>45</v>
      </c>
      <c r="N20" s="122" t="s">
        <v>96</v>
      </c>
      <c r="O20" s="41" t="s">
        <v>91</v>
      </c>
      <c r="P20" s="41">
        <v>-10.286049308999999</v>
      </c>
      <c r="Q20" s="41">
        <v>-7.8037310169999996</v>
      </c>
      <c r="R20" s="106">
        <v>-6.115721035</v>
      </c>
      <c r="V20" s="106"/>
      <c r="X20" s="105"/>
      <c r="AK20" s="105"/>
      <c r="BM20" s="106"/>
    </row>
    <row r="21" spans="1:65" x14ac:dyDescent="0.25">
      <c r="A21" s="46"/>
      <c r="B21" s="129"/>
      <c r="C21" s="46"/>
      <c r="D21" s="46"/>
      <c r="E21" s="46"/>
      <c r="I21" s="116">
        <v>60</v>
      </c>
      <c r="J21" s="117">
        <v>71</v>
      </c>
      <c r="K21" s="117">
        <v>55</v>
      </c>
      <c r="L21" s="117">
        <v>42</v>
      </c>
      <c r="N21" s="105"/>
      <c r="O21" s="41" t="s">
        <v>93</v>
      </c>
      <c r="P21" s="41">
        <v>0.16544667499999999</v>
      </c>
      <c r="Q21" s="41">
        <v>0.12543210699999999</v>
      </c>
      <c r="R21" s="106">
        <v>9.9579511999999995E-2</v>
      </c>
      <c r="V21" s="106"/>
      <c r="X21" s="105"/>
      <c r="AK21" s="105"/>
      <c r="BM21" s="106"/>
    </row>
    <row r="22" spans="1:65" x14ac:dyDescent="0.25">
      <c r="B22" s="43"/>
      <c r="I22" s="116">
        <v>65</v>
      </c>
      <c r="J22" s="117">
        <v>66</v>
      </c>
      <c r="K22" s="117">
        <v>51</v>
      </c>
      <c r="L22" s="117">
        <v>39</v>
      </c>
      <c r="N22" s="105"/>
      <c r="O22" s="41" t="s">
        <v>94</v>
      </c>
      <c r="P22" s="41">
        <v>-1.4588310000000001E-3</v>
      </c>
      <c r="Q22" s="41">
        <v>-1.1108050000000001E-3</v>
      </c>
      <c r="R22" s="106">
        <v>-8.8939399999999995E-4</v>
      </c>
      <c r="V22" s="106"/>
      <c r="X22" s="105"/>
      <c r="AK22" s="105"/>
      <c r="BM22" s="106"/>
    </row>
    <row r="23" spans="1:65" x14ac:dyDescent="0.25">
      <c r="B23" s="43"/>
      <c r="I23" s="116">
        <v>70</v>
      </c>
      <c r="J23" s="117">
        <v>62</v>
      </c>
      <c r="K23" s="117">
        <v>47</v>
      </c>
      <c r="L23" s="117">
        <v>36.299999999999997</v>
      </c>
      <c r="N23" s="105"/>
      <c r="O23" s="41" t="s">
        <v>97</v>
      </c>
      <c r="P23" s="41">
        <v>7.1609999999999997E-6</v>
      </c>
      <c r="Q23" s="41">
        <v>5.4960000000000004E-6</v>
      </c>
      <c r="R23" s="106">
        <v>4.4159999999999997E-6</v>
      </c>
      <c r="V23" s="106"/>
      <c r="X23" s="105"/>
      <c r="AK23" s="105"/>
      <c r="BM23" s="106"/>
    </row>
    <row r="24" spans="1:65" x14ac:dyDescent="0.25">
      <c r="B24" s="43"/>
      <c r="I24" s="116">
        <v>80</v>
      </c>
      <c r="J24" s="117">
        <v>55</v>
      </c>
      <c r="K24" s="117">
        <v>42</v>
      </c>
      <c r="L24" s="117">
        <v>32</v>
      </c>
      <c r="N24" s="105"/>
      <c r="O24" s="41" t="s">
        <v>98</v>
      </c>
      <c r="P24" s="118">
        <v>-1.8306504670000001E-8</v>
      </c>
      <c r="Q24" s="118">
        <v>-1.418966008E-8</v>
      </c>
      <c r="R24" s="123">
        <v>-1.139580414E-8</v>
      </c>
      <c r="V24" s="106"/>
      <c r="X24" s="105"/>
      <c r="AK24" s="105"/>
      <c r="BM24" s="106"/>
    </row>
    <row r="25" spans="1:65" ht="15.75" thickBot="1" x14ac:dyDescent="0.3">
      <c r="B25" s="43"/>
      <c r="I25" s="116">
        <v>90</v>
      </c>
      <c r="J25" s="117">
        <v>50</v>
      </c>
      <c r="K25" s="117">
        <v>38</v>
      </c>
      <c r="L25" s="117">
        <v>29</v>
      </c>
      <c r="N25" s="107"/>
      <c r="O25" s="108" t="s">
        <v>99</v>
      </c>
      <c r="P25" s="124">
        <v>1.897531741E-11</v>
      </c>
      <c r="Q25" s="124">
        <v>1.4860842430000002E-11</v>
      </c>
      <c r="R25" s="125">
        <v>1.190212187E-11</v>
      </c>
      <c r="V25" s="106"/>
      <c r="X25" s="105"/>
      <c r="AK25" s="105"/>
      <c r="BM25" s="106"/>
    </row>
    <row r="26" spans="1:65" x14ac:dyDescent="0.25">
      <c r="B26" s="43"/>
      <c r="I26" s="116">
        <v>100</v>
      </c>
      <c r="J26" s="117">
        <v>46</v>
      </c>
      <c r="K26" s="117">
        <v>35</v>
      </c>
      <c r="L26" s="117">
        <v>27</v>
      </c>
      <c r="V26" s="106"/>
      <c r="X26" s="105"/>
      <c r="AK26" s="105"/>
      <c r="BM26" s="106"/>
    </row>
    <row r="27" spans="1:65" x14ac:dyDescent="0.25">
      <c r="B27" s="43"/>
      <c r="I27" s="116">
        <v>110</v>
      </c>
      <c r="J27" s="117">
        <v>43.5</v>
      </c>
      <c r="K27" s="117">
        <v>33</v>
      </c>
      <c r="L27" s="117">
        <v>25.5</v>
      </c>
      <c r="V27" s="106"/>
      <c r="X27" s="105"/>
      <c r="AK27" s="105"/>
      <c r="BM27" s="106"/>
    </row>
    <row r="28" spans="1:65" x14ac:dyDescent="0.25">
      <c r="B28" s="43"/>
      <c r="I28" s="116">
        <v>120</v>
      </c>
      <c r="J28" s="117">
        <v>41</v>
      </c>
      <c r="K28" s="117">
        <v>31</v>
      </c>
      <c r="L28" s="117">
        <v>24</v>
      </c>
      <c r="V28" s="106"/>
      <c r="X28" s="105"/>
      <c r="AK28" s="105"/>
      <c r="BM28" s="106"/>
    </row>
    <row r="29" spans="1:65" x14ac:dyDescent="0.25">
      <c r="I29" s="116">
        <v>130</v>
      </c>
      <c r="J29" s="117">
        <v>38.700000000000003</v>
      </c>
      <c r="K29" s="117">
        <v>29.3</v>
      </c>
      <c r="L29" s="117">
        <v>22.5</v>
      </c>
      <c r="V29" s="106"/>
      <c r="X29" s="105"/>
      <c r="AK29" s="105"/>
      <c r="BM29" s="106"/>
    </row>
    <row r="30" spans="1:65" x14ac:dyDescent="0.25">
      <c r="I30" s="116">
        <v>140</v>
      </c>
      <c r="J30" s="117">
        <v>36.6</v>
      </c>
      <c r="K30" s="117">
        <v>28</v>
      </c>
      <c r="L30" s="117">
        <v>21</v>
      </c>
      <c r="V30" s="106"/>
      <c r="X30" s="105"/>
      <c r="AK30" s="105"/>
      <c r="BM30" s="106"/>
    </row>
    <row r="31" spans="1:65" x14ac:dyDescent="0.25">
      <c r="I31" s="116">
        <v>150</v>
      </c>
      <c r="J31" s="117">
        <v>35</v>
      </c>
      <c r="K31" s="117">
        <v>27</v>
      </c>
      <c r="L31" s="117">
        <v>20</v>
      </c>
      <c r="V31" s="106"/>
      <c r="X31" s="105"/>
      <c r="AK31" s="105"/>
      <c r="BM31" s="106"/>
    </row>
    <row r="32" spans="1:65" x14ac:dyDescent="0.25">
      <c r="I32" s="116">
        <v>160</v>
      </c>
      <c r="J32" s="117">
        <v>34</v>
      </c>
      <c r="K32" s="117">
        <v>26</v>
      </c>
      <c r="L32" s="117">
        <v>19.399999999999999</v>
      </c>
      <c r="V32" s="106"/>
      <c r="X32" s="105"/>
      <c r="AK32" s="105"/>
      <c r="BM32" s="106"/>
    </row>
    <row r="33" spans="1:65" x14ac:dyDescent="0.25">
      <c r="I33" s="116">
        <v>170</v>
      </c>
      <c r="J33" s="117">
        <v>33</v>
      </c>
      <c r="K33" s="117">
        <v>25.2</v>
      </c>
      <c r="L33" s="117">
        <v>19.2</v>
      </c>
      <c r="V33" s="106"/>
      <c r="X33" s="105"/>
      <c r="AK33" s="105"/>
      <c r="BM33" s="106"/>
    </row>
    <row r="34" spans="1:65" x14ac:dyDescent="0.25">
      <c r="I34" s="116">
        <v>180</v>
      </c>
      <c r="J34" s="117">
        <v>32.299999999999997</v>
      </c>
      <c r="K34" s="117">
        <v>24.8</v>
      </c>
      <c r="L34" s="117">
        <v>18.7</v>
      </c>
      <c r="V34" s="106"/>
      <c r="X34" s="105"/>
      <c r="AK34" s="105"/>
      <c r="BM34" s="106"/>
    </row>
    <row r="35" spans="1:65" x14ac:dyDescent="0.25">
      <c r="I35" s="116">
        <v>190</v>
      </c>
      <c r="J35" s="117">
        <v>31.5</v>
      </c>
      <c r="K35" s="117">
        <v>24.4</v>
      </c>
      <c r="L35" s="117">
        <v>18.3</v>
      </c>
      <c r="V35" s="106"/>
      <c r="X35" s="105"/>
      <c r="AK35" s="105"/>
      <c r="BM35" s="106"/>
    </row>
    <row r="36" spans="1:65" x14ac:dyDescent="0.25">
      <c r="A36" s="144" t="s">
        <v>100</v>
      </c>
      <c r="I36" s="116">
        <v>200</v>
      </c>
      <c r="J36" s="117">
        <v>31</v>
      </c>
      <c r="K36" s="117">
        <v>24</v>
      </c>
      <c r="L36" s="117">
        <v>18</v>
      </c>
      <c r="V36" s="106"/>
      <c r="X36" s="105"/>
      <c r="AK36" s="105"/>
      <c r="BM36" s="106"/>
    </row>
    <row r="37" spans="1:65" x14ac:dyDescent="0.25">
      <c r="I37" s="116">
        <v>210</v>
      </c>
      <c r="J37" s="117">
        <v>30.7</v>
      </c>
      <c r="K37" s="117">
        <v>23.6</v>
      </c>
      <c r="L37" s="117">
        <v>17.7</v>
      </c>
      <c r="V37" s="106"/>
      <c r="X37" s="105"/>
      <c r="AK37" s="105"/>
      <c r="BM37" s="106"/>
    </row>
    <row r="38" spans="1:65" x14ac:dyDescent="0.25">
      <c r="I38" s="116">
        <v>220</v>
      </c>
      <c r="J38" s="117">
        <v>30.3</v>
      </c>
      <c r="K38" s="117">
        <v>23.3</v>
      </c>
      <c r="L38" s="117">
        <v>17.5</v>
      </c>
      <c r="V38" s="106"/>
      <c r="X38" s="105"/>
      <c r="AK38" s="105"/>
      <c r="BM38" s="106"/>
    </row>
    <row r="39" spans="1:65" x14ac:dyDescent="0.25">
      <c r="I39" s="116">
        <v>230</v>
      </c>
      <c r="J39" s="117">
        <v>30</v>
      </c>
      <c r="K39" s="117">
        <v>22.9</v>
      </c>
      <c r="L39" s="117">
        <v>17.399999999999999</v>
      </c>
      <c r="V39" s="106"/>
      <c r="X39" s="105"/>
      <c r="AK39" s="105"/>
      <c r="BM39" s="106"/>
    </row>
    <row r="40" spans="1:65" x14ac:dyDescent="0.25">
      <c r="I40" s="116">
        <v>240</v>
      </c>
      <c r="J40" s="117">
        <v>29.5</v>
      </c>
      <c r="K40" s="117">
        <v>22.6</v>
      </c>
      <c r="L40" s="117">
        <v>17.2</v>
      </c>
      <c r="V40" s="106"/>
      <c r="X40" s="105"/>
      <c r="AK40" s="105"/>
      <c r="BM40" s="106"/>
    </row>
    <row r="41" spans="1:65" ht="15.75" thickBot="1" x14ac:dyDescent="0.3">
      <c r="A41" s="144"/>
      <c r="B41" s="144" t="s">
        <v>101</v>
      </c>
      <c r="C41" s="144" t="s">
        <v>102</v>
      </c>
      <c r="I41" s="119">
        <v>250</v>
      </c>
      <c r="J41" s="48">
        <v>29.3</v>
      </c>
      <c r="K41" s="48">
        <v>22.4</v>
      </c>
      <c r="L41" s="48">
        <v>17</v>
      </c>
      <c r="V41" s="106"/>
      <c r="X41" s="105"/>
      <c r="AK41" s="105"/>
      <c r="BM41" s="106"/>
    </row>
    <row r="42" spans="1:65" x14ac:dyDescent="0.25">
      <c r="A42" s="144" t="s">
        <v>103</v>
      </c>
      <c r="B42" s="41">
        <v>47</v>
      </c>
      <c r="C42" s="41">
        <v>31</v>
      </c>
      <c r="I42" s="105"/>
      <c r="V42" s="106"/>
      <c r="X42" s="105"/>
      <c r="AK42" s="105"/>
      <c r="BM42" s="106"/>
    </row>
    <row r="43" spans="1:65" x14ac:dyDescent="0.25">
      <c r="I43" s="105"/>
      <c r="V43" s="106"/>
      <c r="X43" s="105"/>
      <c r="AK43" s="105"/>
      <c r="BM43" s="106"/>
    </row>
    <row r="44" spans="1:65" x14ac:dyDescent="0.25">
      <c r="A44" s="144" t="s">
        <v>104</v>
      </c>
      <c r="B44" s="41">
        <f>B42*(1-0.44*(Input_Output!$K$12/(1-Input_Output!$K$12)*Input_Output!$J$12)^0.33)</f>
        <v>47</v>
      </c>
      <c r="C44" s="41">
        <f>C42*(1-0.44*(Input_Output!$K$12/(1-Input_Output!$K$12)*Input_Output!$J$12)^0.33)</f>
        <v>31</v>
      </c>
      <c r="I44" s="105"/>
      <c r="V44" s="106"/>
      <c r="X44" s="105"/>
      <c r="AK44" s="105"/>
      <c r="BM44" s="106"/>
    </row>
    <row r="45" spans="1:65" x14ac:dyDescent="0.25">
      <c r="I45" s="105"/>
      <c r="V45" s="106"/>
      <c r="X45" s="105"/>
      <c r="AK45" s="105"/>
      <c r="BM45" s="106"/>
    </row>
    <row r="46" spans="1:65" x14ac:dyDescent="0.25">
      <c r="I46" s="105"/>
      <c r="V46" s="106"/>
      <c r="X46" s="105"/>
      <c r="AK46" s="105"/>
      <c r="BM46" s="106"/>
    </row>
    <row r="47" spans="1:65" x14ac:dyDescent="0.25">
      <c r="I47" s="105"/>
      <c r="V47" s="106"/>
      <c r="X47" s="105"/>
      <c r="AK47" s="105"/>
      <c r="BM47" s="106"/>
    </row>
    <row r="48" spans="1:65" x14ac:dyDescent="0.25">
      <c r="I48" s="105"/>
      <c r="V48" s="106"/>
      <c r="X48" s="105"/>
      <c r="AK48" s="105"/>
      <c r="BM48" s="106"/>
    </row>
    <row r="49" spans="9:65" x14ac:dyDescent="0.25">
      <c r="I49" s="105"/>
      <c r="V49" s="106"/>
      <c r="X49" s="105"/>
      <c r="AK49" s="105"/>
      <c r="BM49" s="106"/>
    </row>
    <row r="50" spans="9:65" x14ac:dyDescent="0.25">
      <c r="I50" s="105"/>
      <c r="V50" s="106"/>
      <c r="X50" s="105"/>
      <c r="AK50" s="105"/>
      <c r="BM50" s="106"/>
    </row>
    <row r="51" spans="9:65" x14ac:dyDescent="0.25">
      <c r="I51" s="105"/>
      <c r="V51" s="106"/>
      <c r="X51" s="105"/>
      <c r="AK51" s="105"/>
      <c r="BM51" s="106"/>
    </row>
    <row r="52" spans="9:65" x14ac:dyDescent="0.25">
      <c r="I52" s="105"/>
      <c r="V52" s="106"/>
      <c r="X52" s="105"/>
      <c r="AK52" s="105"/>
      <c r="BM52" s="106"/>
    </row>
    <row r="53" spans="9:65" ht="15.75" thickBot="1" x14ac:dyDescent="0.3">
      <c r="I53" s="105"/>
      <c r="V53" s="106"/>
      <c r="X53" s="105"/>
      <c r="AK53" s="137"/>
      <c r="AL53" s="138"/>
      <c r="AM53" s="138"/>
      <c r="AN53" s="138"/>
      <c r="AO53" s="143" t="s">
        <v>105</v>
      </c>
      <c r="AP53" s="138"/>
      <c r="AQ53" s="138"/>
      <c r="AT53" s="141" t="s">
        <v>106</v>
      </c>
      <c r="AU53" s="141"/>
      <c r="AV53" s="141"/>
      <c r="AW53" s="141"/>
      <c r="AX53" s="141"/>
      <c r="BM53" s="106"/>
    </row>
    <row r="54" spans="9:65" ht="24" x14ac:dyDescent="0.25">
      <c r="I54" s="105"/>
      <c r="V54" s="106"/>
      <c r="X54" s="105"/>
      <c r="AK54" s="137"/>
      <c r="AL54" s="138"/>
      <c r="AM54" s="138"/>
      <c r="AN54" s="139" t="s">
        <v>38</v>
      </c>
      <c r="AO54" s="141" t="s">
        <v>107</v>
      </c>
      <c r="AP54" s="141" t="s">
        <v>108</v>
      </c>
      <c r="AQ54" s="143" t="s">
        <v>109</v>
      </c>
      <c r="AR54" s="144" t="s">
        <v>110</v>
      </c>
      <c r="AT54" s="153" t="s">
        <v>111</v>
      </c>
      <c r="AU54" s="153" t="s">
        <v>112</v>
      </c>
      <c r="AV54" s="153" t="s">
        <v>52</v>
      </c>
      <c r="AW54" s="153" t="s">
        <v>56</v>
      </c>
      <c r="AX54" s="154" t="s">
        <v>113</v>
      </c>
      <c r="BM54" s="106"/>
    </row>
    <row r="55" spans="9:65" x14ac:dyDescent="0.25">
      <c r="I55" s="105"/>
      <c r="V55" s="106"/>
      <c r="X55" s="105"/>
      <c r="Y55" s="120" t="s">
        <v>114</v>
      </c>
      <c r="Z55" s="120" t="s">
        <v>85</v>
      </c>
      <c r="AK55" s="137"/>
      <c r="AL55" s="138"/>
      <c r="AM55" s="138"/>
      <c r="AN55" s="139" t="s">
        <v>51</v>
      </c>
      <c r="AO55" s="141">
        <v>0</v>
      </c>
      <c r="AP55" s="141">
        <v>15</v>
      </c>
      <c r="AQ55" s="138">
        <v>0</v>
      </c>
      <c r="AT55" s="142">
        <f t="shared" ref="AT55:AT71" si="0">+AD165*$B$12</f>
        <v>18.175151725504374</v>
      </c>
      <c r="AU55" s="142">
        <f t="shared" ref="AU55:AU71" si="1">+AE165*$B$12</f>
        <v>15.375444010212032</v>
      </c>
      <c r="AV55" s="142">
        <f t="shared" ref="AV55:AV71" si="2">+AF165*$B$12</f>
        <v>12.575736294919691</v>
      </c>
      <c r="AW55" s="142">
        <f t="shared" ref="AW55:AW71" si="3">+AG165*$B$12</f>
        <v>11.198830861169361</v>
      </c>
      <c r="AX55" s="142">
        <f t="shared" ref="AX55:AX71" si="4">+AH165*$B$12</f>
        <v>5.5994154305846804</v>
      </c>
      <c r="AY55" s="41">
        <f>+AX55/AW55</f>
        <v>0.5</v>
      </c>
      <c r="BM55" s="106"/>
    </row>
    <row r="56" spans="9:65" x14ac:dyDescent="0.25">
      <c r="I56" s="105"/>
      <c r="V56" s="106"/>
      <c r="X56" s="105"/>
      <c r="Y56" s="120">
        <v>0</v>
      </c>
      <c r="Z56" s="120">
        <v>0.32</v>
      </c>
      <c r="AK56" s="137"/>
      <c r="AL56" s="138"/>
      <c r="AM56" s="138"/>
      <c r="AN56" s="139" t="s">
        <v>55</v>
      </c>
      <c r="AO56" s="141">
        <v>0</v>
      </c>
      <c r="AP56" s="141">
        <v>17</v>
      </c>
      <c r="AQ56" s="138">
        <v>0</v>
      </c>
      <c r="AT56" s="142">
        <f t="shared" si="0"/>
        <v>25.19736943763106</v>
      </c>
      <c r="AU56" s="142">
        <f t="shared" si="1"/>
        <v>22.397661722338722</v>
      </c>
      <c r="AV56" s="142">
        <f t="shared" si="2"/>
        <v>19.597954007046383</v>
      </c>
      <c r="AW56" s="142">
        <f t="shared" si="3"/>
        <v>13.998538576461701</v>
      </c>
      <c r="AX56" s="142">
        <f t="shared" si="4"/>
        <v>8.3991231458770201</v>
      </c>
      <c r="AY56" s="41">
        <f t="shared" ref="AY56:AY71" si="5">+AX56/AW56</f>
        <v>0.6</v>
      </c>
      <c r="BM56" s="106"/>
    </row>
    <row r="57" spans="9:65" x14ac:dyDescent="0.25">
      <c r="I57" s="105"/>
      <c r="V57" s="106"/>
      <c r="X57" s="105"/>
      <c r="Y57" s="120">
        <v>25</v>
      </c>
      <c r="Z57" s="120">
        <v>0.42</v>
      </c>
      <c r="AK57" s="137"/>
      <c r="AL57" s="138"/>
      <c r="AM57" s="138"/>
      <c r="AN57" s="140" t="s">
        <v>58</v>
      </c>
      <c r="AO57" s="141">
        <v>20</v>
      </c>
      <c r="AP57" s="141">
        <v>20</v>
      </c>
      <c r="AQ57" s="138">
        <v>0</v>
      </c>
      <c r="AT57" s="142">
        <f t="shared" si="0"/>
        <v>20.974859440796713</v>
      </c>
      <c r="AU57" s="142">
        <f t="shared" si="1"/>
        <v>18.175151725504374</v>
      </c>
      <c r="AV57" s="142">
        <f t="shared" si="2"/>
        <v>16.79824629175404</v>
      </c>
      <c r="AW57" s="142">
        <f t="shared" si="3"/>
        <v>15.375444010212032</v>
      </c>
      <c r="AX57" s="142">
        <f t="shared" si="4"/>
        <v>7.7106704290018557</v>
      </c>
      <c r="AY57" s="41">
        <f t="shared" si="5"/>
        <v>0.50149253731343291</v>
      </c>
      <c r="BM57" s="106"/>
    </row>
    <row r="58" spans="9:65" x14ac:dyDescent="0.25">
      <c r="I58" s="105"/>
      <c r="V58" s="106"/>
      <c r="X58" s="105"/>
      <c r="Y58" s="120">
        <v>50</v>
      </c>
      <c r="Z58" s="120">
        <v>0.53</v>
      </c>
      <c r="AK58" s="137"/>
      <c r="AL58" s="138"/>
      <c r="AM58" s="138"/>
      <c r="AN58" s="140" t="s">
        <v>60</v>
      </c>
      <c r="AO58" s="141">
        <v>2</v>
      </c>
      <c r="AP58" s="141">
        <v>25</v>
      </c>
      <c r="AQ58" s="138">
        <v>0</v>
      </c>
      <c r="AT58" s="142">
        <f t="shared" si="0"/>
        <v>34.973398017258418</v>
      </c>
      <c r="AU58" s="142">
        <f t="shared" si="1"/>
        <v>30.796784868215738</v>
      </c>
      <c r="AV58" s="142">
        <f t="shared" si="2"/>
        <v>27.997077152923403</v>
      </c>
      <c r="AW58" s="142">
        <f t="shared" si="3"/>
        <v>25.19736943763106</v>
      </c>
      <c r="AX58" s="142">
        <f t="shared" si="4"/>
        <v>18.175151725504374</v>
      </c>
      <c r="AY58" s="41">
        <f t="shared" si="5"/>
        <v>0.7213114754098362</v>
      </c>
      <c r="BM58" s="106"/>
    </row>
    <row r="59" spans="9:65" x14ac:dyDescent="0.25">
      <c r="I59" s="105"/>
      <c r="V59" s="106"/>
      <c r="X59" s="105"/>
      <c r="Y59" s="120">
        <v>100</v>
      </c>
      <c r="Z59" s="120">
        <v>0.67</v>
      </c>
      <c r="AK59" s="137"/>
      <c r="AL59" s="138"/>
      <c r="AM59" s="138"/>
      <c r="AN59" s="140" t="s">
        <v>62</v>
      </c>
      <c r="AO59" s="141">
        <v>0</v>
      </c>
      <c r="AP59" s="141">
        <v>70</v>
      </c>
      <c r="AQ59" s="141">
        <v>70</v>
      </c>
      <c r="AT59" s="142">
        <f t="shared" si="0"/>
        <v>41.949718881593427</v>
      </c>
      <c r="AU59" s="142">
        <f t="shared" si="1"/>
        <v>37.773105732550754</v>
      </c>
      <c r="AV59" s="142">
        <f t="shared" si="2"/>
        <v>33.596492583508081</v>
      </c>
      <c r="AW59" s="142">
        <f t="shared" si="3"/>
        <v>27.997077152923403</v>
      </c>
      <c r="AX59" s="142">
        <f t="shared" si="4"/>
        <v>23.086114439213887</v>
      </c>
      <c r="AY59" s="41">
        <f t="shared" si="5"/>
        <v>0.82459016393442619</v>
      </c>
      <c r="BM59" s="106"/>
    </row>
    <row r="60" spans="9:65" x14ac:dyDescent="0.25">
      <c r="I60" s="105"/>
      <c r="V60" s="106"/>
      <c r="X60" s="105"/>
      <c r="Y60" s="120">
        <v>150</v>
      </c>
      <c r="Z60" s="120">
        <v>0.78</v>
      </c>
      <c r="AK60" s="137"/>
      <c r="AL60" s="138"/>
      <c r="AM60" s="138"/>
      <c r="AN60" s="140" t="s">
        <v>64</v>
      </c>
      <c r="AO60" s="141">
        <v>0</v>
      </c>
      <c r="AP60" s="141">
        <v>70</v>
      </c>
      <c r="AQ60" s="141">
        <v>70</v>
      </c>
      <c r="AT60" s="142">
        <f t="shared" si="0"/>
        <v>41.949718881593427</v>
      </c>
      <c r="AU60" s="142">
        <f t="shared" si="1"/>
        <v>37.773105732550754</v>
      </c>
      <c r="AV60" s="142">
        <f t="shared" si="2"/>
        <v>33.596492583508081</v>
      </c>
      <c r="AW60" s="142">
        <f t="shared" si="3"/>
        <v>27.997077152923403</v>
      </c>
      <c r="AX60" s="142">
        <f t="shared" si="4"/>
        <v>23.086114439213887</v>
      </c>
      <c r="AY60" s="41">
        <f t="shared" si="5"/>
        <v>0.82459016393442619</v>
      </c>
      <c r="BM60" s="106"/>
    </row>
    <row r="61" spans="9:65" x14ac:dyDescent="0.25">
      <c r="I61" s="105"/>
      <c r="V61" s="106"/>
      <c r="X61" s="105"/>
      <c r="Y61" s="120">
        <v>250</v>
      </c>
      <c r="Z61" s="120">
        <v>0.89</v>
      </c>
      <c r="AK61" s="137"/>
      <c r="AL61" s="138"/>
      <c r="AM61" s="138"/>
      <c r="AN61" s="140" t="s">
        <v>65</v>
      </c>
      <c r="AO61" s="141">
        <v>40</v>
      </c>
      <c r="AP61" s="141">
        <v>50</v>
      </c>
      <c r="AQ61" s="141">
        <v>50</v>
      </c>
      <c r="AT61" s="142">
        <f t="shared" si="0"/>
        <v>41.949718881593427</v>
      </c>
      <c r="AU61" s="142">
        <f t="shared" si="1"/>
        <v>37.773105732550754</v>
      </c>
      <c r="AV61" s="142">
        <f t="shared" si="2"/>
        <v>33.596492583508081</v>
      </c>
      <c r="AW61" s="142">
        <f t="shared" si="3"/>
        <v>30.796784868215738</v>
      </c>
      <c r="AX61" s="142">
        <f t="shared" si="4"/>
        <v>21.663312157671879</v>
      </c>
      <c r="AY61" s="41">
        <f t="shared" si="5"/>
        <v>0.70342771982116259</v>
      </c>
      <c r="BM61" s="106"/>
    </row>
    <row r="62" spans="9:65" x14ac:dyDescent="0.25">
      <c r="I62" s="105"/>
      <c r="V62" s="106"/>
      <c r="X62" s="105"/>
      <c r="Y62" s="120">
        <v>300</v>
      </c>
      <c r="Z62" s="120">
        <v>0.93</v>
      </c>
      <c r="AK62" s="137"/>
      <c r="AL62" s="138"/>
      <c r="AM62" s="138"/>
      <c r="AN62" s="140" t="s">
        <v>22</v>
      </c>
      <c r="AO62" s="141">
        <v>40</v>
      </c>
      <c r="AP62" s="141">
        <v>50</v>
      </c>
      <c r="AQ62" s="141">
        <v>50</v>
      </c>
      <c r="AT62" s="142">
        <f t="shared" si="0"/>
        <v>41.949718881593427</v>
      </c>
      <c r="AU62" s="142">
        <f t="shared" si="1"/>
        <v>37.773105732550754</v>
      </c>
      <c r="AV62" s="142">
        <f t="shared" si="2"/>
        <v>33.596492583508081</v>
      </c>
      <c r="AW62" s="142">
        <f t="shared" si="3"/>
        <v>30.796784868215738</v>
      </c>
      <c r="AX62" s="142">
        <f t="shared" si="4"/>
        <v>21.663312157671879</v>
      </c>
      <c r="AY62" s="41">
        <f t="shared" si="5"/>
        <v>0.70342771982116259</v>
      </c>
      <c r="BM62" s="106"/>
    </row>
    <row r="63" spans="9:65" ht="15.75" thickBot="1" x14ac:dyDescent="0.3">
      <c r="I63" s="105"/>
      <c r="V63" s="106"/>
      <c r="X63" s="107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37"/>
      <c r="AL63" s="138"/>
      <c r="AM63" s="138"/>
      <c r="AN63" s="140" t="s">
        <v>66</v>
      </c>
      <c r="AO63" s="141">
        <v>55</v>
      </c>
      <c r="AP63" s="141">
        <v>60</v>
      </c>
      <c r="AQ63" s="141">
        <v>60</v>
      </c>
      <c r="AT63" s="142">
        <f t="shared" si="0"/>
        <v>48.971936593720116</v>
      </c>
      <c r="AU63" s="142">
        <f t="shared" si="1"/>
        <v>46.172228878427774</v>
      </c>
      <c r="AV63" s="142">
        <f t="shared" si="2"/>
        <v>41.949718881593427</v>
      </c>
      <c r="AW63" s="142">
        <f t="shared" si="3"/>
        <v>39.150011166301084</v>
      </c>
      <c r="AX63" s="142">
        <f t="shared" si="4"/>
        <v>26.574274871381391</v>
      </c>
      <c r="AY63" s="41">
        <f t="shared" si="5"/>
        <v>0.6787807737397421</v>
      </c>
      <c r="BM63" s="106"/>
    </row>
    <row r="64" spans="9:65" x14ac:dyDescent="0.25">
      <c r="I64" s="105"/>
      <c r="V64" s="106"/>
      <c r="AK64" s="137"/>
      <c r="AL64" s="138"/>
      <c r="AM64" s="138"/>
      <c r="AN64" s="140" t="s">
        <v>67</v>
      </c>
      <c r="AO64" s="141">
        <v>55</v>
      </c>
      <c r="AP64" s="141">
        <v>60</v>
      </c>
      <c r="AQ64" s="141">
        <v>60</v>
      </c>
      <c r="AT64" s="142">
        <f t="shared" si="0"/>
        <v>48.971936593720116</v>
      </c>
      <c r="AU64" s="142">
        <f t="shared" si="1"/>
        <v>46.172228878427774</v>
      </c>
      <c r="AV64" s="142">
        <f t="shared" si="2"/>
        <v>41.949718881593427</v>
      </c>
      <c r="AW64" s="142">
        <f t="shared" si="3"/>
        <v>39.150011166301084</v>
      </c>
      <c r="AX64" s="142">
        <f t="shared" si="4"/>
        <v>26.574274871381391</v>
      </c>
      <c r="AY64" s="41">
        <f t="shared" si="5"/>
        <v>0.6787807737397421</v>
      </c>
      <c r="BM64" s="106"/>
    </row>
    <row r="65" spans="9:65" x14ac:dyDescent="0.25">
      <c r="I65" s="105"/>
      <c r="V65" s="106"/>
      <c r="AK65" s="137"/>
      <c r="AL65" s="138"/>
      <c r="AM65" s="138"/>
      <c r="AN65" s="140" t="s">
        <v>68</v>
      </c>
      <c r="AO65" s="141">
        <v>55</v>
      </c>
      <c r="AP65" s="141">
        <v>60</v>
      </c>
      <c r="AQ65" s="141">
        <v>60</v>
      </c>
      <c r="AT65" s="142">
        <f t="shared" si="0"/>
        <v>48.971936593720116</v>
      </c>
      <c r="AU65" s="142">
        <f t="shared" si="1"/>
        <v>46.172228878427774</v>
      </c>
      <c r="AV65" s="142">
        <f t="shared" si="2"/>
        <v>41.949718881593427</v>
      </c>
      <c r="AW65" s="142">
        <f t="shared" si="3"/>
        <v>39.150011166301084</v>
      </c>
      <c r="AX65" s="142">
        <f t="shared" si="4"/>
        <v>26.574274871381391</v>
      </c>
      <c r="AY65" s="41">
        <f t="shared" si="5"/>
        <v>0.6787807737397421</v>
      </c>
      <c r="BM65" s="106"/>
    </row>
    <row r="66" spans="9:65" x14ac:dyDescent="0.25">
      <c r="I66" s="105"/>
      <c r="V66" s="106"/>
      <c r="AK66" s="137"/>
      <c r="AL66" s="138"/>
      <c r="AM66" s="138"/>
      <c r="AN66" s="140" t="s">
        <v>69</v>
      </c>
      <c r="AO66" s="141">
        <v>55</v>
      </c>
      <c r="AP66" s="141">
        <v>60</v>
      </c>
      <c r="AQ66" s="141">
        <v>60</v>
      </c>
      <c r="AT66" s="142">
        <f t="shared" si="0"/>
        <v>48.971936593720116</v>
      </c>
      <c r="AU66" s="142">
        <f t="shared" si="1"/>
        <v>46.172228878427774</v>
      </c>
      <c r="AV66" s="142">
        <f t="shared" si="2"/>
        <v>41.949718881593427</v>
      </c>
      <c r="AW66" s="142">
        <f t="shared" si="3"/>
        <v>39.150011166301084</v>
      </c>
      <c r="AX66" s="142">
        <f t="shared" si="4"/>
        <v>26.574274871381391</v>
      </c>
      <c r="AY66" s="41">
        <f t="shared" si="5"/>
        <v>0.6787807737397421</v>
      </c>
      <c r="BM66" s="106"/>
    </row>
    <row r="67" spans="9:65" x14ac:dyDescent="0.25">
      <c r="I67" s="105"/>
      <c r="V67" s="106"/>
      <c r="AK67" s="137"/>
      <c r="AL67" s="138"/>
      <c r="AM67" s="138"/>
      <c r="AN67" s="140" t="s">
        <v>70</v>
      </c>
      <c r="AO67" s="141">
        <v>60</v>
      </c>
      <c r="AP67" s="141">
        <v>60</v>
      </c>
      <c r="AQ67" s="141">
        <v>60</v>
      </c>
      <c r="AT67" s="142">
        <f t="shared" si="0"/>
        <v>48.971936593720116</v>
      </c>
      <c r="AU67" s="142">
        <f t="shared" si="1"/>
        <v>46.172228878427774</v>
      </c>
      <c r="AV67" s="142">
        <f t="shared" si="2"/>
        <v>41.949718881593427</v>
      </c>
      <c r="AW67" s="142">
        <f t="shared" si="3"/>
        <v>39.150011166301084</v>
      </c>
      <c r="AX67" s="142">
        <f t="shared" si="4"/>
        <v>26.574274871381391</v>
      </c>
      <c r="AY67" s="41">
        <f t="shared" si="5"/>
        <v>0.6787807737397421</v>
      </c>
      <c r="BM67" s="106"/>
    </row>
    <row r="68" spans="9:65" x14ac:dyDescent="0.25">
      <c r="I68" s="105"/>
      <c r="V68" s="106"/>
      <c r="AK68" s="137"/>
      <c r="AL68" s="138"/>
      <c r="AM68" s="138"/>
      <c r="AN68" s="140" t="s">
        <v>71</v>
      </c>
      <c r="AO68" s="141">
        <v>23</v>
      </c>
      <c r="AP68" s="141">
        <v>23</v>
      </c>
      <c r="AQ68" s="141">
        <v>23</v>
      </c>
      <c r="AT68" s="142">
        <f t="shared" si="0"/>
        <v>27.997077152923403</v>
      </c>
      <c r="AU68" s="142">
        <f t="shared" si="1"/>
        <v>25.19736943763106</v>
      </c>
      <c r="AV68" s="142">
        <f t="shared" si="2"/>
        <v>22.397661722338722</v>
      </c>
      <c r="AW68" s="142">
        <f t="shared" si="3"/>
        <v>20.974859440796713</v>
      </c>
      <c r="AX68" s="142">
        <f t="shared" si="4"/>
        <v>15.375444010212032</v>
      </c>
      <c r="AY68" s="41">
        <f t="shared" si="5"/>
        <v>0.73304157549234128</v>
      </c>
      <c r="BM68" s="106"/>
    </row>
    <row r="69" spans="9:65" x14ac:dyDescent="0.25">
      <c r="I69" s="105"/>
      <c r="V69" s="106"/>
      <c r="AK69" s="137"/>
      <c r="AL69" s="138"/>
      <c r="AM69" s="138"/>
      <c r="AN69" s="140" t="s">
        <v>72</v>
      </c>
      <c r="AO69" s="141">
        <v>23</v>
      </c>
      <c r="AP69" s="141">
        <v>23</v>
      </c>
      <c r="AQ69" s="141">
        <v>23</v>
      </c>
      <c r="AT69" s="142">
        <f t="shared" si="0"/>
        <v>20.974859440796713</v>
      </c>
      <c r="AU69" s="142">
        <f t="shared" si="1"/>
        <v>18.175151725504374</v>
      </c>
      <c r="AV69" s="142">
        <f t="shared" si="2"/>
        <v>16.79824629175404</v>
      </c>
      <c r="AW69" s="142">
        <f t="shared" si="3"/>
        <v>13.998538576461701</v>
      </c>
      <c r="AX69" s="142">
        <f t="shared" si="4"/>
        <v>12.575736294919691</v>
      </c>
      <c r="AY69" s="41">
        <f t="shared" si="5"/>
        <v>0.89836065573770485</v>
      </c>
      <c r="BM69" s="106"/>
    </row>
    <row r="70" spans="9:65" x14ac:dyDescent="0.25">
      <c r="I70" s="105"/>
      <c r="V70" s="106"/>
      <c r="AK70" s="137"/>
      <c r="AL70" s="138"/>
      <c r="AM70" s="138"/>
      <c r="AN70" s="140" t="s">
        <v>73</v>
      </c>
      <c r="AO70" s="141">
        <v>30</v>
      </c>
      <c r="AP70" s="141">
        <v>30</v>
      </c>
      <c r="AQ70" s="141">
        <v>30</v>
      </c>
      <c r="AT70" s="142">
        <f t="shared" si="0"/>
        <v>34.973398017258418</v>
      </c>
      <c r="AU70" s="142">
        <f t="shared" si="1"/>
        <v>30.796784868215738</v>
      </c>
      <c r="AV70" s="142">
        <f t="shared" si="2"/>
        <v>27.997077152923403</v>
      </c>
      <c r="AW70" s="142">
        <f t="shared" si="3"/>
        <v>22.397661722338722</v>
      </c>
      <c r="AX70" s="142">
        <f t="shared" si="4"/>
        <v>22.397661722338722</v>
      </c>
      <c r="AY70" s="41">
        <f t="shared" si="5"/>
        <v>1</v>
      </c>
      <c r="BM70" s="106"/>
    </row>
    <row r="71" spans="9:65" x14ac:dyDescent="0.25">
      <c r="I71" s="105"/>
      <c r="V71" s="106"/>
      <c r="AK71" s="137"/>
      <c r="AL71" s="138"/>
      <c r="AM71" s="138"/>
      <c r="AN71" s="140" t="s">
        <v>74</v>
      </c>
      <c r="AO71" s="141">
        <v>60</v>
      </c>
      <c r="AP71" s="141">
        <v>60</v>
      </c>
      <c r="AQ71" s="141">
        <v>60</v>
      </c>
      <c r="AT71" s="142">
        <f t="shared" si="0"/>
        <v>48.971936593720116</v>
      </c>
      <c r="AU71" s="142">
        <f t="shared" si="1"/>
        <v>46.172228878427774</v>
      </c>
      <c r="AV71" s="142">
        <f t="shared" si="2"/>
        <v>41.949718881593427</v>
      </c>
      <c r="AW71" s="142">
        <f t="shared" si="3"/>
        <v>41.949718881593427</v>
      </c>
      <c r="AX71" s="142">
        <f t="shared" si="4"/>
        <v>29.373982586673733</v>
      </c>
      <c r="AY71" s="41">
        <f t="shared" si="5"/>
        <v>0.70021881838074396</v>
      </c>
      <c r="BM71" s="106"/>
    </row>
    <row r="72" spans="9:65" x14ac:dyDescent="0.25">
      <c r="I72" s="105"/>
      <c r="V72" s="106"/>
      <c r="AK72" s="105"/>
      <c r="BM72" s="106"/>
    </row>
    <row r="73" spans="9:65" ht="15.75" thickBot="1" x14ac:dyDescent="0.3">
      <c r="I73" s="105"/>
      <c r="V73" s="106"/>
      <c r="AK73" s="107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9"/>
    </row>
    <row r="74" spans="9:65" x14ac:dyDescent="0.25">
      <c r="I74" s="105"/>
      <c r="V74" s="106"/>
    </row>
    <row r="75" spans="9:65" x14ac:dyDescent="0.25">
      <c r="I75" s="105"/>
      <c r="V75" s="106"/>
    </row>
    <row r="76" spans="9:65" x14ac:dyDescent="0.25">
      <c r="I76" s="105"/>
      <c r="V76" s="106"/>
    </row>
    <row r="77" spans="9:65" x14ac:dyDescent="0.25">
      <c r="I77" s="105"/>
      <c r="V77" s="106"/>
    </row>
    <row r="78" spans="9:65" x14ac:dyDescent="0.25">
      <c r="I78" s="105"/>
      <c r="V78" s="106"/>
    </row>
    <row r="79" spans="9:65" x14ac:dyDescent="0.25">
      <c r="I79" s="105"/>
      <c r="V79" s="106"/>
    </row>
    <row r="80" spans="9:65" x14ac:dyDescent="0.25">
      <c r="I80" s="105"/>
      <c r="V80" s="106"/>
    </row>
    <row r="81" spans="9:22" x14ac:dyDescent="0.25">
      <c r="I81" s="105"/>
      <c r="V81" s="106"/>
    </row>
    <row r="82" spans="9:22" x14ac:dyDescent="0.25">
      <c r="I82" s="105"/>
      <c r="V82" s="106"/>
    </row>
    <row r="83" spans="9:22" x14ac:dyDescent="0.25">
      <c r="I83" s="105"/>
      <c r="V83" s="106"/>
    </row>
    <row r="84" spans="9:22" x14ac:dyDescent="0.25">
      <c r="I84" s="105"/>
      <c r="V84" s="106"/>
    </row>
    <row r="85" spans="9:22" x14ac:dyDescent="0.25">
      <c r="I85" s="105"/>
      <c r="V85" s="106"/>
    </row>
    <row r="86" spans="9:22" x14ac:dyDescent="0.25">
      <c r="I86" s="105"/>
      <c r="V86" s="106"/>
    </row>
    <row r="87" spans="9:22" x14ac:dyDescent="0.25">
      <c r="I87" s="105"/>
      <c r="V87" s="106"/>
    </row>
    <row r="88" spans="9:22" x14ac:dyDescent="0.25">
      <c r="I88" s="105"/>
      <c r="V88" s="106"/>
    </row>
    <row r="89" spans="9:22" x14ac:dyDescent="0.25">
      <c r="I89" s="105"/>
      <c r="V89" s="106"/>
    </row>
    <row r="90" spans="9:22" x14ac:dyDescent="0.25">
      <c r="I90" s="105"/>
      <c r="V90" s="106"/>
    </row>
    <row r="91" spans="9:22" x14ac:dyDescent="0.25">
      <c r="I91" s="105"/>
      <c r="V91" s="106"/>
    </row>
    <row r="92" spans="9:22" x14ac:dyDescent="0.25">
      <c r="I92" s="105"/>
      <c r="V92" s="106"/>
    </row>
    <row r="93" spans="9:22" x14ac:dyDescent="0.25">
      <c r="I93" s="105"/>
      <c r="V93" s="106"/>
    </row>
    <row r="94" spans="9:22" x14ac:dyDescent="0.25">
      <c r="I94" s="105"/>
      <c r="V94" s="106"/>
    </row>
    <row r="95" spans="9:22" x14ac:dyDescent="0.25">
      <c r="I95" s="105"/>
      <c r="V95" s="106"/>
    </row>
    <row r="96" spans="9:22" x14ac:dyDescent="0.25">
      <c r="I96" s="105"/>
      <c r="V96" s="106"/>
    </row>
    <row r="97" spans="9:22" x14ac:dyDescent="0.25">
      <c r="I97" s="105"/>
      <c r="V97" s="106"/>
    </row>
    <row r="98" spans="9:22" x14ac:dyDescent="0.25">
      <c r="I98" s="105"/>
      <c r="V98" s="106"/>
    </row>
    <row r="99" spans="9:22" x14ac:dyDescent="0.25">
      <c r="I99" s="105"/>
      <c r="V99" s="106"/>
    </row>
    <row r="100" spans="9:22" x14ac:dyDescent="0.25">
      <c r="I100" s="105"/>
      <c r="V100" s="106"/>
    </row>
    <row r="101" spans="9:22" x14ac:dyDescent="0.25">
      <c r="I101" s="105"/>
      <c r="V101" s="106"/>
    </row>
    <row r="102" spans="9:22" x14ac:dyDescent="0.25">
      <c r="I102" s="105"/>
      <c r="V102" s="106"/>
    </row>
    <row r="103" spans="9:22" x14ac:dyDescent="0.25">
      <c r="I103" s="105"/>
      <c r="V103" s="106"/>
    </row>
    <row r="104" spans="9:22" x14ac:dyDescent="0.25">
      <c r="I104" s="105"/>
      <c r="V104" s="106"/>
    </row>
    <row r="105" spans="9:22" x14ac:dyDescent="0.25">
      <c r="I105" s="105"/>
      <c r="V105" s="106"/>
    </row>
    <row r="106" spans="9:22" x14ac:dyDescent="0.25">
      <c r="I106" s="105"/>
      <c r="V106" s="106"/>
    </row>
    <row r="107" spans="9:22" x14ac:dyDescent="0.25">
      <c r="I107" s="105"/>
      <c r="V107" s="106"/>
    </row>
    <row r="108" spans="9:22" x14ac:dyDescent="0.25">
      <c r="I108" s="105"/>
      <c r="V108" s="106"/>
    </row>
    <row r="109" spans="9:22" x14ac:dyDescent="0.25">
      <c r="I109" s="105"/>
      <c r="V109" s="106"/>
    </row>
    <row r="110" spans="9:22" ht="15.75" thickBot="1" x14ac:dyDescent="0.3">
      <c r="I110" s="107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9"/>
    </row>
    <row r="149" spans="15:24" ht="15.75" thickBot="1" x14ac:dyDescent="0.3"/>
    <row r="150" spans="15:24" ht="24.75" thickBot="1" x14ac:dyDescent="0.3">
      <c r="O150" s="49" t="s">
        <v>51</v>
      </c>
      <c r="Q150" s="53" t="s">
        <v>51</v>
      </c>
      <c r="S150" s="53" t="s">
        <v>51</v>
      </c>
      <c r="T150" s="54" t="s">
        <v>115</v>
      </c>
      <c r="U150" s="55" t="s">
        <v>116</v>
      </c>
      <c r="V150" s="41">
        <v>40</v>
      </c>
      <c r="X150" s="41">
        <f>+V150/3</f>
        <v>13.333333333333334</v>
      </c>
    </row>
    <row r="151" spans="15:24" ht="48.75" thickBot="1" x14ac:dyDescent="0.3">
      <c r="O151" s="49" t="s">
        <v>55</v>
      </c>
      <c r="Q151" s="56" t="s">
        <v>117</v>
      </c>
      <c r="S151" s="56" t="s">
        <v>55</v>
      </c>
      <c r="T151" s="52" t="s">
        <v>118</v>
      </c>
      <c r="U151" s="57" t="s">
        <v>119</v>
      </c>
      <c r="V151" s="41">
        <v>55</v>
      </c>
      <c r="X151" s="41">
        <f t="shared" ref="X151:X163" si="6">+V151/3</f>
        <v>18.333333333333332</v>
      </c>
    </row>
    <row r="152" spans="15:24" ht="36.75" thickBot="1" x14ac:dyDescent="0.3">
      <c r="O152" s="50" t="s">
        <v>58</v>
      </c>
      <c r="Q152" s="56" t="s">
        <v>58</v>
      </c>
      <c r="S152" s="56" t="s">
        <v>58</v>
      </c>
      <c r="T152" s="52" t="s">
        <v>120</v>
      </c>
      <c r="U152" s="57" t="s">
        <v>121</v>
      </c>
      <c r="V152" s="41">
        <v>46</v>
      </c>
      <c r="X152" s="41">
        <f t="shared" si="6"/>
        <v>15.333333333333334</v>
      </c>
    </row>
    <row r="153" spans="15:24" ht="36.75" thickBot="1" x14ac:dyDescent="0.3">
      <c r="O153" s="50" t="s">
        <v>60</v>
      </c>
      <c r="Q153" s="56" t="s">
        <v>60</v>
      </c>
      <c r="S153" s="56" t="s">
        <v>60</v>
      </c>
      <c r="T153" s="52" t="s">
        <v>122</v>
      </c>
      <c r="U153" s="57" t="s">
        <v>123</v>
      </c>
      <c r="V153" s="41">
        <v>76</v>
      </c>
      <c r="X153" s="41">
        <f t="shared" si="6"/>
        <v>25.333333333333332</v>
      </c>
    </row>
    <row r="154" spans="15:24" ht="60.75" thickBot="1" x14ac:dyDescent="0.3">
      <c r="O154" s="50" t="s">
        <v>62</v>
      </c>
      <c r="Q154" s="56" t="s">
        <v>124</v>
      </c>
      <c r="S154" s="56" t="s">
        <v>62</v>
      </c>
      <c r="T154" s="52" t="s">
        <v>125</v>
      </c>
      <c r="U154" s="57" t="s">
        <v>126</v>
      </c>
      <c r="V154" s="41">
        <v>91</v>
      </c>
      <c r="X154" s="41">
        <f t="shared" si="6"/>
        <v>30.333333333333332</v>
      </c>
    </row>
    <row r="155" spans="15:24" ht="48.75" thickBot="1" x14ac:dyDescent="0.3">
      <c r="O155" s="50" t="s">
        <v>64</v>
      </c>
      <c r="Q155" s="56" t="s">
        <v>127</v>
      </c>
      <c r="S155" s="56" t="s">
        <v>64</v>
      </c>
      <c r="T155" s="52" t="s">
        <v>125</v>
      </c>
      <c r="U155" s="57" t="s">
        <v>126</v>
      </c>
      <c r="V155" s="41">
        <v>91</v>
      </c>
      <c r="X155" s="41">
        <f t="shared" si="6"/>
        <v>30.333333333333332</v>
      </c>
    </row>
    <row r="156" spans="15:24" ht="36.75" thickBot="1" x14ac:dyDescent="0.3">
      <c r="O156" s="50" t="s">
        <v>65</v>
      </c>
      <c r="Q156" s="56" t="s">
        <v>128</v>
      </c>
      <c r="S156" s="56" t="s">
        <v>65</v>
      </c>
      <c r="T156" s="52" t="s">
        <v>125</v>
      </c>
      <c r="U156" s="57" t="s">
        <v>126</v>
      </c>
      <c r="V156" s="41">
        <v>91</v>
      </c>
      <c r="X156" s="41">
        <f t="shared" si="6"/>
        <v>30.333333333333332</v>
      </c>
    </row>
    <row r="157" spans="15:24" ht="36.75" thickBot="1" x14ac:dyDescent="0.3">
      <c r="O157" s="50" t="s">
        <v>22</v>
      </c>
      <c r="Q157" s="56" t="s">
        <v>129</v>
      </c>
      <c r="S157" s="56" t="s">
        <v>22</v>
      </c>
      <c r="T157" s="52" t="s">
        <v>125</v>
      </c>
      <c r="U157" s="57" t="s">
        <v>126</v>
      </c>
      <c r="V157" s="41">
        <v>91</v>
      </c>
      <c r="X157" s="41">
        <f t="shared" si="6"/>
        <v>30.333333333333332</v>
      </c>
    </row>
    <row r="158" spans="15:24" ht="36.75" thickBot="1" x14ac:dyDescent="0.3">
      <c r="O158" s="50" t="s">
        <v>66</v>
      </c>
      <c r="Q158" s="56" t="s">
        <v>130</v>
      </c>
      <c r="S158" s="56" t="s">
        <v>131</v>
      </c>
      <c r="T158" s="52" t="s">
        <v>132</v>
      </c>
      <c r="U158" s="57" t="s">
        <v>133</v>
      </c>
      <c r="V158" s="41">
        <v>100</v>
      </c>
      <c r="X158" s="41">
        <f t="shared" si="6"/>
        <v>33.333333333333336</v>
      </c>
    </row>
    <row r="159" spans="15:24" ht="48.75" thickBot="1" x14ac:dyDescent="0.3">
      <c r="O159" s="50" t="s">
        <v>67</v>
      </c>
      <c r="Q159" s="56" t="s">
        <v>134</v>
      </c>
      <c r="S159" s="56" t="s">
        <v>135</v>
      </c>
      <c r="T159" s="52" t="s">
        <v>136</v>
      </c>
      <c r="U159" s="57" t="s">
        <v>137</v>
      </c>
      <c r="V159" s="41">
        <v>107</v>
      </c>
      <c r="X159" s="41">
        <f t="shared" si="6"/>
        <v>35.666666666666664</v>
      </c>
    </row>
    <row r="160" spans="15:24" ht="48.75" thickBot="1" x14ac:dyDescent="0.3">
      <c r="O160" s="50" t="s">
        <v>68</v>
      </c>
      <c r="Q160" s="58" t="s">
        <v>74</v>
      </c>
      <c r="S160" s="56" t="s">
        <v>138</v>
      </c>
      <c r="T160" s="52" t="s">
        <v>139</v>
      </c>
      <c r="U160" s="57" t="s">
        <v>140</v>
      </c>
      <c r="V160" s="41">
        <v>61</v>
      </c>
      <c r="X160" s="41">
        <f t="shared" si="6"/>
        <v>20.333333333333332</v>
      </c>
    </row>
    <row r="161" spans="15:35" ht="48.75" thickBot="1" x14ac:dyDescent="0.3">
      <c r="O161" s="50" t="s">
        <v>69</v>
      </c>
      <c r="S161" s="56" t="s">
        <v>141</v>
      </c>
      <c r="T161" s="52" t="s">
        <v>120</v>
      </c>
      <c r="U161" s="57" t="s">
        <v>121</v>
      </c>
      <c r="V161" s="41">
        <v>46</v>
      </c>
      <c r="X161" s="41">
        <f t="shared" si="6"/>
        <v>15.333333333333334</v>
      </c>
    </row>
    <row r="162" spans="15:35" ht="48.75" thickBot="1" x14ac:dyDescent="0.3">
      <c r="O162" s="50" t="s">
        <v>70</v>
      </c>
      <c r="S162" s="56" t="s">
        <v>142</v>
      </c>
      <c r="T162" s="52" t="s">
        <v>122</v>
      </c>
      <c r="U162" s="57" t="s">
        <v>123</v>
      </c>
      <c r="V162" s="41">
        <v>76</v>
      </c>
      <c r="X162" s="41">
        <f t="shared" si="6"/>
        <v>25.333333333333332</v>
      </c>
    </row>
    <row r="163" spans="15:35" ht="36.75" thickBot="1" x14ac:dyDescent="0.3">
      <c r="O163" s="50" t="s">
        <v>71</v>
      </c>
      <c r="S163" s="58" t="s">
        <v>74</v>
      </c>
      <c r="T163" s="59" t="s">
        <v>136</v>
      </c>
      <c r="U163" s="60" t="s">
        <v>137</v>
      </c>
      <c r="V163" s="41">
        <v>107</v>
      </c>
      <c r="X163" s="41">
        <f t="shared" si="6"/>
        <v>35.666666666666664</v>
      </c>
    </row>
    <row r="164" spans="15:35" ht="24.75" thickBot="1" x14ac:dyDescent="0.3">
      <c r="O164" s="50" t="s">
        <v>72</v>
      </c>
      <c r="AC164" s="155" t="s">
        <v>21</v>
      </c>
      <c r="AD164" s="156" t="s">
        <v>111</v>
      </c>
      <c r="AE164" s="156" t="s">
        <v>112</v>
      </c>
      <c r="AF164" s="156" t="s">
        <v>143</v>
      </c>
      <c r="AG164" s="156" t="s">
        <v>52</v>
      </c>
      <c r="AH164" s="156" t="s">
        <v>56</v>
      </c>
      <c r="AI164" s="157" t="s">
        <v>113</v>
      </c>
    </row>
    <row r="165" spans="15:35" ht="24.75" thickBot="1" x14ac:dyDescent="0.3">
      <c r="O165" s="50" t="s">
        <v>73</v>
      </c>
      <c r="Y165" s="66"/>
      <c r="Z165" s="66" t="s">
        <v>51</v>
      </c>
      <c r="AA165" s="53" t="s">
        <v>51</v>
      </c>
      <c r="AC165" s="53" t="s">
        <v>51</v>
      </c>
      <c r="AD165" s="61">
        <v>39.6</v>
      </c>
      <c r="AE165" s="61">
        <v>33.5</v>
      </c>
      <c r="AF165" s="61">
        <v>27.4</v>
      </c>
      <c r="AG165" s="61">
        <v>24.4</v>
      </c>
      <c r="AH165" s="61">
        <v>12.2</v>
      </c>
      <c r="AI165" s="62">
        <v>24.4</v>
      </c>
    </row>
    <row r="166" spans="15:35" ht="48.75" thickBot="1" x14ac:dyDescent="0.3">
      <c r="O166" s="50" t="s">
        <v>74</v>
      </c>
      <c r="Y166" s="66"/>
      <c r="Z166" s="66" t="s">
        <v>55</v>
      </c>
      <c r="AA166" s="56" t="s">
        <v>55</v>
      </c>
      <c r="AC166" s="56" t="s">
        <v>117</v>
      </c>
      <c r="AD166" s="51">
        <v>54.9</v>
      </c>
      <c r="AE166" s="51">
        <v>48.8</v>
      </c>
      <c r="AF166" s="51">
        <v>42.7</v>
      </c>
      <c r="AG166" s="51">
        <v>30.5</v>
      </c>
      <c r="AH166" s="51">
        <v>18.3</v>
      </c>
      <c r="AI166" s="63">
        <v>36.6</v>
      </c>
    </row>
    <row r="167" spans="15:35" ht="36.75" thickBot="1" x14ac:dyDescent="0.3">
      <c r="Y167" s="66"/>
      <c r="Z167" s="66" t="s">
        <v>58</v>
      </c>
      <c r="AA167" s="56" t="s">
        <v>58</v>
      </c>
      <c r="AC167" s="56" t="s">
        <v>58</v>
      </c>
      <c r="AD167" s="51">
        <v>45.7</v>
      </c>
      <c r="AE167" s="51">
        <v>39.6</v>
      </c>
      <c r="AF167" s="51">
        <v>36.6</v>
      </c>
      <c r="AG167" s="51">
        <v>33.5</v>
      </c>
      <c r="AH167" s="51">
        <v>16.8</v>
      </c>
      <c r="AI167" s="63">
        <v>33.5</v>
      </c>
    </row>
    <row r="168" spans="15:35" ht="36.75" thickBot="1" x14ac:dyDescent="0.3">
      <c r="Y168" s="66"/>
      <c r="Z168" s="66" t="s">
        <v>60</v>
      </c>
      <c r="AA168" s="56" t="s">
        <v>60</v>
      </c>
      <c r="AC168" s="56" t="s">
        <v>60</v>
      </c>
      <c r="AD168" s="51">
        <v>76.2</v>
      </c>
      <c r="AE168" s="51">
        <v>67.099999999999994</v>
      </c>
      <c r="AF168" s="51">
        <v>61</v>
      </c>
      <c r="AG168" s="51">
        <v>54.9</v>
      </c>
      <c r="AH168" s="51">
        <v>39.6</v>
      </c>
      <c r="AI168" s="63">
        <v>54.9</v>
      </c>
    </row>
    <row r="169" spans="15:35" ht="60.75" thickBot="1" x14ac:dyDescent="0.3">
      <c r="Y169" s="66"/>
      <c r="Z169" s="66" t="s">
        <v>62</v>
      </c>
      <c r="AA169" s="56" t="s">
        <v>62</v>
      </c>
      <c r="AC169" s="56" t="s">
        <v>124</v>
      </c>
      <c r="AD169" s="51">
        <v>91.4</v>
      </c>
      <c r="AE169" s="51">
        <v>82.3</v>
      </c>
      <c r="AF169" s="51">
        <v>73.2</v>
      </c>
      <c r="AG169" s="51">
        <v>61</v>
      </c>
      <c r="AH169" s="51">
        <v>50.3</v>
      </c>
      <c r="AI169" s="63">
        <v>61</v>
      </c>
    </row>
    <row r="170" spans="15:35" ht="48.75" thickBot="1" x14ac:dyDescent="0.3">
      <c r="Y170" s="66"/>
      <c r="Z170" s="66" t="s">
        <v>64</v>
      </c>
      <c r="AA170" s="56" t="s">
        <v>64</v>
      </c>
      <c r="AC170" s="56" t="s">
        <v>64</v>
      </c>
      <c r="AD170" s="51">
        <v>91.4</v>
      </c>
      <c r="AE170" s="51">
        <v>82.3</v>
      </c>
      <c r="AF170" s="51">
        <v>73.2</v>
      </c>
      <c r="AG170" s="51">
        <v>61</v>
      </c>
      <c r="AH170" s="51">
        <v>50.3</v>
      </c>
      <c r="AI170" s="63">
        <v>61</v>
      </c>
    </row>
    <row r="171" spans="15:35" ht="36.75" thickBot="1" x14ac:dyDescent="0.3">
      <c r="Y171" s="66"/>
      <c r="Z171" s="66" t="s">
        <v>65</v>
      </c>
      <c r="AA171" s="56" t="s">
        <v>65</v>
      </c>
      <c r="AC171" s="56" t="s">
        <v>127</v>
      </c>
      <c r="AD171" s="51">
        <v>91.4</v>
      </c>
      <c r="AE171" s="51">
        <v>82.3</v>
      </c>
      <c r="AF171" s="51">
        <v>73.2</v>
      </c>
      <c r="AG171" s="51">
        <v>67.099999999999994</v>
      </c>
      <c r="AH171" s="51">
        <v>47.2</v>
      </c>
      <c r="AI171" s="63">
        <v>67.099999999999994</v>
      </c>
    </row>
    <row r="172" spans="15:35" ht="36.75" thickBot="1" x14ac:dyDescent="0.3">
      <c r="Y172" s="66"/>
      <c r="Z172" s="66" t="s">
        <v>22</v>
      </c>
      <c r="AA172" s="56" t="s">
        <v>22</v>
      </c>
      <c r="AC172" s="56" t="s">
        <v>127</v>
      </c>
      <c r="AD172" s="51">
        <v>91.4</v>
      </c>
      <c r="AE172" s="51">
        <v>82.3</v>
      </c>
      <c r="AF172" s="51">
        <v>73.2</v>
      </c>
      <c r="AG172" s="51">
        <v>67.099999999999994</v>
      </c>
      <c r="AH172" s="51">
        <v>47.2</v>
      </c>
      <c r="AI172" s="63">
        <v>67.099999999999994</v>
      </c>
    </row>
    <row r="173" spans="15:35" ht="36.75" thickBot="1" x14ac:dyDescent="0.3">
      <c r="Y173" s="66"/>
      <c r="Z173" s="66" t="s">
        <v>66</v>
      </c>
      <c r="AA173" s="56" t="s">
        <v>131</v>
      </c>
      <c r="AC173" s="56" t="s">
        <v>131</v>
      </c>
      <c r="AD173" s="51">
        <v>106.7</v>
      </c>
      <c r="AE173" s="51">
        <v>100.6</v>
      </c>
      <c r="AF173" s="51">
        <v>91.4</v>
      </c>
      <c r="AG173" s="51">
        <v>85.3</v>
      </c>
      <c r="AH173" s="51">
        <v>57.9</v>
      </c>
      <c r="AI173" s="63">
        <v>76.2</v>
      </c>
    </row>
    <row r="174" spans="15:35" ht="48.75" thickBot="1" x14ac:dyDescent="0.3">
      <c r="Y174" s="66"/>
      <c r="Z174" s="66" t="s">
        <v>67</v>
      </c>
      <c r="AA174" s="56" t="s">
        <v>135</v>
      </c>
      <c r="AC174" s="56" t="s">
        <v>131</v>
      </c>
      <c r="AD174" s="51">
        <v>106.7</v>
      </c>
      <c r="AE174" s="51">
        <v>100.6</v>
      </c>
      <c r="AF174" s="51">
        <v>91.4</v>
      </c>
      <c r="AG174" s="51">
        <v>85.3</v>
      </c>
      <c r="AH174" s="51">
        <v>57.9</v>
      </c>
      <c r="AI174" s="63">
        <v>76.2</v>
      </c>
    </row>
    <row r="175" spans="15:35" ht="48.75" thickBot="1" x14ac:dyDescent="0.3">
      <c r="Y175" s="66"/>
      <c r="Z175" s="66" t="s">
        <v>68</v>
      </c>
      <c r="AA175" s="56" t="s">
        <v>138</v>
      </c>
      <c r="AC175" s="56" t="s">
        <v>131</v>
      </c>
      <c r="AD175" s="51">
        <v>106.7</v>
      </c>
      <c r="AE175" s="51">
        <v>100.6</v>
      </c>
      <c r="AF175" s="51">
        <v>91.4</v>
      </c>
      <c r="AG175" s="51">
        <v>85.3</v>
      </c>
      <c r="AH175" s="51">
        <v>57.9</v>
      </c>
      <c r="AI175" s="63">
        <v>76.2</v>
      </c>
    </row>
    <row r="176" spans="15:35" ht="48.75" thickBot="1" x14ac:dyDescent="0.3">
      <c r="Y176" s="66"/>
      <c r="Z176" s="66" t="s">
        <v>69</v>
      </c>
      <c r="AA176" s="56" t="s">
        <v>141</v>
      </c>
      <c r="AC176" s="56" t="s">
        <v>135</v>
      </c>
      <c r="AD176" s="51">
        <v>106.7</v>
      </c>
      <c r="AE176" s="51">
        <v>100.6</v>
      </c>
      <c r="AF176" s="51">
        <v>91.4</v>
      </c>
      <c r="AG176" s="51">
        <v>85.3</v>
      </c>
      <c r="AH176" s="51">
        <v>57.9</v>
      </c>
      <c r="AI176" s="63">
        <v>76.2</v>
      </c>
    </row>
    <row r="177" spans="25:35" ht="48.75" thickBot="1" x14ac:dyDescent="0.3">
      <c r="Y177" s="66"/>
      <c r="Z177" s="66" t="s">
        <v>70</v>
      </c>
      <c r="AA177" s="56" t="s">
        <v>142</v>
      </c>
      <c r="AC177" s="56" t="s">
        <v>135</v>
      </c>
      <c r="AD177" s="51">
        <v>106.7</v>
      </c>
      <c r="AE177" s="51">
        <v>100.6</v>
      </c>
      <c r="AF177" s="51">
        <v>91.4</v>
      </c>
      <c r="AG177" s="51">
        <v>85.3</v>
      </c>
      <c r="AH177" s="51">
        <v>57.9</v>
      </c>
      <c r="AI177" s="63">
        <v>76.2</v>
      </c>
    </row>
    <row r="178" spans="25:35" ht="36.75" thickBot="1" x14ac:dyDescent="0.3">
      <c r="Y178" s="66"/>
      <c r="Z178" s="66" t="s">
        <v>71</v>
      </c>
      <c r="AA178" s="58" t="s">
        <v>74</v>
      </c>
      <c r="AC178" s="56" t="s">
        <v>129</v>
      </c>
      <c r="AD178" s="51">
        <v>61</v>
      </c>
      <c r="AE178" s="51">
        <v>54.9</v>
      </c>
      <c r="AF178" s="51">
        <v>48.8</v>
      </c>
      <c r="AG178" s="51">
        <v>45.7</v>
      </c>
      <c r="AH178" s="51">
        <v>33.5</v>
      </c>
      <c r="AI178" s="63">
        <v>42.7</v>
      </c>
    </row>
    <row r="179" spans="25:35" ht="36.75" thickBot="1" x14ac:dyDescent="0.3">
      <c r="Y179" s="66"/>
      <c r="Z179" s="66" t="s">
        <v>72</v>
      </c>
      <c r="AC179" s="56" t="s">
        <v>130</v>
      </c>
      <c r="AD179" s="51">
        <v>45.7</v>
      </c>
      <c r="AE179" s="51">
        <v>39.6</v>
      </c>
      <c r="AF179" s="51">
        <v>36.6</v>
      </c>
      <c r="AG179" s="51">
        <v>30.5</v>
      </c>
      <c r="AH179" s="51">
        <v>27.4</v>
      </c>
      <c r="AI179" s="63">
        <v>30.5</v>
      </c>
    </row>
    <row r="180" spans="25:35" ht="36.75" thickBot="1" x14ac:dyDescent="0.3">
      <c r="Y180" s="66"/>
      <c r="Z180" s="66" t="s">
        <v>73</v>
      </c>
      <c r="AC180" s="56" t="s">
        <v>134</v>
      </c>
      <c r="AD180" s="51">
        <v>76.2</v>
      </c>
      <c r="AE180" s="51">
        <v>67.099999999999994</v>
      </c>
      <c r="AF180" s="51">
        <v>61</v>
      </c>
      <c r="AG180" s="51">
        <v>48.8</v>
      </c>
      <c r="AH180" s="51">
        <v>48.8</v>
      </c>
      <c r="AI180" s="63">
        <v>54.9</v>
      </c>
    </row>
    <row r="181" spans="25:35" ht="36" x14ac:dyDescent="0.25">
      <c r="Y181" s="66"/>
      <c r="Z181" s="66" t="s">
        <v>74</v>
      </c>
      <c r="AC181" s="58" t="s">
        <v>74</v>
      </c>
      <c r="AD181" s="64">
        <v>106.7</v>
      </c>
      <c r="AE181" s="64">
        <v>100.6</v>
      </c>
      <c r="AF181" s="64">
        <v>91.4</v>
      </c>
      <c r="AG181" s="64">
        <v>91.4</v>
      </c>
      <c r="AH181" s="64">
        <v>64</v>
      </c>
      <c r="AI181" s="65">
        <v>76.2</v>
      </c>
    </row>
  </sheetData>
  <phoneticPr fontId="13" type="noConversion"/>
  <hyperlinks>
    <hyperlink ref="T150" r:id="rId1" display="https://www.eng-tips.com/threads/maximum-allowable-tip-speed.322568/" xr:uid="{A255A62A-4C00-43A1-A31E-660C9FF27F7F}"/>
    <hyperlink ref="U150" r:id="rId2" display="https://www.eng-tips.com/threads/maximum-allowable-tip-speed.322568/" xr:uid="{AC701528-A76C-4016-B3A5-738A08AA28F9}"/>
    <hyperlink ref="T151" r:id="rId3" display="https://www.eng-tips.com/threads/maximum-allowable-tip-speed.322568/" xr:uid="{F6D55877-B0F1-44A0-8719-55594DC08A58}"/>
    <hyperlink ref="U151" r:id="rId4" display="https://www.eng-tips.com/threads/maximum-allowable-tip-speed.322568/" xr:uid="{A5EE7D3A-3A64-4DA7-BEAF-AD695BD3B8AE}"/>
    <hyperlink ref="T152" r:id="rId5" display="https://www.eng-tips.com/threads/maximum-allowable-tip-speed.322568/" xr:uid="{C8412073-DF99-4441-A3AC-F3AE84184BAC}"/>
    <hyperlink ref="U152" r:id="rId6" display="https://www.eng-tips.com/threads/maximum-allowable-tip-speed.322568/" xr:uid="{0CECE306-8F1B-4868-B3D9-781581AAD14B}"/>
    <hyperlink ref="T153" r:id="rId7" display="https://www.eng-tips.com/threads/maximum-allowable-tip-speed.322568/" xr:uid="{CF01D2B2-2A6D-4287-8977-6D3CFA75C0C7}"/>
    <hyperlink ref="U153" r:id="rId8" display="https://www.eng-tips.com/threads/maximum-allowable-tip-speed.322568/" xr:uid="{78DF6262-941B-40D3-8E31-CDE9BA33D76F}"/>
    <hyperlink ref="T154" r:id="rId9" display="https://www.eng-tips.com/threads/maximum-allowable-tip-speed.322568/" xr:uid="{8C0EA30C-5473-4E74-8200-19010ECBAB7D}"/>
    <hyperlink ref="U154" r:id="rId10" display="https://www.eng-tips.com/threads/maximum-allowable-tip-speed.322568/" xr:uid="{BEF73D59-960F-43EF-B664-C3CC35434411}"/>
    <hyperlink ref="T155" r:id="rId11" display="https://www.eng-tips.com/threads/maximum-allowable-tip-speed.322568/" xr:uid="{9E7DFF29-4775-4B10-B877-7CF266634132}"/>
    <hyperlink ref="U155" r:id="rId12" display="https://www.eng-tips.com/threads/maximum-allowable-tip-speed.322568/" xr:uid="{ACE165CB-D4B6-41DB-A051-4BD25224D238}"/>
    <hyperlink ref="T156" r:id="rId13" display="https://www.eng-tips.com/threads/maximum-allowable-tip-speed.322568/" xr:uid="{3D64A434-18DE-40B6-AE2F-F1CB20AA466A}"/>
    <hyperlink ref="U156" r:id="rId14" display="https://www.eng-tips.com/threads/maximum-allowable-tip-speed.322568/" xr:uid="{D94062EF-AD30-4300-92B8-61259B34A192}"/>
    <hyperlink ref="T157" r:id="rId15" display="https://www.eng-tips.com/threads/maximum-allowable-tip-speed.322568/" xr:uid="{0135D7FA-195C-489A-84C8-36E897197506}"/>
    <hyperlink ref="U157" r:id="rId16" display="https://www.eng-tips.com/threads/maximum-allowable-tip-speed.322568/" xr:uid="{0CD63F5B-D01D-486F-B55A-1518ED505991}"/>
    <hyperlink ref="T158" r:id="rId17" display="https://www.eng-tips.com/threads/maximum-allowable-tip-speed.322568/" xr:uid="{55AE0678-E332-4668-A8D9-CB07B9535CBA}"/>
    <hyperlink ref="U158" r:id="rId18" display="https://www.eng-tips.com/threads/maximum-allowable-tip-speed.322568/" xr:uid="{6D9896B8-BB3A-4FC8-BE40-6E757DE6BBFA}"/>
    <hyperlink ref="T159" r:id="rId19" display="https://www.eng-tips.com/threads/maximum-allowable-tip-speed.322568/" xr:uid="{01C951BE-417B-4973-AD56-92F78DBA2B6E}"/>
    <hyperlink ref="U159" r:id="rId20" display="https://www.eng-tips.com/threads/maximum-allowable-tip-speed.322568/" xr:uid="{FC3B3443-3439-478A-B314-FF24E938AF2D}"/>
    <hyperlink ref="T160" r:id="rId21" display="https://www.eng-tips.com/threads/maximum-allowable-tip-speed.322568/" xr:uid="{32F545B2-7F22-4EE3-B497-46FE4265B023}"/>
    <hyperlink ref="U160" r:id="rId22" display="https://www.eng-tips.com/threads/maximum-allowable-tip-speed.322568/" xr:uid="{590A6FAA-259C-411B-B7A8-CB605ECA1BB2}"/>
    <hyperlink ref="T161" r:id="rId23" display="https://www.eng-tips.com/threads/maximum-allowable-tip-speed.322568/" xr:uid="{837FC313-5B1E-43E1-813E-98B48937CFB5}"/>
    <hyperlink ref="U161" r:id="rId24" display="https://www.eng-tips.com/threads/maximum-allowable-tip-speed.322568/" xr:uid="{213FA6D6-8374-40DF-861B-B83042F6ACED}"/>
    <hyperlink ref="T162" r:id="rId25" display="https://www.eng-tips.com/threads/maximum-allowable-tip-speed.322568/" xr:uid="{691E1FA8-D49B-44EA-A888-A05FDB24110C}"/>
    <hyperlink ref="U162" r:id="rId26" display="https://www.eng-tips.com/threads/maximum-allowable-tip-speed.322568/" xr:uid="{E53A71F8-5194-4DF6-A27C-D4040C562EF5}"/>
    <hyperlink ref="T163" r:id="rId27" display="https://www.eng-tips.com/threads/maximum-allowable-tip-speed.322568/" xr:uid="{C0F18EDC-2025-430F-A885-68409A9E8CBF}"/>
    <hyperlink ref="U163" r:id="rId28" display="https://www.eng-tips.com/threads/maximum-allowable-tip-speed.322568/" xr:uid="{2F2716BB-C244-439B-AA17-CEB7D864B65A}"/>
  </hyperlinks>
  <pageMargins left="0.7" right="0.7" top="0.75" bottom="0.75" header="0.3" footer="0.3"/>
  <drawing r:id="rId2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3.xml><?xml version="1.0" encoding="utf-8"?>
<ds:datastoreItem xmlns:ds="http://schemas.openxmlformats.org/officeDocument/2006/customXml" ds:itemID="{E21DD414-83F6-4CF6-8979-0F07999562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5</vt:i4>
      </vt:variant>
    </vt:vector>
  </HeadingPairs>
  <TitlesOfParts>
    <vt:vector size="10" baseType="lpstr">
      <vt:lpstr>Cover</vt:lpstr>
      <vt:lpstr>Input_Output</vt:lpstr>
      <vt:lpstr>setup</vt:lpstr>
      <vt:lpstr>Metric Conversion</vt:lpstr>
      <vt:lpstr>Gulich</vt:lpstr>
      <vt:lpstr>Cover!Area_stampa</vt:lpstr>
      <vt:lpstr>Input_Output!Area_stampa</vt:lpstr>
      <vt:lpstr>'Metric Conversion'!Area_stampa</vt:lpstr>
      <vt:lpstr>Input_Output!Suction_Diameter</vt:lpstr>
      <vt:lpstr>'Metric Conversion'!Suction_Diameter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Tommaso Morelli Stefani</cp:lastModifiedBy>
  <cp:revision/>
  <dcterms:created xsi:type="dcterms:W3CDTF">2005-04-18T17:50:19Z</dcterms:created>
  <dcterms:modified xsi:type="dcterms:W3CDTF">2026-01-14T10:26:51Z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