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1.jpeg" ContentType="image/jpeg"/>
  <Override PartName="/xl/media/image15.jpeg" ContentType="image/jpeg"/>
  <Override PartName="/xl/media/image14.jpeg" ContentType="image/jpeg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12.jpeg" ContentType="image/jpeg"/>
  <Override PartName="/xl/media/image10.jpeg" ContentType="image/jpeg"/>
  <Override PartName="/xl/media/image8.jpeg" ContentType="image/jpeg"/>
  <Override PartName="/xl/media/image13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 de sección" sheetId="1" state="visible" r:id="rId2"/>
    <sheet name="Datos de los cables" sheetId="2" state="visible" r:id="rId3"/>
    <sheet name="Calculadora del factor de poten" sheetId="3" state="visible" r:id="rId4"/>
    <sheet name="Cuentas auxiliares" sheetId="4" state="visible" r:id="rId5"/>
    <sheet name="Tablas de los coeficientes de c" sheetId="5" state="visible" r:id="rId6"/>
    <sheet name="Nota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<sst xmlns="http://schemas.openxmlformats.org/spreadsheetml/2006/main" count="267" uniqueCount="177">
  <si>
    <t xml:space="preserve">Paso 1</t>
  </si>
  <si>
    <t xml:space="preserve">Paso 2</t>
  </si>
  <si>
    <t xml:space="preserve">Paso 3</t>
  </si>
  <si>
    <t xml:space="preserve">Datos</t>
  </si>
  <si>
    <t xml:space="preserve">Largo del conductor [m]</t>
  </si>
  <si>
    <t xml:space="preserve">Potencia de la carga [W]</t>
  </si>
  <si>
    <t xml:space="preserve">Sección del cable Sintenax Valio [mm]</t>
  </si>
  <si>
    <t xml:space="preserve">En caso de error: Colocar las secciones a mano, suele pasar si el resultado es 1.5</t>
  </si>
  <si>
    <t xml:space="preserve">Factor de potencia de la carga (cos( phi ))</t>
  </si>
  <si>
    <t xml:space="preserve">Corriente para la carga [A]</t>
  </si>
  <si>
    <t xml:space="preserve">Resistencia eléctrica [ohm/km]</t>
  </si>
  <si>
    <t xml:space="preserve">Unidad de la potencia de la carga</t>
  </si>
  <si>
    <t xml:space="preserve">W</t>
  </si>
  <si>
    <t xml:space="preserve">Reactancia eléctrica en 50 Hz [ohm/km] </t>
  </si>
  <si>
    <t xml:space="preserve">Valor de la potencia de la carga</t>
  </si>
  <si>
    <t xml:space="preserve">Factores de corrección de la corriente</t>
  </si>
  <si>
    <t xml:space="preserve">Impedancia en 50 Hz [ohm/km]</t>
  </si>
  <si>
    <t xml:space="preserve">Forma de la tensión de alimentación  </t>
  </si>
  <si>
    <t xml:space="preserve">Trifásica con neutro</t>
  </si>
  <si>
    <t xml:space="preserve">K por la temperatura ambiente</t>
  </si>
  <si>
    <t xml:space="preserve">Modo de transporte</t>
  </si>
  <si>
    <t xml:space="preserve">Cables directamente enterrados</t>
  </si>
  <si>
    <t xml:space="preserve">K por la resistividad del terreno</t>
  </si>
  <si>
    <t xml:space="preserve">Caída de tensión [V]</t>
  </si>
  <si>
    <t xml:space="preserve">K por la temperatura del terreno</t>
  </si>
  <si>
    <t xml:space="preserve">Caída porcentual [%]</t>
  </si>
  <si>
    <t xml:space="preserve">K por el agrupamiento</t>
  </si>
  <si>
    <t xml:space="preserve">K por la profundidad del terreno</t>
  </si>
  <si>
    <t xml:space="preserve">K total</t>
  </si>
  <si>
    <t xml:space="preserve">Paso 4</t>
  </si>
  <si>
    <t xml:space="preserve">Corriente calculada</t>
  </si>
  <si>
    <t xml:space="preserve">Corriente de cortocircuito del cable [A]</t>
  </si>
  <si>
    <t xml:space="preserve">Corriente de cortocircuito del circuito [A]</t>
  </si>
  <si>
    <t xml:space="preserve">Material del revestimiento</t>
  </si>
  <si>
    <t xml:space="preserve">Tipo XLPE / EPR (termoestable)</t>
  </si>
  <si>
    <t xml:space="preserve">Temperatura ambiente [°C]</t>
  </si>
  <si>
    <t xml:space="preserve">Impedancia del tranformador</t>
  </si>
  <si>
    <t xml:space="preserve">Temperatura del terreno [°C]</t>
  </si>
  <si>
    <t xml:space="preserve">Resistencia del transformador</t>
  </si>
  <si>
    <t xml:space="preserve">Resistividad térmica del terreno [K.m/W]</t>
  </si>
  <si>
    <t xml:space="preserve">Reactancia del transformador</t>
  </si>
  <si>
    <t xml:space="preserve">Profundidad del terreno [m]</t>
  </si>
  <si>
    <t xml:space="preserve">0.25 – 0.7</t>
  </si>
  <si>
    <t xml:space="preserve">Uk Impedancia del transformador</t>
  </si>
  <si>
    <t xml:space="preserve">Ur Resistencia del transformador</t>
  </si>
  <si>
    <t xml:space="preserve">Potencia del transformador [KVA]</t>
  </si>
  <si>
    <t xml:space="preserve">Tiempo de cortocircuito [S]</t>
  </si>
  <si>
    <t xml:space="preserve">Conductores</t>
  </si>
  <si>
    <t xml:space="preserve">Resistencia [ohm/km]</t>
  </si>
  <si>
    <t xml:space="preserve">Reactancia [ohm/km]</t>
  </si>
  <si>
    <t xml:space="preserve">Corriente de cortocircuito [A]</t>
  </si>
  <si>
    <t xml:space="preserve">Caída de tensión por conductor [V]</t>
  </si>
  <si>
    <t xml:space="preserve">Largo del conductor [km]</t>
  </si>
  <si>
    <t xml:space="preserve">Resistencia total contando el transformador [ohm]</t>
  </si>
  <si>
    <t xml:space="preserve">Cable C11</t>
  </si>
  <si>
    <t xml:space="preserve">Cable C12</t>
  </si>
  <si>
    <t xml:space="preserve">Cable C13</t>
  </si>
  <si>
    <t xml:space="preserve">Cable C21</t>
  </si>
  <si>
    <t xml:space="preserve">Reactancia total contando el transformador [ohm]</t>
  </si>
  <si>
    <t xml:space="preserve">Cable C22</t>
  </si>
  <si>
    <t xml:space="preserve">Cable C23</t>
  </si>
  <si>
    <t xml:space="preserve">Cable C24</t>
  </si>
  <si>
    <t xml:space="preserve">Cable C1</t>
  </si>
  <si>
    <t xml:space="preserve">Cable C2</t>
  </si>
  <si>
    <t xml:space="preserve">Cable C</t>
  </si>
  <si>
    <t xml:space="preserve">Impedancia total [ohm]</t>
  </si>
  <si>
    <t xml:space="preserve">Caída de tensión total [V]</t>
  </si>
  <si>
    <t xml:space="preserve">Caída porcentual total [%]</t>
  </si>
  <si>
    <t xml:space="preserve">Cable Sintenax Valio VV-K / VV-R con conductores de cobre</t>
  </si>
  <si>
    <t xml:space="preserve">UNIPOLAR</t>
  </si>
  <si>
    <t xml:space="preserve">Sección nominal [mm²]</t>
  </si>
  <si>
    <t xml:space="preserve">Diámetro del conductor [mm]</t>
  </si>
  <si>
    <t xml:space="preserve">Espesor nominal de aislación [mm]</t>
  </si>
  <si>
    <t xml:space="preserve">Espesor nominal de envoltura [mm]</t>
  </si>
  <si>
    <t xml:space="preserve">Diámetro exterior aprox. [mm]</t>
  </si>
  <si>
    <t xml:space="preserve">Masa aprox. [Kg/Km]</t>
  </si>
  <si>
    <t xml:space="preserve">Resistencia eléctrica máx. a 70°C y 50 Hz. [ohm/km]</t>
  </si>
  <si>
    <t xml:space="preserve">Reactancia a 50 Hz. [ohm/km]</t>
  </si>
  <si>
    <t xml:space="preserve">TRIPOLAR</t>
  </si>
  <si>
    <t xml:space="preserve">TETRAPOLAR</t>
  </si>
  <si>
    <t xml:space="preserve">Masa aprox. [kg/km]</t>
  </si>
  <si>
    <t xml:space="preserve">1.2/1</t>
  </si>
  <si>
    <t xml:space="preserve">1.4/1.2</t>
  </si>
  <si>
    <t xml:space="preserve">1.6/1.4</t>
  </si>
  <si>
    <t xml:space="preserve">1.8/1.4</t>
  </si>
  <si>
    <t xml:space="preserve">2/1.6</t>
  </si>
  <si>
    <t xml:space="preserve">Duración del corto</t>
  </si>
  <si>
    <t xml:space="preserve">2.2/1.6</t>
  </si>
  <si>
    <t xml:space="preserve">2.4/1.8</t>
  </si>
  <si>
    <t xml:space="preserve">Cables no enterrados</t>
  </si>
  <si>
    <t xml:space="preserve">Cables por conductos</t>
  </si>
  <si>
    <t xml:space="preserve">Agrupados en superficie, sobre una base y empotrados en aire. Empotrados, embutidos (dentro de un tubo, canal o conducto o grapados sobre una superficie al aire)Capa única en el techo</t>
  </si>
  <si>
    <t xml:space="preserve">Una sola capa sobre pared o bandeja no perforada. Capa única sobre los muros o los suelos o bandejas no perforadas  </t>
  </si>
  <si>
    <t xml:space="preserve">Una sola capa sobre bandeja perforada horizontal o vertical. Capa única sobre bandejas perforadas horizontales o verticales. Capa única sobre escaleras de cables, abrazadera, etc</t>
  </si>
  <si>
    <t xml:space="preserve">Caño embutido en pared y Caño a la vista</t>
  </si>
  <si>
    <t xml:space="preserve">Bandeja no perforada o de fondo sólido</t>
  </si>
  <si>
    <t xml:space="preserve">Bandeja perforada</t>
  </si>
  <si>
    <t xml:space="preserve">Caño enterrado</t>
  </si>
  <si>
    <t xml:space="preserve">Directamente enterrado</t>
  </si>
  <si>
    <t xml:space="preserve">Monopolar</t>
  </si>
  <si>
    <t xml:space="preserve">Tripolar</t>
  </si>
  <si>
    <t xml:space="preserve">Tipo PVC (termoplástico)</t>
  </si>
  <si>
    <t xml:space="preserve">TRIPOLAR y TETRAPOLAR</t>
  </si>
  <si>
    <t xml:space="preserve">Cable</t>
  </si>
  <si>
    <t xml:space="preserve">Cable 21</t>
  </si>
  <si>
    <t xml:space="preserve">Cable 22</t>
  </si>
  <si>
    <t xml:space="preserve">Cable 23</t>
  </si>
  <si>
    <t xml:space="preserve">Cable 24</t>
  </si>
  <si>
    <t xml:space="preserve">Tablero seccional</t>
  </si>
  <si>
    <t xml:space="preserve">Tablero general</t>
  </si>
  <si>
    <t xml:space="preserve">Potencia Activa [W]</t>
  </si>
  <si>
    <t xml:space="preserve">cos fi</t>
  </si>
  <si>
    <t xml:space="preserve">Potencia Reactiva [VAR]</t>
  </si>
  <si>
    <t xml:space="preserve">Potencia Aparente [VA]</t>
  </si>
  <si>
    <t xml:space="preserve">Cos fi</t>
  </si>
  <si>
    <t xml:space="preserve">Corrección del factor</t>
  </si>
  <si>
    <t xml:space="preserve">Valor deseado</t>
  </si>
  <si>
    <t xml:space="preserve">cos fi actual</t>
  </si>
  <si>
    <t xml:space="preserve">cos fi deseado</t>
  </si>
  <si>
    <t xml:space="preserve">Calculadora de [HP] a [W]</t>
  </si>
  <si>
    <t xml:space="preserve">NO BORRAR</t>
  </si>
  <si>
    <t xml:space="preserve">Pass: 123</t>
  </si>
  <si>
    <t xml:space="preserve">HP</t>
  </si>
  <si>
    <t xml:space="preserve">Empotrados, embutidos (dentro de un tubo, canal o conducto o grapados sobre una superficie al aire)</t>
  </si>
  <si>
    <t xml:space="preserve">Capa única sobre los muros o los suelos o bandejas no perforadas</t>
  </si>
  <si>
    <t xml:space="preserve">Capa única en el techo</t>
  </si>
  <si>
    <t xml:space="preserve">Capa única sobre bandejas perforadas horizontales o verticales</t>
  </si>
  <si>
    <t xml:space="preserve">Capa única sobre escaleras de cables, abrazadera, etc</t>
  </si>
  <si>
    <t xml:space="preserve">Nula</t>
  </si>
  <si>
    <t xml:space="preserve">Un diámetro de cable</t>
  </si>
  <si>
    <t xml:space="preserve">0.25 m</t>
  </si>
  <si>
    <t xml:space="preserve">0.07 m</t>
  </si>
  <si>
    <t xml:space="preserve">0.5 m</t>
  </si>
  <si>
    <t xml:space="preserve">0.125 m</t>
  </si>
  <si>
    <t xml:space="preserve">1 m</t>
  </si>
  <si>
    <t xml:space="preserve">K1</t>
  </si>
  <si>
    <t xml:space="preserve">K2</t>
  </si>
  <si>
    <t xml:space="preserve">Factor de corrección por tipo de terreno</t>
  </si>
  <si>
    <t xml:space="preserve">Aislamiento</t>
  </si>
  <si>
    <t xml:space="preserve">Factor de corrección</t>
  </si>
  <si>
    <t xml:space="preserve">Condición del suelo</t>
  </si>
  <si>
    <t xml:space="preserve">Condición climática</t>
  </si>
  <si>
    <t xml:space="preserve">Muy húmedo</t>
  </si>
  <si>
    <t xml:space="preserve">Lluvias continuas</t>
  </si>
  <si>
    <t xml:space="preserve">Húmedo</t>
  </si>
  <si>
    <t xml:space="preserve">Lluvias regulares</t>
  </si>
  <si>
    <t xml:space="preserve">K3</t>
  </si>
  <si>
    <t xml:space="preserve">Seco</t>
  </si>
  <si>
    <t xml:space="preserve">Lluvias aisladas</t>
  </si>
  <si>
    <t xml:space="preserve">Muy seco</t>
  </si>
  <si>
    <t xml:space="preserve">Muy poca o ninguna lluvia</t>
  </si>
  <si>
    <t xml:space="preserve">K5</t>
  </si>
  <si>
    <t xml:space="preserve">Factor de corrección por profundidad de instalación</t>
  </si>
  <si>
    <t xml:space="preserve">Profundidad [m]</t>
  </si>
  <si>
    <t xml:space="preserve">K4</t>
  </si>
  <si>
    <t xml:space="preserve">Número de circuitos o cables multiconductores</t>
  </si>
  <si>
    <t xml:space="preserve">Disposición</t>
  </si>
  <si>
    <t xml:space="preserve">0.71 – 0.9</t>
  </si>
  <si>
    <t xml:space="preserve">0.91 – 1.10</t>
  </si>
  <si>
    <t xml:space="preserve">1.11 – 1.3</t>
  </si>
  <si>
    <t xml:space="preserve">1.31 – 1.5</t>
  </si>
  <si>
    <t xml:space="preserve">1.51 – 1.75</t>
  </si>
  <si>
    <t xml:space="preserve">1.96 – 2</t>
  </si>
  <si>
    <t xml:space="preserve">2.01 – 2.50</t>
  </si>
  <si>
    <t xml:space="preserve">2.51 – 3</t>
  </si>
  <si>
    <t xml:space="preserve">Distancia entre cables o grupos (a)</t>
  </si>
  <si>
    <t xml:space="preserve">Número de circuitos</t>
  </si>
  <si>
    <t xml:space="preserve">Cables multiconductores en conductos enterrados o cables unipolares en un solo conducto</t>
  </si>
  <si>
    <t xml:space="preserve">Distancia entre conductos (a)</t>
  </si>
  <si>
    <t xml:space="preserve">Número de cables multiconductores o de grupos de 2 o 3 cables unipolares</t>
  </si>
  <si>
    <t xml:space="preserve">Cables unipolares enterrados, un cable por conducto</t>
  </si>
  <si>
    <t xml:space="preserve">Número de circuitos con dos o tres cables unipolares</t>
  </si>
  <si>
    <t xml:space="preserve">Los valores indicados para las tablas K4 se aplican para una profundidad de 0.7m y una resistividad térmica de 2.5K.m/W</t>
  </si>
  <si>
    <t xml:space="preserve">Para cables expuestos al sol, considerar una temperatura ambiente de 10 a 15°C superior a la del aire.</t>
  </si>
  <si>
    <t xml:space="preserve">Si los cables se colocan en cañerías subterráneas, las corrientes admisibles se reducen aproximadamente un 20% en relación a la de los cables directamente enterrados</t>
  </si>
  <si>
    <t xml:space="preserve">En el caso de varios cables agrupados, si la distancia entre ellos es del orden de 10 a 15 cm no tiene influencia el calentamiento mutuo y por lo tanto no es necesario reducir las corrientes admisibles.</t>
  </si>
  <si>
    <t xml:space="preserve">En caso de ser necesario se debe considerar el arranque del motor. En este archivo tal arranque no esta contemplado.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</si>
</sst>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General"/>
    <numFmt numFmtId="167" formatCode="#,###.00"/>
    <numFmt numFmtId="168" formatCode="0.0000"/>
    <numFmt numFmtId="169" formatCode="0.000"/>
    <numFmt numFmtId="170" formatCode="0.000000"/>
    <numFmt numFmtId="171" formatCode="0.00000"/>
    <numFmt numFmtId="172" formatCode="0.0"/>
    <numFmt numFmtId="173" formatCode="0"/>
    <numFmt numFmtId="174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  <fill>
      <patternFill patternType="solid">
        <fgColor rgb="FFBBE33D"/>
        <bgColor rgb="FFD4EA6B"/>
      </patternFill>
    </fill>
    <fill>
      <patternFill patternType="solid">
        <fgColor rgb="FFF6F9D4"/>
        <bgColor rgb="FFFFFFD7"/>
      </patternFill>
    </fill>
    <fill>
      <patternFill patternType="solid">
        <fgColor rgb="FFCCCCCC"/>
        <bgColor rgb="FFDDDDDD"/>
      </patternFill>
    </fill>
    <fill>
      <patternFill patternType="solid">
        <fgColor rgb="FFE300E3"/>
        <bgColor rgb="FFFF00FF"/>
      </patternFill>
    </fill>
    <fill>
      <patternFill patternType="solid">
        <fgColor rgb="FFDEE7E5"/>
        <bgColor rgb="FFDEE6EF"/>
      </patternFill>
    </fill>
    <fill>
      <patternFill patternType="solid">
        <fgColor rgb="FF808080"/>
        <bgColor rgb="FF666699"/>
      </patternFill>
    </fill>
    <fill>
      <patternFill patternType="solid">
        <fgColor rgb="FFFFCCCC"/>
        <bgColor rgb="FFDDDDDD"/>
      </patternFill>
    </fill>
    <fill>
      <patternFill patternType="solid">
        <fgColor rgb="FFDEE6EF"/>
        <bgColor rgb="FFDEE7E5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BBE33D"/>
      </patternFill>
    </fill>
    <fill>
      <patternFill patternType="solid">
        <fgColor rgb="FFFFFFA6"/>
        <bgColor rgb="FFE8F2A1"/>
      </patternFill>
    </fill>
    <fill>
      <patternFill patternType="solid">
        <fgColor rgb="FFDDDDDD"/>
        <bgColor rgb="FFDEE7E5"/>
      </patternFill>
    </fill>
    <fill>
      <patternFill patternType="solid">
        <fgColor rgb="FFE8F2A1"/>
        <bgColor rgb="FFFFFFA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D4EA6B"/>
      </patternFill>
    </fill>
    <fill>
      <patternFill patternType="solid">
        <fgColor rgb="FFFF8000"/>
        <bgColor rgb="FFFF6600"/>
      </patternFill>
    </fill>
    <fill>
      <patternFill patternType="solid">
        <fgColor rgb="FFFFBF00"/>
        <bgColor rgb="FFFF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true" diagonalDown="false">
      <left style="thin"/>
      <right style="thin"/>
      <top style="thin"/>
      <bottom style="thin"/>
      <diagonal style="hair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E300E3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E8F2A1"/>
      <rgbColor rgb="FFDEE7E5"/>
      <rgbColor rgb="FFFFFFA6"/>
      <rgbColor rgb="FF99CCFF"/>
      <rgbColor rgb="FFFF99CC"/>
      <rgbColor rgb="FFCC99FF"/>
      <rgbColor rgb="FFFFCCCC"/>
      <rgbColor rgb="FF3366FF"/>
      <rgbColor rgb="FF33CCCC"/>
      <rgbColor rgb="FFBBE33D"/>
      <rgbColor rgb="FFFFBF00"/>
      <rgbColor rgb="FFFF80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jpeg"/><Relationship Id="rId3" Type="http://schemas.openxmlformats.org/officeDocument/2006/relationships/image" Target="../media/image4.jpeg"/><Relationship Id="rId4" Type="http://schemas.openxmlformats.org/officeDocument/2006/relationships/image" Target="../media/image5.jpeg"/><Relationship Id="rId5" Type="http://schemas.openxmlformats.org/officeDocument/2006/relationships/image" Target="../media/image6.jpeg"/><Relationship Id="rId6" Type="http://schemas.openxmlformats.org/officeDocument/2006/relationships/image" Target="../media/image7.jpeg"/><Relationship Id="rId7" Type="http://schemas.openxmlformats.org/officeDocument/2006/relationships/image" Target="../media/image8.jpeg"/><Relationship Id="rId8" Type="http://schemas.openxmlformats.org/officeDocument/2006/relationships/image" Target="../media/image9.jpeg"/><Relationship Id="rId9" Type="http://schemas.openxmlformats.org/officeDocument/2006/relationships/image" Target="../media/image10.jpeg"/><Relationship Id="rId10" Type="http://schemas.openxmlformats.org/officeDocument/2006/relationships/image" Target="../media/image11.jpeg"/><Relationship Id="rId11" Type="http://schemas.openxmlformats.org/officeDocument/2006/relationships/image" Target="../media/image12.jpeg"/><Relationship Id="rId12" Type="http://schemas.openxmlformats.org/officeDocument/2006/relationships/image" Target="../media/image13.jpeg"/><Relationship Id="rId13" Type="http://schemas.openxmlformats.org/officeDocument/2006/relationships/image" Target="../media/image14.jpeg"/><Relationship Id="rId14" Type="http://schemas.openxmlformats.org/officeDocument/2006/relationships/image" Target="../media/image1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191160</xdr:colOff>
      <xdr:row>1</xdr:row>
      <xdr:rowOff>32760</xdr:rowOff>
    </xdr:from>
    <xdr:to>
      <xdr:col>14</xdr:col>
      <xdr:colOff>167760</xdr:colOff>
      <xdr:row>52</xdr:row>
      <xdr:rowOff>90000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16104240" y="348480"/>
          <a:ext cx="6229440" cy="834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170640</xdr:colOff>
      <xdr:row>1</xdr:row>
      <xdr:rowOff>28440</xdr:rowOff>
    </xdr:from>
    <xdr:to>
      <xdr:col>20</xdr:col>
      <xdr:colOff>682920</xdr:colOff>
      <xdr:row>5</xdr:row>
      <xdr:rowOff>129600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10607040" y="191160"/>
          <a:ext cx="512280" cy="75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170640</xdr:colOff>
      <xdr:row>7</xdr:row>
      <xdr:rowOff>148320</xdr:rowOff>
    </xdr:from>
    <xdr:to>
      <xdr:col>20</xdr:col>
      <xdr:colOff>704160</xdr:colOff>
      <xdr:row>12</xdr:row>
      <xdr:rowOff>158760</xdr:rowOff>
    </xdr:to>
    <xdr:pic>
      <xdr:nvPicPr>
        <xdr:cNvPr id="2" name="Imagen 15" descr=""/>
        <xdr:cNvPicPr/>
      </xdr:nvPicPr>
      <xdr:blipFill>
        <a:blip r:embed="rId2"/>
        <a:stretch/>
      </xdr:blipFill>
      <xdr:spPr>
        <a:xfrm>
          <a:off x="10607040" y="1286280"/>
          <a:ext cx="533520" cy="82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30960</xdr:colOff>
      <xdr:row>5</xdr:row>
      <xdr:rowOff>10080</xdr:rowOff>
    </xdr:from>
    <xdr:to>
      <xdr:col>27</xdr:col>
      <xdr:colOff>788400</xdr:colOff>
      <xdr:row>9</xdr:row>
      <xdr:rowOff>360</xdr:rowOff>
    </xdr:to>
    <xdr:pic>
      <xdr:nvPicPr>
        <xdr:cNvPr id="3" name="Imagen 16" descr=""/>
        <xdr:cNvPicPr/>
      </xdr:nvPicPr>
      <xdr:blipFill>
        <a:blip r:embed="rId3"/>
        <a:stretch/>
      </xdr:blipFill>
      <xdr:spPr>
        <a:xfrm>
          <a:off x="17379000" y="822960"/>
          <a:ext cx="757440" cy="64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12600</xdr:colOff>
      <xdr:row>19</xdr:row>
      <xdr:rowOff>111600</xdr:rowOff>
    </xdr:from>
    <xdr:to>
      <xdr:col>25</xdr:col>
      <xdr:colOff>897120</xdr:colOff>
      <xdr:row>23</xdr:row>
      <xdr:rowOff>138240</xdr:rowOff>
    </xdr:to>
    <xdr:pic>
      <xdr:nvPicPr>
        <xdr:cNvPr id="4" name="Imagen 17" descr=""/>
        <xdr:cNvPicPr/>
      </xdr:nvPicPr>
      <xdr:blipFill>
        <a:blip r:embed="rId4"/>
        <a:stretch/>
      </xdr:blipFill>
      <xdr:spPr>
        <a:xfrm>
          <a:off x="14759280" y="3200400"/>
          <a:ext cx="884520" cy="67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383040</xdr:colOff>
      <xdr:row>33</xdr:row>
      <xdr:rowOff>105120</xdr:rowOff>
    </xdr:from>
    <xdr:to>
      <xdr:col>19</xdr:col>
      <xdr:colOff>383760</xdr:colOff>
      <xdr:row>42</xdr:row>
      <xdr:rowOff>105480</xdr:rowOff>
    </xdr:to>
    <xdr:pic>
      <xdr:nvPicPr>
        <xdr:cNvPr id="5" name="Imagen 18" descr=""/>
        <xdr:cNvPicPr/>
      </xdr:nvPicPr>
      <xdr:blipFill>
        <a:blip r:embed="rId5"/>
        <a:stretch/>
      </xdr:blipFill>
      <xdr:spPr>
        <a:xfrm>
          <a:off x="6443640" y="5469480"/>
          <a:ext cx="3984480" cy="146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67680</xdr:colOff>
      <xdr:row>33</xdr:row>
      <xdr:rowOff>70920</xdr:rowOff>
    </xdr:from>
    <xdr:to>
      <xdr:col>10</xdr:col>
      <xdr:colOff>255240</xdr:colOff>
      <xdr:row>35</xdr:row>
      <xdr:rowOff>131040</xdr:rowOff>
    </xdr:to>
    <xdr:pic>
      <xdr:nvPicPr>
        <xdr:cNvPr id="6" name="Imagen 19" descr=""/>
        <xdr:cNvPicPr/>
      </xdr:nvPicPr>
      <xdr:blipFill>
        <a:blip r:embed="rId6"/>
        <a:stretch/>
      </xdr:blipFill>
      <xdr:spPr>
        <a:xfrm>
          <a:off x="5638680" y="5435280"/>
          <a:ext cx="677160" cy="38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98280</xdr:colOff>
      <xdr:row>50</xdr:row>
      <xdr:rowOff>34920</xdr:rowOff>
    </xdr:from>
    <xdr:to>
      <xdr:col>7</xdr:col>
      <xdr:colOff>320400</xdr:colOff>
      <xdr:row>52</xdr:row>
      <xdr:rowOff>54000</xdr:rowOff>
    </xdr:to>
    <xdr:pic>
      <xdr:nvPicPr>
        <xdr:cNvPr id="7" name="Imagen 20" descr=""/>
        <xdr:cNvPicPr/>
      </xdr:nvPicPr>
      <xdr:blipFill>
        <a:blip r:embed="rId7"/>
        <a:stretch/>
      </xdr:blipFill>
      <xdr:spPr>
        <a:xfrm>
          <a:off x="4461480" y="8163000"/>
          <a:ext cx="624600" cy="34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416880</xdr:colOff>
      <xdr:row>48</xdr:row>
      <xdr:rowOff>143280</xdr:rowOff>
    </xdr:from>
    <xdr:to>
      <xdr:col>19</xdr:col>
      <xdr:colOff>302760</xdr:colOff>
      <xdr:row>53</xdr:row>
      <xdr:rowOff>85320</xdr:rowOff>
    </xdr:to>
    <xdr:pic>
      <xdr:nvPicPr>
        <xdr:cNvPr id="8" name="Imagen 21" descr=""/>
        <xdr:cNvPicPr/>
      </xdr:nvPicPr>
      <xdr:blipFill>
        <a:blip r:embed="rId8"/>
        <a:stretch/>
      </xdr:blipFill>
      <xdr:spPr>
        <a:xfrm>
          <a:off x="5182560" y="7946280"/>
          <a:ext cx="5164560" cy="75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107280</xdr:colOff>
      <xdr:row>40</xdr:row>
      <xdr:rowOff>133920</xdr:rowOff>
    </xdr:from>
    <xdr:to>
      <xdr:col>10</xdr:col>
      <xdr:colOff>154800</xdr:colOff>
      <xdr:row>42</xdr:row>
      <xdr:rowOff>64800</xdr:rowOff>
    </xdr:to>
    <xdr:pic>
      <xdr:nvPicPr>
        <xdr:cNvPr id="9" name="Imagen 22" descr=""/>
        <xdr:cNvPicPr/>
      </xdr:nvPicPr>
      <xdr:blipFill>
        <a:blip r:embed="rId9"/>
        <a:stretch/>
      </xdr:blipFill>
      <xdr:spPr>
        <a:xfrm>
          <a:off x="5678280" y="6636240"/>
          <a:ext cx="537120" cy="25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48240</xdr:colOff>
      <xdr:row>36</xdr:row>
      <xdr:rowOff>114840</xdr:rowOff>
    </xdr:from>
    <xdr:to>
      <xdr:col>10</xdr:col>
      <xdr:colOff>288360</xdr:colOff>
      <xdr:row>37</xdr:row>
      <xdr:rowOff>133920</xdr:rowOff>
    </xdr:to>
    <xdr:pic>
      <xdr:nvPicPr>
        <xdr:cNvPr id="10" name="Imagen 23" descr=""/>
        <xdr:cNvPicPr/>
      </xdr:nvPicPr>
      <xdr:blipFill>
        <a:blip r:embed="rId10"/>
        <a:stretch/>
      </xdr:blipFill>
      <xdr:spPr>
        <a:xfrm>
          <a:off x="5619240" y="5967000"/>
          <a:ext cx="729720" cy="18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207720</xdr:colOff>
      <xdr:row>38</xdr:row>
      <xdr:rowOff>67320</xdr:rowOff>
    </xdr:from>
    <xdr:to>
      <xdr:col>10</xdr:col>
      <xdr:colOff>64800</xdr:colOff>
      <xdr:row>39</xdr:row>
      <xdr:rowOff>142200</xdr:rowOff>
    </xdr:to>
    <xdr:pic>
      <xdr:nvPicPr>
        <xdr:cNvPr id="11" name="Imagen 24" descr=""/>
        <xdr:cNvPicPr/>
      </xdr:nvPicPr>
      <xdr:blipFill>
        <a:blip r:embed="rId11"/>
        <a:stretch/>
      </xdr:blipFill>
      <xdr:spPr>
        <a:xfrm>
          <a:off x="5778720" y="6244560"/>
          <a:ext cx="34668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141840</xdr:colOff>
      <xdr:row>62</xdr:row>
      <xdr:rowOff>19080</xdr:rowOff>
    </xdr:from>
    <xdr:to>
      <xdr:col>7</xdr:col>
      <xdr:colOff>303480</xdr:colOff>
      <xdr:row>64</xdr:row>
      <xdr:rowOff>24840</xdr:rowOff>
    </xdr:to>
    <xdr:pic>
      <xdr:nvPicPr>
        <xdr:cNvPr id="12" name="Imagen 25" descr=""/>
        <xdr:cNvPicPr/>
      </xdr:nvPicPr>
      <xdr:blipFill>
        <a:blip r:embed="rId12"/>
        <a:stretch/>
      </xdr:blipFill>
      <xdr:spPr>
        <a:xfrm>
          <a:off x="4505040" y="10097640"/>
          <a:ext cx="564120" cy="33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10440</xdr:colOff>
      <xdr:row>60</xdr:row>
      <xdr:rowOff>29520</xdr:rowOff>
    </xdr:from>
    <xdr:to>
      <xdr:col>19</xdr:col>
      <xdr:colOff>356400</xdr:colOff>
      <xdr:row>65</xdr:row>
      <xdr:rowOff>86400</xdr:rowOff>
    </xdr:to>
    <xdr:pic>
      <xdr:nvPicPr>
        <xdr:cNvPr id="13" name="Imagen 26" descr=""/>
        <xdr:cNvPicPr/>
      </xdr:nvPicPr>
      <xdr:blipFill>
        <a:blip r:embed="rId13"/>
        <a:stretch/>
      </xdr:blipFill>
      <xdr:spPr>
        <a:xfrm>
          <a:off x="5244120" y="9783000"/>
          <a:ext cx="5156640" cy="86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468720</xdr:colOff>
      <xdr:row>20</xdr:row>
      <xdr:rowOff>81360</xdr:rowOff>
    </xdr:from>
    <xdr:to>
      <xdr:col>14</xdr:col>
      <xdr:colOff>193320</xdr:colOff>
      <xdr:row>25</xdr:row>
      <xdr:rowOff>119160</xdr:rowOff>
    </xdr:to>
    <xdr:pic>
      <xdr:nvPicPr>
        <xdr:cNvPr id="14" name="Imagen 27" descr=""/>
        <xdr:cNvPicPr/>
      </xdr:nvPicPr>
      <xdr:blipFill>
        <a:blip r:embed="rId14"/>
        <a:stretch/>
      </xdr:blipFill>
      <xdr:spPr>
        <a:xfrm>
          <a:off x="6986520" y="3332520"/>
          <a:ext cx="1117800" cy="850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52" activeCellId="0" sqref="C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34.53"/>
    <col collapsed="false" customWidth="true" hidden="false" outlineLevel="0" max="3" min="3" style="0" width="23.37"/>
    <col collapsed="false" customWidth="true" hidden="false" outlineLevel="0" max="4" min="4" style="0" width="36.41"/>
    <col collapsed="false" customWidth="true" hidden="false" outlineLevel="0" max="5" min="5" style="0" width="24.78"/>
    <col collapsed="false" customWidth="true" hidden="false" outlineLevel="0" max="6" min="6" style="0" width="17.16"/>
    <col collapsed="false" customWidth="true" hidden="false" outlineLevel="0" max="9" min="9" style="0" width="22.79"/>
    <col collapsed="false" customWidth="true" hidden="false" outlineLevel="0" max="10" min="10" style="0" width="16.67"/>
    <col collapsed="false" customWidth="true" hidden="false" outlineLevel="0" max="11" min="11" style="0" width="16.11"/>
    <col collapsed="false" customWidth="true" hidden="false" outlineLevel="0" max="12" min="12" style="0" width="14.81"/>
    <col collapsed="false" customWidth="true" hidden="false" outlineLevel="0" max="18" min="18" style="0" width="13.74"/>
  </cols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2" t="s">
        <v>3</v>
      </c>
      <c r="B2" s="2"/>
      <c r="D2" s="3"/>
    </row>
    <row r="3" customFormat="false" ht="12.8" hidden="false" customHeight="false" outlineLevel="0" collapsed="false">
      <c r="A3" s="4" t="s">
        <v>4</v>
      </c>
      <c r="B3" s="5" t="n">
        <v>30</v>
      </c>
      <c r="D3" s="4" t="s">
        <v>5</v>
      </c>
      <c r="E3" s="6" t="n">
        <f aca="false">IF(B5="HP",'Cuentas auxiliares'!B3,B6)</f>
        <v>84841</v>
      </c>
      <c r="G3" s="7" t="s">
        <v>6</v>
      </c>
      <c r="H3" s="7"/>
      <c r="I3" s="7"/>
      <c r="J3" s="8" t="n">
        <f aca="false">IF('Calculadora de sección'!B7="Monofásica",INDEX('Datos de los cables'!A77:A92, MATCH(ROUNDUP('Calculadora de sección'!E14,0), IF('Calculadora de sección'!B8 = "Cables no enterrados",IF(OR('Calculadora de sección'!B11="Empotrados, embutidos (dentro de un tubo, canal o conducto o grapados sobre una superficie al aire)",'Calculadora de sección'!B11="Capa única en el techo"),'Datos de los cables'!B77:B92,IF('Calculadora de sección'!B11="Capa única sobre los muros o los suelos o bandejas no perforadas",'Datos de los cables'!C77:C92,'Datos de los cables'!D77:D92)),IF('Calculadora de sección'!B8="Cables directamente enterrados",'Datos de los cables'!F77:F92,'Datos de los cables'!E77:E92))) +1), INDEX('Datos de los cables'!A94:A109, MATCH(ROUNDUP('Calculadora de sección'!E14,0), IF('Calculadora de sección'!B8 = "Cables no enterrados",IF(OR('Calculadora de sección'!B11="Empotrados, embutidos (dentro de un tubo, canal o conducto o grapados sobre una superficie al aire)",'Calculadora de sección'!B11="Capa única en el techo"),'Datos de los cables'!B94:B109,IF('Calculadora de sección'!B11="Capa única sobre los muros o los suelos o bandejas no perforadas",'Datos de los cables'!C94:C109,'Datos de los cables'!D94:D109)),IF('Calculadora de sección'!B8="Cables directamente enterrados",'Datos de los cables'!F94:F109,'Datos de los cables'!E94:E109))) +1))</f>
        <v>70</v>
      </c>
      <c r="K3" s="8" t="n">
        <f aca="false">IF('Calculadora de sección'!B7="Monofásica",      INDEX('Datos de los cables'!A77:A92,          MATCH(ROUNDUP('Calculadora de sección'!E14,0),              IF('Calculadora de sección'!B8 = "Cables no enterrados",                  IF(OR('Calculadora de sección'!B11="Empotrados, embutidos (dentro de un tubo, canal o conducto o grapados sobre una superficie al aire)",                      'Calculadora de sección'!B11="Capa única en el techo"),                      'Datos de los cables'!B77:B92,                      IF('Calculadora de sección'!B11="Capa única sobre los muros o los suelos o bandejas no perforadas",                          'Datos de los cables'!C77:C92,                          'Datos de los cables'!D77:D92)                     )                 ,                  IF('Calculadora de sección'!B8="Cables directamente enterrados",                      'Datos de los cables'!F77:F92,                      'Datos de los cables'!E77:E92)             )          ) + 2     ),      INDEX('Datos de los cables'!A94:A109,          MATCH(ROUNDUP('Calculadora de sección'!E14,0),              IF('Calculadora de sección'!B8 = "Cables no enterrados",                  IF(OR('Calculadora de sección'!B11="Empotrados, embutidos (dentro de un tubo, canal o conducto o grapados sobre una superficie al aire)",                      'Calculadora de sección'!B11="Capa única en el techo"),                      'Datos de los cables'!B94:B109,                      IF('Calculadora de sección'!B11="Capa única sobre los muros o los suelos o bandejas no perforadas",                          'Datos de los cables'!C94:C109,                          'Datos de los cables'!D94:D109)                     )                 ,                  IF('Calculadora de sección'!B8="Cables directamente enterrados",                      'Datos de los cables'!F94:F109,                      'Datos de los cables'!E94:E109)             )          ) + 2     ) )</f>
        <v>95</v>
      </c>
      <c r="L3" s="8" t="n">
        <f aca="false">IF('Calculadora de sección'!B7="Monofásica",      INDEX('Datos de los cables'!A77:A92,          MATCH(ROUNDUP('Calculadora de sección'!E14,0),              IF('Calculadora de sección'!B8 = "Cables no enterrados",                  IF(OR('Calculadora de sección'!B11="Empotrados, embutidos (dentro de un tubo, canal o conducto o grapados sobre una superficie al aire)",                      'Calculadora de sección'!B11="Capa única en el techo"),                      'Datos de los cables'!B77:B92,                      IF('Calculadora de sección'!B11="Capa única sobre los muros o los suelos o bandejas no perforadas",                          'Datos de los cables'!C77:C92,                          'Datos de los cables'!D77:D92)                     )                 ,                  IF('Calculadora de sección'!B8="Cables directamente enterrados",                      'Datos de los cables'!F77:F92,                      'Datos de los cables'!E77:E92)             )          ) + 3     ),      INDEX('Datos de los cables'!A94:A109,          MATCH(ROUNDUP('Calculadora de sección'!E14,0),              IF('Calculadora de sección'!B8 = "Cables no enterrados",                  IF(OR('Calculadora de sección'!B11="Empotrados, embutidos (dentro de un tubo, canal o conducto o grapados sobre una superficie al aire)",                      'Calculadora de sección'!B11="Capa única en el techo"),                      'Datos de los cables'!B94:B109,                      IF('Calculadora de sección'!B11="Capa única sobre los muros o los suelos o bandejas no perforadas",                          'Datos de los cables'!C94:C109,                          'Datos de los cables'!D94:D109)                     )                 ,                  IF('Calculadora de sección'!B8="Cables directamente enterrados",                      'Datos de los cables'!F94:F109,                      'Datos de los cables'!E94:E109)             )          ) + 3     ) )</f>
        <v>120</v>
      </c>
      <c r="M3" s="8" t="n">
        <f aca="false">IF('Calculadora de sección'!B7="Monofásica",      INDEX('Datos de los cables'!A77:A92,          MATCH(ROUNDUP('Calculadora de sección'!E14,0),              IF('Calculadora de sección'!B8 = "Cables no enterrados",                  IF(OR('Calculadora de sección'!B11="Empotrados, embutidos (dentro de un tubo, canal o conducto o grapados sobre una superficie al aire)",                      'Calculadora de sección'!B11="Capa única en el techo"),                      'Datos de los cables'!B77:B92,                      IF('Calculadora de sección'!B11="Capa única sobre los muros o los suelos o bandejas no perforadas",                          'Datos de los cables'!C77:C92,                          'Datos de los cables'!D77:D92)                     )                 ,                  IF('Calculadora de sección'!B8="Cables directamente enterrados",                      'Datos de los cables'!F77:F92,                      'Datos de los cables'!E77:E92)             )          ) + 4     ),      INDEX('Datos de los cables'!A94:A109,          MATCH(ROUNDUP('Calculadora de sección'!E14,0),              IF('Calculadora de sección'!B8 = "Cables no enterrados",                  IF(OR('Calculadora de sección'!B11="Empotrados, embutidos (dentro de un tubo, canal o conducto o grapados sobre una superficie al aire)",                      'Calculadora de sección'!B11="Capa única en el techo"),                      'Datos de los cables'!B94:B109,                      IF('Calculadora de sección'!B11="Capa única sobre los muros o los suelos o bandejas no perforadas",                          'Datos de los cables'!C94:C109,                          'Datos de los cables'!D94:D109)                     )                 ,                  IF('Calculadora de sección'!B8="Cables directamente enterrados",                      'Datos de los cables'!F94:F109,                      'Datos de los cables'!E94:E109)             )          ) + 4     ) )</f>
        <v>150</v>
      </c>
      <c r="N3" s="9" t="s">
        <v>7</v>
      </c>
      <c r="O3" s="9"/>
      <c r="P3" s="9"/>
      <c r="Q3" s="9"/>
      <c r="R3" s="9"/>
      <c r="S3" s="9"/>
    </row>
    <row r="4" customFormat="false" ht="12.8" hidden="false" customHeight="false" outlineLevel="0" collapsed="false">
      <c r="A4" s="4" t="s">
        <v>8</v>
      </c>
      <c r="B4" s="5" t="n">
        <v>0.8</v>
      </c>
      <c r="D4" s="4" t="s">
        <v>9</v>
      </c>
      <c r="E4" s="6" t="n">
        <f aca="false">IF(B7="Monofásica",E3/(220*B4),E3/(SQRT(3)*380*B4))</f>
        <v>161.128204566832</v>
      </c>
      <c r="G4" s="10" t="s">
        <v>10</v>
      </c>
      <c r="H4" s="10"/>
      <c r="I4" s="10"/>
      <c r="J4" s="11" t="n">
        <f aca="false">IF('Calculadora de sección'!B7 = "Monofásica",      INDEX('Datos de los cables'!G4:G23,          MATCH('Calculadora de sección'!J3, 'Datos de los cables'!A4:A23, 0)),      IF('Calculadora de sección'!B7 = "Trifásica sin neutro",          INDEX('Datos de los cables'!G26:G42,              MATCH('Calculadora de sección'!J3, 'Datos de los cables'!A26:A42, 0)),          INDEX('Datos de los cables'!G45:G61,              MATCH('Calculadora de sección'!J3, 'Datos de los cables'!A45:A61, 0))     ) )</f>
        <v>0.321</v>
      </c>
      <c r="K4" s="11" t="n">
        <f aca="false">IF('Calculadora de sección'!B7 = "Monofásica",      INDEX('Datos de los cables'!G4:G23,          MATCH('Calculadora de sección'!K3, 'Datos de los cables'!A4:A23, 0)),      IF('Calculadora de sección'!B7 = "Trifásica sin neutro",          INDEX('Datos de los cables'!G26:G42,              MATCH('Calculadora de sección'!K3, 'Datos de los cables'!A26:A42, 0)),          INDEX('Datos de los cables'!G45:G61,              MATCH('Calculadora de sección'!K3, 'Datos de los cables'!A45:A61, 0))     ) )</f>
        <v>0.232</v>
      </c>
      <c r="L4" s="11" t="n">
        <f aca="false">IF('Calculadora de sección'!B7 = "Monofásica",      INDEX('Datos de los cables'!G4:G23,          MATCH('Calculadora de sección'!L3, 'Datos de los cables'!A4:A23, 0)),      IF('Calculadora de sección'!B7 = "Trifásica sin neutro",          INDEX('Datos de los cables'!G26:G42,              MATCH('Calculadora de sección'!L3, 'Datos de los cables'!A26:A42, 0)),          INDEX('Datos de los cables'!G45:G61,              MATCH('Calculadora de sección'!L3, 'Datos de los cables'!A45:A61, 0))     ) )</f>
        <v>0.184</v>
      </c>
      <c r="M4" s="11" t="n">
        <f aca="false">IF('Calculadora de sección'!B7 = "Monofásica",      INDEX('Datos de los cables'!G4:G23,          MATCH('Calculadora de sección'!M3, 'Datos de los cables'!A4:A23, 0)),      IF('Calculadora de sección'!B7 = "Trifásica sin neutro",          INDEX('Datos de los cables'!G26:G42,              MATCH('Calculadora de sección'!M3, 'Datos de los cables'!A26:A42, 0)),          INDEX('Datos de los cables'!G45:G61,              MATCH('Calculadora de sección'!M3, 'Datos de los cables'!A45:A61, 0))     ) )</f>
        <v>0.15</v>
      </c>
    </row>
    <row r="5" customFormat="false" ht="12.8" hidden="false" customHeight="false" outlineLevel="0" collapsed="false">
      <c r="A5" s="4" t="s">
        <v>11</v>
      </c>
      <c r="B5" s="12" t="s">
        <v>12</v>
      </c>
      <c r="G5" s="7" t="s">
        <v>13</v>
      </c>
      <c r="H5" s="7"/>
      <c r="I5" s="7"/>
      <c r="J5" s="11" t="n">
        <f aca="false">IF('Calculadora de sección'!B7 = "Monofásica",      INDEX('Datos de los cables'!H4:H23,          MATCH('Calculadora de sección'!J3, 'Datos de los cables'!A4:A23, 0)),      IF('Calculadora de sección'!B7 = "Trifásica sin neutro",          INDEX('Datos de los cables'!H26:H42,              MATCH('Calculadora de sección'!J3, 'Datos de los cables'!A26:A42, 0)),          INDEX('Datos de los cables'!H45:H61,              MATCH('Calculadora de sección'!J3, 'Datos de los cables'!A45:A61, 0))     ) )</f>
        <v>0.0736</v>
      </c>
      <c r="K5" s="11" t="n">
        <f aca="false">IF('Calculadora de sección'!B7 = "Monofásica",      INDEX('Datos de los cables'!H4:H23,          MATCH('Calculadora de sección'!K3, 'Datos de los cables'!A4:A23, 0)),      IF('Calculadora de sección'!B7 = "Trifásica sin neutro",          INDEX('Datos de los cables'!H26:H42,              MATCH('Calculadora de sección'!K3, 'Datos de los cables'!A26:A42, 0)),          INDEX('Datos de los cables'!H45:H61,              MATCH('Calculadora de sección'!K3, 'Datos de los cables'!A45:A61, 0))     ) )</f>
        <v>0.0733</v>
      </c>
      <c r="L5" s="11" t="n">
        <f aca="false">IF('Calculadora de sección'!B7 = "Monofásica",      INDEX('Datos de los cables'!H4:H23,          MATCH('Calculadora de sección'!L3, 'Datos de los cables'!A4:A23, 0)),      IF('Calculadora de sección'!B7 = "Trifásica sin neutro",          INDEX('Datos de los cables'!H26:H42,              MATCH('Calculadora de sección'!L3, 'Datos de los cables'!A26:A42, 0)),          INDEX('Datos de los cables'!H45:H61,              MATCH('Calculadora de sección'!L3, 'Datos de los cables'!A45:A61, 0))     ) )</f>
        <v>0.0729</v>
      </c>
      <c r="M5" s="11" t="n">
        <f aca="false">IF('Calculadora de sección'!B7 = "Monofásica",      INDEX('Datos de los cables'!H4:H23,          MATCH('Calculadora de sección'!M3, 'Datos de los cables'!A4:A23, 0)),      IF('Calculadora de sección'!B7 = "Trifásica sin neutro",          INDEX('Datos de los cables'!H26:H42,              MATCH('Calculadora de sección'!M3, 'Datos de los cables'!A26:A42, 0)),          INDEX('Datos de los cables'!H45:H61,              MATCH('Calculadora de sección'!M3, 'Datos de los cables'!A45:A61, 0))     ) )</f>
        <v>0.072</v>
      </c>
    </row>
    <row r="6" customFormat="false" ht="12.8" hidden="false" customHeight="false" outlineLevel="0" collapsed="false">
      <c r="A6" s="4" t="s">
        <v>14</v>
      </c>
      <c r="B6" s="5" t="n">
        <v>84841</v>
      </c>
      <c r="D6" s="13" t="s">
        <v>15</v>
      </c>
      <c r="E6" s="13"/>
      <c r="G6" s="10" t="s">
        <v>16</v>
      </c>
      <c r="H6" s="10"/>
      <c r="I6" s="10"/>
      <c r="J6" s="8" t="n">
        <f aca="false">J4*$B$4+J5*SIN(ACOS($B$4))</f>
        <v>0.30096</v>
      </c>
      <c r="K6" s="8" t="n">
        <f aca="false">K4*$B$4+K5*SIN(ACOS($B$4))</f>
        <v>0.22958</v>
      </c>
      <c r="L6" s="8" t="n">
        <f aca="false">L4*$B$4+L5*SIN(ACOS($B$4))</f>
        <v>0.19094</v>
      </c>
      <c r="M6" s="8" t="n">
        <f aca="false">M4*$B$4+M5*SIN(ACOS($B$4))</f>
        <v>0.1632</v>
      </c>
    </row>
    <row r="7" customFormat="false" ht="12.8" hidden="false" customHeight="false" outlineLevel="0" collapsed="false">
      <c r="A7" s="4" t="s">
        <v>17</v>
      </c>
      <c r="B7" s="12" t="s">
        <v>18</v>
      </c>
      <c r="D7" s="4" t="s">
        <v>19</v>
      </c>
      <c r="E7" s="6" t="n">
        <f aca="false">INDEX('Tablas de los coeficientes de c'!C5:T7, MATCH(B16,'Tablas de los coeficientes de c'!B5:B7, 0), MATCH(B17, 'Tablas de los coeficientes de c'!C3:T3, 0))</f>
        <v>0.948683298050514</v>
      </c>
    </row>
    <row r="8" customFormat="false" ht="12.8" hidden="false" customHeight="true" outlineLevel="0" collapsed="false">
      <c r="A8" s="14" t="s">
        <v>20</v>
      </c>
      <c r="B8" s="15" t="s">
        <v>21</v>
      </c>
      <c r="C8" s="16"/>
      <c r="D8" s="4" t="s">
        <v>22</v>
      </c>
      <c r="E8" s="6" t="n">
        <f aca="false">IF(B8="Cables no enterrados",1,INDEX('Tablas de los coeficientes de c'!Y5:Y12, MATCH(B19, 'Tablas de los coeficientes de c'!X5:X12, 0)))</f>
        <v>0.85</v>
      </c>
      <c r="G8" s="10" t="s">
        <v>23</v>
      </c>
      <c r="H8" s="10"/>
      <c r="I8" s="10"/>
      <c r="J8" s="17" t="n">
        <f aca="false">IF(B7="Monofásica",2*$E$3*$B$3*J6/(1000*220*$B$4),$E$3*$B$3*J6/(SQRT(3)*380*$B$4*1000))</f>
        <v>1.45479433339302</v>
      </c>
      <c r="K8" s="17" t="n">
        <f aca="false">IF($B$7="Monofásica",2*$E$3*$B$3*K6/(1000*220*$B$4),$E$3*$B$3*K6/(SQRT(3)*380*$B$4*1000))</f>
        <v>1.1097543961336</v>
      </c>
      <c r="L8" s="17" t="n">
        <f aca="false">IF($B$7="Monofásica",2*$E$3*$B$3*L6/(1000*220*$B$4),$E$3*$B$3*L6/(SQRT(3)*380*$B$4*1000))</f>
        <v>0.922974581399729</v>
      </c>
      <c r="M8" s="17" t="n">
        <f aca="false">IF($B$7="Monofásica",2*$E$3*$B$3*M6/(1000*220*$B$4),$E$3*$B$3*M6/(SQRT(3)*380*$B$4*1000))</f>
        <v>0.788883689559211</v>
      </c>
    </row>
    <row r="9" customFormat="false" ht="12.8" hidden="false" customHeight="false" outlineLevel="0" collapsed="false">
      <c r="A9" s="14"/>
      <c r="B9" s="15"/>
      <c r="C9" s="16"/>
      <c r="D9" s="4" t="s">
        <v>24</v>
      </c>
      <c r="E9" s="6" t="n">
        <f aca="false">IF(B8="Cables no enterrados", 1, INDEX('Tablas de los coeficientes de c'!C12:T14, MATCH(B16,'Tablas de los coeficientes de c'!B12:B14, 0), MATCH(B18, 'Tablas de los coeficientes de c'!C10:T10, 0)))</f>
        <v>0.97</v>
      </c>
      <c r="G9" s="7" t="s">
        <v>25</v>
      </c>
      <c r="H9" s="7"/>
      <c r="I9" s="7"/>
      <c r="J9" s="17" t="n">
        <f aca="false">IF(B7="Monofásica",J8*100/220,J8*100/380)</f>
        <v>0.382840614050794</v>
      </c>
      <c r="K9" s="17" t="n">
        <f aca="false">IF(C7="Monofásica",K8*100/220,K8*100/380)</f>
        <v>0.292040630561474</v>
      </c>
      <c r="L9" s="17" t="n">
        <f aca="false">IF(D7="Monofásica",L8*100/220,L8*100/380)</f>
        <v>0.242888047736771</v>
      </c>
      <c r="M9" s="17" t="n">
        <f aca="false">IF(E7="Monofásica",M8*100/220,M8*100/380)</f>
        <v>0.207600970936635</v>
      </c>
    </row>
    <row r="10" customFormat="false" ht="12.8" hidden="false" customHeight="false" outlineLevel="0" collapsed="false">
      <c r="A10" s="14"/>
      <c r="B10" s="15"/>
      <c r="C10" s="16"/>
      <c r="D10" s="4" t="s">
        <v>26</v>
      </c>
      <c r="E10" s="6" t="n">
        <f aca="false">IF(B11=1,1,IF(B8="Cables no enterrados",INDEX('Tablas de los coeficientes de c'!C20:K30, MATCH(B11,'Tablas de los coeficientes de c'!B20:B30, 0), MATCH(B14, 'Tablas de los coeficientes de c'!C18:K18, 0)),IF(B8="Cables directamente enterrados",INDEX('Tablas de los coeficientes de c'!C36:I43, MATCH(B11,'Tablas de los coeficientes de c'!B36:B43, 0), MATCH(B14, 'Tablas de los coeficientes de c'!C34:I34, 0)),IF(B8="Cables unipolares, un cable por conducto",INDEX('Tablas de los coeficientes de c'!C62:F67, MATCH(B11,'Tablas de los coeficientes de c'!B62:B67, 0), MATCH(B14, 'Tablas de los coeficientes de c'!C60:F60, 0)),INDEX('Tablas de los coeficientes de c'!C50:F55, MATCH(B11,'Tablas de los coeficientes de c'!B50:B55, 0), MATCH(B14, 'Tablas de los coeficientes de c'!C48:F48, 0))))))</f>
        <v>1</v>
      </c>
    </row>
    <row r="11" customFormat="false" ht="12.8" hidden="false" customHeight="false" outlineLevel="0" collapsed="false">
      <c r="A11" s="18" t="str">
        <f aca="false">IF(B8="Cables no enterrados","Disposición",IF(B8="Cables directamente enterrados","Número de circuitos",IF(B8="Cables unipolares, un cable por conducto","Número de circuitos con dos o tres cables unipolares","Número de cables multiconductores o de grupos de 2 o 3 cables unipolares")))</f>
        <v>Número de circuitos</v>
      </c>
      <c r="B11" s="19" t="n">
        <v>1</v>
      </c>
      <c r="C11" s="16"/>
      <c r="D11" s="4" t="s">
        <v>27</v>
      </c>
      <c r="E11" s="6" t="n">
        <f aca="false">IF(B8="Cables no enterrados",1,INDEX('Tablas de los coeficientes de c'!Y18:Y27, MATCH(B20, 'Tablas de los coeficientes de c'!X18:X27, 0)))</f>
        <v>1</v>
      </c>
    </row>
    <row r="12" customFormat="false" ht="12.8" hidden="false" customHeight="false" outlineLevel="0" collapsed="false">
      <c r="A12" s="18"/>
      <c r="B12" s="19"/>
      <c r="C12" s="16"/>
      <c r="D12" s="13" t="s">
        <v>28</v>
      </c>
      <c r="E12" s="20" t="n">
        <f aca="false">E7*E8*E9*E10*E11</f>
        <v>0.782189379242649</v>
      </c>
      <c r="G12" s="1" t="s">
        <v>29</v>
      </c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8"/>
      <c r="B13" s="19"/>
      <c r="C13" s="16"/>
    </row>
    <row r="14" customFormat="false" ht="12.8" hidden="false" customHeight="false" outlineLevel="0" collapsed="false">
      <c r="A14" s="21" t="str">
        <f aca="false">IF(B8="Cables no enterrados","Número de circuitos o cables multiconductores",IF(B8="Cables directamente enterrados","Distancia entre cables o grupos (a)","Distancia entre conductos (a)"))</f>
        <v>Distancia entre cables o grupos (a)</v>
      </c>
      <c r="B14" s="22" t="n">
        <v>1</v>
      </c>
      <c r="C14" s="16"/>
      <c r="D14" s="4" t="s">
        <v>30</v>
      </c>
      <c r="E14" s="20" t="n">
        <f aca="false">E4/E12</f>
        <v>205.996410642706</v>
      </c>
      <c r="G14" s="14" t="s">
        <v>31</v>
      </c>
      <c r="H14" s="14"/>
      <c r="I14" s="14"/>
      <c r="J14" s="23" t="n">
        <f aca="false">IF(B16="Tipo XLPE / EPR (termoestable)",INDEX('Datos de los cables'!K60:S76, MATCH(J$3,'Datos de los cables'!J60:J76, 0), MATCH($B$25, 'Datos de los cables'!K59:S59, 0))*1000,INDEX('Datos de los cables'!K80:S99, MATCH(J$3,'Datos de los cables'!J80:J99, 0), MATCH($B$25, 'Datos de los cables'!K79:S79, 0)))</f>
        <v>9974.07407407407</v>
      </c>
      <c r="K14" s="23" t="n">
        <f aca="false">IF(B16="Tipo XLPE / EPR (termoestable)",INDEX('Datos de los cables'!K60:S76, MATCH(K$3,'Datos de los cables'!J60:J76, 0), MATCH($B$25, 'Datos de los cables'!K59:S59, 0))*1000,INDEX('Datos de los cables'!K80:S99, MATCH(K$3,'Datos de los cables'!J80:J99, 0), MATCH($B$25, 'Datos de los cables'!K79:S79, 0)))</f>
        <v>13400</v>
      </c>
      <c r="L14" s="23" t="n">
        <f aca="false">IF(B16="Tipo XLPE / EPR (termoestable)",INDEX('Datos de los cables'!K60:S76, MATCH(L$3,'Datos de los cables'!J60:J76, 0), MATCH($B$25, 'Datos de los cables'!K59:S59, 0))*1000,INDEX('Datos de los cables'!K80:S99, MATCH(L$3,'Datos de los cables'!J80:J99, 0), MATCH($B$25, 'Datos de los cables'!K79:S79, 0)))</f>
        <v>16825.9259259259</v>
      </c>
      <c r="M14" s="23" t="n">
        <f aca="false">IF(B16="Tipo XLPE / EPR (termoestable)",INDEX('Datos de los cables'!K60:S76, MATCH(M$3,'Datos de los cables'!J60:J76, 0), MATCH($B$25, 'Datos de los cables'!K59:S59, 0))*1000,INDEX('Datos de los cables'!K80:S99, MATCH(M$3,'Datos de los cables'!J80:J99, 0), MATCH($B$25, 'Datos de los cables'!K79:S79, 0)))</f>
        <v>21300</v>
      </c>
    </row>
    <row r="15" customFormat="false" ht="12.8" hidden="false" customHeight="false" outlineLevel="0" collapsed="false">
      <c r="A15" s="21"/>
      <c r="B15" s="22"/>
      <c r="C15" s="16"/>
      <c r="G15" s="14" t="s">
        <v>32</v>
      </c>
      <c r="H15" s="14"/>
      <c r="I15" s="14"/>
      <c r="J15" s="24" t="n">
        <f aca="false">E3/220</f>
        <v>385.640909090909</v>
      </c>
      <c r="K15" s="25"/>
      <c r="L15" s="25"/>
      <c r="M15" s="25"/>
    </row>
    <row r="16" customFormat="false" ht="12.8" hidden="false" customHeight="false" outlineLevel="0" collapsed="false">
      <c r="A16" s="4" t="s">
        <v>33</v>
      </c>
      <c r="B16" s="12" t="s">
        <v>34</v>
      </c>
    </row>
    <row r="17" customFormat="false" ht="12.8" hidden="false" customHeight="false" outlineLevel="0" collapsed="false">
      <c r="A17" s="4" t="s">
        <v>35</v>
      </c>
      <c r="B17" s="5" t="n">
        <v>45</v>
      </c>
      <c r="G17" s="14" t="s">
        <v>36</v>
      </c>
      <c r="H17" s="14"/>
      <c r="I17" s="14"/>
      <c r="J17" s="8" t="n">
        <f aca="false">$B$22*(380*380)/(100*$B$24*1000)</f>
        <v>0.017328</v>
      </c>
    </row>
    <row r="18" customFormat="false" ht="12.8" hidden="false" customHeight="false" outlineLevel="0" collapsed="false">
      <c r="A18" s="4" t="s">
        <v>37</v>
      </c>
      <c r="B18" s="5" t="n">
        <v>30</v>
      </c>
      <c r="G18" s="14" t="s">
        <v>38</v>
      </c>
      <c r="H18" s="14"/>
      <c r="I18" s="14"/>
      <c r="J18" s="8" t="n">
        <f aca="false">$B$23*(380*380)/(100*$B$24*1000)</f>
        <v>0.005776</v>
      </c>
    </row>
    <row r="19" customFormat="false" ht="12.8" hidden="false" customHeight="false" outlineLevel="0" collapsed="false">
      <c r="A19" s="4" t="s">
        <v>39</v>
      </c>
      <c r="B19" s="5" t="n">
        <v>1.5</v>
      </c>
      <c r="G19" s="14" t="s">
        <v>40</v>
      </c>
      <c r="H19" s="14"/>
      <c r="I19" s="14"/>
      <c r="J19" s="26" t="n">
        <f aca="false">SQRT(POWER($J$17,2)-POWER($J$18,2))</f>
        <v>0.016336995072534</v>
      </c>
    </row>
    <row r="20" customFormat="false" ht="12.8" hidden="false" customHeight="false" outlineLevel="0" collapsed="false">
      <c r="A20" s="4" t="s">
        <v>41</v>
      </c>
      <c r="B20" s="12" t="s">
        <v>42</v>
      </c>
    </row>
    <row r="21" customFormat="false" ht="12.8" hidden="false" customHeight="false" outlineLevel="0" collapsed="false">
      <c r="B21" s="27"/>
    </row>
    <row r="22" customFormat="false" ht="12.8" hidden="false" customHeight="false" outlineLevel="0" collapsed="false">
      <c r="A22" s="4" t="s">
        <v>43</v>
      </c>
      <c r="B22" s="5" t="n">
        <v>3</v>
      </c>
    </row>
    <row r="23" customFormat="false" ht="12.8" hidden="false" customHeight="false" outlineLevel="0" collapsed="false">
      <c r="A23" s="4" t="s">
        <v>44</v>
      </c>
      <c r="B23" s="5" t="n">
        <v>1</v>
      </c>
    </row>
    <row r="24" customFormat="false" ht="12.8" hidden="false" customHeight="false" outlineLevel="0" collapsed="false">
      <c r="A24" s="4" t="s">
        <v>45</v>
      </c>
      <c r="B24" s="5" t="n">
        <v>250</v>
      </c>
    </row>
    <row r="25" customFormat="false" ht="12.8" hidden="false" customHeight="false" outlineLevel="0" collapsed="false">
      <c r="A25" s="4" t="s">
        <v>46</v>
      </c>
      <c r="B25" s="5" t="n">
        <v>1</v>
      </c>
    </row>
    <row r="27" customFormat="false" ht="12.8" hidden="false" customHeight="false" outlineLevel="0" collapsed="false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9" customFormat="false" ht="12.8" hidden="false" customHeight="true" outlineLevel="0" collapsed="false">
      <c r="A29" s="25" t="s">
        <v>47</v>
      </c>
      <c r="B29" s="8" t="s">
        <v>6</v>
      </c>
      <c r="C29" s="25" t="s">
        <v>48</v>
      </c>
      <c r="D29" s="25" t="s">
        <v>49</v>
      </c>
      <c r="E29" s="25" t="s">
        <v>50</v>
      </c>
      <c r="F29" s="30" t="s">
        <v>51</v>
      </c>
      <c r="G29" s="30"/>
      <c r="H29" s="30"/>
      <c r="I29" s="25" t="s">
        <v>52</v>
      </c>
      <c r="J29" s="31" t="s">
        <v>53</v>
      </c>
      <c r="K29" s="31"/>
    </row>
    <row r="30" customFormat="false" ht="12.8" hidden="false" customHeight="false" outlineLevel="0" collapsed="false">
      <c r="A30" s="32" t="s">
        <v>54</v>
      </c>
      <c r="B30" s="33" t="n">
        <v>10</v>
      </c>
      <c r="C30" s="33" t="n">
        <v>2.29</v>
      </c>
      <c r="D30" s="33" t="n">
        <v>0.086</v>
      </c>
      <c r="E30" s="33" t="n">
        <v>1414.1</v>
      </c>
      <c r="F30" s="34" t="n">
        <v>1.6006</v>
      </c>
      <c r="G30" s="34"/>
      <c r="H30" s="34"/>
      <c r="I30" s="33" t="n">
        <v>0.03</v>
      </c>
      <c r="J30" s="31"/>
      <c r="K30" s="31"/>
    </row>
    <row r="31" customFormat="false" ht="12.8" hidden="false" customHeight="false" outlineLevel="0" collapsed="false">
      <c r="A31" s="35" t="s">
        <v>55</v>
      </c>
      <c r="B31" s="5" t="n">
        <v>6</v>
      </c>
      <c r="C31" s="5" t="n">
        <v>3.95</v>
      </c>
      <c r="D31" s="5" t="n">
        <v>0.09</v>
      </c>
      <c r="E31" s="5" t="n">
        <v>848.46</v>
      </c>
      <c r="F31" s="22" t="n">
        <v>2.2759</v>
      </c>
      <c r="G31" s="22"/>
      <c r="H31" s="22"/>
      <c r="I31" s="5" t="n">
        <v>0.02</v>
      </c>
      <c r="J31" s="36" t="n">
        <f aca="false">(C30*I30)+(C31*I31)+(C32*I32)+(C33*I33)+(C34*I34)+(C35*I35)+(C36*I36)+(C37*I37)+(C38*I38)+(C39*I39)+J18</f>
        <v>0.654576</v>
      </c>
      <c r="K31" s="36"/>
    </row>
    <row r="32" customFormat="false" ht="12.8" hidden="false" customHeight="false" outlineLevel="0" collapsed="false">
      <c r="A32" s="32" t="s">
        <v>56</v>
      </c>
      <c r="B32" s="33" t="n">
        <v>35</v>
      </c>
      <c r="C32" s="33" t="n">
        <v>0.66</v>
      </c>
      <c r="D32" s="33" t="n">
        <v>0.08</v>
      </c>
      <c r="E32" s="33" t="n">
        <v>4944.44</v>
      </c>
      <c r="F32" s="34" t="n">
        <v>2.0113</v>
      </c>
      <c r="G32" s="34"/>
      <c r="H32" s="34"/>
      <c r="I32" s="33" t="n">
        <v>0.05</v>
      </c>
      <c r="J32" s="36"/>
      <c r="K32" s="36"/>
    </row>
    <row r="33" customFormat="false" ht="12.8" hidden="false" customHeight="true" outlineLevel="0" collapsed="false">
      <c r="A33" s="35" t="s">
        <v>57</v>
      </c>
      <c r="B33" s="5" t="n">
        <v>10</v>
      </c>
      <c r="C33" s="5" t="n">
        <v>2.29</v>
      </c>
      <c r="D33" s="5" t="n">
        <v>0.17</v>
      </c>
      <c r="E33" s="5" t="n">
        <v>1414.1</v>
      </c>
      <c r="F33" s="22" t="n">
        <v>2.0155</v>
      </c>
      <c r="G33" s="22"/>
      <c r="H33" s="22"/>
      <c r="I33" s="5" t="n">
        <v>0.03</v>
      </c>
      <c r="J33" s="31" t="s">
        <v>58</v>
      </c>
      <c r="K33" s="31"/>
    </row>
    <row r="34" customFormat="false" ht="12.8" hidden="false" customHeight="false" outlineLevel="0" collapsed="false">
      <c r="A34" s="32" t="s">
        <v>59</v>
      </c>
      <c r="B34" s="33" t="n">
        <v>6</v>
      </c>
      <c r="C34" s="33" t="n">
        <v>3.95</v>
      </c>
      <c r="D34" s="33" t="n">
        <v>0.18</v>
      </c>
      <c r="E34" s="33" t="n">
        <v>848.46</v>
      </c>
      <c r="F34" s="34" t="n">
        <v>2.2547</v>
      </c>
      <c r="G34" s="34"/>
      <c r="H34" s="34"/>
      <c r="I34" s="33" t="n">
        <v>0.02</v>
      </c>
      <c r="J34" s="31"/>
      <c r="K34" s="31"/>
    </row>
    <row r="35" customFormat="false" ht="12.8" hidden="false" customHeight="false" outlineLevel="0" collapsed="false">
      <c r="A35" s="35" t="s">
        <v>60</v>
      </c>
      <c r="B35" s="5" t="n">
        <v>10</v>
      </c>
      <c r="C35" s="5" t="n">
        <v>2.29</v>
      </c>
      <c r="D35" s="5" t="n">
        <v>0.17</v>
      </c>
      <c r="E35" s="5" t="n">
        <v>1414.1</v>
      </c>
      <c r="F35" s="22" t="n">
        <v>2.6874</v>
      </c>
      <c r="G35" s="22"/>
      <c r="H35" s="22"/>
      <c r="I35" s="5" t="n">
        <v>0.04</v>
      </c>
      <c r="J35" s="36" t="n">
        <f aca="false">(D30*I30)+(D31*I31)+(D32*I32)+(D33*I33)+(D34*I34)+(D35*I35)+(D36*I36)+(D37*I37)+(D38*I38)+(D39*I39)+J19</f>
        <v>0.050716995072534</v>
      </c>
      <c r="K35" s="36"/>
    </row>
    <row r="36" customFormat="false" ht="12.8" hidden="false" customHeight="false" outlineLevel="0" collapsed="false">
      <c r="A36" s="32" t="s">
        <v>61</v>
      </c>
      <c r="B36" s="33" t="n">
        <v>4</v>
      </c>
      <c r="C36" s="33" t="n">
        <v>5.92</v>
      </c>
      <c r="D36" s="33" t="n">
        <v>0.1</v>
      </c>
      <c r="E36" s="33" t="n">
        <v>565.64</v>
      </c>
      <c r="F36" s="34" t="n">
        <v>0.9148</v>
      </c>
      <c r="G36" s="34"/>
      <c r="H36" s="34"/>
      <c r="I36" s="33" t="n">
        <v>0.02</v>
      </c>
      <c r="J36" s="36"/>
      <c r="K36" s="36"/>
    </row>
    <row r="37" customFormat="false" ht="12.8" hidden="false" customHeight="false" outlineLevel="0" collapsed="false">
      <c r="A37" s="35" t="s">
        <v>62</v>
      </c>
      <c r="B37" s="5" t="n">
        <v>95</v>
      </c>
      <c r="C37" s="5" t="n">
        <v>0.23</v>
      </c>
      <c r="D37" s="5" t="n">
        <v>0.07</v>
      </c>
      <c r="E37" s="5" t="n">
        <v>13400</v>
      </c>
      <c r="F37" s="22" t="n">
        <v>1.1944</v>
      </c>
      <c r="G37" s="22"/>
      <c r="H37" s="22"/>
      <c r="I37" s="5" t="n">
        <v>0.04</v>
      </c>
    </row>
    <row r="38" customFormat="false" ht="12.8" hidden="false" customHeight="false" outlineLevel="0" collapsed="false">
      <c r="A38" s="32" t="s">
        <v>63</v>
      </c>
      <c r="B38" s="33" t="n">
        <v>10</v>
      </c>
      <c r="C38" s="33" t="n">
        <v>2.29</v>
      </c>
      <c r="D38" s="33" t="n">
        <v>0.09</v>
      </c>
      <c r="E38" s="33" t="n">
        <v>1414.1</v>
      </c>
      <c r="F38" s="34" t="n">
        <v>1.9938</v>
      </c>
      <c r="G38" s="34"/>
      <c r="H38" s="34"/>
      <c r="I38" s="33" t="n">
        <v>0.04</v>
      </c>
    </row>
    <row r="39" customFormat="false" ht="12.8" hidden="false" customHeight="false" outlineLevel="0" collapsed="false">
      <c r="A39" s="35" t="s">
        <v>64</v>
      </c>
      <c r="B39" s="5" t="n">
        <v>70</v>
      </c>
      <c r="C39" s="5" t="n">
        <v>0.32</v>
      </c>
      <c r="D39" s="5" t="n">
        <v>0.07</v>
      </c>
      <c r="E39" s="5" t="n">
        <v>9974.07</v>
      </c>
      <c r="F39" s="22" t="n">
        <v>1.4548</v>
      </c>
      <c r="G39" s="22"/>
      <c r="H39" s="22"/>
      <c r="I39" s="5" t="n">
        <v>0.03</v>
      </c>
    </row>
    <row r="42" customFormat="false" ht="12.8" hidden="false" customHeight="false" outlineLevel="0" collapsed="false">
      <c r="A42" s="37" t="s">
        <v>65</v>
      </c>
      <c r="B42" s="8" t="n">
        <f aca="false">SQRT(POWER(J31,2)+POWER(J35,2))</f>
        <v>0.656537853718418</v>
      </c>
      <c r="D42" s="38" t="s">
        <v>66</v>
      </c>
      <c r="E42" s="39" t="n">
        <f aca="false">SUM(F30:F39)</f>
        <v>18.4032</v>
      </c>
      <c r="F42" s="39"/>
    </row>
    <row r="43" customFormat="false" ht="12.8" hidden="false" customHeight="false" outlineLevel="0" collapsed="false">
      <c r="A43" s="37" t="s">
        <v>32</v>
      </c>
      <c r="B43" s="8" t="n">
        <f aca="false">400/(B42*SQRT(3))</f>
        <v>351.754443963711</v>
      </c>
      <c r="D43" s="38" t="s">
        <v>67</v>
      </c>
      <c r="E43" s="8" t="n">
        <f aca="false">(E42*100)/380</f>
        <v>4.84294736842105</v>
      </c>
      <c r="F43" s="8"/>
    </row>
  </sheetData>
  <sheetProtection sheet="true" objects="true" scenarios="true"/>
  <mergeCells count="41">
    <mergeCell ref="A1:B1"/>
    <mergeCell ref="D1:E1"/>
    <mergeCell ref="G1:M1"/>
    <mergeCell ref="A2:B2"/>
    <mergeCell ref="G3:I3"/>
    <mergeCell ref="N3:S3"/>
    <mergeCell ref="G4:I4"/>
    <mergeCell ref="G5:I5"/>
    <mergeCell ref="D6:E6"/>
    <mergeCell ref="G6:I6"/>
    <mergeCell ref="A8:A10"/>
    <mergeCell ref="B8:B10"/>
    <mergeCell ref="G8:I8"/>
    <mergeCell ref="G9:I9"/>
    <mergeCell ref="A11:A13"/>
    <mergeCell ref="B11:B13"/>
    <mergeCell ref="G12:M12"/>
    <mergeCell ref="A14:A15"/>
    <mergeCell ref="B14:B15"/>
    <mergeCell ref="G14:I14"/>
    <mergeCell ref="G15:I15"/>
    <mergeCell ref="G17:I17"/>
    <mergeCell ref="G18:I18"/>
    <mergeCell ref="G19:I19"/>
    <mergeCell ref="F29:H29"/>
    <mergeCell ref="J29:K30"/>
    <mergeCell ref="F30:H30"/>
    <mergeCell ref="F31:H31"/>
    <mergeCell ref="J31:K32"/>
    <mergeCell ref="F32:H32"/>
    <mergeCell ref="F33:H33"/>
    <mergeCell ref="J33:K34"/>
    <mergeCell ref="F34:H34"/>
    <mergeCell ref="F35:H35"/>
    <mergeCell ref="J35:K36"/>
    <mergeCell ref="F36:H36"/>
    <mergeCell ref="F37:H37"/>
    <mergeCell ref="F38:H38"/>
    <mergeCell ref="F39:H39"/>
    <mergeCell ref="E42:F42"/>
    <mergeCell ref="E43:F43"/>
  </mergeCells>
  <dataValidations count="11">
    <dataValidation allowBlank="true" errorStyle="stop" operator="equal" showDropDown="false" showErrorMessage="true" showInputMessage="false" sqref="B5" type="list">
      <formula1>"HP,W"</formula1>
      <formula2>0</formula2>
    </dataValidation>
    <dataValidation allowBlank="true" errorStyle="stop" operator="equal" showDropDown="false" showErrorMessage="true" showInputMessage="false" sqref="B7" type="list">
      <formula1>"Monofásica,Trifásica con neutro,Trifásica sin neutro"</formula1>
      <formula2>0</formula2>
    </dataValidation>
    <dataValidation allowBlank="true" errorStyle="stop" operator="equal" showDropDown="false" showErrorMessage="true" showInputMessage="false" sqref="B8:B10 B12:B13" type="list">
      <mc:AlternateContent xmlns:x12ac="http://schemas.microsoft.com/office/spreadsheetml/2011/1/ac" xmlns:mc="http://schemas.openxmlformats.org/markup-compatibility/2006">
        <mc:Choice Requires="x12ac">
          <x12ac:list>Cables no enterrados,Cables directamente enterrados,Cables multiconductores en conductos enterrados o cables unipolares en un solo conducto,"Cables unipolares, un cable por conducto"</x12ac:list>
        </mc:Choice>
        <mc:Fallback>
          <formula1>"Cables no enterrados,Cables directamente enterrados,Cables multiconductores en conductos enterrados o cables unipolares en un solo conducto,Cables unipolares, un cable por conducto"</formula1>
        </mc:Fallback>
      </mc:AlternateContent>
      <formula2>0</formula2>
    </dataValidation>
    <dataValidation allowBlank="true" errorStyle="stop" operator="equal" showDropDown="false" showErrorMessage="true" showInputMessage="false" sqref="B11" type="list">
      <formula1>IF(A11="Disposición",'Cuentas auxiliares'!$I$2:$I$6,IF(A11="Número de circuitos",'Cuentas auxiliares'!$J$2:$J$9,'Cuentas auxiliares'!$K$2:$K$7))</formula1>
      <formula2>0</formula2>
    </dataValidation>
    <dataValidation allowBlank="true" errorStyle="stop" operator="equal" showDropDown="false" showErrorMessage="true" showInputMessage="false" sqref="B14" type="list">
      <formula1>IF(A14="Número de circuitos o cables multiconductores",'Cuentas auxiliares'!$I$10:$I$18,IF(A14="Distancia entre cables o grupos (a)",'Cuentas auxiliares'!$J$10:$J$15,'Cuentas auxiliares'!$K$10:$K$13))</formula1>
      <formula2>0</formula2>
    </dataValidation>
    <dataValidation allowBlank="true" errorStyle="stop" operator="equal" showDropDown="false" showErrorMessage="true" showInputMessage="false" sqref="B15" type="list">
      <formula1>IF(A14="Número de circuitos o cables multiconductores",#REF!,IF(A14="Distancia entre cables o grupos (a)",#REF!,#REF!))</formula1>
      <formula2>0</formula2>
    </dataValidation>
    <dataValidation allowBlank="true" errorStyle="stop" operator="equal" showDropDown="false" showErrorMessage="true" showInputMessage="false" sqref="B16" type="list">
      <formula1>"Tipo PVC (termoplástico),Tipo XLPE / EPR (termoestable)"</formula1>
      <formula2>0</formula2>
    </dataValidation>
    <dataValidation allowBlank="true" errorStyle="stop" operator="equal" showDropDown="false" showErrorMessage="true" showInputMessage="false" sqref="B17:B18" type="list">
      <formula1>"-5,0,5,10,15,20,25,30,35,40,45,50,55,60,65,70,75,80"</formula1>
      <formula2>0</formula2>
    </dataValidation>
    <dataValidation allowBlank="true" errorStyle="stop" operator="equal" showDropDown="false" showErrorMessage="true" showInputMessage="false" sqref="B19" type="list">
      <formula1>"0.7,1,1.2,1.5,2,2.5,3"</formula1>
      <formula2>0</formula2>
    </dataValidation>
    <dataValidation allowBlank="true" errorStyle="stop" operator="equal" showDropDown="false" showErrorMessage="true" showInputMessage="false" sqref="B20" type="list">
      <formula1>"Sin enterrar,0.25 – 0.7,0.71 – 0.9,0.91 – 1.10,1.11 – 1.3,1.31 – 1.5,1.51 – 1.75,1.96 – 2,2.01 – 2.50,2.51 – 3"</formula1>
      <formula2>0</formula2>
    </dataValidation>
    <dataValidation allowBlank="true" errorStyle="stop" operator="equal" showDropDown="false" showErrorMessage="true" showInputMessage="false" sqref="B25" type="list">
      <formula1>"0.1,0.2,0.3,0.5,1,1.5,2,2.5,3"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3"/>
  <sheetViews>
    <sheetView showFormulas="false" showGridLines="true" showRowColHeaders="true" showZeros="true" rightToLeft="false" tabSelected="false" showOutlineSymbols="true" defaultGridColor="true" view="normal" topLeftCell="A46" colorId="64" zoomScale="60" zoomScaleNormal="60" zoomScalePageLayoutView="100" workbookViewId="0">
      <selection pane="topLeft" activeCell="A104" activeCellId="0" sqref="A10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5.23"/>
    <col collapsed="false" customWidth="true" hidden="false" outlineLevel="0" max="3" min="3" style="0" width="30.44"/>
    <col collapsed="false" customWidth="true" hidden="false" outlineLevel="0" max="4" min="4" style="0" width="31.26"/>
    <col collapsed="false" customWidth="true" hidden="false" outlineLevel="0" max="5" min="5" style="0" width="27.61"/>
    <col collapsed="false" customWidth="true" hidden="false" outlineLevel="0" max="6" min="6" style="0" width="18.83"/>
    <col collapsed="false" customWidth="true" hidden="false" outlineLevel="0" max="7" min="7" style="0" width="45.23"/>
    <col collapsed="false" customWidth="true" hidden="false" outlineLevel="0" max="8" min="8" style="0" width="27.02"/>
    <col collapsed="false" customWidth="true" hidden="false" outlineLevel="0" max="9" min="9" style="0" width="19.86"/>
    <col collapsed="false" customWidth="true" hidden="false" outlineLevel="0" max="10" min="10" style="0" width="17.36"/>
    <col collapsed="false" customWidth="true" hidden="false" outlineLevel="0" max="11" min="11" style="0" width="16.84"/>
  </cols>
  <sheetData>
    <row r="1" customFormat="false" ht="24.85" hidden="false" customHeight="true" outlineLevel="0" collapsed="false">
      <c r="A1" s="40" t="s">
        <v>68</v>
      </c>
      <c r="B1" s="40"/>
      <c r="C1" s="40"/>
      <c r="D1" s="40"/>
      <c r="E1" s="40"/>
      <c r="F1" s="40"/>
      <c r="G1" s="40"/>
      <c r="H1" s="40"/>
    </row>
    <row r="2" customFormat="false" ht="12.8" hidden="false" customHeight="false" outlineLevel="0" collapsed="false">
      <c r="A2" s="41" t="s">
        <v>69</v>
      </c>
      <c r="B2" s="41"/>
      <c r="C2" s="41"/>
      <c r="D2" s="41"/>
      <c r="E2" s="41"/>
      <c r="F2" s="41"/>
      <c r="G2" s="41"/>
      <c r="H2" s="41"/>
    </row>
    <row r="3" customFormat="false" ht="12.8" hidden="false" customHeight="false" outlineLevel="0" collapsed="false">
      <c r="A3" s="42" t="s">
        <v>70</v>
      </c>
      <c r="B3" s="42" t="s">
        <v>71</v>
      </c>
      <c r="C3" s="42" t="s">
        <v>72</v>
      </c>
      <c r="D3" s="42" t="s">
        <v>73</v>
      </c>
      <c r="E3" s="42" t="s">
        <v>74</v>
      </c>
      <c r="F3" s="42" t="s">
        <v>75</v>
      </c>
      <c r="G3" s="42" t="s">
        <v>76</v>
      </c>
      <c r="H3" s="42" t="s">
        <v>77</v>
      </c>
    </row>
    <row r="4" customFormat="false" ht="12.8" hidden="false" customHeight="false" outlineLevel="0" collapsed="false">
      <c r="A4" s="8" t="n">
        <v>1.5</v>
      </c>
      <c r="B4" s="43"/>
      <c r="C4" s="43"/>
      <c r="D4" s="43"/>
      <c r="E4" s="43"/>
      <c r="F4" s="43"/>
      <c r="G4" s="43"/>
      <c r="H4" s="43"/>
    </row>
    <row r="5" customFormat="false" ht="12.8" hidden="false" customHeight="false" outlineLevel="0" collapsed="false">
      <c r="A5" s="8" t="n">
        <v>2.5</v>
      </c>
      <c r="B5" s="43"/>
      <c r="C5" s="43"/>
      <c r="D5" s="43"/>
      <c r="E5" s="43"/>
      <c r="F5" s="43"/>
      <c r="G5" s="43"/>
      <c r="H5" s="43"/>
    </row>
    <row r="6" customFormat="false" ht="12.8" hidden="false" customHeight="false" outlineLevel="0" collapsed="false">
      <c r="A6" s="8" t="n">
        <v>4</v>
      </c>
      <c r="B6" s="8" t="n">
        <v>2.5</v>
      </c>
      <c r="C6" s="8" t="n">
        <v>1</v>
      </c>
      <c r="D6" s="8" t="n">
        <v>1.4</v>
      </c>
      <c r="E6" s="8" t="n">
        <v>7.6</v>
      </c>
      <c r="F6" s="8" t="n">
        <v>91</v>
      </c>
      <c r="G6" s="8" t="n">
        <v>5.92</v>
      </c>
      <c r="H6" s="8" t="n">
        <v>0.189</v>
      </c>
    </row>
    <row r="7" customFormat="false" ht="12.8" hidden="false" customHeight="false" outlineLevel="0" collapsed="false">
      <c r="A7" s="8" t="n">
        <v>6</v>
      </c>
      <c r="B7" s="8" t="n">
        <v>3</v>
      </c>
      <c r="C7" s="8" t="n">
        <v>1</v>
      </c>
      <c r="D7" s="8" t="n">
        <v>1.4</v>
      </c>
      <c r="E7" s="8" t="n">
        <v>8.1</v>
      </c>
      <c r="F7" s="8" t="n">
        <v>114</v>
      </c>
      <c r="G7" s="8" t="n">
        <v>3.95</v>
      </c>
      <c r="H7" s="8" t="n">
        <v>0.18</v>
      </c>
    </row>
    <row r="8" customFormat="false" ht="12.8" hidden="false" customHeight="false" outlineLevel="0" collapsed="false">
      <c r="A8" s="8" t="n">
        <v>10</v>
      </c>
      <c r="B8" s="8" t="n">
        <v>3.9</v>
      </c>
      <c r="C8" s="8" t="n">
        <v>1</v>
      </c>
      <c r="D8" s="8" t="n">
        <v>1.4</v>
      </c>
      <c r="E8" s="8" t="n">
        <v>9.1</v>
      </c>
      <c r="F8" s="8" t="n">
        <v>160</v>
      </c>
      <c r="G8" s="8" t="n">
        <v>2.29</v>
      </c>
      <c r="H8" s="8" t="n">
        <v>0.17</v>
      </c>
    </row>
    <row r="9" customFormat="false" ht="12.8" hidden="false" customHeight="false" outlineLevel="0" collapsed="false">
      <c r="A9" s="8" t="n">
        <v>16</v>
      </c>
      <c r="B9" s="8" t="n">
        <v>4.9</v>
      </c>
      <c r="C9" s="8" t="n">
        <v>1</v>
      </c>
      <c r="D9" s="8" t="n">
        <v>1.4</v>
      </c>
      <c r="E9" s="8" t="n">
        <v>10</v>
      </c>
      <c r="F9" s="8" t="n">
        <v>227</v>
      </c>
      <c r="G9" s="8" t="n">
        <v>1.45</v>
      </c>
      <c r="H9" s="8" t="n">
        <v>0.162</v>
      </c>
    </row>
    <row r="10" customFormat="false" ht="12.8" hidden="false" customHeight="false" outlineLevel="0" collapsed="false">
      <c r="A10" s="8" t="n">
        <v>25</v>
      </c>
      <c r="B10" s="8" t="n">
        <v>7.1</v>
      </c>
      <c r="C10" s="8" t="n">
        <v>1.2</v>
      </c>
      <c r="D10" s="8" t="n">
        <v>1.4</v>
      </c>
      <c r="E10" s="8" t="n">
        <v>12.7</v>
      </c>
      <c r="F10" s="8" t="n">
        <v>346</v>
      </c>
      <c r="G10" s="8" t="n">
        <v>0.933</v>
      </c>
      <c r="H10" s="8" t="n">
        <v>0.154</v>
      </c>
    </row>
    <row r="11" customFormat="false" ht="12.8" hidden="false" customHeight="false" outlineLevel="0" collapsed="false">
      <c r="A11" s="8" t="n">
        <v>35</v>
      </c>
      <c r="B11" s="8" t="n">
        <v>8.3</v>
      </c>
      <c r="C11" s="8" t="n">
        <v>1.2</v>
      </c>
      <c r="D11" s="8" t="n">
        <v>1.4</v>
      </c>
      <c r="E11" s="8" t="n">
        <v>13.8</v>
      </c>
      <c r="F11" s="8" t="n">
        <v>447</v>
      </c>
      <c r="G11" s="8" t="n">
        <v>0.663</v>
      </c>
      <c r="H11" s="8" t="n">
        <v>0.15</v>
      </c>
    </row>
    <row r="12" customFormat="false" ht="12.8" hidden="false" customHeight="false" outlineLevel="0" collapsed="false">
      <c r="A12" s="8" t="n">
        <v>50</v>
      </c>
      <c r="B12" s="8" t="n">
        <v>9.9</v>
      </c>
      <c r="C12" s="8" t="n">
        <v>1.4</v>
      </c>
      <c r="D12" s="8" t="n">
        <v>1.4</v>
      </c>
      <c r="E12" s="8" t="n">
        <v>15.9</v>
      </c>
      <c r="F12" s="8" t="n">
        <v>612</v>
      </c>
      <c r="G12" s="8" t="n">
        <v>0.462</v>
      </c>
      <c r="H12" s="8" t="n">
        <v>0.147</v>
      </c>
    </row>
    <row r="13" customFormat="false" ht="12.8" hidden="false" customHeight="false" outlineLevel="0" collapsed="false">
      <c r="A13" s="8" t="n">
        <v>70</v>
      </c>
      <c r="B13" s="8" t="n">
        <v>12</v>
      </c>
      <c r="C13" s="8" t="n">
        <v>1.4</v>
      </c>
      <c r="D13" s="8" t="n">
        <v>1.4</v>
      </c>
      <c r="E13" s="8" t="n">
        <v>17.6</v>
      </c>
      <c r="F13" s="8" t="n">
        <v>811</v>
      </c>
      <c r="G13" s="8" t="n">
        <v>0.326</v>
      </c>
      <c r="H13" s="8" t="n">
        <v>0.143</v>
      </c>
    </row>
    <row r="14" customFormat="false" ht="12.8" hidden="false" customHeight="false" outlineLevel="0" collapsed="false">
      <c r="A14" s="8" t="n">
        <v>95</v>
      </c>
      <c r="B14" s="8" t="n">
        <v>13.5</v>
      </c>
      <c r="C14" s="8" t="n">
        <v>1.6</v>
      </c>
      <c r="D14" s="8" t="n">
        <v>1.5</v>
      </c>
      <c r="E14" s="8" t="n">
        <v>20</v>
      </c>
      <c r="F14" s="8" t="n">
        <v>1037</v>
      </c>
      <c r="G14" s="8" t="n">
        <v>0.248</v>
      </c>
      <c r="H14" s="8" t="n">
        <v>0.142</v>
      </c>
    </row>
    <row r="15" customFormat="false" ht="12.8" hidden="false" customHeight="false" outlineLevel="0" collapsed="false">
      <c r="A15" s="8" t="n">
        <v>120</v>
      </c>
      <c r="B15" s="8" t="n">
        <v>16.5</v>
      </c>
      <c r="C15" s="8" t="n">
        <v>1.6</v>
      </c>
      <c r="D15" s="8" t="n">
        <v>1.5</v>
      </c>
      <c r="E15" s="8" t="n">
        <v>22.9</v>
      </c>
      <c r="F15" s="8" t="n">
        <v>1334</v>
      </c>
      <c r="G15" s="8" t="n">
        <v>0.194</v>
      </c>
      <c r="H15" s="8" t="n">
        <v>0.139</v>
      </c>
    </row>
    <row r="16" customFormat="false" ht="12.8" hidden="false" customHeight="false" outlineLevel="0" collapsed="false">
      <c r="A16" s="8" t="n">
        <v>150</v>
      </c>
      <c r="B16" s="8" t="n">
        <v>17.5</v>
      </c>
      <c r="C16" s="8" t="n">
        <v>1.8</v>
      </c>
      <c r="D16" s="8" t="n">
        <v>1.6</v>
      </c>
      <c r="E16" s="8" t="n">
        <v>24</v>
      </c>
      <c r="F16" s="8" t="n">
        <v>1634</v>
      </c>
      <c r="G16" s="8" t="n">
        <v>0.156</v>
      </c>
      <c r="H16" s="8" t="n">
        <v>0.139</v>
      </c>
    </row>
    <row r="17" customFormat="false" ht="12.8" hidden="false" customHeight="false" outlineLevel="0" collapsed="false">
      <c r="A17" s="8" t="n">
        <v>185</v>
      </c>
      <c r="B17" s="8" t="n">
        <v>20</v>
      </c>
      <c r="C17" s="8" t="n">
        <v>2</v>
      </c>
      <c r="D17" s="8" t="n">
        <v>1.7</v>
      </c>
      <c r="E17" s="8" t="n">
        <v>27.1</v>
      </c>
      <c r="F17" s="8" t="n">
        <v>1985</v>
      </c>
      <c r="G17" s="8" t="n">
        <v>0.129</v>
      </c>
      <c r="H17" s="8" t="n">
        <v>0.139</v>
      </c>
    </row>
    <row r="18" customFormat="false" ht="12.8" hidden="false" customHeight="false" outlineLevel="0" collapsed="false">
      <c r="A18" s="8" t="n">
        <v>240</v>
      </c>
      <c r="B18" s="8" t="n">
        <v>24</v>
      </c>
      <c r="C18" s="8" t="n">
        <v>2.2</v>
      </c>
      <c r="D18" s="8" t="n">
        <v>1.8</v>
      </c>
      <c r="E18" s="8" t="n">
        <v>32</v>
      </c>
      <c r="F18" s="8" t="n">
        <v>2611</v>
      </c>
      <c r="G18" s="8" t="n">
        <v>0.0987</v>
      </c>
      <c r="H18" s="8" t="n">
        <v>0.137</v>
      </c>
    </row>
    <row r="19" customFormat="false" ht="12.8" hidden="false" customHeight="false" outlineLevel="0" collapsed="false">
      <c r="A19" s="8" t="n">
        <v>300</v>
      </c>
      <c r="B19" s="8" t="n">
        <v>20.7</v>
      </c>
      <c r="C19" s="8" t="n">
        <v>2.4</v>
      </c>
      <c r="D19" s="8" t="n">
        <v>1.9</v>
      </c>
      <c r="E19" s="8" t="n">
        <v>29.8</v>
      </c>
      <c r="F19" s="8" t="n">
        <v>3186</v>
      </c>
      <c r="G19" s="8" t="n">
        <v>0.0754</v>
      </c>
      <c r="H19" s="8" t="n">
        <v>0.14</v>
      </c>
    </row>
    <row r="20" customFormat="false" ht="12.8" hidden="false" customHeight="false" outlineLevel="0" collapsed="false">
      <c r="A20" s="8" t="n">
        <v>400</v>
      </c>
      <c r="B20" s="8" t="n">
        <v>23</v>
      </c>
      <c r="C20" s="8" t="n">
        <v>2.6</v>
      </c>
      <c r="D20" s="8" t="n">
        <v>2</v>
      </c>
      <c r="E20" s="8" t="n">
        <v>32.7</v>
      </c>
      <c r="F20" s="8" t="n">
        <v>4008</v>
      </c>
      <c r="G20" s="8" t="n">
        <v>0.0606</v>
      </c>
      <c r="H20" s="8" t="n">
        <v>0.14</v>
      </c>
    </row>
    <row r="21" customFormat="false" ht="12.8" hidden="false" customHeight="false" outlineLevel="0" collapsed="false">
      <c r="A21" s="8" t="n">
        <v>500</v>
      </c>
      <c r="B21" s="8" t="n">
        <v>26.4</v>
      </c>
      <c r="C21" s="8" t="n">
        <v>2.8</v>
      </c>
      <c r="D21" s="8" t="n">
        <v>2.1</v>
      </c>
      <c r="E21" s="8" t="n">
        <v>37</v>
      </c>
      <c r="F21" s="8" t="n">
        <v>5213</v>
      </c>
      <c r="G21" s="8" t="n">
        <v>0.0493</v>
      </c>
      <c r="H21" s="8" t="n">
        <v>0.138</v>
      </c>
    </row>
    <row r="22" customFormat="false" ht="12.8" hidden="false" customHeight="false" outlineLevel="0" collapsed="false">
      <c r="A22" s="8" t="n">
        <v>630</v>
      </c>
      <c r="B22" s="8" t="n">
        <v>30</v>
      </c>
      <c r="C22" s="8" t="n">
        <v>2.8</v>
      </c>
      <c r="D22" s="8" t="n">
        <v>2.2</v>
      </c>
      <c r="E22" s="8" t="n">
        <v>40.6</v>
      </c>
      <c r="F22" s="8" t="n">
        <v>6581</v>
      </c>
      <c r="G22" s="8" t="n">
        <v>0.0407</v>
      </c>
      <c r="H22" s="8" t="n">
        <v>0.138</v>
      </c>
    </row>
    <row r="23" customFormat="false" ht="12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</row>
    <row r="24" customFormat="false" ht="12.8" hidden="false" customHeight="false" outlineLevel="0" collapsed="false">
      <c r="A24" s="41" t="s">
        <v>78</v>
      </c>
      <c r="B24" s="41"/>
      <c r="C24" s="41"/>
      <c r="D24" s="41"/>
      <c r="E24" s="41"/>
      <c r="F24" s="41"/>
      <c r="G24" s="41"/>
      <c r="H24" s="41"/>
    </row>
    <row r="25" customFormat="false" ht="12.8" hidden="false" customHeight="false" outlineLevel="0" collapsed="false">
      <c r="A25" s="44" t="s">
        <v>70</v>
      </c>
      <c r="B25" s="44" t="s">
        <v>71</v>
      </c>
      <c r="C25" s="44" t="s">
        <v>72</v>
      </c>
      <c r="D25" s="44" t="s">
        <v>73</v>
      </c>
      <c r="E25" s="44" t="s">
        <v>74</v>
      </c>
      <c r="F25" s="44" t="s">
        <v>75</v>
      </c>
      <c r="G25" s="44" t="s">
        <v>76</v>
      </c>
      <c r="H25" s="44" t="s">
        <v>77</v>
      </c>
    </row>
    <row r="26" customFormat="false" ht="12.8" hidden="false" customHeight="false" outlineLevel="0" collapsed="false">
      <c r="A26" s="25" t="n">
        <v>1.5</v>
      </c>
      <c r="B26" s="25" t="n">
        <v>1.5</v>
      </c>
      <c r="C26" s="25" t="n">
        <v>0.8</v>
      </c>
      <c r="D26" s="25" t="n">
        <v>1.8</v>
      </c>
      <c r="E26" s="25" t="n">
        <v>10</v>
      </c>
      <c r="F26" s="25" t="n">
        <v>152</v>
      </c>
      <c r="G26" s="25" t="n">
        <v>15.9</v>
      </c>
      <c r="H26" s="25" t="n">
        <v>0.108</v>
      </c>
    </row>
    <row r="27" customFormat="false" ht="12.8" hidden="false" customHeight="false" outlineLevel="0" collapsed="false">
      <c r="A27" s="25" t="n">
        <v>2.5</v>
      </c>
      <c r="B27" s="25" t="n">
        <v>2</v>
      </c>
      <c r="C27" s="25" t="n">
        <v>0.8</v>
      </c>
      <c r="D27" s="25" t="n">
        <v>1.8</v>
      </c>
      <c r="E27" s="25" t="n">
        <v>11</v>
      </c>
      <c r="F27" s="25" t="n">
        <v>195</v>
      </c>
      <c r="G27" s="25" t="n">
        <v>9.55</v>
      </c>
      <c r="H27" s="25" t="n">
        <v>0.09995</v>
      </c>
    </row>
    <row r="28" customFormat="false" ht="12.8" hidden="false" customHeight="false" outlineLevel="0" collapsed="false">
      <c r="A28" s="25" t="n">
        <v>4</v>
      </c>
      <c r="B28" s="25" t="n">
        <v>2.5</v>
      </c>
      <c r="C28" s="25" t="n">
        <v>1</v>
      </c>
      <c r="D28" s="25" t="n">
        <v>1.8</v>
      </c>
      <c r="E28" s="25" t="n">
        <v>13</v>
      </c>
      <c r="F28" s="25" t="n">
        <v>280</v>
      </c>
      <c r="G28" s="25" t="n">
        <v>5.92</v>
      </c>
      <c r="H28" s="25" t="n">
        <v>0.0991</v>
      </c>
    </row>
    <row r="29" customFormat="false" ht="12.8" hidden="false" customHeight="false" outlineLevel="0" collapsed="false">
      <c r="A29" s="25" t="n">
        <v>6</v>
      </c>
      <c r="B29" s="25" t="n">
        <v>3</v>
      </c>
      <c r="C29" s="25" t="n">
        <v>1</v>
      </c>
      <c r="D29" s="25" t="n">
        <v>1.8</v>
      </c>
      <c r="E29" s="25" t="n">
        <v>15</v>
      </c>
      <c r="F29" s="25" t="n">
        <v>356</v>
      </c>
      <c r="G29" s="25" t="n">
        <v>3.95</v>
      </c>
      <c r="H29" s="25" t="n">
        <v>0.0901</v>
      </c>
    </row>
    <row r="30" customFormat="false" ht="12.8" hidden="false" customHeight="false" outlineLevel="0" collapsed="false">
      <c r="A30" s="25" t="n">
        <v>10</v>
      </c>
      <c r="B30" s="25" t="n">
        <v>3.9</v>
      </c>
      <c r="C30" s="25" t="n">
        <v>1</v>
      </c>
      <c r="D30" s="25" t="n">
        <v>1.8</v>
      </c>
      <c r="E30" s="25" t="n">
        <v>17</v>
      </c>
      <c r="F30" s="25" t="n">
        <v>509</v>
      </c>
      <c r="G30" s="25" t="n">
        <v>2.29</v>
      </c>
      <c r="H30" s="25" t="n">
        <v>0.086</v>
      </c>
    </row>
    <row r="31" customFormat="false" ht="12.8" hidden="false" customHeight="false" outlineLevel="0" collapsed="false">
      <c r="A31" s="25" t="n">
        <v>16</v>
      </c>
      <c r="B31" s="25" t="n">
        <v>5</v>
      </c>
      <c r="C31" s="25" t="n">
        <v>1</v>
      </c>
      <c r="D31" s="25" t="n">
        <v>1.8</v>
      </c>
      <c r="E31" s="25" t="n">
        <v>20</v>
      </c>
      <c r="F31" s="25" t="n">
        <v>786</v>
      </c>
      <c r="G31" s="25" t="n">
        <v>1.45</v>
      </c>
      <c r="H31" s="25" t="n">
        <v>0.0813</v>
      </c>
    </row>
    <row r="32" customFormat="false" ht="12.8" hidden="false" customHeight="false" outlineLevel="0" collapsed="false">
      <c r="A32" s="25" t="n">
        <v>25</v>
      </c>
      <c r="B32" s="25" t="n">
        <v>7.1</v>
      </c>
      <c r="C32" s="25" t="n">
        <v>1.2</v>
      </c>
      <c r="D32" s="25" t="n">
        <v>1.8</v>
      </c>
      <c r="E32" s="25" t="n">
        <v>26</v>
      </c>
      <c r="F32" s="25" t="n">
        <v>1270</v>
      </c>
      <c r="G32" s="25" t="n">
        <v>0.933</v>
      </c>
      <c r="H32" s="25" t="n">
        <v>0.078</v>
      </c>
    </row>
    <row r="33" customFormat="false" ht="12.8" hidden="false" customHeight="false" outlineLevel="0" collapsed="false">
      <c r="A33" s="25" t="n">
        <v>35</v>
      </c>
      <c r="B33" s="25" t="n">
        <v>8.3</v>
      </c>
      <c r="C33" s="25" t="n">
        <v>1.2</v>
      </c>
      <c r="D33" s="25" t="n">
        <v>1.8</v>
      </c>
      <c r="E33" s="25" t="n">
        <v>28.5</v>
      </c>
      <c r="F33" s="25" t="n">
        <v>1630</v>
      </c>
      <c r="G33" s="25" t="n">
        <v>0.663</v>
      </c>
      <c r="H33" s="25" t="n">
        <v>0.076</v>
      </c>
    </row>
    <row r="34" customFormat="false" ht="12.8" hidden="false" customHeight="false" outlineLevel="0" collapsed="false">
      <c r="A34" s="25" t="n">
        <v>50</v>
      </c>
      <c r="B34" s="25" t="n">
        <v>8.1</v>
      </c>
      <c r="C34" s="25" t="n">
        <v>1.4</v>
      </c>
      <c r="D34" s="25" t="n">
        <v>1.8</v>
      </c>
      <c r="E34" s="25" t="n">
        <v>30</v>
      </c>
      <c r="F34" s="25" t="n">
        <v>2075</v>
      </c>
      <c r="G34" s="25" t="n">
        <v>0.464</v>
      </c>
      <c r="H34" s="25" t="n">
        <v>0.0777</v>
      </c>
    </row>
    <row r="35" customFormat="false" ht="12.8" hidden="false" customHeight="false" outlineLevel="0" collapsed="false">
      <c r="A35" s="25" t="n">
        <v>70</v>
      </c>
      <c r="B35" s="25" t="n">
        <v>10.9</v>
      </c>
      <c r="C35" s="25" t="n">
        <v>1.4</v>
      </c>
      <c r="D35" s="25" t="n">
        <v>2</v>
      </c>
      <c r="E35" s="25" t="n">
        <v>30</v>
      </c>
      <c r="F35" s="25" t="n">
        <v>2365</v>
      </c>
      <c r="G35" s="25" t="n">
        <v>0.321</v>
      </c>
      <c r="H35" s="25" t="n">
        <v>0.0736</v>
      </c>
    </row>
    <row r="36" customFormat="false" ht="12.8" hidden="false" customHeight="false" outlineLevel="0" collapsed="false">
      <c r="A36" s="25" t="n">
        <v>95</v>
      </c>
      <c r="B36" s="25" t="n">
        <v>12.7</v>
      </c>
      <c r="C36" s="25" t="n">
        <v>1.6</v>
      </c>
      <c r="D36" s="25" t="n">
        <v>2.1</v>
      </c>
      <c r="E36" s="25" t="n">
        <v>33</v>
      </c>
      <c r="F36" s="25" t="n">
        <v>3208</v>
      </c>
      <c r="G36" s="25" t="n">
        <v>0.232</v>
      </c>
      <c r="H36" s="25" t="n">
        <v>0.0733</v>
      </c>
    </row>
    <row r="37" customFormat="false" ht="12.8" hidden="false" customHeight="false" outlineLevel="0" collapsed="false">
      <c r="A37" s="25" t="n">
        <v>120</v>
      </c>
      <c r="B37" s="25" t="n">
        <v>14.2</v>
      </c>
      <c r="C37" s="25" t="n">
        <v>1.6</v>
      </c>
      <c r="D37" s="25" t="n">
        <v>2.2</v>
      </c>
      <c r="E37" s="25" t="n">
        <v>36</v>
      </c>
      <c r="F37" s="25" t="n">
        <v>3910</v>
      </c>
      <c r="G37" s="25" t="n">
        <v>0.184</v>
      </c>
      <c r="H37" s="25" t="n">
        <v>0.0729</v>
      </c>
    </row>
    <row r="38" customFormat="false" ht="12.8" hidden="false" customHeight="false" outlineLevel="0" collapsed="false">
      <c r="A38" s="25" t="n">
        <v>150</v>
      </c>
      <c r="B38" s="25" t="n">
        <v>15.9</v>
      </c>
      <c r="C38" s="25" t="n">
        <v>1.8</v>
      </c>
      <c r="D38" s="25" t="n">
        <v>2.4</v>
      </c>
      <c r="E38" s="25" t="n">
        <v>40</v>
      </c>
      <c r="F38" s="25" t="n">
        <v>4806</v>
      </c>
      <c r="G38" s="25" t="n">
        <v>0.15</v>
      </c>
      <c r="H38" s="25" t="n">
        <v>0.072</v>
      </c>
    </row>
    <row r="39" customFormat="false" ht="12.8" hidden="false" customHeight="false" outlineLevel="0" collapsed="false">
      <c r="A39" s="25" t="n">
        <v>185</v>
      </c>
      <c r="B39" s="25" t="n">
        <v>17.7</v>
      </c>
      <c r="C39" s="25" t="n">
        <v>2</v>
      </c>
      <c r="D39" s="25" t="n">
        <v>2.5</v>
      </c>
      <c r="E39" s="25" t="n">
        <v>44</v>
      </c>
      <c r="F39" s="25" t="n">
        <v>5956</v>
      </c>
      <c r="G39" s="25" t="n">
        <v>0.121</v>
      </c>
      <c r="H39" s="25" t="n">
        <v>0.072</v>
      </c>
    </row>
    <row r="40" customFormat="false" ht="12.8" hidden="false" customHeight="false" outlineLevel="0" collapsed="false">
      <c r="A40" s="25" t="n">
        <v>240</v>
      </c>
      <c r="B40" s="25" t="n">
        <v>20.1</v>
      </c>
      <c r="C40" s="25" t="n">
        <v>2.2</v>
      </c>
      <c r="D40" s="25" t="n">
        <v>2.7</v>
      </c>
      <c r="E40" s="25" t="n">
        <v>49</v>
      </c>
      <c r="F40" s="25" t="n">
        <v>7729</v>
      </c>
      <c r="G40" s="25" t="n">
        <v>0.0911</v>
      </c>
      <c r="H40" s="25" t="n">
        <v>0.0716</v>
      </c>
    </row>
    <row r="41" customFormat="false" ht="12.8" hidden="false" customHeight="false" outlineLevel="0" collapsed="false">
      <c r="A41" s="25" t="n">
        <v>300</v>
      </c>
      <c r="B41" s="25" t="n">
        <v>22.5</v>
      </c>
      <c r="C41" s="25" t="n">
        <v>2.4</v>
      </c>
      <c r="D41" s="25" t="n">
        <v>2.9</v>
      </c>
      <c r="E41" s="25" t="n">
        <v>54</v>
      </c>
      <c r="F41" s="25" t="n">
        <v>9636</v>
      </c>
      <c r="G41" s="25" t="n">
        <v>0.073</v>
      </c>
      <c r="H41" s="25" t="n">
        <v>0.0714</v>
      </c>
    </row>
    <row r="42" customFormat="false" ht="12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</row>
    <row r="43" customFormat="false" ht="12.8" hidden="false" customHeight="false" outlineLevel="0" collapsed="false">
      <c r="A43" s="41" t="s">
        <v>79</v>
      </c>
      <c r="B43" s="41"/>
      <c r="C43" s="41"/>
      <c r="D43" s="41"/>
      <c r="E43" s="41"/>
      <c r="F43" s="41"/>
      <c r="G43" s="41"/>
      <c r="H43" s="41"/>
    </row>
    <row r="44" customFormat="false" ht="12.8" hidden="false" customHeight="false" outlineLevel="0" collapsed="false">
      <c r="A44" s="44" t="s">
        <v>70</v>
      </c>
      <c r="B44" s="44" t="s">
        <v>71</v>
      </c>
      <c r="C44" s="44" t="s">
        <v>72</v>
      </c>
      <c r="D44" s="44" t="s">
        <v>73</v>
      </c>
      <c r="E44" s="44" t="s">
        <v>74</v>
      </c>
      <c r="F44" s="44" t="s">
        <v>80</v>
      </c>
      <c r="G44" s="44" t="s">
        <v>76</v>
      </c>
      <c r="H44" s="44" t="s">
        <v>77</v>
      </c>
    </row>
    <row r="45" customFormat="false" ht="12.8" hidden="false" customHeight="false" outlineLevel="0" collapsed="false">
      <c r="A45" s="25" t="n">
        <v>1.5</v>
      </c>
      <c r="B45" s="25" t="n">
        <v>1.5</v>
      </c>
      <c r="C45" s="25" t="n">
        <v>0.8</v>
      </c>
      <c r="D45" s="25" t="n">
        <v>1.8</v>
      </c>
      <c r="E45" s="25" t="n">
        <v>11</v>
      </c>
      <c r="F45" s="25" t="n">
        <v>180</v>
      </c>
      <c r="G45" s="25" t="n">
        <v>15.9</v>
      </c>
      <c r="H45" s="25" t="n">
        <v>0.108</v>
      </c>
    </row>
    <row r="46" customFormat="false" ht="12.8" hidden="false" customHeight="false" outlineLevel="0" collapsed="false">
      <c r="A46" s="25" t="n">
        <v>2.5</v>
      </c>
      <c r="B46" s="25" t="n">
        <v>2</v>
      </c>
      <c r="C46" s="25" t="n">
        <v>0.8</v>
      </c>
      <c r="D46" s="25" t="n">
        <v>1.8</v>
      </c>
      <c r="E46" s="25" t="n">
        <v>12</v>
      </c>
      <c r="F46" s="25" t="n">
        <v>233</v>
      </c>
      <c r="G46" s="25" t="n">
        <v>9.55</v>
      </c>
      <c r="H46" s="25" t="n">
        <v>0.09995</v>
      </c>
    </row>
    <row r="47" customFormat="false" ht="12.8" hidden="false" customHeight="false" outlineLevel="0" collapsed="false">
      <c r="A47" s="25" t="n">
        <v>4</v>
      </c>
      <c r="B47" s="25" t="n">
        <v>2.5</v>
      </c>
      <c r="C47" s="25" t="n">
        <v>1</v>
      </c>
      <c r="D47" s="25" t="n">
        <v>1.8</v>
      </c>
      <c r="E47" s="25" t="n">
        <v>15</v>
      </c>
      <c r="F47" s="25" t="n">
        <v>337</v>
      </c>
      <c r="G47" s="25" t="n">
        <v>5.92</v>
      </c>
      <c r="H47" s="25" t="n">
        <v>0.0991</v>
      </c>
    </row>
    <row r="48" customFormat="false" ht="12.8" hidden="false" customHeight="false" outlineLevel="0" collapsed="false">
      <c r="A48" s="25" t="n">
        <v>6</v>
      </c>
      <c r="B48" s="25" t="n">
        <v>3</v>
      </c>
      <c r="C48" s="25" t="n">
        <v>1</v>
      </c>
      <c r="D48" s="25" t="n">
        <v>1.8</v>
      </c>
      <c r="E48" s="25" t="n">
        <v>16</v>
      </c>
      <c r="F48" s="25" t="n">
        <v>433</v>
      </c>
      <c r="G48" s="25" t="n">
        <v>3.95</v>
      </c>
      <c r="H48" s="25" t="n">
        <v>0.0901</v>
      </c>
    </row>
    <row r="49" customFormat="false" ht="12.8" hidden="false" customHeight="false" outlineLevel="0" collapsed="false">
      <c r="A49" s="25" t="n">
        <v>10</v>
      </c>
      <c r="B49" s="25" t="n">
        <v>3.9</v>
      </c>
      <c r="C49" s="25" t="n">
        <v>1</v>
      </c>
      <c r="D49" s="25" t="n">
        <v>1.8</v>
      </c>
      <c r="E49" s="25" t="n">
        <v>18</v>
      </c>
      <c r="F49" s="25" t="n">
        <v>627</v>
      </c>
      <c r="G49" s="25" t="n">
        <v>2.29</v>
      </c>
      <c r="H49" s="25" t="n">
        <v>0.086</v>
      </c>
    </row>
    <row r="50" customFormat="false" ht="12.8" hidden="false" customHeight="false" outlineLevel="0" collapsed="false">
      <c r="A50" s="25" t="n">
        <v>16</v>
      </c>
      <c r="B50" s="25" t="n">
        <v>5</v>
      </c>
      <c r="C50" s="25" t="n">
        <v>1</v>
      </c>
      <c r="D50" s="25" t="n">
        <v>1.8</v>
      </c>
      <c r="E50" s="25" t="n">
        <v>22</v>
      </c>
      <c r="F50" s="25" t="n">
        <v>992</v>
      </c>
      <c r="G50" s="25" t="n">
        <v>1.45</v>
      </c>
      <c r="H50" s="25" t="n">
        <v>0.0813</v>
      </c>
    </row>
    <row r="51" customFormat="false" ht="12.8" hidden="false" customHeight="false" outlineLevel="0" collapsed="false">
      <c r="A51" s="25" t="n">
        <v>25</v>
      </c>
      <c r="B51" s="25" t="n">
        <v>0</v>
      </c>
      <c r="C51" s="25" t="s">
        <v>81</v>
      </c>
      <c r="D51" s="25" t="n">
        <v>1.8</v>
      </c>
      <c r="E51" s="25" t="n">
        <v>27</v>
      </c>
      <c r="F51" s="25" t="n">
        <v>1430</v>
      </c>
      <c r="G51" s="25" t="n">
        <v>0.933</v>
      </c>
      <c r="H51" s="25" t="n">
        <v>0.078</v>
      </c>
    </row>
    <row r="52" customFormat="false" ht="12.8" hidden="false" customHeight="false" outlineLevel="0" collapsed="false">
      <c r="A52" s="25" t="n">
        <v>35</v>
      </c>
      <c r="B52" s="25" t="n">
        <v>0</v>
      </c>
      <c r="C52" s="25" t="s">
        <v>81</v>
      </c>
      <c r="D52" s="25" t="n">
        <v>1.8</v>
      </c>
      <c r="E52" s="25" t="n">
        <v>29</v>
      </c>
      <c r="F52" s="25" t="n">
        <v>1780</v>
      </c>
      <c r="G52" s="25" t="n">
        <v>0.663</v>
      </c>
      <c r="H52" s="25" t="n">
        <v>0.076</v>
      </c>
    </row>
    <row r="53" customFormat="false" ht="12.8" hidden="false" customHeight="false" outlineLevel="0" collapsed="false">
      <c r="A53" s="25" t="n">
        <v>50</v>
      </c>
      <c r="B53" s="25" t="n">
        <v>0</v>
      </c>
      <c r="C53" s="25" t="s">
        <v>82</v>
      </c>
      <c r="D53" s="25" t="n">
        <v>1.9</v>
      </c>
      <c r="E53" s="25" t="n">
        <v>31</v>
      </c>
      <c r="F53" s="25" t="n">
        <v>2355</v>
      </c>
      <c r="G53" s="25" t="n">
        <v>0.464</v>
      </c>
      <c r="H53" s="25" t="n">
        <v>0.0777</v>
      </c>
    </row>
    <row r="54" customFormat="false" ht="12.8" hidden="false" customHeight="false" outlineLevel="0" collapsed="false">
      <c r="A54" s="25" t="n">
        <v>70</v>
      </c>
      <c r="B54" s="25" t="n">
        <v>0</v>
      </c>
      <c r="C54" s="25" t="s">
        <v>82</v>
      </c>
      <c r="D54" s="25" t="n">
        <v>2</v>
      </c>
      <c r="E54" s="25" t="n">
        <v>31</v>
      </c>
      <c r="F54" s="25" t="n">
        <v>2742</v>
      </c>
      <c r="G54" s="25" t="n">
        <v>0.321</v>
      </c>
      <c r="H54" s="25" t="n">
        <v>0.0736</v>
      </c>
    </row>
    <row r="55" customFormat="false" ht="12.8" hidden="false" customHeight="false" outlineLevel="0" collapsed="false">
      <c r="A55" s="25" t="n">
        <v>95</v>
      </c>
      <c r="B55" s="25" t="n">
        <v>0</v>
      </c>
      <c r="C55" s="25" t="s">
        <v>83</v>
      </c>
      <c r="D55" s="25" t="n">
        <v>2.2</v>
      </c>
      <c r="E55" s="25" t="n">
        <v>35</v>
      </c>
      <c r="F55" s="25" t="n">
        <v>3736</v>
      </c>
      <c r="G55" s="25" t="n">
        <v>0.232</v>
      </c>
      <c r="H55" s="25" t="n">
        <v>0.0733</v>
      </c>
    </row>
    <row r="56" customFormat="false" ht="12.8" hidden="false" customHeight="false" outlineLevel="0" collapsed="false">
      <c r="A56" s="25" t="n">
        <v>120</v>
      </c>
      <c r="B56" s="25" t="n">
        <v>0</v>
      </c>
      <c r="C56" s="25" t="s">
        <v>83</v>
      </c>
      <c r="D56" s="25" t="n">
        <v>2.3</v>
      </c>
      <c r="E56" s="25" t="n">
        <v>39</v>
      </c>
      <c r="F56" s="25" t="n">
        <v>4643</v>
      </c>
      <c r="G56" s="25" t="n">
        <v>0.184</v>
      </c>
      <c r="H56" s="25" t="n">
        <v>0.0729</v>
      </c>
    </row>
    <row r="57" customFormat="false" ht="12.8" hidden="false" customHeight="false" outlineLevel="0" collapsed="false">
      <c r="A57" s="25" t="n">
        <v>150</v>
      </c>
      <c r="B57" s="25" t="n">
        <v>0</v>
      </c>
      <c r="C57" s="25" t="s">
        <v>84</v>
      </c>
      <c r="D57" s="25" t="n">
        <v>2.4</v>
      </c>
      <c r="E57" s="25" t="n">
        <v>42</v>
      </c>
      <c r="F57" s="25" t="n">
        <v>5546</v>
      </c>
      <c r="G57" s="25" t="n">
        <v>0.15</v>
      </c>
      <c r="H57" s="25" t="n">
        <v>0.072</v>
      </c>
      <c r="J57" s="45" t="s">
        <v>34</v>
      </c>
      <c r="K57" s="45"/>
      <c r="L57" s="45"/>
      <c r="M57" s="45"/>
      <c r="N57" s="45"/>
      <c r="O57" s="45"/>
      <c r="P57" s="45"/>
      <c r="Q57" s="45"/>
      <c r="R57" s="45"/>
      <c r="S57" s="45"/>
    </row>
    <row r="58" customFormat="false" ht="12.8" hidden="false" customHeight="true" outlineLevel="0" collapsed="false">
      <c r="A58" s="25" t="n">
        <v>185</v>
      </c>
      <c r="B58" s="25" t="n">
        <v>0</v>
      </c>
      <c r="C58" s="25" t="s">
        <v>85</v>
      </c>
      <c r="D58" s="25" t="n">
        <v>2.6</v>
      </c>
      <c r="E58" s="25" t="n">
        <v>47</v>
      </c>
      <c r="F58" s="25" t="n">
        <v>6969</v>
      </c>
      <c r="G58" s="25" t="n">
        <v>0.124</v>
      </c>
      <c r="H58" s="25" t="n">
        <v>0.072</v>
      </c>
      <c r="J58" s="46" t="s">
        <v>70</v>
      </c>
      <c r="K58" s="47" t="s">
        <v>86</v>
      </c>
      <c r="L58" s="47"/>
      <c r="M58" s="47"/>
      <c r="N58" s="47"/>
      <c r="O58" s="47"/>
      <c r="P58" s="47"/>
      <c r="Q58" s="47"/>
      <c r="R58" s="47"/>
      <c r="S58" s="47"/>
    </row>
    <row r="59" customFormat="false" ht="12.8" hidden="false" customHeight="false" outlineLevel="0" collapsed="false">
      <c r="A59" s="25" t="n">
        <v>240</v>
      </c>
      <c r="B59" s="25" t="n">
        <v>0</v>
      </c>
      <c r="C59" s="25" t="s">
        <v>87</v>
      </c>
      <c r="D59" s="25" t="n">
        <v>2.8</v>
      </c>
      <c r="E59" s="25" t="n">
        <v>53</v>
      </c>
      <c r="F59" s="25" t="n">
        <v>8973</v>
      </c>
      <c r="G59" s="25" t="n">
        <v>0.0911</v>
      </c>
      <c r="H59" s="25" t="n">
        <v>0.0716</v>
      </c>
      <c r="J59" s="46"/>
      <c r="K59" s="48" t="n">
        <v>0.1</v>
      </c>
      <c r="L59" s="48" t="n">
        <v>0.2</v>
      </c>
      <c r="M59" s="48" t="n">
        <v>0.3</v>
      </c>
      <c r="N59" s="48" t="n">
        <v>0.5</v>
      </c>
      <c r="O59" s="48" t="n">
        <v>1</v>
      </c>
      <c r="P59" s="48" t="n">
        <v>1.5</v>
      </c>
      <c r="Q59" s="48" t="n">
        <v>2</v>
      </c>
      <c r="R59" s="48" t="n">
        <v>2.5</v>
      </c>
      <c r="S59" s="48" t="n">
        <v>3</v>
      </c>
    </row>
    <row r="60" customFormat="false" ht="12.8" hidden="false" customHeight="false" outlineLevel="0" collapsed="false">
      <c r="A60" s="25" t="n">
        <v>300</v>
      </c>
      <c r="B60" s="25" t="n">
        <v>0</v>
      </c>
      <c r="C60" s="25" t="s">
        <v>88</v>
      </c>
      <c r="D60" s="25" t="n">
        <v>3</v>
      </c>
      <c r="E60" s="25" t="n">
        <v>59</v>
      </c>
      <c r="F60" s="25" t="n">
        <v>11154</v>
      </c>
      <c r="G60" s="25" t="n">
        <v>0.073</v>
      </c>
      <c r="H60" s="25" t="n">
        <v>0.0714</v>
      </c>
      <c r="J60" s="25" t="n">
        <v>1.5</v>
      </c>
      <c r="K60" s="23" t="n">
        <f aca="false">TREND(K$65:K$75,$J$65:$J$75,$J60,0)</f>
        <v>0.674631159253571</v>
      </c>
      <c r="L60" s="23" t="n">
        <f aca="false">TREND(L$65:L$75,$J$65:$J$75,$J60,0)</f>
        <v>0.476815482748947</v>
      </c>
      <c r="M60" s="23" t="n">
        <f aca="false">TREND(M$65:M$75,$J$65:$J$75,$J60,0)</f>
        <v>0.388103672116405</v>
      </c>
      <c r="N60" s="23" t="n">
        <f aca="false">TREND(N$65:N$75,$J$65:$J$75,$J60,0)</f>
        <v>0.300996574087982</v>
      </c>
      <c r="O60" s="23" t="n">
        <f aca="false">TREND(O$65:O$75,$J$65:$J$75,$J60,0)</f>
        <v>0.212114469060342</v>
      </c>
      <c r="P60" s="23" t="n">
        <f aca="false">TREND(P$65:P$75,$J$65:$J$75,$J60,0)</f>
        <v>0.17381772990609</v>
      </c>
      <c r="Q60" s="23" t="n">
        <f aca="false">TREND(Q$65:Q$75,$J$65:$J$75,$J60,0)</f>
        <v>0.15</v>
      </c>
      <c r="R60" s="23" t="n">
        <f aca="false">TREND(R$65:R$75,$J$65:$J$75,$J60,0)</f>
        <v>0.134652425191548</v>
      </c>
      <c r="S60" s="23" t="n">
        <f aca="false">TREND(S$65:S$75,$J$65:$J$75,$J60,0)</f>
        <v>0.122406084339818</v>
      </c>
    </row>
    <row r="61" customFormat="false" ht="12.8" hidden="false" customHeight="false" outlineLevel="0" collapsed="false">
      <c r="J61" s="25" t="n">
        <v>2.5</v>
      </c>
      <c r="K61" s="23" t="n">
        <f aca="false">TREND(K$65:K$75,$J$65:$J$75,$J61,0)</f>
        <v>1.12438526542262</v>
      </c>
      <c r="L61" s="23" t="n">
        <f aca="false">TREND(L$65:L$75,$J$65:$J$75,$J61,0)</f>
        <v>0.794692471248245</v>
      </c>
      <c r="M61" s="23" t="n">
        <f aca="false">TREND(M$65:M$75,$J$65:$J$75,$J61,0)</f>
        <v>0.646839453527342</v>
      </c>
      <c r="N61" s="23" t="n">
        <f aca="false">TREND(N$65:N$75,$J$65:$J$75,$J61,0)</f>
        <v>0.501660956813303</v>
      </c>
      <c r="O61" s="23" t="n">
        <f aca="false">TREND(O$65:O$75,$J$65:$J$75,$J61,0)</f>
        <v>0.35352411510057</v>
      </c>
      <c r="P61" s="23" t="n">
        <f aca="false">TREND(P$65:P$75,$J$65:$J$75,$J61,0)</f>
        <v>0.28969621651015</v>
      </c>
      <c r="Q61" s="23" t="n">
        <f aca="false">TREND(Q$65:Q$75,$J$65:$J$75,$J61,0)</f>
        <v>0.25</v>
      </c>
      <c r="R61" s="23" t="n">
        <f aca="false">TREND(R$65:R$75,$J$65:$J$75,$J61,0)</f>
        <v>0.224420708652579</v>
      </c>
      <c r="S61" s="23" t="n">
        <f aca="false">TREND(S$65:S$75,$J$65:$J$75,$J61,0)</f>
        <v>0.204010140566364</v>
      </c>
    </row>
    <row r="62" customFormat="false" ht="12.8" hidden="false" customHeight="false" outlineLevel="0" collapsed="false">
      <c r="J62" s="25" t="n">
        <v>4</v>
      </c>
      <c r="K62" s="23" t="n">
        <f aca="false">TREND(K$65:K$75,$J$65:$J$75,$J62,0)</f>
        <v>1.79901642467619</v>
      </c>
      <c r="L62" s="23" t="n">
        <f aca="false">TREND(L$65:L$75,$J$65:$J$75,$J62,0)</f>
        <v>1.27150795399719</v>
      </c>
      <c r="M62" s="23" t="n">
        <f aca="false">TREND(M$65:M$75,$J$65:$J$75,$J62,0)</f>
        <v>1.03494312564375</v>
      </c>
      <c r="N62" s="23" t="n">
        <f aca="false">TREND(N$65:N$75,$J$65:$J$75,$J62,0)</f>
        <v>0.802657530901284</v>
      </c>
      <c r="O62" s="23" t="n">
        <f aca="false">TREND(O$65:O$75,$J$65:$J$75,$J62,0)</f>
        <v>0.565638584160912</v>
      </c>
      <c r="P62" s="23" t="n">
        <f aca="false">TREND(P$65:P$75,$J$65:$J$75,$J62,0)</f>
        <v>0.46351394641624</v>
      </c>
      <c r="Q62" s="23" t="n">
        <f aca="false">TREND(Q$65:Q$75,$J$65:$J$75,$J62,0)</f>
        <v>0.4</v>
      </c>
      <c r="R62" s="23" t="n">
        <f aca="false">TREND(R$65:R$75,$J$65:$J$75,$J62,0)</f>
        <v>0.359073133844127</v>
      </c>
      <c r="S62" s="23" t="n">
        <f aca="false">TREND(S$65:S$75,$J$65:$J$75,$J62,0)</f>
        <v>0.326416224906182</v>
      </c>
    </row>
    <row r="63" customFormat="false" ht="12.8" hidden="false" customHeight="true" outlineLevel="0" collapsed="false">
      <c r="B63" s="47" t="s">
        <v>89</v>
      </c>
      <c r="C63" s="47"/>
      <c r="D63" s="47"/>
      <c r="E63" s="47" t="s">
        <v>90</v>
      </c>
      <c r="F63" s="46" t="s">
        <v>21</v>
      </c>
      <c r="J63" s="25" t="n">
        <v>6</v>
      </c>
      <c r="K63" s="23" t="n">
        <f aca="false">TREND(K$65:K$75,$J$65:$J$75,$J63,0)</f>
        <v>2.69852463701429</v>
      </c>
      <c r="L63" s="23" t="n">
        <f aca="false">TREND(L$65:L$75,$J$65:$J$75,$J63,0)</f>
        <v>1.90726193099579</v>
      </c>
      <c r="M63" s="23" t="n">
        <f aca="false">TREND(M$65:M$75,$J$65:$J$75,$J63,0)</f>
        <v>1.55241468846562</v>
      </c>
      <c r="N63" s="23" t="n">
        <f aca="false">TREND(N$65:N$75,$J$65:$J$75,$J63,0)</f>
        <v>1.20398629635193</v>
      </c>
      <c r="O63" s="23" t="n">
        <f aca="false">TREND(O$65:O$75,$J$65:$J$75,$J63,0)</f>
        <v>0.848457876241368</v>
      </c>
      <c r="P63" s="23" t="n">
        <f aca="false">TREND(P$65:P$75,$J$65:$J$75,$J63,0)</f>
        <v>0.695270919624361</v>
      </c>
      <c r="Q63" s="23" t="n">
        <f aca="false">TREND(Q$65:Q$75,$J$65:$J$75,$J63,0)</f>
        <v>0.6</v>
      </c>
      <c r="R63" s="23" t="n">
        <f aca="false">TREND(R$65:R$75,$J$65:$J$75,$J63,0)</f>
        <v>0.53860970076619</v>
      </c>
      <c r="S63" s="23" t="n">
        <f aca="false">TREND(S$65:S$75,$J$65:$J$75,$J63,0)</f>
        <v>0.489624337359273</v>
      </c>
    </row>
    <row r="64" customFormat="false" ht="20.5" hidden="false" customHeight="true" outlineLevel="0" collapsed="false">
      <c r="B64" s="49" t="s">
        <v>91</v>
      </c>
      <c r="C64" s="49" t="s">
        <v>92</v>
      </c>
      <c r="D64" s="49" t="s">
        <v>93</v>
      </c>
      <c r="F64" s="46"/>
      <c r="J64" s="25" t="n">
        <v>10</v>
      </c>
      <c r="K64" s="23" t="n">
        <f aca="false">TREND(K$65:K$75,$J$65:$J$75,$J64,0)</f>
        <v>4.49754106169048</v>
      </c>
      <c r="L64" s="23" t="n">
        <f aca="false">TREND(L$65:L$75,$J$65:$J$75,$J64,0)</f>
        <v>3.17876988499298</v>
      </c>
      <c r="M64" s="23" t="n">
        <f aca="false">TREND(M$65:M$75,$J$65:$J$75,$J64,0)</f>
        <v>2.58735781410937</v>
      </c>
      <c r="N64" s="23" t="n">
        <f aca="false">TREND(N$65:N$75,$J$65:$J$75,$J64,0)</f>
        <v>2.00664382725321</v>
      </c>
      <c r="O64" s="23" t="n">
        <f aca="false">TREND(O$65:O$75,$J$65:$J$75,$J64,0)</f>
        <v>1.41409646040228</v>
      </c>
      <c r="P64" s="23" t="n">
        <f aca="false">TREND(P$65:P$75,$J$65:$J$75,$J64,0)</f>
        <v>1.1587848660406</v>
      </c>
      <c r="Q64" s="23" t="n">
        <f aca="false">TREND(Q$65:Q$75,$J$65:$J$75,$J64,0)</f>
        <v>1</v>
      </c>
      <c r="R64" s="23" t="n">
        <f aca="false">TREND(R$65:R$75,$J$65:$J$75,$J64,0)</f>
        <v>0.897682834610317</v>
      </c>
      <c r="S64" s="23" t="n">
        <f aca="false">TREND(S$65:S$75,$J$65:$J$75,$J64,0)</f>
        <v>0.816040562265456</v>
      </c>
    </row>
    <row r="65" customFormat="false" ht="12.8" hidden="false" customHeight="false" outlineLevel="0" collapsed="false">
      <c r="B65" s="49"/>
      <c r="C65" s="49"/>
      <c r="D65" s="49"/>
      <c r="J65" s="25" t="n">
        <v>16</v>
      </c>
      <c r="K65" s="50" t="n">
        <v>7.2</v>
      </c>
      <c r="L65" s="50" t="n">
        <v>5</v>
      </c>
      <c r="M65" s="50" t="n">
        <v>4.1</v>
      </c>
      <c r="N65" s="50" t="n">
        <v>3.2</v>
      </c>
      <c r="O65" s="50" t="n">
        <v>2.2</v>
      </c>
      <c r="P65" s="50" t="n">
        <v>1.8</v>
      </c>
      <c r="Q65" s="50" t="n">
        <v>1.6</v>
      </c>
      <c r="R65" s="50" t="n">
        <v>1.4</v>
      </c>
      <c r="S65" s="50" t="n">
        <v>1.3</v>
      </c>
    </row>
    <row r="66" customFormat="false" ht="12.8" hidden="false" customHeight="false" outlineLevel="0" collapsed="false">
      <c r="B66" s="49"/>
      <c r="C66" s="49"/>
      <c r="D66" s="49"/>
      <c r="J66" s="25" t="n">
        <v>25</v>
      </c>
      <c r="K66" s="50" t="n">
        <v>11.2</v>
      </c>
      <c r="L66" s="50" t="n">
        <v>7.9</v>
      </c>
      <c r="M66" s="50" t="n">
        <v>6.4</v>
      </c>
      <c r="N66" s="50" t="n">
        <v>5</v>
      </c>
      <c r="O66" s="50" t="n">
        <v>3.5</v>
      </c>
      <c r="P66" s="50" t="n">
        <v>2.9</v>
      </c>
      <c r="Q66" s="50" t="n">
        <v>2.5</v>
      </c>
      <c r="R66" s="50" t="n">
        <v>2.2</v>
      </c>
      <c r="S66" s="50" t="n">
        <v>2</v>
      </c>
    </row>
    <row r="67" customFormat="false" ht="12.8" hidden="false" customHeight="false" outlineLevel="0" collapsed="false">
      <c r="B67" s="49"/>
      <c r="C67" s="49"/>
      <c r="D67" s="49"/>
      <c r="J67" s="25" t="n">
        <v>35</v>
      </c>
      <c r="K67" s="50" t="n">
        <f aca="false">K65+($J67-$J65)*(K66-K65)/($J66-$J65)</f>
        <v>15.6444444444444</v>
      </c>
      <c r="L67" s="50" t="n">
        <f aca="false">L65+($J67-$J65)*(L66-L65)/($J66-$J65)</f>
        <v>11.1222222222222</v>
      </c>
      <c r="M67" s="50" t="n">
        <f aca="false">M65+($J67-$J65)*(M66-M65)/($J66-$J65)</f>
        <v>8.95555555555556</v>
      </c>
      <c r="N67" s="50" t="n">
        <f aca="false">N65+($J67-$J65)*(N66-N65)/($J66-$J65)</f>
        <v>7</v>
      </c>
      <c r="O67" s="50" t="n">
        <f aca="false">O65+($J67-$J65)*(O66-O65)/($J66-$J65)</f>
        <v>4.94444444444444</v>
      </c>
      <c r="P67" s="50" t="n">
        <f aca="false">P65+($J67-$J65)*(P66-P65)/($J66-$J65)</f>
        <v>4.12222222222222</v>
      </c>
      <c r="Q67" s="50" t="n">
        <f aca="false">Q65+($J67-$J65)*(Q66-Q65)/($J66-$J65)</f>
        <v>3.5</v>
      </c>
      <c r="R67" s="50" t="n">
        <f aca="false">R65+($J67-$J65)*(R66-R65)/($J66-$J65)</f>
        <v>3.08888888888889</v>
      </c>
      <c r="S67" s="50" t="n">
        <f aca="false">S65+($J67-$J65)*(S66-S65)/($J66-$J65)</f>
        <v>2.77777777777778</v>
      </c>
    </row>
    <row r="68" customFormat="false" ht="12.8" hidden="false" customHeight="false" outlineLevel="0" collapsed="false">
      <c r="B68" s="49"/>
      <c r="C68" s="49"/>
      <c r="D68" s="49"/>
      <c r="J68" s="25" t="n">
        <v>50</v>
      </c>
      <c r="K68" s="50" t="n">
        <v>22.4</v>
      </c>
      <c r="L68" s="50" t="n">
        <v>15.9</v>
      </c>
      <c r="M68" s="50" t="n">
        <v>12.9</v>
      </c>
      <c r="N68" s="50" t="n">
        <v>10</v>
      </c>
      <c r="O68" s="50" t="n">
        <v>7.1</v>
      </c>
      <c r="P68" s="50" t="n">
        <v>5.8</v>
      </c>
      <c r="Q68" s="50" t="n">
        <v>5</v>
      </c>
      <c r="R68" s="50" t="n">
        <v>4.5</v>
      </c>
      <c r="S68" s="50" t="n">
        <v>4.1</v>
      </c>
    </row>
    <row r="69" customFormat="false" ht="12.8" hidden="false" customHeight="false" outlineLevel="0" collapsed="false">
      <c r="B69" s="49"/>
      <c r="C69" s="49"/>
      <c r="D69" s="49"/>
      <c r="J69" s="25" t="n">
        <v>70</v>
      </c>
      <c r="K69" s="50" t="n">
        <f aca="false">K67+($J69-$J67)*(K68-K67)/($J68-$J67)</f>
        <v>31.4074074074074</v>
      </c>
      <c r="L69" s="50" t="n">
        <f aca="false">L67+($J69-$J67)*(L68-L67)/($J68-$J67)</f>
        <v>22.2703703703704</v>
      </c>
      <c r="M69" s="50" t="n">
        <f aca="false">M67+($J69-$J67)*(M68-M67)/($J68-$J67)</f>
        <v>18.1592592592593</v>
      </c>
      <c r="N69" s="50" t="n">
        <f aca="false">N67+($J69-$J67)*(N68-N67)/($J68-$J67)</f>
        <v>14</v>
      </c>
      <c r="O69" s="50" t="n">
        <f aca="false">O67+($J69-$J67)*(O68-O67)/($J68-$J67)</f>
        <v>9.97407407407407</v>
      </c>
      <c r="P69" s="50" t="n">
        <f aca="false">P67+($J69-$J67)*(P68-P67)/($J68-$J67)</f>
        <v>8.03703703703704</v>
      </c>
      <c r="Q69" s="50" t="n">
        <f aca="false">Q67+($J69-$J67)*(Q68-Q67)/($J68-$J67)</f>
        <v>7</v>
      </c>
      <c r="R69" s="50" t="n">
        <f aca="false">R67+($J69-$J67)*(R68-R67)/($J68-$J67)</f>
        <v>6.38148148148148</v>
      </c>
      <c r="S69" s="50" t="n">
        <f aca="false">S67+($J69-$J67)*(S68-S67)/($J68-$J67)</f>
        <v>5.86296296296296</v>
      </c>
    </row>
    <row r="70" customFormat="false" ht="12.8" hidden="false" customHeight="false" outlineLevel="0" collapsed="false">
      <c r="B70" s="49"/>
      <c r="C70" s="49"/>
      <c r="D70" s="49"/>
      <c r="J70" s="25" t="n">
        <v>95</v>
      </c>
      <c r="K70" s="50" t="n">
        <v>42.6</v>
      </c>
      <c r="L70" s="50" t="n">
        <v>30.2</v>
      </c>
      <c r="M70" s="50" t="n">
        <v>24.6</v>
      </c>
      <c r="N70" s="50" t="n">
        <v>19</v>
      </c>
      <c r="O70" s="50" t="n">
        <v>13.4</v>
      </c>
      <c r="P70" s="50" t="n">
        <v>11</v>
      </c>
      <c r="Q70" s="50" t="n">
        <v>9.5</v>
      </c>
      <c r="R70" s="50" t="n">
        <v>8.5</v>
      </c>
      <c r="S70" s="50" t="n">
        <v>7.8</v>
      </c>
    </row>
    <row r="71" customFormat="false" ht="12.8" hidden="false" customHeight="false" outlineLevel="0" collapsed="false">
      <c r="B71" s="49"/>
      <c r="C71" s="49"/>
      <c r="D71" s="49"/>
      <c r="J71" s="25" t="n">
        <v>120</v>
      </c>
      <c r="K71" s="50" t="n">
        <f aca="false">K69+($J71-$J69)*(K70-K69)/($J70-$J69)</f>
        <v>53.7925925925926</v>
      </c>
      <c r="L71" s="50" t="n">
        <f aca="false">L69+($J71-$J69)*(L70-L69)/($J70-$J69)</f>
        <v>38.1296296296296</v>
      </c>
      <c r="M71" s="50" t="n">
        <f aca="false">M69+($J71-$J69)*(M70-M69)/($J70-$J69)</f>
        <v>31.0407407407407</v>
      </c>
      <c r="N71" s="50" t="n">
        <f aca="false">N69+($J71-$J69)*(N70-N69)/($J70-$J69)</f>
        <v>24</v>
      </c>
      <c r="O71" s="50" t="n">
        <f aca="false">O69+($J71-$J69)*(O70-O69)/($J70-$J69)</f>
        <v>16.8259259259259</v>
      </c>
      <c r="P71" s="50" t="n">
        <f aca="false">P69+($J71-$J69)*(P70-P69)/($J70-$J69)</f>
        <v>13.962962962963</v>
      </c>
      <c r="Q71" s="50" t="n">
        <f aca="false">Q69+($J71-$J69)*(Q70-Q69)/($J70-$J69)</f>
        <v>12</v>
      </c>
      <c r="R71" s="50" t="n">
        <f aca="false">R69+($J71-$J69)*(R70-R69)/($J70-$J69)</f>
        <v>10.6185185185185</v>
      </c>
      <c r="S71" s="50" t="n">
        <f aca="false">S69+($J71-$J69)*(S70-S69)/($J70-$J69)</f>
        <v>9.73703703703704</v>
      </c>
    </row>
    <row r="72" customFormat="false" ht="12.8" hidden="false" customHeight="false" outlineLevel="0" collapsed="false">
      <c r="B72" s="49"/>
      <c r="C72" s="49"/>
      <c r="D72" s="49"/>
      <c r="J72" s="25" t="n">
        <v>150</v>
      </c>
      <c r="K72" s="50" t="n">
        <v>67.3</v>
      </c>
      <c r="L72" s="50" t="n">
        <v>47.7</v>
      </c>
      <c r="M72" s="50" t="n">
        <v>38.8</v>
      </c>
      <c r="N72" s="50" t="n">
        <v>30.1</v>
      </c>
      <c r="O72" s="50" t="n">
        <v>21.3</v>
      </c>
      <c r="P72" s="50" t="n">
        <v>17.4</v>
      </c>
      <c r="Q72" s="50" t="n">
        <v>15</v>
      </c>
      <c r="R72" s="50" t="n">
        <v>13.5</v>
      </c>
      <c r="S72" s="50" t="n">
        <v>12.3</v>
      </c>
    </row>
    <row r="73" customFormat="false" ht="12.8" hidden="false" customHeight="false" outlineLevel="0" collapsed="false">
      <c r="B73" s="49"/>
      <c r="C73" s="49"/>
      <c r="D73" s="49"/>
      <c r="J73" s="25" t="n">
        <v>185</v>
      </c>
      <c r="K73" s="50" t="n">
        <f aca="false">K71+($J73-$J71)*(K72-K71)/($J72-$J71)</f>
        <v>83.0586419753086</v>
      </c>
      <c r="L73" s="50" t="n">
        <f aca="false">L71+($J73-$J71)*(L72-L71)/($J72-$J71)</f>
        <v>58.8654320987654</v>
      </c>
      <c r="M73" s="50" t="n">
        <f aca="false">M71+($J73-$J71)*(M72-M71)/($J72-$J71)</f>
        <v>47.8524691358025</v>
      </c>
      <c r="N73" s="50" t="n">
        <f aca="false">N71+($J73-$J71)*(N72-N71)/($J72-$J71)</f>
        <v>37.2166666666667</v>
      </c>
      <c r="O73" s="50" t="n">
        <f aca="false">O71+($J73-$J71)*(O72-O71)/($J72-$J71)</f>
        <v>26.5197530864197</v>
      </c>
      <c r="P73" s="50" t="n">
        <f aca="false">P71+($J73-$J71)*(P72-P71)/($J72-$J71)</f>
        <v>21.4098765432099</v>
      </c>
      <c r="Q73" s="50" t="n">
        <f aca="false">Q71+($J73-$J71)*(Q72-Q71)/($J72-$J71)</f>
        <v>18.5</v>
      </c>
      <c r="R73" s="50" t="n">
        <f aca="false">R71+($J73-$J71)*(R72-R71)/($J72-$J71)</f>
        <v>16.8617283950617</v>
      </c>
      <c r="S73" s="50" t="n">
        <f aca="false">S71+($J73-$J71)*(S72-S71)/($J72-$J71)</f>
        <v>15.2901234567901</v>
      </c>
    </row>
    <row r="74" customFormat="false" ht="12.8" hidden="false" customHeight="true" outlineLevel="0" collapsed="false">
      <c r="A74" s="47" t="s">
        <v>70</v>
      </c>
      <c r="B74" s="46" t="s">
        <v>94</v>
      </c>
      <c r="C74" s="46" t="s">
        <v>95</v>
      </c>
      <c r="D74" s="47" t="s">
        <v>96</v>
      </c>
      <c r="E74" s="47" t="s">
        <v>97</v>
      </c>
      <c r="F74" s="46" t="s">
        <v>98</v>
      </c>
      <c r="J74" s="25" t="n">
        <v>240</v>
      </c>
      <c r="K74" s="50" t="n">
        <v>108</v>
      </c>
      <c r="L74" s="50" t="n">
        <v>76.3</v>
      </c>
      <c r="M74" s="50" t="n">
        <v>62.1</v>
      </c>
      <c r="N74" s="50" t="n">
        <v>48.2</v>
      </c>
      <c r="O74" s="50" t="n">
        <v>34</v>
      </c>
      <c r="P74" s="50" t="n">
        <v>27.8</v>
      </c>
      <c r="Q74" s="50" t="n">
        <v>24</v>
      </c>
      <c r="R74" s="50" t="n">
        <v>21.6</v>
      </c>
      <c r="S74" s="50" t="n">
        <v>19.6</v>
      </c>
    </row>
    <row r="75" customFormat="false" ht="12.8" hidden="false" customHeight="false" outlineLevel="0" collapsed="false">
      <c r="A75" s="47"/>
      <c r="B75" s="46"/>
      <c r="C75" s="46"/>
      <c r="D75" s="47" t="s">
        <v>99</v>
      </c>
      <c r="E75" s="47" t="s">
        <v>100</v>
      </c>
      <c r="F75" s="46" t="s">
        <v>99</v>
      </c>
      <c r="J75" s="25" t="n">
        <v>300</v>
      </c>
      <c r="K75" s="50" t="n">
        <f aca="false">K73+($J75-$J73)*(K74-K73)/($J74-$J73)</f>
        <v>135.208754208754</v>
      </c>
      <c r="L75" s="50" t="n">
        <f aca="false">L73+($J75-$J73)*(L74-L73)/($J74-$J73)</f>
        <v>95.3195286195286</v>
      </c>
      <c r="M75" s="50" t="n">
        <f aca="false">M73+($J75-$J73)*(M74-M73)/($J74-$J73)</f>
        <v>77.642760942761</v>
      </c>
      <c r="N75" s="50" t="n">
        <f aca="false">N73+($J75-$J73)*(N74-N73)/($J74-$J73)</f>
        <v>60.1818181818182</v>
      </c>
      <c r="O75" s="50" t="n">
        <f aca="false">O73+($J75-$J73)*(O74-O73)/($J74-$J73)</f>
        <v>42.1602693602694</v>
      </c>
      <c r="P75" s="50" t="n">
        <f aca="false">P73+($J75-$J73)*(P74-P73)/($J74-$J73)</f>
        <v>34.7710437710438</v>
      </c>
      <c r="Q75" s="50" t="n">
        <f aca="false">Q73+($J75-$J73)*(Q74-Q73)/($J74-$J73)</f>
        <v>30</v>
      </c>
      <c r="R75" s="50" t="n">
        <f aca="false">R73+($J75-$J73)*(R74-R73)/($J74-$J73)</f>
        <v>26.7690235690236</v>
      </c>
      <c r="S75" s="50" t="n">
        <f aca="false">S73+($J75-$J73)*(S74-S73)/($J74-$J73)</f>
        <v>24.3016835016835</v>
      </c>
    </row>
    <row r="76" customFormat="false" ht="15" hidden="false" customHeight="false" outlineLevel="0" collapsed="false">
      <c r="A76" s="51" t="s">
        <v>69</v>
      </c>
      <c r="B76" s="51"/>
      <c r="C76" s="51"/>
      <c r="D76" s="51"/>
      <c r="E76" s="51"/>
      <c r="F76" s="51"/>
    </row>
    <row r="77" customFormat="false" ht="12.8" hidden="false" customHeight="false" outlineLevel="0" collapsed="false">
      <c r="A77" s="8" t="n">
        <v>1.5</v>
      </c>
      <c r="B77" s="8" t="n">
        <v>14</v>
      </c>
      <c r="C77" s="25" t="n">
        <v>17</v>
      </c>
      <c r="D77" s="8" t="n">
        <v>19</v>
      </c>
      <c r="E77" s="25" t="n">
        <v>25</v>
      </c>
      <c r="F77" s="25" t="n">
        <v>29</v>
      </c>
      <c r="J77" s="45" t="s">
        <v>101</v>
      </c>
      <c r="K77" s="45"/>
      <c r="L77" s="45"/>
      <c r="M77" s="45"/>
      <c r="N77" s="45"/>
      <c r="O77" s="45"/>
      <c r="P77" s="45"/>
      <c r="Q77" s="45"/>
      <c r="R77" s="45"/>
      <c r="S77" s="45"/>
    </row>
    <row r="78" customFormat="false" ht="12.8" hidden="false" customHeight="true" outlineLevel="0" collapsed="false">
      <c r="A78" s="8" t="n">
        <v>2.5</v>
      </c>
      <c r="B78" s="8" t="n">
        <v>20</v>
      </c>
      <c r="C78" s="25" t="n">
        <v>23</v>
      </c>
      <c r="D78" s="8" t="n">
        <v>26</v>
      </c>
      <c r="E78" s="25" t="n">
        <v>33</v>
      </c>
      <c r="F78" s="25" t="n">
        <v>39</v>
      </c>
      <c r="J78" s="46" t="s">
        <v>70</v>
      </c>
      <c r="K78" s="47" t="s">
        <v>86</v>
      </c>
      <c r="L78" s="47"/>
      <c r="M78" s="47"/>
      <c r="N78" s="47"/>
      <c r="O78" s="47"/>
      <c r="P78" s="47"/>
      <c r="Q78" s="47"/>
      <c r="R78" s="47"/>
      <c r="S78" s="47"/>
    </row>
    <row r="79" customFormat="false" ht="12.8" hidden="false" customHeight="false" outlineLevel="0" collapsed="false">
      <c r="A79" s="8" t="n">
        <v>4</v>
      </c>
      <c r="B79" s="8" t="n">
        <v>26</v>
      </c>
      <c r="C79" s="25" t="n">
        <v>31</v>
      </c>
      <c r="D79" s="8" t="n">
        <v>35</v>
      </c>
      <c r="E79" s="25" t="n">
        <v>43</v>
      </c>
      <c r="F79" s="25" t="n">
        <v>51</v>
      </c>
      <c r="J79" s="46"/>
      <c r="K79" s="52" t="n">
        <v>0.1</v>
      </c>
      <c r="L79" s="52" t="n">
        <v>0.2</v>
      </c>
      <c r="M79" s="52" t="n">
        <v>0.3</v>
      </c>
      <c r="N79" s="52" t="n">
        <v>0.5</v>
      </c>
      <c r="O79" s="52" t="n">
        <v>1</v>
      </c>
      <c r="P79" s="52" t="n">
        <v>1.5</v>
      </c>
      <c r="Q79" s="52" t="n">
        <v>2</v>
      </c>
      <c r="R79" s="52" t="n">
        <v>2.5</v>
      </c>
      <c r="S79" s="52" t="n">
        <v>3</v>
      </c>
    </row>
    <row r="80" customFormat="false" ht="12.8" hidden="false" customHeight="false" outlineLevel="0" collapsed="false">
      <c r="A80" s="8" t="n">
        <v>6</v>
      </c>
      <c r="B80" s="8" t="n">
        <v>33</v>
      </c>
      <c r="C80" s="25" t="n">
        <v>40</v>
      </c>
      <c r="D80" s="8" t="n">
        <v>44</v>
      </c>
      <c r="E80" s="25" t="n">
        <v>53</v>
      </c>
      <c r="F80" s="25" t="n">
        <v>65</v>
      </c>
      <c r="J80" s="25" t="n">
        <v>0.5</v>
      </c>
      <c r="K80" s="25" t="n">
        <v>182</v>
      </c>
      <c r="L80" s="25" t="n">
        <v>129</v>
      </c>
      <c r="M80" s="25" t="n">
        <v>105</v>
      </c>
      <c r="N80" s="25" t="n">
        <v>81</v>
      </c>
      <c r="O80" s="25" t="n">
        <v>58</v>
      </c>
      <c r="P80" s="25" t="n">
        <v>47</v>
      </c>
      <c r="Q80" s="25" t="n">
        <v>41</v>
      </c>
      <c r="R80" s="25" t="n">
        <v>36</v>
      </c>
      <c r="S80" s="25" t="n">
        <v>33</v>
      </c>
    </row>
    <row r="81" customFormat="false" ht="12.8" hidden="false" customHeight="false" outlineLevel="0" collapsed="false">
      <c r="A81" s="8" t="n">
        <v>10</v>
      </c>
      <c r="B81" s="8" t="n">
        <v>45</v>
      </c>
      <c r="C81" s="25" t="n">
        <v>55</v>
      </c>
      <c r="D81" s="8" t="n">
        <v>61</v>
      </c>
      <c r="E81" s="25" t="n">
        <v>71</v>
      </c>
      <c r="F81" s="25" t="n">
        <v>88</v>
      </c>
      <c r="J81" s="25" t="n">
        <v>0.75</v>
      </c>
      <c r="K81" s="25" t="n">
        <v>273</v>
      </c>
      <c r="L81" s="25" t="n">
        <v>193</v>
      </c>
      <c r="M81" s="25" t="n">
        <v>157</v>
      </c>
      <c r="N81" s="25" t="n">
        <v>122</v>
      </c>
      <c r="O81" s="25" t="n">
        <v>86</v>
      </c>
      <c r="P81" s="25" t="n">
        <v>70</v>
      </c>
      <c r="Q81" s="25" t="n">
        <v>61</v>
      </c>
      <c r="R81" s="25" t="n">
        <v>55</v>
      </c>
      <c r="S81" s="25" t="n">
        <v>50</v>
      </c>
    </row>
    <row r="82" customFormat="false" ht="12.8" hidden="false" customHeight="false" outlineLevel="0" collapsed="false">
      <c r="A82" s="8" t="n">
        <v>16</v>
      </c>
      <c r="B82" s="8" t="n">
        <v>60</v>
      </c>
      <c r="C82" s="25" t="n">
        <v>74</v>
      </c>
      <c r="D82" s="8" t="n">
        <v>82</v>
      </c>
      <c r="E82" s="25" t="n">
        <v>91</v>
      </c>
      <c r="F82" s="25" t="n">
        <v>112</v>
      </c>
      <c r="J82" s="25" t="n">
        <v>1</v>
      </c>
      <c r="K82" s="25" t="n">
        <v>364</v>
      </c>
      <c r="L82" s="25" t="n">
        <v>257</v>
      </c>
      <c r="M82" s="25" t="n">
        <v>210</v>
      </c>
      <c r="N82" s="25" t="n">
        <v>163</v>
      </c>
      <c r="O82" s="25" t="n">
        <v>115</v>
      </c>
      <c r="P82" s="25" t="n">
        <v>94</v>
      </c>
      <c r="Q82" s="25" t="n">
        <v>81</v>
      </c>
      <c r="R82" s="25" t="n">
        <v>73</v>
      </c>
      <c r="S82" s="25" t="n">
        <v>66</v>
      </c>
    </row>
    <row r="83" customFormat="false" ht="12.8" hidden="false" customHeight="false" outlineLevel="0" collapsed="false">
      <c r="A83" s="8" t="n">
        <v>25</v>
      </c>
      <c r="B83" s="8" t="n">
        <v>78</v>
      </c>
      <c r="C83" s="25" t="n">
        <v>97</v>
      </c>
      <c r="D83" s="8" t="n">
        <v>104</v>
      </c>
      <c r="E83" s="25" t="n">
        <v>117</v>
      </c>
      <c r="F83" s="25" t="n">
        <v>137</v>
      </c>
      <c r="J83" s="25" t="n">
        <v>1.5</v>
      </c>
      <c r="K83" s="25" t="n">
        <v>545</v>
      </c>
      <c r="L83" s="25" t="n">
        <v>386</v>
      </c>
      <c r="M83" s="25" t="n">
        <v>315</v>
      </c>
      <c r="N83" s="25" t="n">
        <v>244</v>
      </c>
      <c r="O83" s="25" t="n">
        <v>173</v>
      </c>
      <c r="P83" s="25" t="n">
        <v>141</v>
      </c>
      <c r="Q83" s="25" t="n">
        <v>122</v>
      </c>
      <c r="R83" s="25" t="n">
        <v>109</v>
      </c>
      <c r="S83" s="25" t="n">
        <v>98</v>
      </c>
    </row>
    <row r="84" customFormat="false" ht="12.8" hidden="false" customHeight="false" outlineLevel="0" collapsed="false">
      <c r="A84" s="8" t="n">
        <v>35</v>
      </c>
      <c r="B84" s="8" t="n">
        <v>97</v>
      </c>
      <c r="C84" s="25" t="n">
        <v>120</v>
      </c>
      <c r="D84" s="8" t="n">
        <v>129</v>
      </c>
      <c r="E84" s="25" t="n">
        <v>140</v>
      </c>
      <c r="F84" s="25" t="n">
        <v>164</v>
      </c>
      <c r="J84" s="25" t="n">
        <v>2.5</v>
      </c>
      <c r="K84" s="25" t="n">
        <v>909</v>
      </c>
      <c r="L84" s="25" t="n">
        <v>643</v>
      </c>
      <c r="M84" s="25" t="n">
        <v>525</v>
      </c>
      <c r="N84" s="25" t="n">
        <v>407</v>
      </c>
      <c r="O84" s="25" t="n">
        <v>288</v>
      </c>
      <c r="P84" s="25" t="n">
        <v>235</v>
      </c>
      <c r="Q84" s="25" t="n">
        <v>203</v>
      </c>
      <c r="R84" s="25" t="n">
        <v>182</v>
      </c>
      <c r="S84" s="25" t="n">
        <v>166</v>
      </c>
    </row>
    <row r="85" customFormat="false" ht="12.8" hidden="false" customHeight="false" outlineLevel="0" collapsed="false">
      <c r="A85" s="8" t="n">
        <v>50</v>
      </c>
      <c r="B85" s="53" t="n">
        <f aca="false">TREND(B77:B84, A77:A84, A85)</f>
        <v>137.580484505657</v>
      </c>
      <c r="C85" s="25" t="n">
        <v>146</v>
      </c>
      <c r="D85" s="8" t="n">
        <v>157</v>
      </c>
      <c r="E85" s="54" t="n">
        <f aca="false">TREND(E77:E84,A77:A84,A85)</f>
        <v>198.475713231677</v>
      </c>
      <c r="F85" s="54" t="n">
        <f aca="false">TREND(F77:F84,A77:A84,A85)</f>
        <v>233.54064190851</v>
      </c>
      <c r="J85" s="25" t="n">
        <v>4</v>
      </c>
      <c r="K85" s="55" t="n">
        <v>1455</v>
      </c>
      <c r="L85" s="55" t="n">
        <v>1029</v>
      </c>
      <c r="M85" s="25" t="n">
        <v>840</v>
      </c>
      <c r="N85" s="25" t="n">
        <v>651</v>
      </c>
      <c r="O85" s="25" t="n">
        <v>460</v>
      </c>
      <c r="P85" s="25" t="n">
        <v>376</v>
      </c>
      <c r="Q85" s="25" t="n">
        <v>325</v>
      </c>
      <c r="R85" s="25" t="n">
        <v>291</v>
      </c>
      <c r="S85" s="25" t="n">
        <v>266</v>
      </c>
    </row>
    <row r="86" customFormat="false" ht="12.8" hidden="false" customHeight="false" outlineLevel="0" collapsed="false">
      <c r="A86" s="8" t="n">
        <v>70</v>
      </c>
      <c r="B86" s="53" t="n">
        <f aca="false">TREND(B78:B85, A78:A85, A86)</f>
        <v>184.23449534289</v>
      </c>
      <c r="C86" s="25" t="n">
        <v>185</v>
      </c>
      <c r="D86" s="8" t="n">
        <v>202</v>
      </c>
      <c r="E86" s="54" t="n">
        <f aca="false">TREND(E78:E85,A78:A85,A86)</f>
        <v>263.190494651112</v>
      </c>
      <c r="F86" s="54" t="n">
        <f aca="false">TREND(F78:F85,A78:A85,A86)</f>
        <v>308.297382778417</v>
      </c>
      <c r="J86" s="25" t="n">
        <v>6</v>
      </c>
      <c r="K86" s="55" t="n">
        <v>2182</v>
      </c>
      <c r="L86" s="55" t="n">
        <v>1543</v>
      </c>
      <c r="M86" s="55" t="n">
        <v>1260</v>
      </c>
      <c r="N86" s="25" t="n">
        <v>976</v>
      </c>
      <c r="O86" s="25" t="n">
        <v>690</v>
      </c>
      <c r="P86" s="25" t="n">
        <v>488</v>
      </c>
      <c r="Q86" s="25" t="n">
        <v>436</v>
      </c>
      <c r="R86" s="25" t="n">
        <v>398</v>
      </c>
      <c r="S86" s="25" t="n">
        <v>364</v>
      </c>
    </row>
    <row r="87" customFormat="false" ht="12.8" hidden="false" customHeight="false" outlineLevel="0" collapsed="false">
      <c r="A87" s="8" t="n">
        <v>95</v>
      </c>
      <c r="B87" s="53" t="n">
        <f aca="false">TREND(B79:B86, A79:A86, A87)</f>
        <v>242.390043455835</v>
      </c>
      <c r="C87" s="25" t="n">
        <v>224</v>
      </c>
      <c r="D87" s="8" t="n">
        <v>245</v>
      </c>
      <c r="E87" s="54" t="n">
        <f aca="false">TREND(E79:E86,A79:A86,A87)</f>
        <v>343.503302606936</v>
      </c>
      <c r="F87" s="54" t="n">
        <f aca="false">TREND(F79:F86,A79:A86,A87)</f>
        <v>400.791792079332</v>
      </c>
      <c r="J87" s="25" t="n">
        <v>10</v>
      </c>
      <c r="K87" s="55" t="n">
        <v>3637</v>
      </c>
      <c r="L87" s="55" t="n">
        <v>2571</v>
      </c>
      <c r="M87" s="55" t="n">
        <v>2100</v>
      </c>
      <c r="N87" s="55" t="n">
        <v>1626</v>
      </c>
      <c r="O87" s="55" t="n">
        <v>1150</v>
      </c>
      <c r="P87" s="25" t="n">
        <v>939</v>
      </c>
      <c r="Q87" s="25" t="n">
        <v>813</v>
      </c>
      <c r="R87" s="25" t="n">
        <v>727</v>
      </c>
      <c r="S87" s="25" t="n">
        <v>664</v>
      </c>
    </row>
    <row r="88" customFormat="false" ht="12.8" hidden="false" customHeight="false" outlineLevel="0" collapsed="false">
      <c r="A88" s="8" t="n">
        <v>120</v>
      </c>
      <c r="B88" s="53" t="n">
        <f aca="false">TREND(B80:B87, A80:A87, A88)</f>
        <v>300.413710285646</v>
      </c>
      <c r="C88" s="25" t="n">
        <v>260</v>
      </c>
      <c r="D88" s="8" t="n">
        <v>285</v>
      </c>
      <c r="E88" s="54" t="n">
        <f aca="false">TREND(E80:E87,A80:A87,A88)</f>
        <v>423.723789834409</v>
      </c>
      <c r="F88" s="54" t="n">
        <f aca="false">TREND(F80:F87,A80:A87,A88)</f>
        <v>492.827626965753</v>
      </c>
      <c r="J88" s="25" t="n">
        <v>16</v>
      </c>
      <c r="K88" s="55" t="n">
        <v>5819</v>
      </c>
      <c r="L88" s="55" t="n">
        <v>4114</v>
      </c>
      <c r="M88" s="55" t="n">
        <v>3359</v>
      </c>
      <c r="N88" s="55" t="n">
        <v>2602</v>
      </c>
      <c r="O88" s="55" t="n">
        <v>1840</v>
      </c>
      <c r="P88" s="55" t="n">
        <v>1502</v>
      </c>
      <c r="Q88" s="55" t="n">
        <v>1301</v>
      </c>
      <c r="R88" s="55" t="n">
        <v>1164</v>
      </c>
      <c r="S88" s="55" t="n">
        <v>1062</v>
      </c>
    </row>
    <row r="89" customFormat="false" ht="12.8" hidden="false" customHeight="false" outlineLevel="0" collapsed="false">
      <c r="A89" s="8" t="n">
        <v>150</v>
      </c>
      <c r="B89" s="53" t="n">
        <f aca="false">TREND(B81:B88, A81:A88, A89)</f>
        <v>370.236751859003</v>
      </c>
      <c r="C89" s="25" t="n">
        <v>299</v>
      </c>
      <c r="D89" s="8" t="n">
        <v>330</v>
      </c>
      <c r="E89" s="54" t="n">
        <f aca="false">TREND(E81:E88,A81:A88,A89)</f>
        <v>520.224340275877</v>
      </c>
      <c r="F89" s="54" t="n">
        <f aca="false">TREND(F81:F88,A81:A88,A89)</f>
        <v>603.80025376198</v>
      </c>
      <c r="J89" s="25" t="n">
        <v>25</v>
      </c>
      <c r="K89" s="55" t="n">
        <v>9092</v>
      </c>
      <c r="L89" s="55" t="n">
        <v>6429</v>
      </c>
      <c r="M89" s="55" t="n">
        <v>5249</v>
      </c>
      <c r="N89" s="55" t="n">
        <v>4066</v>
      </c>
      <c r="O89" s="55" t="n">
        <v>2875</v>
      </c>
      <c r="P89" s="55" t="n">
        <v>2347</v>
      </c>
      <c r="Q89" s="55" t="n">
        <v>2033</v>
      </c>
      <c r="R89" s="55" t="n">
        <v>1818</v>
      </c>
      <c r="S89" s="55" t="n">
        <v>1660</v>
      </c>
    </row>
    <row r="90" customFormat="false" ht="12.8" hidden="false" customHeight="false" outlineLevel="0" collapsed="false">
      <c r="A90" s="8" t="n">
        <v>185</v>
      </c>
      <c r="B90" s="53" t="n">
        <f aca="false">TREND(B82:B89, A82:A89, A90)</f>
        <v>452.299472239832</v>
      </c>
      <c r="C90" s="25" t="n">
        <v>341</v>
      </c>
      <c r="D90" s="8" t="n">
        <v>378</v>
      </c>
      <c r="E90" s="54" t="n">
        <f aca="false">TREND(E82:E89,A82:A89,A90)</f>
        <v>633.953691412023</v>
      </c>
      <c r="F90" s="54" t="n">
        <f aca="false">TREND(F82:F89,A82:A89,A90)</f>
        <v>735.129386341369</v>
      </c>
      <c r="J90" s="25" t="n">
        <v>35</v>
      </c>
      <c r="K90" s="55" t="n">
        <v>12728</v>
      </c>
      <c r="L90" s="55" t="n">
        <v>9000</v>
      </c>
      <c r="M90" s="55" t="n">
        <v>7349</v>
      </c>
      <c r="N90" s="55" t="n">
        <v>5692</v>
      </c>
      <c r="O90" s="55" t="n">
        <v>4025</v>
      </c>
      <c r="P90" s="55" t="n">
        <v>3286</v>
      </c>
      <c r="Q90" s="55" t="n">
        <v>2846</v>
      </c>
      <c r="R90" s="55" t="n">
        <v>2546</v>
      </c>
      <c r="S90" s="55" t="n">
        <v>2324</v>
      </c>
    </row>
    <row r="91" customFormat="false" ht="12.8" hidden="false" customHeight="false" outlineLevel="0" collapsed="false">
      <c r="A91" s="8" t="n">
        <v>240</v>
      </c>
      <c r="B91" s="53" t="n">
        <f aca="false">TREND(B83:B90, A83:A90, A91)</f>
        <v>581.912716304709</v>
      </c>
      <c r="C91" s="25" t="n">
        <v>401</v>
      </c>
      <c r="D91" s="8" t="n">
        <v>447</v>
      </c>
      <c r="E91" s="54" t="n">
        <f aca="false">TREND(E83:E90,A83:A90,A91)</f>
        <v>813.452870580135</v>
      </c>
      <c r="F91" s="54" t="n">
        <f aca="false">TREND(F83:F90,A83:A90,A91)</f>
        <v>943.046381298784</v>
      </c>
      <c r="G91" s="56"/>
      <c r="I91" s="57"/>
      <c r="J91" s="25" t="n">
        <v>50</v>
      </c>
      <c r="K91" s="55" t="n">
        <v>18183</v>
      </c>
      <c r="L91" s="55" t="n">
        <v>12857</v>
      </c>
      <c r="M91" s="55" t="n">
        <v>10490</v>
      </c>
      <c r="N91" s="55" t="n">
        <v>8111</v>
      </c>
      <c r="O91" s="55" t="n">
        <v>5750</v>
      </c>
      <c r="P91" s="55" t="n">
        <v>4673</v>
      </c>
      <c r="Q91" s="55" t="n">
        <v>4075</v>
      </c>
      <c r="R91" s="55" t="n">
        <v>3637</v>
      </c>
      <c r="S91" s="55" t="n">
        <v>3324</v>
      </c>
    </row>
    <row r="92" customFormat="false" ht="12.8" hidden="false" customHeight="false" outlineLevel="0" collapsed="false">
      <c r="A92" s="8" t="n">
        <v>300</v>
      </c>
      <c r="B92" s="53" t="n">
        <f aca="false">TREND(B84:B91, A84:A91, A92)</f>
        <v>723.008754174428</v>
      </c>
      <c r="C92" s="25" t="n">
        <v>461</v>
      </c>
      <c r="D92" s="8" t="n">
        <v>516</v>
      </c>
      <c r="E92" s="54" t="n">
        <f aca="false">TREND(E84:E91,A84:A91,A92)</f>
        <v>1009.29143269332</v>
      </c>
      <c r="F92" s="54" t="n">
        <f aca="false">TREND(F84:F91,A84:A91,A92)</f>
        <v>1168.87169586552</v>
      </c>
      <c r="J92" s="25" t="n">
        <v>70</v>
      </c>
      <c r="K92" s="55" t="n">
        <v>25456</v>
      </c>
      <c r="L92" s="55" t="n">
        <v>18000</v>
      </c>
      <c r="M92" s="55" t="n">
        <v>14661</v>
      </c>
      <c r="N92" s="55" t="n">
        <v>11384</v>
      </c>
      <c r="O92" s="55" t="n">
        <v>8050</v>
      </c>
      <c r="P92" s="55" t="n">
        <v>6573</v>
      </c>
      <c r="Q92" s="55" t="n">
        <v>5692</v>
      </c>
      <c r="R92" s="55" t="n">
        <v>5091</v>
      </c>
      <c r="S92" s="55" t="n">
        <v>4637</v>
      </c>
    </row>
    <row r="93" customFormat="false" ht="15" hidden="false" customHeight="false" outlineLevel="0" collapsed="false">
      <c r="A93" s="51" t="s">
        <v>102</v>
      </c>
      <c r="B93" s="51"/>
      <c r="C93" s="51"/>
      <c r="D93" s="51"/>
      <c r="E93" s="51"/>
      <c r="F93" s="51"/>
      <c r="J93" s="25" t="n">
        <v>95</v>
      </c>
      <c r="K93" s="55" t="n">
        <v>34548</v>
      </c>
      <c r="L93" s="55" t="n">
        <v>24429</v>
      </c>
      <c r="M93" s="55" t="n">
        <v>19946</v>
      </c>
      <c r="N93" s="55" t="n">
        <v>15450</v>
      </c>
      <c r="O93" s="55" t="n">
        <v>10925</v>
      </c>
      <c r="P93" s="55" t="n">
        <v>8920</v>
      </c>
      <c r="Q93" s="55" t="n">
        <v>7725</v>
      </c>
      <c r="R93" s="55" t="n">
        <v>6910</v>
      </c>
      <c r="S93" s="55" t="n">
        <v>6330</v>
      </c>
    </row>
    <row r="94" customFormat="false" ht="12.8" hidden="false" customHeight="false" outlineLevel="0" collapsed="false">
      <c r="A94" s="8" t="n">
        <v>1.5</v>
      </c>
      <c r="B94" s="8" t="n">
        <v>13</v>
      </c>
      <c r="C94" s="25" t="n">
        <v>15</v>
      </c>
      <c r="D94" s="8" t="n">
        <v>16</v>
      </c>
      <c r="E94" s="25" t="n">
        <v>20</v>
      </c>
      <c r="F94" s="25" t="n">
        <v>25</v>
      </c>
      <c r="J94" s="25" t="n">
        <v>120</v>
      </c>
      <c r="K94" s="55" t="n">
        <v>43639</v>
      </c>
      <c r="L94" s="55" t="n">
        <v>30858</v>
      </c>
      <c r="M94" s="55" t="n">
        <v>25230</v>
      </c>
      <c r="N94" s="55" t="n">
        <v>19516</v>
      </c>
      <c r="O94" s="55" t="n">
        <v>13800</v>
      </c>
      <c r="P94" s="55" t="n">
        <v>11268</v>
      </c>
      <c r="Q94" s="55" t="n">
        <v>9758</v>
      </c>
      <c r="R94" s="55" t="n">
        <v>8728</v>
      </c>
      <c r="S94" s="55" t="n">
        <v>7967</v>
      </c>
    </row>
    <row r="95" customFormat="false" ht="12.8" hidden="false" customHeight="false" outlineLevel="0" collapsed="false">
      <c r="A95" s="8" t="n">
        <v>2.5</v>
      </c>
      <c r="B95" s="8" t="n">
        <v>17</v>
      </c>
      <c r="C95" s="25" t="n">
        <v>21</v>
      </c>
      <c r="D95" s="8" t="n">
        <v>22</v>
      </c>
      <c r="E95" s="25" t="n">
        <v>27</v>
      </c>
      <c r="F95" s="25" t="n">
        <v>34</v>
      </c>
      <c r="J95" s="25" t="n">
        <v>150</v>
      </c>
      <c r="K95" s="55" t="n">
        <v>54549</v>
      </c>
      <c r="L95" s="55" t="n">
        <v>38572</v>
      </c>
      <c r="M95" s="55" t="n">
        <v>31573</v>
      </c>
      <c r="N95" s="55" t="n">
        <v>24900</v>
      </c>
      <c r="O95" s="55" t="n">
        <v>17255</v>
      </c>
      <c r="P95" s="55" t="n">
        <v>14603</v>
      </c>
      <c r="Q95" s="55" t="n">
        <v>12468</v>
      </c>
      <c r="R95" s="55" t="n">
        <v>11044</v>
      </c>
      <c r="S95" s="55" t="n">
        <v>9995</v>
      </c>
    </row>
    <row r="96" customFormat="false" ht="12.8" hidden="false" customHeight="false" outlineLevel="0" collapsed="false">
      <c r="A96" s="8" t="n">
        <v>4</v>
      </c>
      <c r="B96" s="8" t="n">
        <v>23</v>
      </c>
      <c r="C96" s="25" t="n">
        <v>28</v>
      </c>
      <c r="D96" s="8" t="n">
        <v>30</v>
      </c>
      <c r="E96" s="25" t="n">
        <v>35</v>
      </c>
      <c r="F96" s="25" t="n">
        <v>44</v>
      </c>
      <c r="J96" s="25" t="n">
        <v>185</v>
      </c>
      <c r="K96" s="55" t="n">
        <v>67277</v>
      </c>
      <c r="L96" s="55" t="n">
        <v>47572</v>
      </c>
      <c r="M96" s="55" t="n">
        <v>38643</v>
      </c>
      <c r="N96" s="55" t="n">
        <v>30944</v>
      </c>
      <c r="O96" s="55" t="n">
        <v>21275</v>
      </c>
      <c r="P96" s="55" t="n">
        <v>17731</v>
      </c>
      <c r="Q96" s="55" t="n">
        <v>15044</v>
      </c>
      <c r="R96" s="55" t="n">
        <v>13515</v>
      </c>
      <c r="S96" s="55" t="n">
        <v>12283</v>
      </c>
    </row>
    <row r="97" customFormat="false" ht="12.8" hidden="false" customHeight="false" outlineLevel="0" collapsed="false">
      <c r="A97" s="8" t="n">
        <v>6</v>
      </c>
      <c r="B97" s="8" t="n">
        <v>30</v>
      </c>
      <c r="C97" s="25" t="n">
        <v>36</v>
      </c>
      <c r="D97" s="8" t="n">
        <v>37</v>
      </c>
      <c r="E97" s="25" t="n">
        <v>44</v>
      </c>
      <c r="F97" s="25" t="n">
        <v>55</v>
      </c>
      <c r="J97" s="25" t="n">
        <v>240</v>
      </c>
      <c r="K97" s="55" t="n">
        <v>87279</v>
      </c>
      <c r="L97" s="55" t="n">
        <v>61715</v>
      </c>
      <c r="M97" s="55" t="n">
        <v>50390</v>
      </c>
      <c r="N97" s="55" t="n">
        <v>39052</v>
      </c>
      <c r="O97" s="55" t="n">
        <v>27600</v>
      </c>
      <c r="P97" s="55" t="n">
        <v>22535</v>
      </c>
      <c r="Q97" s="55" t="n">
        <v>19516</v>
      </c>
      <c r="R97" s="55" t="n">
        <v>17456</v>
      </c>
      <c r="S97" s="55" t="n">
        <v>15935</v>
      </c>
    </row>
    <row r="98" customFormat="false" ht="12.8" hidden="false" customHeight="false" outlineLevel="0" collapsed="false">
      <c r="A98" s="8" t="n">
        <v>10</v>
      </c>
      <c r="B98" s="8" t="n">
        <v>40</v>
      </c>
      <c r="C98" s="25" t="n">
        <v>50</v>
      </c>
      <c r="D98" s="8" t="n">
        <v>52</v>
      </c>
      <c r="E98" s="25" t="n">
        <v>58</v>
      </c>
      <c r="F98" s="25" t="n">
        <v>74</v>
      </c>
      <c r="J98" s="25" t="n">
        <v>300</v>
      </c>
      <c r="K98" s="55" t="n">
        <v>109099</v>
      </c>
      <c r="L98" s="55" t="n">
        <v>77144</v>
      </c>
      <c r="M98" s="55" t="n">
        <v>62988</v>
      </c>
      <c r="N98" s="55" t="n">
        <v>48790</v>
      </c>
      <c r="O98" s="55" t="n">
        <v>34500</v>
      </c>
      <c r="P98" s="55" t="n">
        <v>28169</v>
      </c>
      <c r="Q98" s="55" t="n">
        <v>24395</v>
      </c>
      <c r="R98" s="55" t="n">
        <v>21820</v>
      </c>
      <c r="S98" s="55" t="n">
        <v>19919</v>
      </c>
    </row>
    <row r="99" customFormat="false" ht="12.8" hidden="false" customHeight="false" outlineLevel="0" collapsed="false">
      <c r="A99" s="8" t="n">
        <v>16</v>
      </c>
      <c r="B99" s="8" t="n">
        <v>54</v>
      </c>
      <c r="C99" s="25" t="n">
        <v>66</v>
      </c>
      <c r="D99" s="8" t="n">
        <v>70</v>
      </c>
      <c r="E99" s="25" t="n">
        <v>75</v>
      </c>
      <c r="F99" s="25" t="n">
        <v>95</v>
      </c>
    </row>
    <row r="100" customFormat="false" ht="12.8" hidden="false" customHeight="false" outlineLevel="0" collapsed="false">
      <c r="A100" s="8" t="n">
        <v>25</v>
      </c>
      <c r="B100" s="8" t="n">
        <v>70</v>
      </c>
      <c r="C100" s="25" t="n">
        <v>84</v>
      </c>
      <c r="D100" s="8" t="n">
        <v>88</v>
      </c>
      <c r="E100" s="25" t="n">
        <v>96</v>
      </c>
      <c r="F100" s="25" t="n">
        <v>117</v>
      </c>
    </row>
    <row r="101" customFormat="false" ht="12.8" hidden="false" customHeight="false" outlineLevel="0" collapsed="false">
      <c r="A101" s="8" t="n">
        <v>35</v>
      </c>
      <c r="B101" s="8" t="n">
        <v>86</v>
      </c>
      <c r="C101" s="25" t="n">
        <v>104</v>
      </c>
      <c r="D101" s="8" t="n">
        <v>110</v>
      </c>
      <c r="E101" s="25" t="n">
        <v>115</v>
      </c>
      <c r="F101" s="25" t="n">
        <v>140</v>
      </c>
    </row>
    <row r="102" customFormat="false" ht="12.8" hidden="false" customHeight="false" outlineLevel="0" collapsed="false">
      <c r="A102" s="8" t="n">
        <v>50</v>
      </c>
      <c r="B102" s="8" t="n">
        <v>103</v>
      </c>
      <c r="C102" s="25" t="n">
        <v>125</v>
      </c>
      <c r="D102" s="8" t="n">
        <v>133</v>
      </c>
      <c r="E102" s="25" t="n">
        <v>137</v>
      </c>
      <c r="F102" s="25" t="n">
        <v>173</v>
      </c>
    </row>
    <row r="103" customFormat="false" ht="12.8" hidden="false" customHeight="false" outlineLevel="0" collapsed="false">
      <c r="A103" s="8" t="n">
        <v>70</v>
      </c>
      <c r="B103" s="8" t="n">
        <v>130</v>
      </c>
      <c r="C103" s="25" t="n">
        <v>160</v>
      </c>
      <c r="D103" s="8" t="n">
        <v>170</v>
      </c>
      <c r="E103" s="25" t="n">
        <v>169</v>
      </c>
      <c r="F103" s="25" t="n">
        <v>211</v>
      </c>
    </row>
    <row r="104" customFormat="false" ht="12.8" hidden="false" customHeight="false" outlineLevel="0" collapsed="false">
      <c r="A104" s="8" t="n">
        <v>95</v>
      </c>
      <c r="B104" s="8" t="n">
        <v>156</v>
      </c>
      <c r="C104" s="25" t="n">
        <v>194</v>
      </c>
      <c r="D104" s="8" t="n">
        <v>207</v>
      </c>
      <c r="E104" s="25" t="n">
        <v>201</v>
      </c>
      <c r="F104" s="25" t="n">
        <v>254</v>
      </c>
    </row>
    <row r="105" customFormat="false" ht="12.8" hidden="false" customHeight="false" outlineLevel="0" collapsed="false">
      <c r="A105" s="8" t="n">
        <v>120</v>
      </c>
      <c r="B105" s="8" t="n">
        <v>179</v>
      </c>
      <c r="C105" s="25" t="n">
        <v>225</v>
      </c>
      <c r="D105" s="8" t="n">
        <v>240</v>
      </c>
      <c r="E105" s="25" t="n">
        <v>228</v>
      </c>
      <c r="F105" s="25" t="n">
        <v>290</v>
      </c>
    </row>
    <row r="106" customFormat="false" ht="12.8" hidden="false" customHeight="false" outlineLevel="0" collapsed="false">
      <c r="A106" s="8" t="n">
        <v>150</v>
      </c>
      <c r="B106" s="53" t="n">
        <f aca="false">TREND(B94:B105,A77:A88,A89)</f>
        <v>234.299844135602</v>
      </c>
      <c r="C106" s="25" t="n">
        <v>260</v>
      </c>
      <c r="D106" s="8" t="n">
        <v>278</v>
      </c>
      <c r="E106" s="25" t="n">
        <v>258</v>
      </c>
      <c r="F106" s="25" t="n">
        <v>325</v>
      </c>
    </row>
    <row r="107" customFormat="false" ht="12.8" hidden="false" customHeight="false" outlineLevel="0" collapsed="false">
      <c r="A107" s="8" t="n">
        <v>185</v>
      </c>
      <c r="B107" s="53" t="n">
        <f aca="false">TREND(B95:B106,A78:A89,A90)</f>
        <v>281.235395649781</v>
      </c>
      <c r="C107" s="25" t="n">
        <v>297</v>
      </c>
      <c r="D107" s="8" t="n">
        <v>317</v>
      </c>
      <c r="E107" s="25" t="n">
        <v>289</v>
      </c>
      <c r="F107" s="25" t="n">
        <v>369</v>
      </c>
    </row>
    <row r="108" customFormat="false" ht="12.8" hidden="false" customHeight="false" outlineLevel="0" collapsed="false">
      <c r="A108" s="8" t="n">
        <v>240</v>
      </c>
      <c r="B108" s="53" t="n">
        <f aca="false">TREND(B96:B107,A79:A90,A91)</f>
        <v>354.582217363778</v>
      </c>
      <c r="C108" s="25" t="n">
        <v>350</v>
      </c>
      <c r="D108" s="8" t="n">
        <v>374</v>
      </c>
      <c r="E108" s="25" t="n">
        <v>333</v>
      </c>
      <c r="F108" s="25" t="n">
        <v>428</v>
      </c>
    </row>
    <row r="109" customFormat="false" ht="12.8" hidden="false" customHeight="false" outlineLevel="0" collapsed="false">
      <c r="A109" s="8" t="n">
        <v>300</v>
      </c>
      <c r="B109" s="53" t="n">
        <f aca="false">TREND(B97:B108,A80:A91,A92)</f>
        <v>433.874034610374</v>
      </c>
      <c r="C109" s="25" t="n">
        <v>403</v>
      </c>
      <c r="D109" s="8" t="n">
        <v>432</v>
      </c>
      <c r="E109" s="25" t="n">
        <v>377</v>
      </c>
      <c r="F109" s="25" t="n">
        <v>484</v>
      </c>
    </row>
    <row r="122" customFormat="false" ht="12.8" hidden="false" customHeight="false" outlineLevel="0" collapsed="false">
      <c r="B122" s="29"/>
      <c r="C122" s="29"/>
      <c r="D122" s="29"/>
    </row>
    <row r="123" customFormat="false" ht="12.8" hidden="false" customHeight="false" outlineLevel="0" collapsed="false">
      <c r="B123" s="29"/>
      <c r="C123" s="29"/>
      <c r="D123" s="29"/>
    </row>
  </sheetData>
  <sheetProtection sheet="true" objects="true" scenarios="true"/>
  <mergeCells count="23">
    <mergeCell ref="A1:H1"/>
    <mergeCell ref="A2:H2"/>
    <mergeCell ref="A24:H24"/>
    <mergeCell ref="A43:H43"/>
    <mergeCell ref="J57:S57"/>
    <mergeCell ref="J58:J59"/>
    <mergeCell ref="K58:S58"/>
    <mergeCell ref="B63:D63"/>
    <mergeCell ref="F63:F64"/>
    <mergeCell ref="B64:B73"/>
    <mergeCell ref="C64:C73"/>
    <mergeCell ref="D64:D73"/>
    <mergeCell ref="A74:A75"/>
    <mergeCell ref="B74:B75"/>
    <mergeCell ref="C74:C75"/>
    <mergeCell ref="D74:D75"/>
    <mergeCell ref="E74:E75"/>
    <mergeCell ref="F74:F75"/>
    <mergeCell ref="A76:F76"/>
    <mergeCell ref="J77:S77"/>
    <mergeCell ref="J78:J79"/>
    <mergeCell ref="K78:S78"/>
    <mergeCell ref="A93:F9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3"/>
    <col collapsed="false" customWidth="true" hidden="false" outlineLevel="0" max="2" min="2" style="0" width="16.76"/>
    <col collapsed="false" customWidth="true" hidden="false" outlineLevel="0" max="3" min="3" style="0" width="8.24"/>
    <col collapsed="false" customWidth="true" hidden="false" outlineLevel="0" max="5" min="4" style="0" width="8.16"/>
    <col collapsed="false" customWidth="true" hidden="false" outlineLevel="0" max="6" min="6" style="0" width="8.41"/>
    <col collapsed="false" customWidth="true" hidden="false" outlineLevel="0" max="7" min="7" style="0" width="7.46"/>
    <col collapsed="false" customWidth="true" hidden="false" outlineLevel="0" max="8" min="8" style="0" width="7.12"/>
    <col collapsed="false" customWidth="true" hidden="false" outlineLevel="0" max="9" min="9" style="0" width="8.24"/>
    <col collapsed="false" customWidth="true" hidden="false" outlineLevel="0" max="11" min="11" style="0" width="21.3"/>
    <col collapsed="false" customWidth="true" hidden="false" outlineLevel="0" max="12" min="12" style="0" width="18.67"/>
    <col collapsed="false" customWidth="true" hidden="false" outlineLevel="0" max="13" min="13" style="0" width="17.59"/>
    <col collapsed="false" customWidth="true" hidden="false" outlineLevel="0" max="14" min="14" style="0" width="14.35"/>
  </cols>
  <sheetData>
    <row r="1" customFormat="false" ht="12.8" hidden="false" customHeight="false" outlineLevel="0" collapsed="false">
      <c r="C1" s="58" t="s">
        <v>103</v>
      </c>
      <c r="D1" s="58"/>
      <c r="E1" s="58"/>
      <c r="F1" s="58"/>
      <c r="G1" s="58"/>
      <c r="H1" s="58"/>
      <c r="I1" s="58"/>
    </row>
    <row r="2" customFormat="false" ht="12.8" hidden="false" customHeight="false" outlineLevel="0" collapsed="false">
      <c r="C2" s="58" t="s">
        <v>54</v>
      </c>
      <c r="D2" s="58" t="s">
        <v>55</v>
      </c>
      <c r="E2" s="58" t="s">
        <v>56</v>
      </c>
      <c r="F2" s="58" t="s">
        <v>104</v>
      </c>
      <c r="G2" s="58" t="s">
        <v>105</v>
      </c>
      <c r="H2" s="58" t="s">
        <v>106</v>
      </c>
      <c r="I2" s="58" t="s">
        <v>107</v>
      </c>
      <c r="K2" s="59"/>
      <c r="L2" s="60" t="s">
        <v>108</v>
      </c>
      <c r="M2" s="60" t="s">
        <v>108</v>
      </c>
      <c r="N2" s="60" t="s">
        <v>109</v>
      </c>
    </row>
    <row r="3" customFormat="false" ht="12.8" hidden="false" customHeight="false" outlineLevel="0" collapsed="false">
      <c r="B3" s="58" t="s">
        <v>110</v>
      </c>
      <c r="C3" s="61" t="n">
        <v>14914</v>
      </c>
      <c r="D3" s="61" t="n">
        <v>18642.5</v>
      </c>
      <c r="E3" s="61" t="n">
        <v>37285</v>
      </c>
      <c r="F3" s="61" t="n">
        <v>3000</v>
      </c>
      <c r="G3" s="61" t="n">
        <v>3000</v>
      </c>
      <c r="H3" s="61" t="n">
        <v>3000</v>
      </c>
      <c r="I3" s="61" t="n">
        <v>5000</v>
      </c>
      <c r="K3" s="60" t="s">
        <v>110</v>
      </c>
      <c r="L3" s="25" t="n">
        <v>70841.5</v>
      </c>
      <c r="M3" s="25" t="n">
        <v>14000</v>
      </c>
      <c r="N3" s="25" t="n">
        <f aca="false">SUM(L3:M3)</f>
        <v>84841.5</v>
      </c>
    </row>
    <row r="4" customFormat="false" ht="12.8" hidden="false" customHeight="false" outlineLevel="0" collapsed="false">
      <c r="B4" s="58" t="s">
        <v>111</v>
      </c>
      <c r="C4" s="61" t="n">
        <v>0.8</v>
      </c>
      <c r="D4" s="61" t="n">
        <v>0.8</v>
      </c>
      <c r="E4" s="61" t="n">
        <v>0.85</v>
      </c>
      <c r="F4" s="61" t="n">
        <v>0.7</v>
      </c>
      <c r="G4" s="61" t="n">
        <v>0.7</v>
      </c>
      <c r="H4" s="61" t="n">
        <v>0.7</v>
      </c>
      <c r="I4" s="61" t="n">
        <v>0.7</v>
      </c>
      <c r="K4" s="60" t="s">
        <v>112</v>
      </c>
      <c r="L4" s="23" t="n">
        <f aca="false">SUM(C5:E5)</f>
        <v>48274.5426573597</v>
      </c>
      <c r="M4" s="23" t="n">
        <f aca="false">SUM(F5:I5)</f>
        <v>14282.8568570857</v>
      </c>
      <c r="N4" s="23" t="n">
        <f aca="false">SUM(L4:M4)</f>
        <v>62557.3995144454</v>
      </c>
    </row>
    <row r="5" customFormat="false" ht="12.8" hidden="false" customHeight="false" outlineLevel="0" collapsed="false">
      <c r="B5" s="58" t="s">
        <v>112</v>
      </c>
      <c r="C5" s="62" t="n">
        <f aca="false">C6*SIN(ACOS(C4))</f>
        <v>11185.5</v>
      </c>
      <c r="D5" s="62" t="n">
        <f aca="false">D6*SIN(ACOS(D4))</f>
        <v>13981.875</v>
      </c>
      <c r="E5" s="62" t="n">
        <f aca="false">E6*SIN(ACOS(E4))</f>
        <v>23107.1676573597</v>
      </c>
      <c r="F5" s="62" t="n">
        <f aca="false">F6*SIN(ACOS(F4))</f>
        <v>3060.61218366122</v>
      </c>
      <c r="G5" s="62" t="n">
        <f aca="false">G6*SIN(ACOS(G4))</f>
        <v>3060.61218366122</v>
      </c>
      <c r="H5" s="62" t="n">
        <f aca="false">H6*SIN(ACOS(H4))</f>
        <v>3060.61218366122</v>
      </c>
      <c r="I5" s="62" t="n">
        <f aca="false">I6*SIN(ACOS(I4))</f>
        <v>5101.02030610204</v>
      </c>
      <c r="K5" s="60" t="s">
        <v>113</v>
      </c>
      <c r="L5" s="23" t="n">
        <f aca="false">SQRT(POWER(L3,2)+POWER(L4,2))</f>
        <v>85726.0146689862</v>
      </c>
      <c r="M5" s="23" t="n">
        <f aca="false">SQRT(POWER(M3,2)+POWER(M4,2))</f>
        <v>20000</v>
      </c>
      <c r="N5" s="23" t="n">
        <f aca="false">SQRT(POWER(N3,2)+POWER(N4,2))</f>
        <v>105411.139621294</v>
      </c>
    </row>
    <row r="6" customFormat="false" ht="12.8" hidden="false" customHeight="false" outlineLevel="0" collapsed="false">
      <c r="B6" s="58" t="s">
        <v>113</v>
      </c>
      <c r="C6" s="62" t="n">
        <f aca="false">C3/C4</f>
        <v>18642.5</v>
      </c>
      <c r="D6" s="62" t="n">
        <f aca="false">D3/D4</f>
        <v>23303.125</v>
      </c>
      <c r="E6" s="62" t="n">
        <f aca="false">E3/E4</f>
        <v>43864.7058823529</v>
      </c>
      <c r="F6" s="62" t="n">
        <f aca="false">F3/F4</f>
        <v>4285.71428571429</v>
      </c>
      <c r="G6" s="62" t="n">
        <f aca="false">G3/G4</f>
        <v>4285.71428571429</v>
      </c>
      <c r="H6" s="62" t="n">
        <f aca="false">H3/H4</f>
        <v>4285.71428571429</v>
      </c>
      <c r="I6" s="62" t="n">
        <f aca="false">I3/I4</f>
        <v>7142.85714285714</v>
      </c>
      <c r="K6" s="60" t="s">
        <v>114</v>
      </c>
      <c r="L6" s="23" t="n">
        <f aca="false">L3/L5</f>
        <v>0.826371087861021</v>
      </c>
      <c r="M6" s="23" t="n">
        <f aca="false">M3/M5</f>
        <v>0.7</v>
      </c>
      <c r="N6" s="23" t="n">
        <f aca="false">N3/N5</f>
        <v>0.804862752692044</v>
      </c>
    </row>
    <row r="9" customFormat="false" ht="12.8" hidden="false" customHeight="false" outlineLevel="0" collapsed="false">
      <c r="B9" s="63" t="s">
        <v>115</v>
      </c>
      <c r="C9" s="63"/>
      <c r="D9" s="63"/>
      <c r="E9" s="63"/>
      <c r="F9" s="63"/>
      <c r="G9" s="63"/>
      <c r="H9" s="63"/>
      <c r="I9" s="63"/>
      <c r="L9" s="60" t="s">
        <v>108</v>
      </c>
      <c r="M9" s="60" t="s">
        <v>108</v>
      </c>
      <c r="N9" s="60" t="s">
        <v>109</v>
      </c>
    </row>
    <row r="10" customFormat="false" ht="12.8" hidden="false" customHeight="false" outlineLevel="0" collapsed="false">
      <c r="B10" s="64"/>
      <c r="C10" s="58" t="s">
        <v>103</v>
      </c>
      <c r="D10" s="58"/>
      <c r="E10" s="58"/>
      <c r="F10" s="58"/>
      <c r="G10" s="58"/>
      <c r="H10" s="58"/>
      <c r="I10" s="58"/>
      <c r="K10" s="37" t="s">
        <v>116</v>
      </c>
      <c r="L10" s="25" t="n">
        <v>0.95</v>
      </c>
      <c r="M10" s="25" t="n">
        <v>0.95</v>
      </c>
      <c r="N10" s="25" t="n">
        <v>0.95</v>
      </c>
    </row>
    <row r="11" customFormat="false" ht="12.8" hidden="false" customHeight="false" outlineLevel="0" collapsed="false">
      <c r="B11" s="64"/>
      <c r="C11" s="58" t="s">
        <v>54</v>
      </c>
      <c r="D11" s="58" t="s">
        <v>55</v>
      </c>
      <c r="E11" s="58" t="s">
        <v>56</v>
      </c>
      <c r="F11" s="58" t="s">
        <v>104</v>
      </c>
      <c r="G11" s="58" t="s">
        <v>105</v>
      </c>
      <c r="H11" s="58" t="s">
        <v>106</v>
      </c>
      <c r="I11" s="58" t="s">
        <v>107</v>
      </c>
      <c r="K11" s="37" t="s">
        <v>112</v>
      </c>
      <c r="L11" s="23" t="n">
        <f aca="false">L3*(TAN(ACOS(L6))-TAN(ACOS(L10)))</f>
        <v>24990.0676203312</v>
      </c>
      <c r="M11" s="23" t="n">
        <f aca="false">M3*(TAN(ACOS(M6))-TAN(ACOS(M10)))</f>
        <v>9681.27938458162</v>
      </c>
      <c r="N11" s="23" t="n">
        <f aca="false">N3*(TAN(ACOS(N6))-TAN(ACOS(N10)))</f>
        <v>34671.3470049128</v>
      </c>
    </row>
    <row r="12" customFormat="false" ht="12.8" hidden="false" customHeight="false" outlineLevel="0" collapsed="false">
      <c r="B12" s="58" t="s">
        <v>110</v>
      </c>
      <c r="C12" s="61" t="n">
        <v>14914</v>
      </c>
      <c r="D12" s="61" t="n">
        <v>18642.5</v>
      </c>
      <c r="E12" s="61" t="n">
        <v>37285</v>
      </c>
      <c r="F12" s="61" t="n">
        <v>3000</v>
      </c>
      <c r="G12" s="61" t="n">
        <v>3000</v>
      </c>
      <c r="H12" s="61" t="n">
        <v>3000</v>
      </c>
      <c r="I12" s="61" t="n">
        <v>5000</v>
      </c>
    </row>
    <row r="13" customFormat="false" ht="12.8" hidden="false" customHeight="false" outlineLevel="0" collapsed="false">
      <c r="B13" s="58" t="s">
        <v>117</v>
      </c>
      <c r="C13" s="61" t="n">
        <v>0.8</v>
      </c>
      <c r="D13" s="61" t="n">
        <v>0.8</v>
      </c>
      <c r="E13" s="61" t="n">
        <v>0.85</v>
      </c>
      <c r="F13" s="61" t="n">
        <v>0.7</v>
      </c>
      <c r="G13" s="61" t="n">
        <v>0.7</v>
      </c>
      <c r="H13" s="61" t="n">
        <v>0.7</v>
      </c>
      <c r="I13" s="61" t="n">
        <v>0.7</v>
      </c>
    </row>
    <row r="14" customFormat="false" ht="12.8" hidden="false" customHeight="false" outlineLevel="0" collapsed="false">
      <c r="B14" s="58" t="s">
        <v>118</v>
      </c>
      <c r="C14" s="61" t="n">
        <v>0.9</v>
      </c>
      <c r="D14" s="61" t="n">
        <v>0.9</v>
      </c>
      <c r="E14" s="61" t="n">
        <v>0.9</v>
      </c>
      <c r="F14" s="61" t="n">
        <v>0.9</v>
      </c>
      <c r="G14" s="61" t="n">
        <v>0.9</v>
      </c>
      <c r="H14" s="61" t="n">
        <v>0.9</v>
      </c>
      <c r="I14" s="61" t="n">
        <v>0.9</v>
      </c>
    </row>
    <row r="15" customFormat="false" ht="12.8" hidden="false" customHeight="false" outlineLevel="0" collapsed="false">
      <c r="B15" s="58" t="s">
        <v>112</v>
      </c>
      <c r="C15" s="62" t="n">
        <f aca="false">C3*(TAN(ACOS(C4))-TAN(ACOS(C14)))</f>
        <v>3962.32012844826</v>
      </c>
      <c r="D15" s="62" t="n">
        <f aca="false">D3*(TAN(ACOS(D4))-TAN(ACOS(D14)))</f>
        <v>4952.90016056033</v>
      </c>
      <c r="E15" s="62" t="n">
        <f aca="false">E3*(TAN(ACOS(E4))-TAN(ACOS(E14)))</f>
        <v>5049.21797848034</v>
      </c>
      <c r="F15" s="62" t="n">
        <f aca="false">F3*(TAN(ACOS(F4))-TAN(ACOS(F14)))</f>
        <v>1607.64586914766</v>
      </c>
      <c r="G15" s="62" t="n">
        <f aca="false">G3*(TAN(ACOS(G4))-TAN(ACOS(G14)))</f>
        <v>1607.64586914766</v>
      </c>
      <c r="H15" s="62" t="n">
        <f aca="false">H3*(TAN(ACOS(H4))-TAN(ACOS(H14)))</f>
        <v>1607.64586914766</v>
      </c>
      <c r="I15" s="62" t="n">
        <f aca="false">I3*(TAN(ACOS(I4))-TAN(ACOS(I14)))</f>
        <v>2679.40978191277</v>
      </c>
    </row>
  </sheetData>
  <sheetProtection sheet="true" objects="true" scenarios="true"/>
  <mergeCells count="3">
    <mergeCell ref="C1:I1"/>
    <mergeCell ref="B9:I9"/>
    <mergeCell ref="C10:I1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3.53"/>
    <col collapsed="false" customWidth="true" hidden="false" outlineLevel="0" max="4" min="4" style="0" width="32.65"/>
    <col collapsed="false" customWidth="true" hidden="false" outlineLevel="0" max="5" min="5" style="0" width="18.06"/>
    <col collapsed="false" customWidth="true" hidden="false" outlineLevel="0" max="6" min="6" style="0" width="32.93"/>
    <col collapsed="false" customWidth="true" hidden="false" outlineLevel="0" max="7" min="7" style="0" width="13.74"/>
    <col collapsed="false" customWidth="true" hidden="false" outlineLevel="0" max="8" min="8" style="0" width="18.13"/>
    <col collapsed="false" customWidth="true" hidden="false" outlineLevel="0" max="9" min="9" style="0" width="17.4"/>
  </cols>
  <sheetData>
    <row r="1" customFormat="false" ht="12.8" hidden="false" customHeight="false" outlineLevel="0" collapsed="false">
      <c r="A1" s="65" t="s">
        <v>119</v>
      </c>
      <c r="B1" s="65"/>
      <c r="H1" s="66" t="s">
        <v>120</v>
      </c>
      <c r="I1" s="66"/>
      <c r="J1" s="66"/>
      <c r="K1" s="66"/>
      <c r="L1" s="66"/>
      <c r="M1" s="27"/>
      <c r="N1" s="67" t="s">
        <v>121</v>
      </c>
      <c r="O1" s="67"/>
    </row>
    <row r="2" customFormat="false" ht="12.8" hidden="false" customHeight="false" outlineLevel="0" collapsed="false">
      <c r="A2" s="13" t="s">
        <v>122</v>
      </c>
      <c r="B2" s="13" t="s">
        <v>12</v>
      </c>
      <c r="I2" s="30" t="s">
        <v>123</v>
      </c>
      <c r="J2" s="68" t="n">
        <v>1</v>
      </c>
      <c r="K2" s="68" t="n">
        <v>1</v>
      </c>
      <c r="L2" s="68" t="n">
        <v>1</v>
      </c>
      <c r="M2" s="27"/>
      <c r="N2" s="27"/>
      <c r="O2" s="27"/>
    </row>
    <row r="3" customFormat="false" ht="12.8" hidden="false" customHeight="false" outlineLevel="0" collapsed="false">
      <c r="A3" s="25" t="n">
        <f aca="false">'Calculadora de sección'!B6</f>
        <v>84841</v>
      </c>
      <c r="B3" s="23" t="n">
        <f aca="false">A3*745.699872</f>
        <v>63265922.840352</v>
      </c>
      <c r="I3" s="69" t="s">
        <v>124</v>
      </c>
      <c r="J3" s="68" t="n">
        <v>2</v>
      </c>
      <c r="K3" s="68" t="n">
        <v>2</v>
      </c>
      <c r="L3" s="68" t="n">
        <v>2</v>
      </c>
      <c r="M3" s="27"/>
      <c r="N3" s="27"/>
      <c r="O3" s="27"/>
    </row>
    <row r="4" customFormat="false" ht="12.8" hidden="false" customHeight="false" outlineLevel="0" collapsed="false">
      <c r="I4" s="25" t="s">
        <v>125</v>
      </c>
      <c r="J4" s="68" t="n">
        <v>3</v>
      </c>
      <c r="K4" s="68" t="n">
        <v>3</v>
      </c>
      <c r="L4" s="68" t="n">
        <v>3</v>
      </c>
      <c r="M4" s="27"/>
      <c r="N4" s="27"/>
      <c r="O4" s="27"/>
    </row>
    <row r="5" customFormat="false" ht="12.8" hidden="false" customHeight="false" outlineLevel="0" collapsed="false">
      <c r="I5" s="30" t="s">
        <v>126</v>
      </c>
      <c r="J5" s="68" t="n">
        <v>4</v>
      </c>
      <c r="K5" s="68" t="n">
        <v>4</v>
      </c>
      <c r="L5" s="68" t="n">
        <v>4</v>
      </c>
    </row>
    <row r="6" customFormat="false" ht="12.8" hidden="false" customHeight="false" outlineLevel="0" collapsed="false">
      <c r="I6" s="30" t="s">
        <v>127</v>
      </c>
      <c r="J6" s="68" t="n">
        <v>5</v>
      </c>
      <c r="K6" s="68" t="n">
        <v>5</v>
      </c>
      <c r="L6" s="68" t="n">
        <v>5</v>
      </c>
    </row>
    <row r="7" customFormat="false" ht="12.8" hidden="false" customHeight="false" outlineLevel="0" collapsed="false">
      <c r="J7" s="68" t="n">
        <v>6</v>
      </c>
      <c r="K7" s="68" t="n">
        <v>6</v>
      </c>
      <c r="L7" s="68" t="n">
        <v>6</v>
      </c>
    </row>
    <row r="8" customFormat="false" ht="12.8" hidden="false" customHeight="false" outlineLevel="0" collapsed="false">
      <c r="J8" s="68" t="n">
        <v>8</v>
      </c>
    </row>
    <row r="9" customFormat="false" ht="12.8" hidden="false" customHeight="false" outlineLevel="0" collapsed="false">
      <c r="J9" s="68" t="n">
        <v>10</v>
      </c>
    </row>
    <row r="10" customFormat="false" ht="12.8" hidden="false" customHeight="false" outlineLevel="0" collapsed="false">
      <c r="I10" s="70" t="n">
        <v>1</v>
      </c>
      <c r="J10" s="70" t="s">
        <v>128</v>
      </c>
      <c r="K10" s="70" t="s">
        <v>128</v>
      </c>
    </row>
    <row r="11" customFormat="false" ht="23.85" hidden="false" customHeight="false" outlineLevel="0" collapsed="false">
      <c r="I11" s="70" t="n">
        <v>2</v>
      </c>
      <c r="J11" s="71" t="s">
        <v>129</v>
      </c>
      <c r="K11" s="71" t="s">
        <v>130</v>
      </c>
    </row>
    <row r="12" customFormat="false" ht="12.8" hidden="false" customHeight="false" outlineLevel="0" collapsed="false">
      <c r="I12" s="70" t="n">
        <v>3</v>
      </c>
      <c r="J12" s="71" t="s">
        <v>131</v>
      </c>
      <c r="K12" s="71" t="s">
        <v>132</v>
      </c>
    </row>
    <row r="13" customFormat="false" ht="12.8" hidden="false" customHeight="false" outlineLevel="0" collapsed="false">
      <c r="I13" s="70" t="n">
        <v>4</v>
      </c>
      <c r="J13" s="71" t="s">
        <v>133</v>
      </c>
      <c r="K13" s="71" t="s">
        <v>134</v>
      </c>
    </row>
    <row r="14" customFormat="false" ht="12.8" hidden="false" customHeight="false" outlineLevel="0" collapsed="false">
      <c r="I14" s="70" t="n">
        <v>6</v>
      </c>
      <c r="J14" s="71" t="s">
        <v>130</v>
      </c>
    </row>
    <row r="15" customFormat="false" ht="12.8" hidden="false" customHeight="false" outlineLevel="0" collapsed="false">
      <c r="I15" s="70" t="n">
        <v>9</v>
      </c>
      <c r="J15" s="71" t="s">
        <v>132</v>
      </c>
    </row>
    <row r="16" customFormat="false" ht="12.8" hidden="false" customHeight="false" outlineLevel="0" collapsed="false">
      <c r="I16" s="70" t="n">
        <v>12</v>
      </c>
    </row>
    <row r="17" customFormat="false" ht="12.8" hidden="false" customHeight="false" outlineLevel="0" collapsed="false">
      <c r="I17" s="70" t="n">
        <v>16</v>
      </c>
    </row>
    <row r="18" customFormat="false" ht="12.8" hidden="false" customHeight="false" outlineLevel="0" collapsed="false">
      <c r="I18" s="70" t="n">
        <v>20</v>
      </c>
    </row>
  </sheetData>
  <sheetProtection sheet="true" objects="true" scenarios="true"/>
  <mergeCells count="3">
    <mergeCell ref="A1:B1"/>
    <mergeCell ref="H1:L1"/>
    <mergeCell ref="N1:O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C7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19" activeCellId="0" sqref="O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09"/>
    <col collapsed="false" customWidth="true" hidden="false" outlineLevel="0" max="2" min="2" style="0" width="33.9"/>
    <col collapsed="false" customWidth="true" hidden="false" outlineLevel="0" max="3" min="3" style="0" width="5.55"/>
    <col collapsed="false" customWidth="true" hidden="false" outlineLevel="0" max="4" min="4" style="0" width="5.24"/>
    <col collapsed="false" customWidth="true" hidden="false" outlineLevel="0" max="6" min="5" style="0" width="6.02"/>
    <col collapsed="false" customWidth="true" hidden="false" outlineLevel="0" max="7" min="7" style="0" width="5.7"/>
    <col collapsed="false" customWidth="true" hidden="false" outlineLevel="0" max="8" min="8" style="0" width="6.63"/>
    <col collapsed="false" customWidth="true" hidden="false" outlineLevel="0" max="9" min="9" style="0" width="4.78"/>
    <col collapsed="false" customWidth="true" hidden="false" outlineLevel="0" max="10" min="10" style="0" width="6.94"/>
    <col collapsed="false" customWidth="true" hidden="false" outlineLevel="0" max="11" min="11" style="0" width="6.48"/>
    <col collapsed="false" customWidth="true" hidden="false" outlineLevel="0" max="12" min="12" style="0" width="6.94"/>
    <col collapsed="false" customWidth="true" hidden="false" outlineLevel="0" max="13" min="13" style="0" width="6.48"/>
    <col collapsed="false" customWidth="true" hidden="false" outlineLevel="0" max="14" min="14" style="0" width="6.33"/>
    <col collapsed="false" customWidth="true" hidden="false" outlineLevel="0" max="15" min="15" style="0" width="7.26"/>
    <col collapsed="false" customWidth="true" hidden="false" outlineLevel="0" max="16" min="16" style="0" width="6.02"/>
    <col collapsed="false" customWidth="true" hidden="false" outlineLevel="0" max="17" min="17" style="0" width="5.7"/>
    <col collapsed="false" customWidth="true" hidden="false" outlineLevel="0" max="18" min="18" style="0" width="5.86"/>
    <col collapsed="false" customWidth="true" hidden="false" outlineLevel="0" max="19" min="19" style="0" width="5.4"/>
    <col collapsed="false" customWidth="true" hidden="false" outlineLevel="0" max="20" min="20" style="0" width="5.55"/>
    <col collapsed="false" customWidth="true" hidden="false" outlineLevel="0" max="22" min="22" style="0" width="11.76"/>
    <col collapsed="false" customWidth="true" hidden="false" outlineLevel="0" max="23" min="23" style="0" width="6.05"/>
    <col collapsed="false" customWidth="true" hidden="false" outlineLevel="0" max="24" min="24" style="0" width="20.47"/>
    <col collapsed="false" customWidth="true" hidden="false" outlineLevel="0" max="25" min="25" style="0" width="11.29"/>
    <col collapsed="false" customWidth="true" hidden="false" outlineLevel="0" max="26" min="26" style="0" width="12.71"/>
    <col collapsed="false" customWidth="true" hidden="false" outlineLevel="0" max="27" min="27" style="0" width="24.15"/>
  </cols>
  <sheetData>
    <row r="2" customFormat="false" ht="12.8" hidden="false" customHeight="false" outlineLevel="0" collapsed="false">
      <c r="A2" s="72" t="s">
        <v>135</v>
      </c>
      <c r="C2" s="73" t="s">
        <v>35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W2" s="72" t="s">
        <v>136</v>
      </c>
      <c r="X2" s="73" t="s">
        <v>137</v>
      </c>
      <c r="Y2" s="73"/>
      <c r="Z2" s="73"/>
      <c r="AA2" s="73"/>
      <c r="AB2" s="59"/>
    </row>
    <row r="3" customFormat="false" ht="12.8" hidden="false" customHeight="true" outlineLevel="0" collapsed="false">
      <c r="A3" s="72"/>
      <c r="B3" s="46" t="s">
        <v>138</v>
      </c>
      <c r="C3" s="70" t="n">
        <v>-5</v>
      </c>
      <c r="D3" s="70" t="n">
        <v>0</v>
      </c>
      <c r="E3" s="70" t="n">
        <v>5</v>
      </c>
      <c r="F3" s="70" t="n">
        <v>10</v>
      </c>
      <c r="G3" s="70" t="n">
        <f aca="false">F3+5</f>
        <v>15</v>
      </c>
      <c r="H3" s="70" t="n">
        <f aca="false">G3+5</f>
        <v>20</v>
      </c>
      <c r="I3" s="70" t="n">
        <f aca="false">H3+5</f>
        <v>25</v>
      </c>
      <c r="J3" s="70" t="n">
        <f aca="false">I3+5</f>
        <v>30</v>
      </c>
      <c r="K3" s="70" t="n">
        <f aca="false">J3+5</f>
        <v>35</v>
      </c>
      <c r="L3" s="70" t="n">
        <f aca="false">K3+5</f>
        <v>40</v>
      </c>
      <c r="M3" s="70" t="n">
        <f aca="false">L3+5</f>
        <v>45</v>
      </c>
      <c r="N3" s="70" t="n">
        <f aca="false">M3+5</f>
        <v>50</v>
      </c>
      <c r="O3" s="70" t="n">
        <f aca="false">N3+5</f>
        <v>55</v>
      </c>
      <c r="P3" s="70" t="n">
        <f aca="false">O3+5</f>
        <v>60</v>
      </c>
      <c r="Q3" s="70" t="n">
        <f aca="false">P3+5</f>
        <v>65</v>
      </c>
      <c r="R3" s="70" t="n">
        <f aca="false">Q3+5</f>
        <v>70</v>
      </c>
      <c r="S3" s="70" t="n">
        <f aca="false">R3+5</f>
        <v>75</v>
      </c>
      <c r="T3" s="70" t="n">
        <f aca="false">S3+5</f>
        <v>80</v>
      </c>
      <c r="W3" s="72"/>
      <c r="X3" s="46" t="s">
        <v>39</v>
      </c>
      <c r="Y3" s="46" t="s">
        <v>139</v>
      </c>
      <c r="Z3" s="46" t="s">
        <v>140</v>
      </c>
      <c r="AA3" s="46" t="s">
        <v>141</v>
      </c>
    </row>
    <row r="4" customFormat="false" ht="12.8" hidden="false" customHeight="false" outlineLevel="0" collapsed="false">
      <c r="A4" s="72"/>
      <c r="B4" s="46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W4" s="72"/>
      <c r="X4" s="46"/>
      <c r="Y4" s="46"/>
      <c r="Z4" s="46"/>
      <c r="AA4" s="46"/>
    </row>
    <row r="5" customFormat="false" ht="12.8" hidden="false" customHeight="false" outlineLevel="0" collapsed="false">
      <c r="A5" s="72"/>
      <c r="B5" s="68" t="s">
        <v>101</v>
      </c>
      <c r="C5" s="23" t="n">
        <f aca="false">SQRT((70-C3)/(70-40))</f>
        <v>1.58113883008419</v>
      </c>
      <c r="D5" s="23" t="n">
        <f aca="false">SQRT((70-D3)/(70-40))</f>
        <v>1.52752523165195</v>
      </c>
      <c r="E5" s="23" t="n">
        <f aca="false">SQRT((70-E3)/(70-40))</f>
        <v>1.47196014438797</v>
      </c>
      <c r="F5" s="23" t="n">
        <f aca="false">SQRT((70-F3)/(70-40))</f>
        <v>1.4142135623731</v>
      </c>
      <c r="G5" s="23" t="n">
        <f aca="false">SQRT((70-G3)/(70-40))</f>
        <v>1.35400640077266</v>
      </c>
      <c r="H5" s="23" t="n">
        <f aca="false">SQRT((70-H3)/(70-40))</f>
        <v>1.29099444873581</v>
      </c>
      <c r="I5" s="23" t="n">
        <f aca="false">SQRT((70-I3)/(70-40))</f>
        <v>1.22474487139159</v>
      </c>
      <c r="J5" s="23" t="n">
        <f aca="false">SQRT((70-J3)/(70-40))</f>
        <v>1.15470053837925</v>
      </c>
      <c r="K5" s="23" t="n">
        <f aca="false">SQRT((70-K3)/(70-40))</f>
        <v>1.08012344973464</v>
      </c>
      <c r="L5" s="23" t="n">
        <f aca="false">SQRT((70-L3)/(70-40))</f>
        <v>1</v>
      </c>
      <c r="M5" s="23" t="n">
        <f aca="false">SQRT((70-M3)/(70-40))</f>
        <v>0.912870929175277</v>
      </c>
      <c r="N5" s="23" t="n">
        <f aca="false">SQRT((70-N3)/(70-40))</f>
        <v>0.816496580927726</v>
      </c>
      <c r="O5" s="23" t="n">
        <f aca="false">SQRT((70-O3)/(70-40))</f>
        <v>0.707106781186548</v>
      </c>
      <c r="P5" s="23" t="n">
        <f aca="false">SQRT((70-P3)/(70-40))</f>
        <v>0.577350269189626</v>
      </c>
      <c r="Q5" s="74"/>
      <c r="R5" s="74"/>
      <c r="S5" s="74"/>
      <c r="T5" s="74"/>
      <c r="W5" s="72"/>
      <c r="X5" s="68" t="n">
        <v>0.7</v>
      </c>
      <c r="Y5" s="25" t="n">
        <v>1.1</v>
      </c>
      <c r="Z5" s="25" t="s">
        <v>142</v>
      </c>
      <c r="AA5" s="25" t="s">
        <v>143</v>
      </c>
    </row>
    <row r="6" customFormat="false" ht="12.8" hidden="false" customHeight="false" outlineLevel="0" collapsed="false">
      <c r="A6" s="72"/>
      <c r="B6" s="68" t="s">
        <v>34</v>
      </c>
      <c r="C6" s="23" t="n">
        <f aca="false">SQRT((90-C3)/(90-40))</f>
        <v>1.37840487520902</v>
      </c>
      <c r="D6" s="23" t="n">
        <f aca="false">SQRT((90-D3)/(90-40))</f>
        <v>1.34164078649987</v>
      </c>
      <c r="E6" s="23" t="n">
        <f aca="false">SQRT((90-E3)/(90-40))</f>
        <v>1.30384048104053</v>
      </c>
      <c r="F6" s="23" t="n">
        <f aca="false">SQRT((90-F3)/(90-40))</f>
        <v>1.26491106406735</v>
      </c>
      <c r="G6" s="23" t="n">
        <f aca="false">SQRT((90-G3)/(90-40))</f>
        <v>1.22474487139159</v>
      </c>
      <c r="H6" s="23" t="n">
        <f aca="false">SQRT((90-H3)/(90-40))</f>
        <v>1.18321595661992</v>
      </c>
      <c r="I6" s="23" t="n">
        <f aca="false">SQRT((90-I3)/(90-40))</f>
        <v>1.14017542509914</v>
      </c>
      <c r="J6" s="23" t="n">
        <f aca="false">SQRT((90-J3)/(90-40))</f>
        <v>1.09544511501033</v>
      </c>
      <c r="K6" s="23" t="n">
        <f aca="false">SQRT((90-K3)/(90-40))</f>
        <v>1.04880884817015</v>
      </c>
      <c r="L6" s="23" t="n">
        <f aca="false">SQRT((90-L3)/(90-40))</f>
        <v>1</v>
      </c>
      <c r="M6" s="23" t="n">
        <f aca="false">SQRT((90-M3)/(90-40))</f>
        <v>0.948683298050514</v>
      </c>
      <c r="N6" s="23" t="n">
        <f aca="false">SQRT((90-N3)/(90-40))</f>
        <v>0.894427190999916</v>
      </c>
      <c r="O6" s="23" t="n">
        <f aca="false">SQRT((90-O3)/(90-40))</f>
        <v>0.836660026534076</v>
      </c>
      <c r="P6" s="23" t="n">
        <f aca="false">SQRT((90-P3)/(90-40))</f>
        <v>0.774596669241483</v>
      </c>
      <c r="Q6" s="23" t="n">
        <f aca="false">SQRT((90-Q3)/(90-40))</f>
        <v>0.707106781186548</v>
      </c>
      <c r="R6" s="23" t="n">
        <f aca="false">SQRT((90-R3)/(90-40))</f>
        <v>0.632455532033676</v>
      </c>
      <c r="S6" s="23" t="n">
        <f aca="false">SQRT((90-S3)/(90-40))</f>
        <v>0.547722557505166</v>
      </c>
      <c r="T6" s="23" t="n">
        <f aca="false">SQRT((90-T3)/(90-40))</f>
        <v>0.447213595499958</v>
      </c>
      <c r="W6" s="72"/>
      <c r="X6" s="68" t="n">
        <v>1</v>
      </c>
      <c r="Y6" s="25" t="n">
        <v>1</v>
      </c>
      <c r="Z6" s="25" t="s">
        <v>144</v>
      </c>
      <c r="AA6" s="25" t="s">
        <v>145</v>
      </c>
    </row>
    <row r="7" customFormat="false" ht="12.8" hidden="false" customHeight="false" outlineLevel="0" collapsed="false">
      <c r="W7" s="72"/>
      <c r="X7" s="68" t="n">
        <v>1.2</v>
      </c>
      <c r="Y7" s="25" t="n">
        <v>0.92</v>
      </c>
      <c r="Z7" s="25"/>
      <c r="AA7" s="25"/>
    </row>
    <row r="8" customFormat="false" ht="12.8" hidden="false" customHeight="false" outlineLevel="0" collapsed="false">
      <c r="W8" s="72"/>
      <c r="X8" s="68" t="n">
        <v>1.5</v>
      </c>
      <c r="Y8" s="25" t="n">
        <v>0.85</v>
      </c>
      <c r="Z8" s="25"/>
      <c r="AA8" s="25"/>
    </row>
    <row r="9" customFormat="false" ht="12.8" hidden="false" customHeight="false" outlineLevel="0" collapsed="false">
      <c r="A9" s="72" t="s">
        <v>146</v>
      </c>
      <c r="C9" s="75" t="s">
        <v>37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W9" s="72"/>
      <c r="X9" s="68" t="n">
        <v>2</v>
      </c>
      <c r="Y9" s="25" t="n">
        <v>0.75</v>
      </c>
      <c r="Z9" s="25" t="s">
        <v>147</v>
      </c>
      <c r="AA9" s="25" t="s">
        <v>148</v>
      </c>
    </row>
    <row r="10" customFormat="false" ht="12.8" hidden="false" customHeight="true" outlineLevel="0" collapsed="false">
      <c r="A10" s="72"/>
      <c r="B10" s="46" t="s">
        <v>138</v>
      </c>
      <c r="C10" s="70" t="n">
        <v>-5</v>
      </c>
      <c r="D10" s="70" t="n">
        <f aca="false">C10+5</f>
        <v>0</v>
      </c>
      <c r="E10" s="70" t="n">
        <f aca="false">D10+5</f>
        <v>5</v>
      </c>
      <c r="F10" s="70" t="n">
        <f aca="false">E10+5</f>
        <v>10</v>
      </c>
      <c r="G10" s="70" t="n">
        <f aca="false">F10+5</f>
        <v>15</v>
      </c>
      <c r="H10" s="70" t="n">
        <f aca="false">G10+5</f>
        <v>20</v>
      </c>
      <c r="I10" s="70" t="n">
        <f aca="false">H10+5</f>
        <v>25</v>
      </c>
      <c r="J10" s="70" t="n">
        <f aca="false">I10+5</f>
        <v>30</v>
      </c>
      <c r="K10" s="70" t="n">
        <f aca="false">J10+5</f>
        <v>35</v>
      </c>
      <c r="L10" s="70" t="n">
        <f aca="false">K10+5</f>
        <v>40</v>
      </c>
      <c r="M10" s="70" t="n">
        <f aca="false">L10+5</f>
        <v>45</v>
      </c>
      <c r="N10" s="70" t="n">
        <f aca="false">M10+5</f>
        <v>50</v>
      </c>
      <c r="O10" s="70" t="n">
        <f aca="false">N10+5</f>
        <v>55</v>
      </c>
      <c r="P10" s="70" t="n">
        <f aca="false">O10+5</f>
        <v>60</v>
      </c>
      <c r="Q10" s="70" t="n">
        <f aca="false">P10+5</f>
        <v>65</v>
      </c>
      <c r="R10" s="70" t="n">
        <f aca="false">Q10+5</f>
        <v>70</v>
      </c>
      <c r="S10" s="70" t="n">
        <f aca="false">R10+5</f>
        <v>75</v>
      </c>
      <c r="T10" s="70" t="n">
        <f aca="false">S10+5</f>
        <v>80</v>
      </c>
      <c r="W10" s="72"/>
      <c r="X10" s="68" t="n">
        <v>2.5</v>
      </c>
      <c r="Y10" s="25" t="n">
        <v>0.69</v>
      </c>
      <c r="Z10" s="76"/>
      <c r="AA10" s="76"/>
    </row>
    <row r="11" customFormat="false" ht="12.8" hidden="false" customHeight="false" outlineLevel="0" collapsed="false">
      <c r="A11" s="72"/>
      <c r="B11" s="46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W11" s="72"/>
      <c r="X11" s="68" t="n">
        <v>3</v>
      </c>
      <c r="Y11" s="25" t="n">
        <v>0.63</v>
      </c>
      <c r="Z11" s="25" t="s">
        <v>149</v>
      </c>
      <c r="AA11" s="25" t="s">
        <v>150</v>
      </c>
    </row>
    <row r="12" customFormat="false" ht="12.8" hidden="false" customHeight="false" outlineLevel="0" collapsed="false">
      <c r="A12" s="72"/>
      <c r="B12" s="68" t="s">
        <v>101</v>
      </c>
      <c r="C12" s="25" t="n">
        <v>1.3</v>
      </c>
      <c r="D12" s="25" t="n">
        <v>1.26</v>
      </c>
      <c r="E12" s="25" t="n">
        <v>1.21</v>
      </c>
      <c r="F12" s="25" t="n">
        <v>1.16</v>
      </c>
      <c r="G12" s="25" t="n">
        <v>1.11</v>
      </c>
      <c r="H12" s="25" t="n">
        <v>1.06</v>
      </c>
      <c r="I12" s="25" t="n">
        <v>1</v>
      </c>
      <c r="J12" s="25" t="n">
        <v>0.94</v>
      </c>
      <c r="K12" s="25" t="n">
        <v>0.88</v>
      </c>
      <c r="L12" s="25" t="n">
        <v>0.81</v>
      </c>
      <c r="M12" s="25" t="n">
        <v>0.75</v>
      </c>
      <c r="N12" s="25" t="n">
        <v>0.66</v>
      </c>
      <c r="O12" s="25" t="n">
        <v>0.58</v>
      </c>
      <c r="P12" s="25" t="n">
        <v>0.47</v>
      </c>
      <c r="Q12" s="77"/>
      <c r="R12" s="77"/>
      <c r="S12" s="77"/>
      <c r="T12" s="77"/>
    </row>
    <row r="13" customFormat="false" ht="12.8" hidden="false" customHeight="false" outlineLevel="0" collapsed="false">
      <c r="A13" s="72"/>
      <c r="B13" s="68" t="s">
        <v>34</v>
      </c>
      <c r="C13" s="25"/>
      <c r="D13" s="25"/>
      <c r="E13" s="25"/>
      <c r="F13" s="25" t="n">
        <v>1.11</v>
      </c>
      <c r="G13" s="25" t="n">
        <v>1.08</v>
      </c>
      <c r="H13" s="25" t="n">
        <v>1.05</v>
      </c>
      <c r="I13" s="25" t="n">
        <v>1</v>
      </c>
      <c r="J13" s="25" t="n">
        <v>0.97</v>
      </c>
      <c r="K13" s="25" t="n">
        <v>0.93</v>
      </c>
      <c r="L13" s="25" t="n">
        <v>0.86</v>
      </c>
      <c r="M13" s="25" t="n">
        <v>0.83</v>
      </c>
      <c r="N13" s="25" t="n">
        <v>0.79</v>
      </c>
      <c r="O13" s="25" t="n">
        <v>0.74</v>
      </c>
      <c r="P13" s="25" t="n">
        <v>0.68</v>
      </c>
      <c r="Q13" s="25" t="n">
        <v>0.62</v>
      </c>
      <c r="R13" s="25" t="n">
        <v>0.55</v>
      </c>
      <c r="S13" s="25" t="n">
        <v>0.48</v>
      </c>
      <c r="T13" s="25" t="n">
        <v>0.39</v>
      </c>
    </row>
    <row r="14" customFormat="false" ht="12.8" hidden="false" customHeight="true" outlineLevel="0" collapsed="false">
      <c r="W14" s="72" t="s">
        <v>151</v>
      </c>
      <c r="X14" s="78" t="s">
        <v>152</v>
      </c>
      <c r="Y14" s="78"/>
      <c r="Z14" s="59"/>
      <c r="AA14" s="59"/>
      <c r="AB14" s="59"/>
      <c r="AC14" s="59"/>
    </row>
    <row r="15" customFormat="false" ht="12.8" hidden="false" customHeight="false" outlineLevel="0" collapsed="false">
      <c r="W15" s="72"/>
      <c r="X15" s="72"/>
      <c r="Y15" s="78"/>
    </row>
    <row r="16" customFormat="false" ht="12.8" hidden="false" customHeight="true" outlineLevel="0" collapsed="false">
      <c r="A16" s="72" t="s">
        <v>89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W16" s="72"/>
      <c r="X16" s="46" t="s">
        <v>153</v>
      </c>
      <c r="Y16" s="46" t="s">
        <v>139</v>
      </c>
    </row>
    <row r="17" customFormat="false" ht="12.8" hidden="false" customHeight="false" outlineLevel="0" collapsed="false">
      <c r="A17" s="72" t="s">
        <v>154</v>
      </c>
      <c r="C17" s="73" t="s">
        <v>155</v>
      </c>
      <c r="D17" s="73"/>
      <c r="E17" s="73"/>
      <c r="F17" s="73"/>
      <c r="G17" s="73"/>
      <c r="H17" s="73"/>
      <c r="I17" s="73"/>
      <c r="J17" s="73"/>
      <c r="K17" s="73"/>
      <c r="W17" s="72"/>
      <c r="X17" s="46"/>
      <c r="Y17" s="46"/>
    </row>
    <row r="18" customFormat="false" ht="12.8" hidden="false" customHeight="false" outlineLevel="0" collapsed="false">
      <c r="A18" s="72"/>
      <c r="B18" s="47" t="s">
        <v>156</v>
      </c>
      <c r="C18" s="70" t="n">
        <v>1</v>
      </c>
      <c r="D18" s="70" t="n">
        <v>2</v>
      </c>
      <c r="E18" s="70" t="n">
        <v>3</v>
      </c>
      <c r="F18" s="70" t="n">
        <v>4</v>
      </c>
      <c r="G18" s="70" t="n">
        <v>6</v>
      </c>
      <c r="H18" s="70" t="n">
        <v>9</v>
      </c>
      <c r="I18" s="70" t="n">
        <v>12</v>
      </c>
      <c r="J18" s="70" t="n">
        <v>16</v>
      </c>
      <c r="K18" s="70" t="n">
        <v>20</v>
      </c>
      <c r="W18" s="72"/>
      <c r="X18" s="68" t="s">
        <v>42</v>
      </c>
      <c r="Y18" s="25" t="n">
        <v>1</v>
      </c>
    </row>
    <row r="19" customFormat="false" ht="12.8" hidden="false" customHeight="false" outlineLevel="0" collapsed="false">
      <c r="A19" s="72"/>
      <c r="B19" s="47"/>
      <c r="C19" s="70"/>
      <c r="D19" s="70"/>
      <c r="E19" s="70"/>
      <c r="F19" s="70"/>
      <c r="G19" s="70"/>
      <c r="H19" s="70"/>
      <c r="I19" s="70"/>
      <c r="J19" s="70"/>
      <c r="K19" s="70"/>
      <c r="W19" s="72"/>
      <c r="X19" s="68" t="s">
        <v>157</v>
      </c>
      <c r="Y19" s="25" t="n">
        <v>0.97</v>
      </c>
    </row>
    <row r="20" customFormat="false" ht="12.8" hidden="false" customHeight="true" outlineLevel="0" collapsed="false">
      <c r="A20" s="72"/>
      <c r="B20" s="79" t="s">
        <v>123</v>
      </c>
      <c r="C20" s="25" t="n">
        <v>1</v>
      </c>
      <c r="D20" s="25" t="n">
        <v>0.8</v>
      </c>
      <c r="E20" s="25" t="n">
        <v>0.7</v>
      </c>
      <c r="F20" s="25" t="n">
        <v>0.7</v>
      </c>
      <c r="G20" s="25" t="n">
        <v>0.55</v>
      </c>
      <c r="H20" s="25" t="n">
        <v>0.5</v>
      </c>
      <c r="I20" s="25" t="n">
        <v>0.45</v>
      </c>
      <c r="J20" s="25" t="n">
        <v>0.4</v>
      </c>
      <c r="K20" s="25" t="n">
        <v>0.4</v>
      </c>
      <c r="W20" s="72"/>
      <c r="X20" s="68" t="s">
        <v>158</v>
      </c>
      <c r="Y20" s="25" t="n">
        <v>0.95</v>
      </c>
    </row>
    <row r="21" customFormat="false" ht="12.8" hidden="false" customHeight="false" outlineLevel="0" collapsed="false">
      <c r="A21" s="72"/>
      <c r="B21" s="79"/>
      <c r="C21" s="25"/>
      <c r="D21" s="25"/>
      <c r="E21" s="25"/>
      <c r="F21" s="25"/>
      <c r="G21" s="25"/>
      <c r="H21" s="25"/>
      <c r="I21" s="25"/>
      <c r="J21" s="25"/>
      <c r="K21" s="25"/>
      <c r="W21" s="72"/>
      <c r="X21" s="68" t="s">
        <v>159</v>
      </c>
      <c r="Y21" s="25" t="n">
        <v>0.93</v>
      </c>
    </row>
    <row r="22" customFormat="false" ht="12.8" hidden="false" customHeight="false" outlineLevel="0" collapsed="false">
      <c r="A22" s="72"/>
      <c r="B22" s="79"/>
      <c r="C22" s="25"/>
      <c r="D22" s="25"/>
      <c r="E22" s="25"/>
      <c r="F22" s="25"/>
      <c r="G22" s="25"/>
      <c r="H22" s="25"/>
      <c r="I22" s="25"/>
      <c r="J22" s="25"/>
      <c r="K22" s="25"/>
      <c r="W22" s="72"/>
      <c r="X22" s="68" t="s">
        <v>160</v>
      </c>
      <c r="Y22" s="25" t="n">
        <v>0.92</v>
      </c>
    </row>
    <row r="23" customFormat="false" ht="12.8" hidden="false" customHeight="true" outlineLevel="0" collapsed="false">
      <c r="A23" s="72"/>
      <c r="B23" s="79" t="s">
        <v>124</v>
      </c>
      <c r="C23" s="25" t="n">
        <v>1</v>
      </c>
      <c r="D23" s="25" t="n">
        <v>0.85</v>
      </c>
      <c r="E23" s="25" t="n">
        <v>0.8</v>
      </c>
      <c r="F23" s="25" t="n">
        <v>0.75</v>
      </c>
      <c r="G23" s="25" t="n">
        <v>0.7</v>
      </c>
      <c r="H23" s="25" t="n">
        <v>0.7</v>
      </c>
      <c r="I23" s="25" t="n">
        <v>0.7</v>
      </c>
      <c r="J23" s="25" t="n">
        <v>0.7</v>
      </c>
      <c r="K23" s="25" t="n">
        <v>0.7</v>
      </c>
      <c r="W23" s="72"/>
      <c r="X23" s="68" t="s">
        <v>161</v>
      </c>
      <c r="Y23" s="25" t="n">
        <v>0.91</v>
      </c>
    </row>
    <row r="24" customFormat="false" ht="12.8" hidden="false" customHeight="false" outlineLevel="0" collapsed="false">
      <c r="A24" s="72"/>
      <c r="B24" s="79"/>
      <c r="C24" s="25"/>
      <c r="D24" s="25"/>
      <c r="E24" s="25"/>
      <c r="F24" s="25"/>
      <c r="G24" s="25"/>
      <c r="H24" s="25"/>
      <c r="I24" s="25"/>
      <c r="J24" s="25"/>
      <c r="K24" s="25"/>
      <c r="W24" s="72"/>
      <c r="X24" s="68" t="s">
        <v>162</v>
      </c>
      <c r="Y24" s="25" t="n">
        <v>0.9</v>
      </c>
    </row>
    <row r="25" customFormat="false" ht="12.8" hidden="false" customHeight="false" outlineLevel="0" collapsed="false">
      <c r="A25" s="72"/>
      <c r="B25" s="80" t="s">
        <v>125</v>
      </c>
      <c r="C25" s="25" t="n">
        <v>0.95</v>
      </c>
      <c r="D25" s="25" t="n">
        <v>0.8</v>
      </c>
      <c r="E25" s="25" t="n">
        <v>0.7</v>
      </c>
      <c r="F25" s="25" t="n">
        <v>0.7</v>
      </c>
      <c r="G25" s="25" t="n">
        <v>0.65</v>
      </c>
      <c r="H25" s="25" t="n">
        <v>0.6</v>
      </c>
      <c r="I25" s="25" t="n">
        <v>0.6</v>
      </c>
      <c r="J25" s="25" t="n">
        <v>0.6</v>
      </c>
      <c r="K25" s="25" t="n">
        <v>0.6</v>
      </c>
      <c r="W25" s="72"/>
      <c r="X25" s="68" t="s">
        <v>163</v>
      </c>
      <c r="Y25" s="25" t="n">
        <v>0.88</v>
      </c>
    </row>
    <row r="26" customFormat="false" ht="12.8" hidden="false" customHeight="true" outlineLevel="0" collapsed="false">
      <c r="A26" s="72"/>
      <c r="B26" s="79" t="s">
        <v>126</v>
      </c>
      <c r="C26" s="25" t="n">
        <v>1</v>
      </c>
      <c r="D26" s="25" t="n">
        <v>0.9</v>
      </c>
      <c r="E26" s="25" t="n">
        <v>0.8</v>
      </c>
      <c r="F26" s="25" t="n">
        <v>0.75</v>
      </c>
      <c r="G26" s="25" t="n">
        <v>0.75</v>
      </c>
      <c r="H26" s="25" t="n">
        <v>0.7</v>
      </c>
      <c r="I26" s="25" t="n">
        <v>0.7</v>
      </c>
      <c r="J26" s="25" t="n">
        <v>0.7</v>
      </c>
      <c r="K26" s="25" t="n">
        <v>0.7</v>
      </c>
      <c r="W26" s="72"/>
      <c r="X26" s="68" t="s">
        <v>164</v>
      </c>
      <c r="Y26" s="25" t="n">
        <v>0.87</v>
      </c>
    </row>
    <row r="27" customFormat="false" ht="12.8" hidden="false" customHeight="false" outlineLevel="0" collapsed="false">
      <c r="A27" s="72"/>
      <c r="B27" s="79"/>
      <c r="C27" s="25"/>
      <c r="D27" s="25"/>
      <c r="E27" s="25"/>
      <c r="F27" s="25"/>
      <c r="G27" s="25"/>
      <c r="H27" s="25"/>
      <c r="I27" s="25"/>
      <c r="J27" s="25"/>
      <c r="K27" s="25"/>
    </row>
    <row r="28" customFormat="false" ht="12.8" hidden="false" customHeight="true" outlineLevel="0" collapsed="false">
      <c r="A28" s="72"/>
      <c r="B28" s="79" t="s">
        <v>127</v>
      </c>
      <c r="C28" s="25" t="n">
        <v>1</v>
      </c>
      <c r="D28" s="25" t="n">
        <v>0.85</v>
      </c>
      <c r="E28" s="25" t="n">
        <v>0.8</v>
      </c>
      <c r="F28" s="25" t="n">
        <v>0.8</v>
      </c>
      <c r="G28" s="25" t="n">
        <v>0.8</v>
      </c>
      <c r="H28" s="25" t="n">
        <v>0.8</v>
      </c>
      <c r="I28" s="25" t="n">
        <v>0.8</v>
      </c>
      <c r="J28" s="25" t="n">
        <v>0.8</v>
      </c>
      <c r="K28" s="25" t="n">
        <v>0.8</v>
      </c>
    </row>
    <row r="29" customFormat="false" ht="12.8" hidden="false" customHeight="false" outlineLevel="0" collapsed="false">
      <c r="A29" s="72"/>
      <c r="B29" s="79"/>
      <c r="C29" s="25"/>
      <c r="D29" s="25"/>
      <c r="E29" s="25"/>
      <c r="F29" s="25"/>
      <c r="G29" s="25"/>
      <c r="H29" s="25"/>
      <c r="I29" s="25"/>
      <c r="J29" s="25"/>
      <c r="K29" s="25"/>
    </row>
    <row r="30" customFormat="false" ht="12.8" hidden="false" customHeight="false" outlineLevel="0" collapsed="false">
      <c r="A30" s="57"/>
      <c r="B30" s="81"/>
      <c r="C30" s="57"/>
      <c r="D30" s="57"/>
      <c r="E30" s="57"/>
      <c r="F30" s="57"/>
      <c r="G30" s="57"/>
      <c r="H30" s="57"/>
      <c r="I30" s="57"/>
      <c r="J30" s="57"/>
      <c r="K30" s="57"/>
    </row>
    <row r="31" customFormat="false" ht="12.8" hidden="false" customHeight="false" outlineLevel="0" collapsed="false">
      <c r="A31" s="57"/>
      <c r="B31" s="81"/>
      <c r="C31" s="57"/>
      <c r="D31" s="57"/>
      <c r="E31" s="57"/>
      <c r="F31" s="57"/>
      <c r="G31" s="57"/>
      <c r="H31" s="57"/>
      <c r="I31" s="57"/>
      <c r="J31" s="57"/>
      <c r="K31" s="57"/>
    </row>
    <row r="32" customFormat="false" ht="12.8" hidden="false" customHeight="false" outlineLevel="0" collapsed="false">
      <c r="A32" s="72" t="s">
        <v>21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</row>
    <row r="33" customFormat="false" ht="12.8" hidden="false" customHeight="false" outlineLevel="0" collapsed="false">
      <c r="A33" s="72" t="s">
        <v>154</v>
      </c>
      <c r="C33" s="73" t="s">
        <v>165</v>
      </c>
      <c r="D33" s="73"/>
      <c r="E33" s="73"/>
      <c r="F33" s="73"/>
      <c r="G33" s="73"/>
      <c r="H33" s="73"/>
      <c r="I33" s="73"/>
    </row>
    <row r="34" customFormat="false" ht="12.8" hidden="false" customHeight="true" outlineLevel="0" collapsed="false">
      <c r="A34" s="72"/>
      <c r="B34" s="46" t="s">
        <v>166</v>
      </c>
      <c r="C34" s="70" t="s">
        <v>128</v>
      </c>
      <c r="D34" s="71" t="s">
        <v>129</v>
      </c>
      <c r="E34" s="71" t="s">
        <v>129</v>
      </c>
      <c r="F34" s="71" t="s">
        <v>131</v>
      </c>
      <c r="G34" s="71" t="s">
        <v>133</v>
      </c>
      <c r="H34" s="71" t="s">
        <v>130</v>
      </c>
      <c r="I34" s="71" t="s">
        <v>132</v>
      </c>
    </row>
    <row r="35" customFormat="false" ht="12.8" hidden="false" customHeight="false" outlineLevel="0" collapsed="false">
      <c r="A35" s="72"/>
      <c r="B35" s="46"/>
      <c r="C35" s="70"/>
      <c r="D35" s="71"/>
      <c r="E35" s="71"/>
      <c r="F35" s="71"/>
      <c r="G35" s="71"/>
      <c r="H35" s="71"/>
      <c r="I35" s="71"/>
    </row>
    <row r="36" customFormat="false" ht="12.8" hidden="false" customHeight="false" outlineLevel="0" collapsed="false">
      <c r="A36" s="72"/>
      <c r="B36" s="68" t="n">
        <v>2</v>
      </c>
      <c r="C36" s="30" t="n">
        <v>0.75</v>
      </c>
      <c r="D36" s="30" t="n">
        <v>0.8</v>
      </c>
      <c r="E36" s="30"/>
      <c r="F36" s="25" t="n">
        <v>0.85</v>
      </c>
      <c r="G36" s="30" t="n">
        <v>0.85</v>
      </c>
      <c r="H36" s="30" t="n">
        <v>0.87</v>
      </c>
      <c r="I36" s="30" t="n">
        <v>0.9</v>
      </c>
    </row>
    <row r="37" customFormat="false" ht="12.8" hidden="false" customHeight="false" outlineLevel="0" collapsed="false">
      <c r="A37" s="72"/>
      <c r="B37" s="68" t="n">
        <v>3</v>
      </c>
      <c r="C37" s="30" t="n">
        <v>0.65</v>
      </c>
      <c r="D37" s="30" t="n">
        <v>0.7</v>
      </c>
      <c r="E37" s="30"/>
      <c r="F37" s="25" t="n">
        <v>0.75</v>
      </c>
      <c r="G37" s="30" t="n">
        <v>0.75</v>
      </c>
      <c r="H37" s="30" t="n">
        <v>0.79</v>
      </c>
      <c r="I37" s="30" t="n">
        <v>0.85</v>
      </c>
    </row>
    <row r="38" customFormat="false" ht="12.8" hidden="false" customHeight="false" outlineLevel="0" collapsed="false">
      <c r="A38" s="72"/>
      <c r="B38" s="68" t="n">
        <v>4</v>
      </c>
      <c r="C38" s="25" t="n">
        <v>0.6</v>
      </c>
      <c r="D38" s="30" t="n">
        <v>0.6</v>
      </c>
      <c r="E38" s="30"/>
      <c r="F38" s="25" t="n">
        <v>0.68</v>
      </c>
      <c r="G38" s="25" t="n">
        <v>0.7</v>
      </c>
      <c r="H38" s="25" t="n">
        <v>0.75</v>
      </c>
      <c r="I38" s="25" t="n">
        <v>0.8</v>
      </c>
    </row>
    <row r="39" customFormat="false" ht="12.8" hidden="false" customHeight="false" outlineLevel="0" collapsed="false">
      <c r="A39" s="72"/>
      <c r="B39" s="68" t="n">
        <v>5</v>
      </c>
      <c r="C39" s="25" t="n">
        <v>0.55</v>
      </c>
      <c r="D39" s="30" t="n">
        <v>0.55</v>
      </c>
      <c r="E39" s="30"/>
      <c r="F39" s="25" t="n">
        <v>0.64</v>
      </c>
      <c r="G39" s="25" t="n">
        <v>0.65</v>
      </c>
      <c r="H39" s="25" t="n">
        <v>0.72</v>
      </c>
      <c r="I39" s="25" t="n">
        <v>0.8</v>
      </c>
    </row>
    <row r="40" customFormat="false" ht="12.8" hidden="false" customHeight="false" outlineLevel="0" collapsed="false">
      <c r="A40" s="72"/>
      <c r="B40" s="68" t="n">
        <v>6</v>
      </c>
      <c r="C40" s="25" t="n">
        <v>0.5</v>
      </c>
      <c r="D40" s="30" t="n">
        <v>0.55</v>
      </c>
      <c r="E40" s="30"/>
      <c r="F40" s="25" t="n">
        <v>0.6</v>
      </c>
      <c r="G40" s="25" t="n">
        <v>0.6</v>
      </c>
      <c r="H40" s="25" t="n">
        <v>0.69</v>
      </c>
      <c r="I40" s="25" t="n">
        <v>0.8</v>
      </c>
    </row>
    <row r="41" customFormat="false" ht="12.8" hidden="false" customHeight="false" outlineLevel="0" collapsed="false">
      <c r="A41" s="72"/>
      <c r="B41" s="68" t="n">
        <v>8</v>
      </c>
      <c r="C41" s="25" t="n">
        <v>0.48</v>
      </c>
      <c r="D41" s="30"/>
      <c r="E41" s="30"/>
      <c r="F41" s="25" t="n">
        <v>0.56</v>
      </c>
      <c r="G41" s="25"/>
      <c r="H41" s="25" t="n">
        <v>0.66</v>
      </c>
      <c r="I41" s="25"/>
    </row>
    <row r="42" customFormat="false" ht="12.8" hidden="false" customHeight="false" outlineLevel="0" collapsed="false">
      <c r="A42" s="72"/>
      <c r="B42" s="68" t="n">
        <v>10</v>
      </c>
      <c r="C42" s="25" t="n">
        <v>0.46</v>
      </c>
      <c r="D42" s="30"/>
      <c r="E42" s="30"/>
      <c r="F42" s="25" t="n">
        <v>0.53</v>
      </c>
      <c r="G42" s="25"/>
      <c r="H42" s="25" t="n">
        <v>0.64</v>
      </c>
      <c r="I42" s="25"/>
    </row>
    <row r="45" customFormat="false" ht="12.8" hidden="false" customHeight="false" outlineLevel="0" collapsed="false">
      <c r="A45" s="72" t="s">
        <v>167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</row>
    <row r="46" customFormat="false" ht="12.8" hidden="false" customHeight="true" outlineLevel="0" collapsed="false">
      <c r="A46" s="72" t="s">
        <v>154</v>
      </c>
      <c r="C46" s="78" t="s">
        <v>168</v>
      </c>
      <c r="D46" s="78"/>
      <c r="E46" s="78"/>
      <c r="F46" s="78"/>
    </row>
    <row r="47" customFormat="false" ht="12.8" hidden="false" customHeight="false" outlineLevel="0" collapsed="false">
      <c r="A47" s="72"/>
      <c r="C47" s="78"/>
      <c r="D47" s="78"/>
      <c r="E47" s="78"/>
      <c r="F47" s="78"/>
    </row>
    <row r="48" customFormat="false" ht="12.8" hidden="false" customHeight="true" outlineLevel="0" collapsed="false">
      <c r="A48" s="72"/>
      <c r="B48" s="46" t="s">
        <v>169</v>
      </c>
      <c r="C48" s="70" t="s">
        <v>128</v>
      </c>
      <c r="D48" s="71" t="s">
        <v>130</v>
      </c>
      <c r="E48" s="71" t="s">
        <v>132</v>
      </c>
      <c r="F48" s="71" t="s">
        <v>134</v>
      </c>
    </row>
    <row r="49" customFormat="false" ht="12.8" hidden="false" customHeight="false" outlineLevel="0" collapsed="false">
      <c r="A49" s="72"/>
      <c r="B49" s="46"/>
      <c r="C49" s="70"/>
      <c r="D49" s="71"/>
      <c r="E49" s="71"/>
      <c r="F49" s="71"/>
    </row>
    <row r="50" customFormat="false" ht="12.8" hidden="false" customHeight="false" outlineLevel="0" collapsed="false">
      <c r="A50" s="72"/>
      <c r="B50" s="68" t="n">
        <v>2</v>
      </c>
      <c r="C50" s="30" t="n">
        <v>0.85</v>
      </c>
      <c r="D50" s="30" t="n">
        <v>0.9</v>
      </c>
      <c r="E50" s="30" t="n">
        <v>0.95</v>
      </c>
      <c r="F50" s="30" t="n">
        <v>0.95</v>
      </c>
    </row>
    <row r="51" customFormat="false" ht="12.8" hidden="false" customHeight="false" outlineLevel="0" collapsed="false">
      <c r="A51" s="72"/>
      <c r="B51" s="68" t="n">
        <v>3</v>
      </c>
      <c r="C51" s="30" t="n">
        <v>0.75</v>
      </c>
      <c r="D51" s="30" t="n">
        <v>0.85</v>
      </c>
      <c r="E51" s="30" t="n">
        <v>0.9</v>
      </c>
      <c r="F51" s="30" t="n">
        <v>0.95</v>
      </c>
    </row>
    <row r="52" customFormat="false" ht="12.8" hidden="false" customHeight="false" outlineLevel="0" collapsed="false">
      <c r="A52" s="72"/>
      <c r="B52" s="68" t="n">
        <v>4</v>
      </c>
      <c r="C52" s="25" t="n">
        <v>0.7</v>
      </c>
      <c r="D52" s="25" t="n">
        <v>0.8</v>
      </c>
      <c r="E52" s="25" t="n">
        <v>0.85</v>
      </c>
      <c r="F52" s="25" t="n">
        <v>0.9</v>
      </c>
    </row>
    <row r="53" customFormat="false" ht="12.8" hidden="false" customHeight="false" outlineLevel="0" collapsed="false">
      <c r="A53" s="72"/>
      <c r="B53" s="68" t="n">
        <v>5</v>
      </c>
      <c r="C53" s="25" t="n">
        <v>0.65</v>
      </c>
      <c r="D53" s="25" t="n">
        <v>0.8</v>
      </c>
      <c r="E53" s="25" t="n">
        <v>0.85</v>
      </c>
      <c r="F53" s="25" t="n">
        <v>0.9</v>
      </c>
    </row>
    <row r="54" customFormat="false" ht="12.8" hidden="false" customHeight="false" outlineLevel="0" collapsed="false">
      <c r="A54" s="72"/>
      <c r="B54" s="68" t="n">
        <v>6</v>
      </c>
      <c r="C54" s="25" t="n">
        <v>0.6</v>
      </c>
      <c r="D54" s="25" t="n">
        <v>0.8</v>
      </c>
      <c r="E54" s="25" t="n">
        <v>0.8</v>
      </c>
      <c r="F54" s="25" t="n">
        <v>0.9</v>
      </c>
    </row>
    <row r="57" customFormat="false" ht="12.8" hidden="false" customHeight="false" outlineLevel="0" collapsed="false">
      <c r="A57" s="72" t="s">
        <v>170</v>
      </c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</row>
    <row r="58" customFormat="false" ht="12.8" hidden="false" customHeight="true" outlineLevel="0" collapsed="false">
      <c r="A58" s="72" t="s">
        <v>154</v>
      </c>
      <c r="C58" s="78" t="s">
        <v>168</v>
      </c>
      <c r="D58" s="78"/>
      <c r="E58" s="78"/>
      <c r="F58" s="78"/>
    </row>
    <row r="59" customFormat="false" ht="12.8" hidden="false" customHeight="false" outlineLevel="0" collapsed="false">
      <c r="A59" s="72"/>
      <c r="C59" s="78"/>
      <c r="D59" s="78"/>
      <c r="E59" s="78"/>
      <c r="F59" s="78"/>
    </row>
    <row r="60" customFormat="false" ht="12.8" hidden="false" customHeight="true" outlineLevel="0" collapsed="false">
      <c r="A60" s="72"/>
      <c r="B60" s="46" t="s">
        <v>171</v>
      </c>
      <c r="C60" s="71" t="s">
        <v>128</v>
      </c>
      <c r="D60" s="71" t="s">
        <v>130</v>
      </c>
      <c r="E60" s="71" t="s">
        <v>132</v>
      </c>
      <c r="F60" s="71" t="s">
        <v>134</v>
      </c>
    </row>
    <row r="61" customFormat="false" ht="12.8" hidden="false" customHeight="false" outlineLevel="0" collapsed="false">
      <c r="A61" s="72"/>
      <c r="B61" s="46"/>
      <c r="C61" s="71"/>
      <c r="D61" s="71"/>
      <c r="E61" s="71"/>
      <c r="F61" s="71"/>
    </row>
    <row r="62" customFormat="false" ht="12.8" hidden="false" customHeight="false" outlineLevel="0" collapsed="false">
      <c r="A62" s="72"/>
      <c r="B62" s="68" t="n">
        <v>2</v>
      </c>
      <c r="C62" s="30" t="n">
        <v>0.8</v>
      </c>
      <c r="D62" s="30" t="n">
        <v>0.9</v>
      </c>
      <c r="E62" s="30" t="n">
        <v>0.9</v>
      </c>
      <c r="F62" s="30" t="n">
        <v>0.95</v>
      </c>
    </row>
    <row r="63" customFormat="false" ht="12.8" hidden="false" customHeight="false" outlineLevel="0" collapsed="false">
      <c r="A63" s="72"/>
      <c r="B63" s="68" t="n">
        <v>3</v>
      </c>
      <c r="C63" s="30" t="n">
        <v>0.7</v>
      </c>
      <c r="D63" s="30" t="n">
        <v>0.8</v>
      </c>
      <c r="E63" s="30" t="n">
        <v>0.85</v>
      </c>
      <c r="F63" s="30" t="n">
        <v>0.9</v>
      </c>
    </row>
    <row r="64" customFormat="false" ht="12.8" hidden="false" customHeight="false" outlineLevel="0" collapsed="false">
      <c r="A64" s="72"/>
      <c r="B64" s="68" t="n">
        <v>4</v>
      </c>
      <c r="C64" s="25" t="n">
        <v>0.65</v>
      </c>
      <c r="D64" s="25" t="n">
        <v>0.75</v>
      </c>
      <c r="E64" s="25" t="n">
        <v>0.8</v>
      </c>
      <c r="F64" s="25" t="n">
        <v>0.9</v>
      </c>
    </row>
    <row r="65" customFormat="false" ht="12.8" hidden="false" customHeight="false" outlineLevel="0" collapsed="false">
      <c r="A65" s="72"/>
      <c r="B65" s="68" t="n">
        <v>5</v>
      </c>
      <c r="C65" s="25" t="n">
        <v>0.6</v>
      </c>
      <c r="D65" s="25" t="n">
        <v>0.7</v>
      </c>
      <c r="E65" s="25" t="n">
        <v>0.8</v>
      </c>
      <c r="F65" s="25" t="n">
        <v>0.9</v>
      </c>
    </row>
    <row r="66" customFormat="false" ht="12.8" hidden="false" customHeight="false" outlineLevel="0" collapsed="false">
      <c r="A66" s="72"/>
      <c r="B66" s="68" t="n">
        <v>6</v>
      </c>
      <c r="C66" s="25" t="n">
        <v>0.6</v>
      </c>
      <c r="D66" s="25" t="n">
        <v>0.7</v>
      </c>
      <c r="E66" s="25" t="n">
        <v>0.8</v>
      </c>
      <c r="F66" s="25" t="n">
        <v>0.9</v>
      </c>
    </row>
    <row r="67" customFormat="false" ht="12.8" hidden="false" customHeight="false" outlineLevel="0" collapsed="false">
      <c r="G67" s="82"/>
      <c r="H67" s="82"/>
    </row>
    <row r="69" customFormat="false" ht="12.8" hidden="false" customHeight="false" outlineLevel="0" collapsed="false">
      <c r="B69" s="83" t="s">
        <v>172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4" customFormat="false" ht="12.8" hidden="false" customHeight="false" outlineLevel="0" collapsed="false">
      <c r="C74" s="67" t="s">
        <v>121</v>
      </c>
      <c r="D74" s="67"/>
    </row>
  </sheetData>
  <sheetProtection sheet="true" objects="true" scenarios="true"/>
  <mergeCells count="140">
    <mergeCell ref="A2:A6"/>
    <mergeCell ref="C2:T2"/>
    <mergeCell ref="W2:W11"/>
    <mergeCell ref="X2:AA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X3:X4"/>
    <mergeCell ref="Y3:Y4"/>
    <mergeCell ref="Z3:Z4"/>
    <mergeCell ref="AA3:AA4"/>
    <mergeCell ref="A9:A13"/>
    <mergeCell ref="C9:T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W14:W26"/>
    <mergeCell ref="X14:Y15"/>
    <mergeCell ref="A16:T16"/>
    <mergeCell ref="X16:X17"/>
    <mergeCell ref="Y16:Y17"/>
    <mergeCell ref="A17:A29"/>
    <mergeCell ref="C17:K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A32:T32"/>
    <mergeCell ref="A33:A42"/>
    <mergeCell ref="C33:I33"/>
    <mergeCell ref="B34:B35"/>
    <mergeCell ref="C34:C35"/>
    <mergeCell ref="D34:E35"/>
    <mergeCell ref="F34:F35"/>
    <mergeCell ref="G34:G35"/>
    <mergeCell ref="H34:H35"/>
    <mergeCell ref="I34:I35"/>
    <mergeCell ref="D36:E36"/>
    <mergeCell ref="D37:E37"/>
    <mergeCell ref="D38:E38"/>
    <mergeCell ref="D39:E39"/>
    <mergeCell ref="D40:E40"/>
    <mergeCell ref="D41:E41"/>
    <mergeCell ref="D42:E42"/>
    <mergeCell ref="A45:T45"/>
    <mergeCell ref="A46:A54"/>
    <mergeCell ref="C46:F47"/>
    <mergeCell ref="B48:B49"/>
    <mergeCell ref="C48:C49"/>
    <mergeCell ref="D48:D49"/>
    <mergeCell ref="E48:E49"/>
    <mergeCell ref="F48:F49"/>
    <mergeCell ref="A57:T57"/>
    <mergeCell ref="A58:A66"/>
    <mergeCell ref="C58:F59"/>
    <mergeCell ref="B60:B61"/>
    <mergeCell ref="C60:C61"/>
    <mergeCell ref="D60:D61"/>
    <mergeCell ref="E60:E61"/>
    <mergeCell ref="F60:F61"/>
    <mergeCell ref="B69:R69"/>
    <mergeCell ref="C74:D7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84" t="s">
        <v>173</v>
      </c>
      <c r="B2" s="84"/>
      <c r="C2" s="84"/>
      <c r="D2" s="84"/>
      <c r="E2" s="84"/>
      <c r="F2" s="84"/>
      <c r="G2" s="84"/>
      <c r="H2" s="84"/>
    </row>
    <row r="3" customFormat="false" ht="12.8" hidden="false" customHeight="true" outlineLevel="0" collapsed="false">
      <c r="A3" s="85" t="s">
        <v>174</v>
      </c>
      <c r="B3" s="85"/>
      <c r="C3" s="85"/>
      <c r="D3" s="85"/>
      <c r="E3" s="85"/>
      <c r="F3" s="85"/>
      <c r="G3" s="85"/>
      <c r="H3" s="85"/>
    </row>
    <row r="4" customFormat="false" ht="12.8" hidden="false" customHeight="false" outlineLevel="0" collapsed="false">
      <c r="A4" s="85"/>
      <c r="B4" s="85"/>
      <c r="C4" s="85"/>
      <c r="D4" s="85"/>
      <c r="E4" s="85"/>
      <c r="F4" s="85"/>
      <c r="G4" s="85"/>
      <c r="H4" s="85"/>
    </row>
    <row r="5" customFormat="false" ht="12.8" hidden="false" customHeight="true" outlineLevel="0" collapsed="false">
      <c r="A5" s="86" t="s">
        <v>175</v>
      </c>
      <c r="B5" s="86"/>
      <c r="C5" s="86"/>
      <c r="D5" s="86"/>
      <c r="E5" s="86"/>
      <c r="F5" s="86"/>
      <c r="G5" s="86"/>
      <c r="H5" s="86"/>
    </row>
    <row r="6" customFormat="false" ht="12.8" hidden="false" customHeight="false" outlineLevel="0" collapsed="false">
      <c r="A6" s="86"/>
      <c r="B6" s="86"/>
      <c r="C6" s="86"/>
      <c r="D6" s="86"/>
      <c r="E6" s="86"/>
      <c r="F6" s="86"/>
      <c r="G6" s="86"/>
      <c r="H6" s="86"/>
    </row>
    <row r="7" customFormat="false" ht="12.8" hidden="false" customHeight="true" outlineLevel="0" collapsed="false">
      <c r="A7" s="87" t="s">
        <v>176</v>
      </c>
      <c r="B7" s="87"/>
      <c r="C7" s="87"/>
      <c r="D7" s="87"/>
      <c r="E7" s="87"/>
      <c r="F7" s="87"/>
      <c r="G7" s="87"/>
      <c r="H7" s="87"/>
    </row>
    <row r="8" customFormat="false" ht="12.8" hidden="false" customHeight="false" outlineLevel="0" collapsed="false">
      <c r="A8" s="87"/>
      <c r="B8" s="87"/>
      <c r="C8" s="87"/>
      <c r="D8" s="87"/>
      <c r="E8" s="87"/>
      <c r="F8" s="87"/>
      <c r="G8" s="87"/>
      <c r="H8" s="87"/>
    </row>
    <row r="9" customFormat="false" ht="12.8" hidden="false" customHeight="false" outlineLevel="0" collapsed="false">
      <c r="A9" s="88"/>
      <c r="B9" s="88"/>
      <c r="C9" s="88"/>
      <c r="D9" s="88"/>
      <c r="E9" s="88"/>
      <c r="F9" s="88"/>
      <c r="G9" s="88"/>
      <c r="H9" s="88"/>
    </row>
  </sheetData>
  <sheetProtection sheet="true" objects="true" scenarios="true"/>
  <mergeCells count="5">
    <mergeCell ref="A2:H2"/>
    <mergeCell ref="A3:H4"/>
    <mergeCell ref="A5:H6"/>
    <mergeCell ref="A7:H8"/>
    <mergeCell ref="A9:H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2024-09-30T23:52:59Z</dcterms:created>
  <dc:creator/>
  <dc:description/>
  <dc:language>en-US</dc:language>
  <cp:lastModifiedBy/>
  <dcterms:modified xsi:type="dcterms:W3CDTF">2024-10-05T23:01:41Z</dcterms:modified>
  <cp:revision>279</cp:revision>
  <dc:subject/>
  <dc:title/>
</cp:coreProperties>
</file>