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https://wolterskluwer-my.sharepoint.com/personal/mauro_cespedesaraya_wolterskluwer_com/Documents/Documents/"/>
    </mc:Choice>
  </mc:AlternateContent>
  <xr:revisionPtr revIDLastSave="0" documentId="8_{D07FEA10-5B8E-45C1-B2FA-46020512FED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Journals" sheetId="1" r:id="rId1"/>
    <sheet name="Perpetual Access" sheetId="2" r:id="rId2"/>
    <sheet name="Books" sheetId="3" r:id="rId3"/>
    <sheet name="Databases" sheetId="4" r:id="rId4"/>
    <sheet name="DB Jumpstar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5" l="1"/>
  <c r="B12" i="5"/>
  <c r="B11" i="5"/>
  <c r="B10" i="5"/>
  <c r="B9" i="5"/>
  <c r="B8" i="5"/>
  <c r="B7" i="5"/>
  <c r="B6" i="5"/>
  <c r="B5" i="5"/>
  <c r="B4" i="5"/>
  <c r="B3" i="5"/>
  <c r="B2" i="5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<sst xmlns="http://schemas.openxmlformats.org/spreadsheetml/2006/main" count="6810" uniqueCount="3815">
  <si>
    <t>https://ovidsp.ovid.com/rss/journals/02112943/current.rss</t>
  </si>
  <si>
    <t>https://ovidsp.ovid.com/rss/journals/00001756/pap.rss</t>
  </si>
  <si>
    <t>Advances in Neonatal Care</t>
  </si>
  <si>
    <t>1743-1816</t>
  </si>
  <si>
    <t>Health Promotion International</t>
  </si>
  <si>
    <t>Obstetric Anesthesia Digest</t>
  </si>
  <si>
    <t>https://openathens.ovid.com/OAKeystone/deeplink?idpselect=https://idp.eng.nhs.uk/openathens&amp;entityID=https://idp.eng.nhs.uk/openathens&amp;T=JS&amp;NEWS=n&amp;CSC=Y&amp;PAGE=toc&amp;D=yrovft&amp;AN=00005792-000000000-00000</t>
  </si>
  <si>
    <t>https://ovidsp.ovid.com/rss/journals/00134459/pap.rss</t>
  </si>
  <si>
    <t>https://ovidsp.ovid.com/rss/journals/01202412/current.rss</t>
  </si>
  <si>
    <t>1536-0210</t>
  </si>
  <si>
    <t>https://openathens.ovid.com/OAKeystone/deeplink?idpselect=https://idp.eng.nhs.uk/openathens&amp;entityID=https://idp.eng.nhs.uk/openathens&amp;T=JS&amp;NEWS=n&amp;CSC=Y&amp;PAGE=toc&amp;D=yrovft&amp;AN=02238396-000000000-00000</t>
  </si>
  <si>
    <t>2468-7332</t>
  </si>
  <si>
    <t>https://ovidsp.ovid.com/rss/journals/01300518/current.rss</t>
  </si>
  <si>
    <t>https://ovidsp.ovid.com/rss/journals/00020840/current.rss</t>
  </si>
  <si>
    <t>https://ovidsp.ovid.com/rss/journals/00001648/pap.rss</t>
  </si>
  <si>
    <t>https://openathens.ovid.com/OAKeystone/deeplink?idpselect=https://idp.eng.nhs.uk/openathens&amp;entityID=https://idp.eng.nhs.uk/openathens&amp;T=JS&amp;NEWS=n&amp;CSC=Y&amp;PAGE=toc&amp;D=yrovft&amp;AN=00043764-000000000-00000</t>
  </si>
  <si>
    <t>1994-01-01</t>
  </si>
  <si>
    <t>https://ovidsp.ovid.com/rss/journals/00000429/current.rss</t>
  </si>
  <si>
    <t>https://ovidsp.ovid.com/rss/journals/00041552/current.rss</t>
  </si>
  <si>
    <t>1525-4135</t>
  </si>
  <si>
    <t>Techniques in Foot &amp; Ankle Surgery</t>
  </si>
  <si>
    <t>https://ovidsp.ovid.com/rss/journals/00003081/current.rss</t>
  </si>
  <si>
    <t>https://ovidsp.ovid.com/rss/journals/01445478/current.rss</t>
  </si>
  <si>
    <t>https://openathens.ovid.com/OAKeystone/deeplink?idpselect=https://idp.eng.nhs.uk/openathens&amp;entityID=https://idp.eng.nhs.uk/openathens&amp;T=JS&amp;NEWS=n&amp;CSC=Y&amp;PAGE=toc&amp;D=yrovft&amp;AN=02144603-000000000-00000</t>
  </si>
  <si>
    <t>https://ovidsp.ovid.com/rss/journals/00021668/current.rss</t>
  </si>
  <si>
    <t>https://ovidsp.ovid.com/rss/journals/00008506/pap.rss</t>
  </si>
  <si>
    <t>Techniques in Knee Surgery</t>
  </si>
  <si>
    <t>https://openathens.ovid.com/OAKeystone/deeplink?idpselect=https://idp.eng.nhs.uk/openathens&amp;entityID=https://idp.eng.nhs.uk/openathens&amp;T=JS&amp;NEWS=n&amp;CSC=Y&amp;PAGE=main&amp;D=medl</t>
  </si>
  <si>
    <t>https://ovidsp.ovid.com/rss/journals/00042223/current.rss</t>
  </si>
  <si>
    <t>Medline (2013)</t>
  </si>
  <si>
    <t>https://openathens.ovid.com/OAKeystone/deeplink?idpselect=https://idp.eng.nhs.uk/openathens&amp;entityID=https://idp.eng.nhs.uk/openathens&amp;T=JS&amp;NEWS=n&amp;CSC=Y&amp;PAGE=main&amp;D=med11</t>
  </si>
  <si>
    <t>1473-6543</t>
  </si>
  <si>
    <t>1-9018-3107-8</t>
  </si>
  <si>
    <t>2017-03-01 - 2022-01-04</t>
  </si>
  <si>
    <t>https://ovidsp.ovid.com/rss/journals/00134380/current.rss</t>
  </si>
  <si>
    <t>https://ovidsp.ovid.com/rss/journals/01209203/current.rss</t>
  </si>
  <si>
    <t>Nutrition Today</t>
  </si>
  <si>
    <t>1365-2702</t>
  </si>
  <si>
    <t>2007-11-01</t>
  </si>
  <si>
    <t>https://ovidsp.ovid.com/rss/journals/00005217/pap.rss</t>
  </si>
  <si>
    <t>2001-12-01</t>
  </si>
  <si>
    <t>0269-9370</t>
  </si>
  <si>
    <t>https://ovidsp.ovid.com/rss/journals/00000637/pap.rss</t>
  </si>
  <si>
    <t>1473-5873</t>
  </si>
  <si>
    <t>Medline (2008-2009)</t>
  </si>
  <si>
    <t>Journal of Public Health Management and Practice</t>
  </si>
  <si>
    <t>https://ovidsp.ovid.com/rss/journals/00002703/current.rss</t>
  </si>
  <si>
    <t>1538-8646</t>
  </si>
  <si>
    <t>1992-01-01 - 2022-03-01</t>
  </si>
  <si>
    <t>https://openathens.ovid.com/OAKeystone/deeplink?idpselect=https://idp.eng.nhs.uk/openathens&amp;entityID=https://idp.eng.nhs.uk/openathens&amp;T=JS&amp;NEWS=n&amp;CSC=Y&amp;PAGE=toc&amp;D=yrovft&amp;AN=02186224-000000000-00000</t>
  </si>
  <si>
    <t>Wolters Kluwer Health _ Lippincott Williams &amp; Wilkins</t>
  </si>
  <si>
    <t>Spine: Affiliated Society Meeting Abstracts</t>
  </si>
  <si>
    <t>2020-07-01 - 2020-07-01</t>
  </si>
  <si>
    <t>https://ovidsp.ovid.com/rss/journals/00008874/current.rss</t>
  </si>
  <si>
    <t>https://ovidsp.ovid.com/rss/journals/02093599/pap.rss</t>
  </si>
  <si>
    <t>https://openathens.ovid.com/OAKeystone/deeplink?idpselect=https://idp.eng.nhs.uk/openathens&amp;entityID=https://idp.eng.nhs.uk/openathens&amp;T=JS&amp;NEWS=n&amp;CSC=Y&amp;PAGE=toc&amp;D=yrovft&amp;AN=01337225-000000000-00000</t>
  </si>
  <si>
    <t>Journal of Wound, Ostomy &amp; Continence Nursing</t>
  </si>
  <si>
    <t>https://ovidsp.ovid.com/rss/journals/02118582/pap.rss</t>
  </si>
  <si>
    <t>2380-0194</t>
  </si>
  <si>
    <t>https://ovidsp.ovid.com/rss/journals/00001577/pap.rss</t>
  </si>
  <si>
    <t>https://openathens.ovid.com/OAKeystone/deeplink?idpselect=https://idp.eng.nhs.uk/openathens&amp;entityID=https://idp.eng.nhs.uk/openathens&amp;T=JS&amp;NEWS=n&amp;CSC=Y&amp;PAGE=toc&amp;D=yrovft&amp;AN=00043860-000000000-00000</t>
  </si>
  <si>
    <t>https://openathens.ovid.com/OAKeystone/deeplink?idpselect=https://idp.eng.nhs.uk/openathens&amp;entityID=https://idp.eng.nhs.uk/openathens&amp;T=JS&amp;NEWS=n&amp;CSC=Y&amp;PAGE=toc&amp;D=yrovft&amp;AN=01212983-000000000-00000</t>
  </si>
  <si>
    <t>https://ovidsp.ovid.com/rss/journals/00133323/current.rss</t>
  </si>
  <si>
    <t>https://ovidsp.ovid.com/rss/journals/02112939/current.rss</t>
  </si>
  <si>
    <t>2161-1181</t>
  </si>
  <si>
    <t>https://openathens.ovid.com/OAKeystone/deeplink?idpselect=https://idp.eng.nhs.uk/openathens&amp;entityID=https://idp.eng.nhs.uk/openathens&amp;T=JS&amp;NEWS=n&amp;CSC=Y&amp;PAGE=toc&amp;D=yrovft&amp;AN=00045526-000000000-00000</t>
  </si>
  <si>
    <t>2001-02-01 - 2010-04-01</t>
  </si>
  <si>
    <t>0160-6379</t>
  </si>
  <si>
    <t>https://ovidsp.ovid.com/rss/journals/00044029/current.rss</t>
  </si>
  <si>
    <t>https://openathens.ovid.com/OAKeystone/deeplink?idpselect=https://idp.eng.nhs.uk/openathens&amp;entityID=https://idp.eng.nhs.uk/openathens&amp;T=JS&amp;NEWS=n&amp;CSC=Y&amp;PAGE=toc&amp;D=yrovft&amp;AN=00001703-000000000-00000</t>
  </si>
  <si>
    <t>https://ovidsp.ovid.com/rss/journals/00004669/current.rss</t>
  </si>
  <si>
    <t>https://ovidsp.ovid.com/rss/journals/00042871/current.rss</t>
  </si>
  <si>
    <t>Toxicological Sciences</t>
  </si>
  <si>
    <t>2001-08-01 - 2008-01-01</t>
  </si>
  <si>
    <t>https://openathens.ovid.com/OAKeystone/deeplink?idpselect=https://idp.eng.nhs.uk/openathens&amp;entityID=https://idp.eng.nhs.uk/openathens&amp;T=JS&amp;NEWS=n&amp;CSC=Y&amp;PAGE=toc&amp;D=yrovft&amp;AN=01263393-000000000-00000</t>
  </si>
  <si>
    <t>https://openathens.ovid.com/OAKeystone/deeplink?idpselect=https://idp.eng.nhs.uk/openathens&amp;entityID=https://idp.eng.nhs.uk/openathens&amp;T=JS&amp;NEWS=n&amp;CSC=Y&amp;PAGE=toc&amp;D=yrovft&amp;AN=00134511-000000000-00000</t>
  </si>
  <si>
    <t>Primary Care Case Reviews</t>
  </si>
  <si>
    <t>https://ovidsp.ovid.com/rss/journals/00127893/current.rss</t>
  </si>
  <si>
    <t>1-9018-3110-8</t>
  </si>
  <si>
    <t>Elsevier Science Publishers</t>
  </si>
  <si>
    <t>2001-07-01 - 2015-08-01</t>
  </si>
  <si>
    <t>2018-05-01 - 2022-04-18</t>
  </si>
  <si>
    <t>e1</t>
  </si>
  <si>
    <t>1069-1286</t>
  </si>
  <si>
    <t>2006-12-31 - 2010-05-30</t>
  </si>
  <si>
    <t>1940-5960</t>
  </si>
  <si>
    <t>https://ovidsp.ovid.com/rss/journals/00130911/current.rss</t>
  </si>
  <si>
    <t>1537-1581</t>
  </si>
  <si>
    <t>Journal of Burn Care &amp; Research</t>
  </si>
  <si>
    <t>Journal of Trauma Nursing</t>
  </si>
  <si>
    <t>1473-5644</t>
  </si>
  <si>
    <t>https://ovidsp.ovid.com/rss/journals/00065443/current.rss</t>
  </si>
  <si>
    <t>2007-01-31 - 2010-05-31</t>
  </si>
  <si>
    <t>Kaplan &amp; Sadock's Synopsis of Psychiatry</t>
  </si>
  <si>
    <t>1538-4667</t>
  </si>
  <si>
    <t>Embase &lt;1974 to 2022 May 25&gt;</t>
  </si>
  <si>
    <t>2001-08-01 - 2010-05-01</t>
  </si>
  <si>
    <t>https://openathens.ovid.com/OAKeystone/deeplink?idpselect=https://idp.eng.nhs.uk/openathens&amp;entityID=https://idp.eng.nhs.uk/openathens&amp;T=JS&amp;NEWS=n&amp;CSC=Y&amp;PAGE=main&amp;D=med4</t>
  </si>
  <si>
    <t>2009-04-01 - 2009-12-01</t>
  </si>
  <si>
    <t>https://openathens.ovid.com/OAKeystone/deeplink?idpselect=https://idp.eng.nhs.uk/openathens&amp;entityID=https://idp.eng.nhs.uk/openathens&amp;T=JS&amp;NEWS=n&amp;CSC=Y&amp;PAGE=main&amp;D=emed11</t>
  </si>
  <si>
    <t>2016-07-01</t>
  </si>
  <si>
    <t>1986-01-01</t>
  </si>
  <si>
    <t>Emergency Medicine News</t>
  </si>
  <si>
    <t>1369-6513</t>
  </si>
  <si>
    <t>https://openathens.ovid.com/OAKeystone/deeplink?idpselect=https://idp.eng.nhs.uk/openathens&amp;entityID=https://idp.eng.nhs.uk/openathens&amp;T=JS&amp;NEWS=n&amp;CSC=Y&amp;PAGE=toc&amp;D=yrovft&amp;AN=01256879-000000000-00000</t>
  </si>
  <si>
    <t>https://ovidsp.ovid.com/rss/journals/00002800/current.rss</t>
  </si>
  <si>
    <t>1537-1948</t>
  </si>
  <si>
    <t>2003-03-01 - 2003-11-01</t>
  </si>
  <si>
    <t>1078-7496</t>
  </si>
  <si>
    <t>https://openathens.ovid.com/OAKeystone/deeplink?idpselect=https://idp.eng.nhs.uk/openathens&amp;entityID=https://idp.eng.nhs.uk/openathens&amp;T=JS&amp;NEWS=n&amp;CSC=Y&amp;PAGE=toc&amp;D=yrovft&amp;AN=01787401-000000000-00000</t>
  </si>
  <si>
    <t>2010-09-01 - 2022-04-01</t>
  </si>
  <si>
    <t>1556-9845</t>
  </si>
  <si>
    <t>Spine</t>
  </si>
  <si>
    <t>Advances in Nursing Science</t>
  </si>
  <si>
    <t>https://openathens.ovid.com/OAKeystone/deeplink?idpselect=https://idp.eng.nhs.uk/openathens&amp;entityID=https://idp.eng.nhs.uk/openathens&amp;T=JS&amp;NEWS=n&amp;CSC=Y&amp;PAGE=toc&amp;D=yrovft&amp;AN=00000740-000000000-00000</t>
  </si>
  <si>
    <t>2002-03-01 - 2010-06-01</t>
  </si>
  <si>
    <t>0167-6806</t>
  </si>
  <si>
    <t>2009-10-01 - 2022-01-01</t>
  </si>
  <si>
    <t>0195-7910</t>
  </si>
  <si>
    <t>1-4051-9249-6</t>
  </si>
  <si>
    <t>https://ovidsp.ovid.com/rss/journals/00001504/current.rss</t>
  </si>
  <si>
    <t>https://openathens.ovid.com/OAKeystone/deeplink?idpselect=https://idp.eng.nhs.uk/openathens&amp;entityID=https://idp.eng.nhs.uk/openathens&amp;T=JS&amp;NEWS=n&amp;CSC=Y&amp;PAGE=toc&amp;D=yrovft&amp;AN=00131402-000000000-00000</t>
  </si>
  <si>
    <t>2015-02-01 - 2022-01-25</t>
  </si>
  <si>
    <t>1535-5942</t>
  </si>
  <si>
    <t>1074-2484</t>
  </si>
  <si>
    <t>Evidence-Based Ophthalmology</t>
  </si>
  <si>
    <t>https://ovidsp.ovid.com/rss/journals/00004650/current.rss</t>
  </si>
  <si>
    <t>https://ovidsp.ovid.com/rss/journals/01429654/current.rss</t>
  </si>
  <si>
    <t>https://openathens.ovid.com/OAKeystone/deeplink?idpselect=https://idp.eng.nhs.uk/openathens&amp;entityID=https://idp.eng.nhs.uk/openathens&amp;T=JS&amp;NEWS=n&amp;CSC=Y&amp;PAGE=toc&amp;D=yrovft&amp;AN=00006247-000000000-00000</t>
  </si>
  <si>
    <t>https://ovidsp.ovid.com/rss/journals/00007632/pap.rss</t>
  </si>
  <si>
    <t>2017-03-01</t>
  </si>
  <si>
    <t>0272-9490</t>
  </si>
  <si>
    <t>https://ovidsp.ovid.com/rss/journals/00003465/current.rss</t>
  </si>
  <si>
    <t>0730-7659</t>
  </si>
  <si>
    <t>1527-3792</t>
  </si>
  <si>
    <t>2009-03-01 - 2009-11-01</t>
  </si>
  <si>
    <t>Ovid MEDLINE(R) Epub Ahead of Print</t>
  </si>
  <si>
    <t>https://openathens.ovid.com/OAKeystone/deeplink?idpselect=https://idp.eng.nhs.uk/openathens&amp;entityID=https://idp.eng.nhs.uk/openathens&amp;T=JS&amp;NEWS=n&amp;CSC=Y&amp;PAGE=toc&amp;D=yrovft&amp;AN=02211144-000000000-00000</t>
  </si>
  <si>
    <t>0263-6352</t>
  </si>
  <si>
    <t>https://ovidsp.ovid.com/rss/journals/00126450/current.rss</t>
  </si>
  <si>
    <t>2563-9021</t>
  </si>
  <si>
    <t>https://openathens.ovid.com/OAKeystone/deeplink?idpselect=https://idp.eng.nhs.uk/openathens&amp;entityID=https://idp.eng.nhs.uk/openathens&amp;T=JS&amp;NEWS=n&amp;CSC=Y&amp;PAGE=toc&amp;D=yrovft&amp;AN=00008469-000000000-00000</t>
  </si>
  <si>
    <t>0147-5185</t>
  </si>
  <si>
    <t>https://ovidsp.ovid.com/rss/journals/01253099/current.rss</t>
  </si>
  <si>
    <t>1552-812X</t>
  </si>
  <si>
    <t>2022-05-06</t>
  </si>
  <si>
    <t>1326-0200</t>
  </si>
  <si>
    <t>0-1992-0669-4</t>
  </si>
  <si>
    <t>International Wound Journal</t>
  </si>
  <si>
    <t>https://openathens.ovid.com/OAKeystone/deeplink?idpselect=https://idp.eng.nhs.uk/openathens&amp;entityID=https://idp.eng.nhs.uk/openathens&amp;T=JS&amp;NEWS=n&amp;CSC=Y&amp;PAGE=toc&amp;D=yrovft&amp;AN=00132980-000000000-00000</t>
  </si>
  <si>
    <t>1932-751X</t>
  </si>
  <si>
    <t>Aging Medicine</t>
  </si>
  <si>
    <t>https://openathens.ovid.com/OAKeystone/deeplink?idpselect=https://idp.eng.nhs.uk/openathens&amp;entityID=https://idp.eng.nhs.uk/openathens&amp;T=JS&amp;NEWS=n&amp;CSC=Y&amp;PAGE=booktext&amp;D=books&amp;AN=01223055$&amp;XPATH=/PG(0)&amp;EPUB=Y</t>
  </si>
  <si>
    <t>https://ovidsp.ovid.com/rss/journals/00061198/pap.rss</t>
  </si>
  <si>
    <t>https://ovidsp.ovid.com/rss/journals/00124784/pap.rss</t>
  </si>
  <si>
    <t>1529-4242</t>
  </si>
  <si>
    <t>0909-752X</t>
  </si>
  <si>
    <t>https://openathens.ovid.com/OAKeystone/deeplink?idpselect=https://idp.eng.nhs.uk/openathens&amp;entityID=https://idp.eng.nhs.uk/openathens&amp;T=JS&amp;NEWS=n&amp;CSC=Y&amp;PAGE=toc&amp;D=yrovft&amp;AN=02211145-000000000-00000</t>
  </si>
  <si>
    <t>BMJ Publishing Group Ltd.</t>
  </si>
  <si>
    <t>1935-7893</t>
  </si>
  <si>
    <t>1538-8689</t>
  </si>
  <si>
    <t>https://openathens.ovid.com/OAKeystone/deeplink?idpselect=https://idp.eng.nhs.uk/openathens&amp;entityID=https://idp.eng.nhs.uk/openathens&amp;T=JS&amp;NEWS=n&amp;CSC=Y&amp;PAGE=toc&amp;D=yrovft&amp;AN=00000372-000000000-00000</t>
  </si>
  <si>
    <t>https://openathens.ovid.com/OAKeystone/deeplink?idpselect=https://idp.eng.nhs.uk/openathens&amp;entityID=https://idp.eng.nhs.uk/openathens&amp;T=JS&amp;NEWS=n&amp;CSC=Y&amp;PAGE=main&amp;D=pmnm4</t>
  </si>
  <si>
    <t>Journal of Biochemistry</t>
  </si>
  <si>
    <t>2001-08-01 - 2004-05-01</t>
  </si>
  <si>
    <t>Journal of Nursing Management</t>
  </si>
  <si>
    <t>1986-02-01</t>
  </si>
  <si>
    <t>1089-2591</t>
  </si>
  <si>
    <t>0749-8047</t>
  </si>
  <si>
    <t>Oxford Handbook of Mental Health Nursing</t>
  </si>
  <si>
    <t>https://ovidsp.ovid.com/rss/journals/01253098/current.rss</t>
  </si>
  <si>
    <t>Molecular Oncology</t>
  </si>
  <si>
    <t>https://ovidsp.ovid.com/rss/journals/00060651/pap.rss</t>
  </si>
  <si>
    <t>1557-0576</t>
  </si>
  <si>
    <t>https://ovidsp.ovid.com/rss/journals/00009577/current.rss</t>
  </si>
  <si>
    <t>https://openathens.ovid.com/OAKeystone/deeplink?idpselect=https://idp.eng.nhs.uk/openathens&amp;entityID=https://idp.eng.nhs.uk/openathens&amp;T=JS&amp;NEWS=n&amp;CSC=Y&amp;PAGE=main&amp;D=emed21</t>
  </si>
  <si>
    <t>https://openathens.ovid.com/OAKeystone/deeplink?idpselect=https://idp.eng.nhs.uk/openathens&amp;entityID=https://idp.eng.nhs.uk/openathens&amp;T=JS&amp;NEWS=n&amp;CSC=Y&amp;PAGE=toc&amp;D=yrovft&amp;AN=00004268-000000000-00000</t>
  </si>
  <si>
    <t>2007-05-01</t>
  </si>
  <si>
    <t>https://openathens.ovid.com/OAKeystone/deeplink?idpselect=https://idp.eng.nhs.uk/openathens&amp;entityID=https://idp.eng.nhs.uk/openathens&amp;T=JS&amp;NEWS=n&amp;CSC=Y&amp;PAGE=main&amp;D=huaa21</t>
  </si>
  <si>
    <t>1536-0911</t>
  </si>
  <si>
    <t>1531-7056</t>
  </si>
  <si>
    <t>0021-9355</t>
  </si>
  <si>
    <t>https://openathens.ovid.com/OAKeystone/deeplink?idpselect=https://idp.eng.nhs.uk/openathens&amp;entityID=https://idp.eng.nhs.uk/openathens&amp;T=JS&amp;NEWS=n&amp;CSC=Y&amp;PAGE=toc&amp;D=yrovft&amp;AN=00012995-000000000-00000</t>
  </si>
  <si>
    <t>2002-09-01 - 2002-09-01</t>
  </si>
  <si>
    <t>1527-5418</t>
  </si>
  <si>
    <t>https://openathens.ovid.com/OAKeystone/deeplink?idpselect=https://idp.eng.nhs.uk/openathens&amp;entityID=https://idp.eng.nhs.uk/openathens&amp;T=JS&amp;NEWS=n&amp;CSC=Y&amp;PAGE=toc&amp;D=yrovft&amp;AN=00005042-000000000-00000</t>
  </si>
  <si>
    <t>https://ovidsp.ovid.com/rss/journals/01238502/current.rss</t>
  </si>
  <si>
    <t>https://ovidsp.ovid.com/rss/journals/00008877/pap.rss</t>
  </si>
  <si>
    <t>https://ovidsp.ovid.com/rss/journals/00042307/pap.rss</t>
  </si>
  <si>
    <t>1759-5053</t>
  </si>
  <si>
    <t>1538-1943</t>
  </si>
  <si>
    <t>https://openathens.ovid.com/OAKeystone/deeplink?idpselect=https://idp.eng.nhs.uk/openathens&amp;entityID=https://idp.eng.nhs.uk/openathens&amp;T=JS&amp;NEWS=n&amp;CSC=Y&amp;PAGE=main&amp;D=oemezd</t>
  </si>
  <si>
    <t>Journal of Vascular Anomalies</t>
  </si>
  <si>
    <t>https://openathens.ovid.com/OAKeystone/deeplink?idpselect=https://idp.eng.nhs.uk/openathens&amp;entityID=https://idp.eng.nhs.uk/openathens&amp;T=JS&amp;NEWS=n&amp;CSC=Y&amp;PAGE=toc&amp;D=yrovft&amp;AN=00042307-000000000-00000</t>
  </si>
  <si>
    <t>https://ovidsp.ovid.com/rss/journals/00007890/pap.rss</t>
  </si>
  <si>
    <t>978-1-4051-8432-8</t>
  </si>
  <si>
    <t>The Clinical Respiratory Journal</t>
  </si>
  <si>
    <t>Journal of the American Academy of Child &amp; Adolescent Psychiatry</t>
  </si>
  <si>
    <t>0960-3271</t>
  </si>
  <si>
    <t>Advanced Emergency Nursing Journal</t>
  </si>
  <si>
    <t>1473-5717</t>
  </si>
  <si>
    <t>1746-0956</t>
  </si>
  <si>
    <t>0091-6331</t>
  </si>
  <si>
    <t>1473-6535</t>
  </si>
  <si>
    <t>1552-3624</t>
  </si>
  <si>
    <t>1538-943X</t>
  </si>
  <si>
    <t>1531-2291</t>
  </si>
  <si>
    <t>https://ovidsp.ovid.com/rss/journals/00152193/current.rss</t>
  </si>
  <si>
    <t>https://ovidsp.ovid.com/rss/journals/00000658/pap.rss</t>
  </si>
  <si>
    <t>2010-05-15</t>
  </si>
  <si>
    <t>https://ovidsp.ovid.com/rss/journals/00024382/pap.rss</t>
  </si>
  <si>
    <t>https://openathens.ovid.com/OAKeystone/deeplink?idpselect=https://idp.eng.nhs.uk/openathens&amp;entityID=https://idp.eng.nhs.uk/openathens&amp;T=JS&amp;NEWS=n&amp;CSC=Y&amp;PAGE=toc&amp;D=yrovft&amp;AN=00041433-000000000-00000</t>
  </si>
  <si>
    <t>https://ovidsp.ovid.com/rss/journals/00001610/pap.rss</t>
  </si>
  <si>
    <t>95-B</t>
  </si>
  <si>
    <t>1757-7853</t>
  </si>
  <si>
    <t>Transplantation Direct</t>
  </si>
  <si>
    <t>97-B</t>
  </si>
  <si>
    <t>https://ovidsp.ovid.com/rss/journals/00149525/current.rss</t>
  </si>
  <si>
    <t>Ovid MEDLINE(R) and In-Process, In-Data-Review &amp; Other Non-Indexed Citations and Daily &lt;1946 to May 25, 2022&gt;</t>
  </si>
  <si>
    <t>https://ovidsp.ovid.com/rss/journals/00006254/current.rss</t>
  </si>
  <si>
    <t>https://openathens.ovid.com/OAKeystone/deeplink?idpselect=https://idp.eng.nhs.uk/openathens&amp;entityID=https://idp.eng.nhs.uk/openathens&amp;T=JS&amp;NEWS=n&amp;CSC=Y&amp;PAGE=main&amp;D=medv</t>
  </si>
  <si>
    <t>2016-03-01</t>
  </si>
  <si>
    <t>2002-09-01</t>
  </si>
  <si>
    <t>https://openathens.ovid.com/OAKeystone/deeplink?idpselect=https://idp.eng.nhs.uk/openathens&amp;entityID=https://idp.eng.nhs.uk/openathens&amp;T=JS&amp;NEWS=n&amp;CSC=Y&amp;PAGE=toc&amp;D=yrovft&amp;AN=01300408-000000000-00000</t>
  </si>
  <si>
    <t>https://openathens.ovid.com/OAKeystone/deeplink?idpselect=https://idp.eng.nhs.uk/openathens&amp;entityID=https://idp.eng.nhs.uk/openathens&amp;T=JS&amp;NEWS=n&amp;CSC=Y&amp;PAGE=toc&amp;D=yrovft&amp;AN=01261775-000000000-00000</t>
  </si>
  <si>
    <t>https://ovidsp.ovid.com/rss/journals/00004479/current.rss</t>
  </si>
  <si>
    <t>https://ovidsp.ovid.com/rss/journals/00004703/current.rss</t>
  </si>
  <si>
    <t>Topics in Pain Management</t>
  </si>
  <si>
    <t>https://ovidsp.ovid.com/rss/journals/00000740/current.rss</t>
  </si>
  <si>
    <t>2001-07-01 - 2015-04-15</t>
  </si>
  <si>
    <t>2007-01-01 - 2015-03-01</t>
  </si>
  <si>
    <t>https://ovidsp.ovid.com/rss/journals/01429649/pap.rss</t>
  </si>
  <si>
    <t>Anesthesia &amp; Analgesia</t>
  </si>
  <si>
    <t>https://ovidsp.ovid.com/rss/journals/01266029/current.rss</t>
  </si>
  <si>
    <t>2022-04-18</t>
  </si>
  <si>
    <t>https://ovidsp.ovid.com/rss/journals/00002352/current.rss</t>
  </si>
  <si>
    <t>1525-5794</t>
  </si>
  <si>
    <t>0003-4878</t>
  </si>
  <si>
    <t>https://openathens.ovid.com/OAKeystone/deeplink?idpselect=https://idp.eng.nhs.uk/openathens&amp;entityID=https://idp.eng.nhs.uk/openathens&amp;T=JS&amp;NEWS=n&amp;CSC=Y&amp;PAGE=toc&amp;D=yrovft&amp;AN=00013614-000000000-00000</t>
  </si>
  <si>
    <t>0-1992-3946-0</t>
  </si>
  <si>
    <t>https://ovidsp.ovid.com/rss/journals/00145756/current.rss</t>
  </si>
  <si>
    <t>https://openathens.ovid.com/OAKeystone/deeplink?idpselect=https://idp.eng.nhs.uk/openathens&amp;entityID=https://idp.eng.nhs.uk/openathens&amp;T=JS&amp;NEWS=n&amp;CSC=Y&amp;PAGE=toc&amp;D=yrovft&amp;AN=02118597-000000000-00000</t>
  </si>
  <si>
    <t>0363-471X</t>
  </si>
  <si>
    <t>https://openathens.ovid.com/OAKeystone/deeplink?idpselect=https://idp.eng.nhs.uk/openathens&amp;entityID=https://idp.eng.nhs.uk/openathens&amp;T=JS&amp;NEWS=n&amp;CSC=Y&amp;PAGE=toc&amp;D=yrovft&amp;AN=00163626-000000000-00000</t>
  </si>
  <si>
    <t>https://ovidsp.ovid.com/rss/journals/00004311/pap.rss</t>
  </si>
  <si>
    <t>Chinese Medical Journal</t>
  </si>
  <si>
    <t>https://ovidsp.ovid.com/rss/journals/01337498/current.rss</t>
  </si>
  <si>
    <t>2002-01-01 - 2006-09-01</t>
  </si>
  <si>
    <t>https://openathens.ovid.com/OAKeystone/deeplink?idpselect=https://idp.eng.nhs.uk/openathens&amp;entityID=https://idp.eng.nhs.uk/openathens&amp;T=JS&amp;NEWS=n&amp;CSC=Y&amp;PAGE=toc&amp;D=yrovft&amp;AN=01209203-000000000-00000</t>
  </si>
  <si>
    <t>https://ovidsp.ovid.com/rss/journals/00004650/pap.rss</t>
  </si>
  <si>
    <t>https://openathens.ovid.com/OAKeystone/deeplink?idpselect=https://idp.eng.nhs.uk/openathens&amp;entityID=https://idp.eng.nhs.uk/openathens&amp;T=JS&amp;NEWS=n&amp;CSC=Y&amp;PAGE=toc&amp;D=yrovft&amp;AN=02123147-000000000-00000</t>
  </si>
  <si>
    <t>PAP</t>
  </si>
  <si>
    <t>https://openathens.ovid.com/OAKeystone/deeplink?idpselect=https://idp.eng.nhs.uk/openathens&amp;entityID=https://idp.eng.nhs.uk/openathens&amp;T=JS&amp;NEWS=n&amp;CSC=Y&amp;PAGE=main&amp;D=med1</t>
  </si>
  <si>
    <t>Nursing Management</t>
  </si>
  <si>
    <t>1468-201X</t>
  </si>
  <si>
    <t>0271-0749</t>
  </si>
  <si>
    <t>2001-01-01 - 2010-04-01</t>
  </si>
  <si>
    <t>Journal of Burn Care &amp; Rehabilitation</t>
  </si>
  <si>
    <t>https://openathens.ovid.com/OAKeystone/deeplink?idpselect=https://idp.eng.nhs.uk/openathens&amp;entityID=https://idp.eng.nhs.uk/openathens&amp;T=JS&amp;NEWS=n&amp;CSC=Y&amp;PAGE=toc&amp;D=yrovft&amp;AN=00000441-000000000-00000</t>
  </si>
  <si>
    <t>2002-01-01 - 2004-03-01</t>
  </si>
  <si>
    <t>Contemporary Neurosurgery</t>
  </si>
  <si>
    <t>0268-4705</t>
  </si>
  <si>
    <t>2001-06-01 - 2010-05-01</t>
  </si>
  <si>
    <t>https://ovidsp.ovid.com/rss/journals/01253086/pap.rss</t>
  </si>
  <si>
    <t>2006-04-01 - 2008-12-01</t>
  </si>
  <si>
    <t>https://openathens.ovid.com/OAKeystone/deeplink?idpselect=https://idp.eng.nhs.uk/openathens&amp;entityID=https://idp.eng.nhs.uk/openathens&amp;T=JS&amp;NEWS=n&amp;CSC=Y&amp;PAGE=toc&amp;D=yrovft&amp;AN=00029330-000000000-00000</t>
  </si>
  <si>
    <t>https://ovidsp.ovid.com/rss/journals/00115550/current.rss</t>
  </si>
  <si>
    <t>https://ovidsp.ovid.com/rss/journals/01266021/current.rss</t>
  </si>
  <si>
    <t>Arteriosclerosis, Thrombosis, &amp; Vascular Biology</t>
  </si>
  <si>
    <t>2020-12-29 - 2022-05-10</t>
  </si>
  <si>
    <t>2004-08-01 - 2010-04-01</t>
  </si>
  <si>
    <t>https://ovidsp.ovid.com/rss/journals/01720094/pap.rss</t>
  </si>
  <si>
    <t>2012-05-01</t>
  </si>
  <si>
    <t>https://ovidsp.ovid.com/rss/journals/00006565/pap.rss</t>
  </si>
  <si>
    <t>Medline (2016)</t>
  </si>
  <si>
    <t>https://openathens.ovid.com/OAKeystone/deeplink?idpselect=https://idp.eng.nhs.uk/openathens&amp;entityID=https://idp.eng.nhs.uk/openathens&amp;T=JS&amp;NEWS=n&amp;CSC=Y&amp;PAGE=toc&amp;D=yrovft&amp;AN=00134372-000000000-00000</t>
  </si>
  <si>
    <t>https://openathens.ovid.com/OAKeystone/deeplink?idpselect=https://idp.eng.nhs.uk/openathens&amp;entityID=https://idp.eng.nhs.uk/openathens&amp;T=JS&amp;NEWS=n&amp;CSC=Y&amp;PAGE=toc&amp;D=yrovft&amp;AN=00004032-000000000-00000</t>
  </si>
  <si>
    <t>https://openathens.ovid.com/OAKeystone/deeplink?idpselect=https://idp.eng.nhs.uk/openathens&amp;entityID=https://idp.eng.nhs.uk/openathens&amp;T=JS&amp;NEWS=n&amp;CSC=Y&amp;PAGE=toc&amp;D=yrovft&amp;AN=01445395-000000000-00000</t>
  </si>
  <si>
    <t>https://ovidsp.ovid.com/rss/journals/00003681/pap.rss</t>
  </si>
  <si>
    <t>1524-4628</t>
  </si>
  <si>
    <t>2004-10-01</t>
  </si>
  <si>
    <t>2010-05-31</t>
  </si>
  <si>
    <t>https://openathens.ovid.com/OAKeystone/deeplink?idpselect=https://idp.eng.nhs.uk/openathens&amp;entityID=https://idp.eng.nhs.uk/openathens&amp;T=JS&amp;NEWS=n&amp;CSC=Y&amp;PAGE=main&amp;D=med14</t>
  </si>
  <si>
    <t>Medline (2014)</t>
  </si>
  <si>
    <t>https://ovidsp.ovid.com/rss/journals/01429659/pap.rss</t>
  </si>
  <si>
    <t>2151-8378</t>
  </si>
  <si>
    <t>https://openathens.ovid.com/OAKeystone/deeplink?idpselect=https://idp.eng.nhs.uk/openathens&amp;entityID=https://idp.eng.nhs.uk/openathens&amp;T=JS&amp;NEWS=n&amp;CSC=Y&amp;PAGE=toc&amp;D=yrovft&amp;AN=00132583-000000000-00000</t>
  </si>
  <si>
    <t>https://openathens.ovid.com/OAKeystone/deeplink?idpselect=https://idp.eng.nhs.uk/openathens&amp;entityID=https://idp.eng.nhs.uk/openathens&amp;T=JS&amp;NEWS=n&amp;CSC=Y&amp;PAGE=toc&amp;D=yrovft&amp;AN=02054628-000000000-00000</t>
  </si>
  <si>
    <t>2005-06-01 - 2008-12-01</t>
  </si>
  <si>
    <t>Cardiovascular Endocrinology &amp; Metabolism</t>
  </si>
  <si>
    <t>https://openathens.ovid.com/OAKeystone/deeplink?idpselect=https://idp.eng.nhs.uk/openathens&amp;entityID=https://idp.eng.nhs.uk/openathens&amp;T=JS&amp;NEWS=n&amp;CSC=Y&amp;PAGE=toc&amp;D=yrovft&amp;AN=00004691-000000000-00000</t>
  </si>
  <si>
    <t>https://openathens.ovid.com/OAKeystone/deeplink?idpselect=https://idp.eng.nhs.uk/openathens&amp;entityID=https://idp.eng.nhs.uk/openathens&amp;T=JS&amp;NEWS=n&amp;CSC=Y&amp;PAGE=toc&amp;D=yrovft&amp;AN=00132584-000000000-00000</t>
  </si>
  <si>
    <t>2020-07-01</t>
  </si>
  <si>
    <t>https://ovidsp.ovid.com/rss/journals/01244666/current.rss</t>
  </si>
  <si>
    <t>https://ovidsp.ovid.com/rss/journals/00149525/pap.rss</t>
  </si>
  <si>
    <t>Journal of Cardiovascular Pharmacology</t>
  </si>
  <si>
    <t>AACN Clinical Issues</t>
  </si>
  <si>
    <t>Current Opinion in Rheumatology</t>
  </si>
  <si>
    <t>https://openathens.ovid.com/OAKeystone/deeplink?idpselect=https://idp.eng.nhs.uk/openathens&amp;entityID=https://idp.eng.nhs.uk/openathens&amp;T=JS&amp;NEWS=n&amp;CSC=Y&amp;PAGE=toc&amp;D=yrovft&amp;AN=00008563-000000000-00000</t>
  </si>
  <si>
    <t>2001-07-15</t>
  </si>
  <si>
    <t>https://ovidsp.ovid.com/rss/journals/01722470/current.rss</t>
  </si>
  <si>
    <t>1082-720X</t>
  </si>
  <si>
    <t>https://ovidsp.ovid.com/rss/journals/00129300/current.rss</t>
  </si>
  <si>
    <t>1049-8931</t>
  </si>
  <si>
    <t>1550-5138</t>
  </si>
  <si>
    <t>https://openathens.ovid.com/OAKeystone/deeplink?idpselect=https://idp.eng.nhs.uk/openathens&amp;entityID=https://idp.eng.nhs.uk/openathens&amp;T=JS&amp;NEWS=n&amp;CSC=Y&amp;PAGE=booktext&amp;D=books&amp;AN=01867025$&amp;XPATH=/PG(0)&amp;EPUB=Y</t>
  </si>
  <si>
    <t>https://openathens.ovid.com/OAKeystone/deeplink?idpselect=https://idp.eng.nhs.uk/openathens&amp;entityID=https://idp.eng.nhs.uk/openathens&amp;T=JS&amp;NEWS=n&amp;CSC=Y&amp;PAGE=toc&amp;D=yrovft&amp;AN=00013611-000000000-00000</t>
  </si>
  <si>
    <t>Cardiology Discovery</t>
  </si>
  <si>
    <t>2007-07-01 - 2010-04-01</t>
  </si>
  <si>
    <t>1471-8391</t>
  </si>
  <si>
    <t>1460-2350</t>
  </si>
  <si>
    <t>https://ovidsp.ovid.com/rss/journals/01445477/current.rss</t>
  </si>
  <si>
    <t>https://ovidsp.ovid.com/rss/journals/02272506/current.rss</t>
  </si>
  <si>
    <t>2010-02-15</t>
  </si>
  <si>
    <t>1529-7764</t>
  </si>
  <si>
    <t>https://ovidsp.ovid.com/rss/journals/01261775/current.rss</t>
  </si>
  <si>
    <t>https://ovidsp.ovid.com/rss/journals/00130990/current.rss</t>
  </si>
  <si>
    <t>1068-0640</t>
  </si>
  <si>
    <t>Japanese Journal of Clinical Oncology</t>
  </si>
  <si>
    <t>Nature Clinical Practice Neurology</t>
  </si>
  <si>
    <t>2373-8731</t>
  </si>
  <si>
    <t>https://ovidsp.ovid.com/rss/journals/00000433/current.rss</t>
  </si>
  <si>
    <t>0887-8013</t>
  </si>
  <si>
    <t>https://ovidsp.ovid.com/rss/journals/01599573/current.rss</t>
  </si>
  <si>
    <t>2006-08-01</t>
  </si>
  <si>
    <t>1464-3804</t>
  </si>
  <si>
    <t>2002-02-01 - 2003-03-01</t>
  </si>
  <si>
    <t>2008-11-01 - 2008-11-01</t>
  </si>
  <si>
    <t>https://openathens.ovid.com/OAKeystone/deeplink?idpselect=https://idp.eng.nhs.uk/openathens&amp;entityID=https://idp.eng.nhs.uk/openathens&amp;T=JS&amp;NEWS=n&amp;CSC=Y&amp;PAGE=toc&amp;D=yrovft&amp;AN=00063198-000000000-00000</t>
  </si>
  <si>
    <t>https://ovidsp.ovid.com/rss/journals/00004691/pap.rss</t>
  </si>
  <si>
    <t>Pre-Medline 2020 to September 30, 2020</t>
  </si>
  <si>
    <t>https://openathens.ovid.com/OAKeystone/deeplink?idpselect=https://idp.eng.nhs.uk/openathens&amp;entityID=https://idp.eng.nhs.uk/openathens&amp;T=JS&amp;NEWS=n&amp;CSC=Y&amp;PAGE=toc&amp;D=yrovft&amp;AN=02054256-000000000-00000</t>
  </si>
  <si>
    <t>https://ovidsp.ovid.com/rss/journals/00054832/pap.rss</t>
  </si>
  <si>
    <t>https://openathens.ovid.com/OAKeystone/deeplink?idpselect=https://idp.eng.nhs.uk/openathens&amp;entityID=https://idp.eng.nhs.uk/openathens&amp;T=JS&amp;NEWS=n&amp;CSC=Y&amp;PAGE=main&amp;D=med18</t>
  </si>
  <si>
    <t>1533-712X</t>
  </si>
  <si>
    <t>https://openathens.ovid.com/OAKeystone/deeplink?idpselect=https://idp.eng.nhs.uk/openathens&amp;entityID=https://idp.eng.nhs.uk/openathens&amp;T=JS&amp;NEWS=n&amp;CSC=Y&amp;PAGE=main&amp;D=prem</t>
  </si>
  <si>
    <t>2096-5958</t>
  </si>
  <si>
    <t>1534-7796</t>
  </si>
  <si>
    <t>https://ovidsp.ovid.com/rss/journals/00042307/current.rss</t>
  </si>
  <si>
    <t>https://ovidsp.ovid.com/rss/journals/00019040/pap.rss</t>
  </si>
  <si>
    <t>2000-02-01 - 2010-05-01</t>
  </si>
  <si>
    <t>0893-0341</t>
  </si>
  <si>
    <t>2009-03-01 - 2009-12-01</t>
  </si>
  <si>
    <t>1078-0998</t>
  </si>
  <si>
    <t>Protein Engineering, Design and Selection</t>
  </si>
  <si>
    <t>https://openathens.ovid.com/OAKeystone/deeplink?idpselect=https://idp.eng.nhs.uk/openathens&amp;entityID=https://idp.eng.nhs.uk/openathens&amp;T=JS&amp;NEWS=n&amp;CSC=Y&amp;PAGE=toc&amp;D=yrovft&amp;AN=00044067-000000000-00000</t>
  </si>
  <si>
    <t>2nd_Edition</t>
  </si>
  <si>
    <t>https://openathens.ovid.com/OAKeystone/deeplink?idpselect=https://idp.eng.nhs.uk/openathens&amp;entityID=https://idp.eng.nhs.uk/openathens&amp;T=JS&amp;NEWS=n&amp;CSC=Y&amp;PAGE=main&amp;D=emed4</t>
  </si>
  <si>
    <t>Journal of the American College of Emergency Physicians Open</t>
  </si>
  <si>
    <t>https://ovidsp.ovid.com/rss/journals/00004345/current.rss</t>
  </si>
  <si>
    <t>https://ovidsp.ovid.com/rss/journals/00006676/current.rss</t>
  </si>
  <si>
    <t>https://openathens.ovid.com/OAKeystone/deeplink?idpselect=https://idp.eng.nhs.uk/openathens&amp;entityID=https://idp.eng.nhs.uk/openathens&amp;T=JS&amp;NEWS=n&amp;CSC=Y&amp;PAGE=toc&amp;D=yrovft&amp;AN=00013452-000000000-00000</t>
  </si>
  <si>
    <t>2002-03-01 - 2004-02-01</t>
  </si>
  <si>
    <t>2013-02-01 - 2022-05-01</t>
  </si>
  <si>
    <t>https://openathens.ovid.com/OAKeystone/deeplink?idpselect=https://idp.eng.nhs.uk/openathens&amp;entityID=https://idp.eng.nhs.uk/openathens&amp;T=JS&amp;NEWS=n&amp;CSC=Y&amp;PAGE=toc&amp;D=yrovft&amp;AN=01436319-000000000-00000</t>
  </si>
  <si>
    <t>ASAIO Journal</t>
  </si>
  <si>
    <t>Cornea</t>
  </si>
  <si>
    <t>1468-4373</t>
  </si>
  <si>
    <t>1922-05-01</t>
  </si>
  <si>
    <t>2001-07-01 - 2014-01-01</t>
  </si>
  <si>
    <t>1536-5948</t>
  </si>
  <si>
    <t>2021-02-25</t>
  </si>
  <si>
    <t>0744-6314</t>
  </si>
  <si>
    <t>https://openathens.ovid.com/OAKeystone/deeplink?idpselect=https://idp.eng.nhs.uk/openathens&amp;entityID=https://idp.eng.nhs.uk/openathens&amp;T=JS&amp;NEWS=n&amp;CSC=Y&amp;PAGE=toc&amp;D=yrovft&amp;AN=00004583-000000000-00000</t>
  </si>
  <si>
    <t>https://ovidsp.ovid.com/rss/journals/00005237/current.rss</t>
  </si>
  <si>
    <t>https://ovidsp.ovid.com/rss/journals/00066763/pap.rss</t>
  </si>
  <si>
    <t>1531-6572</t>
  </si>
  <si>
    <t>https://ovidsp.ovid.com/rss/journals/00008469/current.rss</t>
  </si>
  <si>
    <t>1365-2834</t>
  </si>
  <si>
    <t>https://ovidsp.ovid.com/rss/journals/01445432/current.rss</t>
  </si>
  <si>
    <t>https://openathens.ovid.com/OAKeystone/deeplink?idpselect=https://idp.eng.nhs.uk/openathens&amp;entityID=https://idp.eng.nhs.uk/openathens&amp;T=JS&amp;NEWS=n&amp;CSC=Y&amp;PAGE=toc&amp;D=yrovft&amp;AN=00000637-000000000-00000</t>
  </si>
  <si>
    <t>Journal of Nursing Research</t>
  </si>
  <si>
    <t>https://ovidsp.ovid.com/rss/journals/00006250/current.rss</t>
  </si>
  <si>
    <t>https://ovidsp.ovid.com/rss/journals/00003524/current.rss</t>
  </si>
  <si>
    <t>2001-08-01</t>
  </si>
  <si>
    <t>https://ovidsp.ovid.com/rss/journals/00013644/pap.rss</t>
  </si>
  <si>
    <t>1079-5642</t>
  </si>
  <si>
    <t>https://ovidsp.ovid.com/rss/journals/00005131/current.rss</t>
  </si>
  <si>
    <t>https://openathens.ovid.com/OAKeystone/deeplink?idpselect=https://idp.eng.nhs.uk/openathens&amp;entityID=https://idp.eng.nhs.uk/openathens&amp;T=JS&amp;NEWS=n&amp;CSC=Y&amp;PAGE=main&amp;D=hmiz</t>
  </si>
  <si>
    <t>Journal of Inherited Metabolic Disease Reports</t>
  </si>
  <si>
    <t>1465-3648</t>
  </si>
  <si>
    <t>https://openathens.ovid.com/OAKeystone/deeplink?idpselect=https://idp.eng.nhs.uk/openathens&amp;entityID=https://idp.eng.nhs.uk/openathens&amp;T=JS&amp;NEWS=n&amp;CSC=Y&amp;PAGE=toc&amp;D=yrovft&amp;AN=00042154-000000000-00000</t>
  </si>
  <si>
    <t>2000-01-01</t>
  </si>
  <si>
    <t>https://ovidsp.ovid.com/rss/journals/00129334/current.rss</t>
  </si>
  <si>
    <t>American Journal of Occupational Therapy</t>
  </si>
  <si>
    <t>1559-0488</t>
  </si>
  <si>
    <t>1049-2275</t>
  </si>
  <si>
    <t>Neurosurgery Quarterly</t>
  </si>
  <si>
    <t>1528-9117</t>
  </si>
  <si>
    <t>https://ovidsp.ovid.com/rss/journals/02003427/pap.rss</t>
  </si>
  <si>
    <t>https://openathens.ovid.com/OAKeystone/deeplink?idpselect=https://idp.eng.nhs.uk/openathens&amp;entityID=https://idp.eng.nhs.uk/openathens&amp;T=JS&amp;NEWS=n&amp;CSC=Y&amp;PAGE=toc&amp;D=yrovft&amp;AN=02003428-000000000-00000</t>
  </si>
  <si>
    <t>https://ovidsp.ovid.com/rss/journals/00075200/current.rss</t>
  </si>
  <si>
    <t>https://openathens.ovid.com/OAKeystone/deeplink?idpselect=https://idp.eng.nhs.uk/openathens&amp;entityID=https://idp.eng.nhs.uk/openathens&amp;T=JS&amp;NEWS=n&amp;CSC=Y&amp;PAGE=toc&amp;D=yrovft&amp;AN=00132579-000000000-00000</t>
  </si>
  <si>
    <t>7/8</t>
  </si>
  <si>
    <t>1932-7501</t>
  </si>
  <si>
    <t>1531-5754</t>
  </si>
  <si>
    <t>2003-09-01</t>
  </si>
  <si>
    <t>2003-01-01 - 2010-04-01</t>
  </si>
  <si>
    <t>2003-07-01</t>
  </si>
  <si>
    <t>Ultrasound Quarterly</t>
  </si>
  <si>
    <t>Current Opinion in Allergy &amp; Clinical Immunology</t>
  </si>
  <si>
    <t>https://openathens.ovid.com/OAKeystone/deeplink?idpselect=https://idp.eng.nhs.uk/openathens&amp;entityID=https://idp.eng.nhs.uk/openathens&amp;T=JS&amp;NEWS=n&amp;CSC=Y&amp;PAGE=toc&amp;D=yrovft&amp;AN=00007435-000000000-00000</t>
  </si>
  <si>
    <t>2050-6406</t>
  </si>
  <si>
    <t>https://ovidsp.ovid.com/rss/journals/00002480/pap.rss</t>
  </si>
  <si>
    <t>1538-3008</t>
  </si>
  <si>
    <t>1745-834X</t>
  </si>
  <si>
    <t>1537-1719</t>
  </si>
  <si>
    <t>2022-05-03</t>
  </si>
  <si>
    <t>https://ovidsp.ovid.com/rss/journals/00045415/pap.rss</t>
  </si>
  <si>
    <t>https://openathens.ovid.com/OAKeystone/deeplink?idpselect=https://idp.eng.nhs.uk/openathens&amp;entityID=https://idp.eng.nhs.uk/openathens&amp;T=JS&amp;NEWS=n&amp;CSC=Y&amp;PAGE=toc&amp;D=yrovft&amp;AN=00008505-000000000-00000</t>
  </si>
  <si>
    <t>https://openathens.ovid.com/OAKeystone/deeplink?idpselect=https://idp.eng.nhs.uk/openathens&amp;entityID=https://idp.eng.nhs.uk/openathens&amp;T=JS&amp;NEWS=n&amp;CSC=Y&amp;PAGE=toc&amp;D=yrovft&amp;AN=00005373-000000000-00000</t>
  </si>
  <si>
    <t>2001-08-01 - 2015-05-01</t>
  </si>
  <si>
    <t>https://ovidsp.ovid.com/rss/journals/02054633/current.rss</t>
  </si>
  <si>
    <t>2000-01-01 - 2015-04-01</t>
  </si>
  <si>
    <t>2000-11-01 - 2004-04-01</t>
  </si>
  <si>
    <t>https://openathens.ovid.com/OAKeystone/deeplink?idpselect=https://idp.eng.nhs.uk/openathens&amp;entityID=https://idp.eng.nhs.uk/openathens&amp;T=JS&amp;NEWS=n&amp;CSC=Y&amp;PAGE=toc&amp;D=yrovft&amp;AN=00005217-000000000-00000</t>
  </si>
  <si>
    <t>https://ovidsp.ovid.com/rss/journals/01429651/pap.rss</t>
  </si>
  <si>
    <t>https://ovidsp.ovid.com/rss/journals/00126350/pap.rss</t>
  </si>
  <si>
    <t>https://ovidsp.ovid.com/rss/journals/00001888/pap.rss</t>
  </si>
  <si>
    <t>1460-2091</t>
  </si>
  <si>
    <t>1530-0447</t>
  </si>
  <si>
    <t>1557-0584</t>
  </si>
  <si>
    <t>https://openathens.ovid.com/OAKeystone/deeplink?idpselect=https://idp.eng.nhs.uk/openathens&amp;entityID=https://idp.eng.nhs.uk/openathens&amp;T=JS&amp;NEWS=n&amp;CSC=Y&amp;PAGE=main&amp;D=emed17</t>
  </si>
  <si>
    <t>https://ovidsp.ovid.com/rss/journals/02186224/current.rss</t>
  </si>
  <si>
    <t>2016-09-01</t>
  </si>
  <si>
    <t>https://ovidsp.ovid.com/rss/journals/00000621/current.rss</t>
  </si>
  <si>
    <t>0006-8950</t>
  </si>
  <si>
    <t>https://openathens.ovid.com/OAKeystone/deeplink?idpselect=https://idp.eng.nhs.uk/openathens&amp;entityID=https://idp.eng.nhs.uk/openathens&amp;T=JS&amp;NEWS=n&amp;CSC=Y&amp;PAGE=toc&amp;D=yrovft&amp;AN=01244666-000000000-00000</t>
  </si>
  <si>
    <t>978-1-9018-3106-1</t>
  </si>
  <si>
    <t>Journal of Occupational Health</t>
  </si>
  <si>
    <t>https://ovidsp.ovid.com/rss/journals/00006205/current.rss</t>
  </si>
  <si>
    <t>https://ovidsp.ovid.com/rss/journals/02123147/pap.rss</t>
  </si>
  <si>
    <t>https://openathens.ovid.com/OAKeystone/deeplink?idpselect=https://idp.eng.nhs.uk/openathens&amp;entityID=https://idp.eng.nhs.uk/openathens&amp;T=JS&amp;NEWS=n&amp;CSC=Y&amp;PAGE=toc&amp;D=yrovft&amp;AN=02200519-000000000-00000</t>
  </si>
  <si>
    <t>https://openathens.ovid.com/OAKeystone/deeplink?idpselect=https://idp.eng.nhs.uk/openathens&amp;entityID=https://idp.eng.nhs.uk/openathens&amp;T=JS&amp;NEWS=n&amp;CSC=Y&amp;PAGE=toc&amp;D=yrovft&amp;AN=00004045-000000000-00000</t>
  </si>
  <si>
    <t>https://ovidsp.ovid.com/rss/journals/00134372/pap.rss</t>
  </si>
  <si>
    <t>0020-8167</t>
  </si>
  <si>
    <t>2012-11-01</t>
  </si>
  <si>
    <t>1531-698X</t>
  </si>
  <si>
    <t>Journal of the American Medical Directors' Association</t>
  </si>
  <si>
    <t>https://openathens.ovid.com/OAKeystone/deeplink?idpselect=https://idp.eng.nhs.uk/openathens&amp;entityID=https://idp.eng.nhs.uk/openathens&amp;T=JS&amp;NEWS=n&amp;CSC=Y&amp;PAGE=toc&amp;D=yrovft&amp;AN=00005768-000000000-00000</t>
  </si>
  <si>
    <t>2007-02-01 - 2010-05-01</t>
  </si>
  <si>
    <t>2019-12-01</t>
  </si>
  <si>
    <t>1948-8270</t>
  </si>
  <si>
    <t>Journal Of Clinical Laboratory Analysis</t>
  </si>
  <si>
    <t>https://ovidsp.ovid.com/rss/journals/00002281/current.rss</t>
  </si>
  <si>
    <t>1550-5030</t>
  </si>
  <si>
    <t>Current Opinion in Cardiology</t>
  </si>
  <si>
    <t>https://openathens.ovid.com/OAKeystone/deeplink?idpselect=https://idp.eng.nhs.uk/openathens&amp;entityID=https://idp.eng.nhs.uk/openathens&amp;T=JS&amp;NEWS=n&amp;CSC=Y&amp;PAGE=booktext&amp;D=books&amp;AN=01867022$&amp;XPATH=/PG(0)&amp;EPUB=Y</t>
  </si>
  <si>
    <t>1072-4109</t>
  </si>
  <si>
    <t>Journal of Occupational &amp; Environmental Medicine</t>
  </si>
  <si>
    <t>https://openathens.ovid.com/OAKeystone/deeplink?idpselect=https://idp.eng.nhs.uk/openathens&amp;entityID=https://idp.eng.nhs.uk/openathens&amp;T=JS&amp;NEWS=n&amp;CSC=Y&amp;PAGE=main&amp;D=med13</t>
  </si>
  <si>
    <t>https://ovidsp.ovid.com/rss/journals/00004032/pap.rss</t>
  </si>
  <si>
    <t>https://ovidsp.ovid.com/rss/journals/00005344/current.rss</t>
  </si>
  <si>
    <t>https://ovidsp.ovid.com/rss/journals/00001199/pap.rss</t>
  </si>
  <si>
    <t>978-0-1992-0669-8</t>
  </si>
  <si>
    <t>2011-01-01 - 2022-04-01</t>
  </si>
  <si>
    <t>https://openathens.ovid.com/OAKeystone/deeplink?idpselect=https://idp.eng.nhs.uk/openathens&amp;entityID=https://idp.eng.nhs.uk/openathens&amp;T=JS&amp;NEWS=n&amp;CSC=Y&amp;PAGE=toc&amp;D=yrovft&amp;AN=00006512-000000000-00000</t>
  </si>
  <si>
    <t>Seminars in Interventional Radiology</t>
  </si>
  <si>
    <t>2009-10-01</t>
  </si>
  <si>
    <t>2022-05-01</t>
  </si>
  <si>
    <t>Egyptian Journal of Critical Care Medicine</t>
  </si>
  <si>
    <t>https://ovidsp.ovid.com/rss/journals/00000478/pap.rss</t>
  </si>
  <si>
    <t>Otology &amp; Neurotology</t>
  </si>
  <si>
    <t>Techniques in Shoulder &amp; Elbow Surgery</t>
  </si>
  <si>
    <t>Children's and Young People's Nursing Made Incredibly Easy!</t>
  </si>
  <si>
    <t>ACR Open Rheumatology</t>
  </si>
  <si>
    <t>0022-2615</t>
  </si>
  <si>
    <t>Problems in General Surgery</t>
  </si>
  <si>
    <t>2001-03-01 - 2010-06-01</t>
  </si>
  <si>
    <t>https://ovidsp.ovid.com/rss/journals/00019038/current.rss</t>
  </si>
  <si>
    <t>https://ovidsp.ovid.com/rss/journals/00115742/pap.rss</t>
  </si>
  <si>
    <t>Ovid MEDLINE(R) Versions</t>
  </si>
  <si>
    <t>https://ovidsp.ovid.com/rss/journals/02158035/current.rss</t>
  </si>
  <si>
    <t>https://ovidsp.ovid.com/rss/journals/00125480/current.rss</t>
  </si>
  <si>
    <t>https://ovidsp.ovid.com/rss/journals/00000374/current.rss</t>
  </si>
  <si>
    <t>https://ovidsp.ovid.com/rss/journals/00017285/current.rss</t>
  </si>
  <si>
    <t>Alcoholism: Clinical &amp; Experimental Research</t>
  </si>
  <si>
    <t>https://ovidsp.ovid.com/rss/journals/01223018/current.rss</t>
  </si>
  <si>
    <t>NeuroReport</t>
  </si>
  <si>
    <t>The Radiologist</t>
  </si>
  <si>
    <t>PAP RSS Feed URL</t>
  </si>
  <si>
    <t>2380-0216</t>
  </si>
  <si>
    <t>Ovid Emcare 2010 to 2014</t>
  </si>
  <si>
    <t>1468-2044</t>
  </si>
  <si>
    <t>https://ovidsp.ovid.com/rss/journals/01437872/pap.rss</t>
  </si>
  <si>
    <t>2011-12-01 - 2022-03-01</t>
  </si>
  <si>
    <t>https://openathens.ovid.com/OAKeystone/deeplink?idpselect=https://idp.eng.nhs.uk/openathens&amp;entityID=https://idp.eng.nhs.uk/openathens&amp;T=JS&amp;NEWS=n&amp;CSC=Y&amp;PAGE=toc&amp;D=yrovft&amp;AN=00045415-000000000-00000</t>
  </si>
  <si>
    <t>Nutrition Made Incredibly Easy!</t>
  </si>
  <si>
    <t>1661-7649</t>
  </si>
  <si>
    <t>https://openathens.ovid.com/OAKeystone/deeplink?idpselect=https://idp.eng.nhs.uk/openathens&amp;entityID=https://idp.eng.nhs.uk/openathens&amp;T=JS&amp;NEWS=n&amp;CSC=Y&amp;PAGE=toc&amp;D=yrovft&amp;AN=00000429-000000000-00000</t>
  </si>
  <si>
    <t>1538-2931</t>
  </si>
  <si>
    <t>https://openathens.ovid.com/OAKeystone/deeplink?idpselect=https://idp.eng.nhs.uk/openathens&amp;entityID=https://idp.eng.nhs.uk/openathens&amp;T=JS&amp;NEWS=n&amp;CSC=Y&amp;PAGE=toc&amp;D=yrovft&amp;AN=00042737-000000000-00000</t>
  </si>
  <si>
    <t>2015-03-27</t>
  </si>
  <si>
    <t>Current Opinion in Pediatrics</t>
  </si>
  <si>
    <t>1550-5057</t>
  </si>
  <si>
    <t>Service User &amp; Carer Involvement in Education for Health and Social Care</t>
  </si>
  <si>
    <t>Medline (2012)</t>
  </si>
  <si>
    <t>Asia-Pacific Journal of Ophthalmology</t>
  </si>
  <si>
    <t>Current Opinion in Endocrinology and Diabetes</t>
  </si>
  <si>
    <t>1464-3677</t>
  </si>
  <si>
    <t>https://ovidsp.ovid.com/rss/journals/01253086/current.rss</t>
  </si>
  <si>
    <t>0882-7524</t>
  </si>
  <si>
    <t>2096-5664</t>
  </si>
  <si>
    <t>https://openathens.ovid.com/OAKeystone/deeplink?idpselect=https://idp.eng.nhs.uk/openathens&amp;entityID=https://idp.eng.nhs.uk/openathens&amp;T=JS&amp;NEWS=n&amp;CSC=Y&amp;PAGE=toc&amp;D=yrovft&amp;AN=00004770-000000000-00000</t>
  </si>
  <si>
    <t>0885-9175</t>
  </si>
  <si>
    <t>1759-5029</t>
  </si>
  <si>
    <t>https://ovidsp.ovid.com/rss/journals/00132585/current.rss</t>
  </si>
  <si>
    <t>0366-6999</t>
  </si>
  <si>
    <t>https://ovidsp.ovid.com/rss/journals/00001503/pap.rss</t>
  </si>
  <si>
    <t>Postgraduate Obstetrics &amp; Gynecology</t>
  </si>
  <si>
    <t>1045-2249</t>
  </si>
  <si>
    <t>1945-7618</t>
  </si>
  <si>
    <t>https://openathens.ovid.com/OAKeystone/deeplink?idpselect=https://idp.eng.nhs.uk/openathens&amp;entityID=https://idp.eng.nhs.uk/openathens&amp;T=JS&amp;NEWS=n&amp;CSC=Y&amp;PAGE=toc&amp;D=yrovft&amp;AN=00007890-000000000-00000</t>
  </si>
  <si>
    <t>1478-1972</t>
  </si>
  <si>
    <t>https://ovidsp.ovid.com/rss/journals/00043426/pap.rss</t>
  </si>
  <si>
    <t>2009-12-02</t>
  </si>
  <si>
    <t>2015-09-01 - 2021-12-01</t>
  </si>
  <si>
    <t>2002-06-01</t>
  </si>
  <si>
    <t>https://openathens.ovid.com/OAKeystone/deeplink?idpselect=https://idp.eng.nhs.uk/openathens&amp;entityID=https://idp.eng.nhs.uk/openathens&amp;T=JS&amp;NEWS=n&amp;CSC=Y&amp;PAGE=toc&amp;D=yrovft&amp;AN=00004345-000000000-00000</t>
  </si>
  <si>
    <t>https://openathens.ovid.com/OAKeystone/deeplink?idpselect=https://idp.eng.nhs.uk/openathens&amp;entityID=https://idp.eng.nhs.uk/openathens&amp;T=JS&amp;NEWS=n&amp;CSC=Y&amp;PAGE=toc&amp;D=yrovft&amp;AN=02054630-000000000-00000</t>
  </si>
  <si>
    <t>https://openathens.ovid.com/OAKeystone/deeplink?idpselect=https://idp.eng.nhs.uk/openathens&amp;entityID=https://idp.eng.nhs.uk/openathens&amp;T=JS&amp;NEWS=n&amp;CSC=Y&amp;PAGE=toc&amp;D=yrovft&amp;AN=00152192-000000000-00000</t>
  </si>
  <si>
    <t>0894-9115</t>
  </si>
  <si>
    <t>https://openathens.ovid.com/OAKeystone/deeplink?idpselect=https://idp.eng.nhs.uk/openathens&amp;entityID=https://idp.eng.nhs.uk/openathens&amp;T=JS&amp;NEWS=n&amp;CSC=Y&amp;PAGE=toc&amp;D=yrovft&amp;AN=00132586-000000000-00000</t>
  </si>
  <si>
    <t>https://ovidsp.ovid.com/rss/journals/00003446/current.rss</t>
  </si>
  <si>
    <t>2004-02-01 - 2015-04-01</t>
  </si>
  <si>
    <t>Child and Adolescent Psychiatry</t>
  </si>
  <si>
    <t>https://openathens.ovid.com/OAKeystone/deeplink?idpselect=https://idp.eng.nhs.uk/openathens&amp;entityID=https://idp.eng.nhs.uk/openathens&amp;T=JS&amp;NEWS=n&amp;CSC=Y&amp;PAGE=toc&amp;D=yrovft&amp;AN=00002264-000000000-00000</t>
  </si>
  <si>
    <t>0031-3998</t>
  </si>
  <si>
    <t>https://ovidsp.ovid.com/rss/journals/00042106/pap.rss</t>
  </si>
  <si>
    <t>Age and Ageing</t>
  </si>
  <si>
    <t>2001-07-01 - 2015-04-01</t>
  </si>
  <si>
    <t>https://ovidsp.ovid.com/rss/journals/00002371/current.rss</t>
  </si>
  <si>
    <t>https://openathens.ovid.com/OAKeystone/deeplink?idpselect=https://idp.eng.nhs.uk/openathens&amp;entityID=https://idp.eng.nhs.uk/openathens&amp;T=JS&amp;NEWS=n&amp;CSC=Y&amp;PAGE=toc&amp;D=yrovft&amp;AN=00002405-000000000-00000</t>
  </si>
  <si>
    <t>https://ovidsp.ovid.com/rss/journals/00146965/current.rss</t>
  </si>
  <si>
    <t>https://ovidsp.ovid.com/rss/journals/00132583/current.rss</t>
  </si>
  <si>
    <t>2012-11-01 - 2022-01-01</t>
  </si>
  <si>
    <t>https://ovidsp.ovid.com/rss/journals/00004045/current.rss</t>
  </si>
  <si>
    <t>https://openathens.ovid.com/OAKeystone/deeplink?idpselect=https://idp.eng.nhs.uk/openathens&amp;entityID=https://idp.eng.nhs.uk/openathens&amp;T=JS&amp;NEWS=n&amp;CSC=Y&amp;PAGE=toc&amp;D=yrovft&amp;AN=00005084-000000000-00000</t>
  </si>
  <si>
    <t>https://ovidsp.ovid.com/rss/journals/00000605/current.rss</t>
  </si>
  <si>
    <t>1759-4790</t>
  </si>
  <si>
    <t>https://openathens.ovid.com/OAKeystone/deeplink?idpselect=https://idp.eng.nhs.uk/openathens&amp;entityID=https://idp.eng.nhs.uk/openathens&amp;T=JS&amp;NEWS=n&amp;CSC=Y&amp;PAGE=toc&amp;D=yrovft&amp;AN=00124278-000000000-00000</t>
  </si>
  <si>
    <t>MRCPsych: Passing the CASC Exam</t>
  </si>
  <si>
    <t>2021 Week 28 to Present</t>
  </si>
  <si>
    <t>Anatomy &amp; Physiology Made Incredibly Easy!</t>
  </si>
  <si>
    <t>1528-1159</t>
  </si>
  <si>
    <t>2014-06-01</t>
  </si>
  <si>
    <t>2015-04-24</t>
  </si>
  <si>
    <t>https://ovidsp.ovid.com/rss/journals/00006250/pap.rss</t>
  </si>
  <si>
    <t>2018-01-01 - 2022-04-28</t>
  </si>
  <si>
    <t>https://ovidsp.ovid.com/rss/journals/01220507/current.rss</t>
  </si>
  <si>
    <t>Ovid MEDLINE(R) In-Process &amp; In-Data-Review Citations &lt;1946 to May 25, 2022&gt;</t>
  </si>
  <si>
    <t>https://ovidsp.ovid.com/rss/journals/01300413/pap.rss</t>
  </si>
  <si>
    <t>1536-3686</t>
  </si>
  <si>
    <t>https://ovidsp.ovid.com/rss/journals/01300516/current.rss</t>
  </si>
  <si>
    <t>1070-5295</t>
  </si>
  <si>
    <t>Lippincott's Bone and Joint Newsletter</t>
  </si>
  <si>
    <t>Journal of Pancreatology</t>
  </si>
  <si>
    <t>Critical Care Medicine</t>
  </si>
  <si>
    <t>1536-0245</t>
  </si>
  <si>
    <t>https://openathens.ovid.com/OAKeystone/deeplink?idpselect=https://idp.eng.nhs.uk/openathens&amp;entityID=https://idp.eng.nhs.uk/openathens&amp;T=JS&amp;NEWS=n&amp;CSC=Y&amp;PAGE=toc&amp;D=yrovft&amp;AN=01182575-000000000-00000</t>
  </si>
  <si>
    <t>https://openathens.ovid.com/OAKeystone/deeplink?idpselect=https://idp.eng.nhs.uk/openathens&amp;entityID=https://idp.eng.nhs.uk/openathens&amp;T=JS&amp;NEWS=n&amp;CSC=Y&amp;PAGE=main&amp;D=emed5</t>
  </si>
  <si>
    <t>2022-05-27</t>
  </si>
  <si>
    <t>2574-2167</t>
  </si>
  <si>
    <t>2012-05-01 - 2015-03-01</t>
  </si>
  <si>
    <t>0193-1091</t>
  </si>
  <si>
    <t>2001-07-01 - 2002-01-01</t>
  </si>
  <si>
    <t>https://openathens.ovid.com/OAKeystone/deeplink?idpselect=https://idp.eng.nhs.uk/openathens&amp;entityID=https://idp.eng.nhs.uk/openathens&amp;T=JS&amp;NEWS=n&amp;CSC=Y&amp;PAGE=toc&amp;D=yrovft&amp;AN=00019052-000000000-00000</t>
  </si>
  <si>
    <t>1538-2982</t>
  </si>
  <si>
    <t>1550-3267</t>
  </si>
  <si>
    <t>https://ovidsp.ovid.com/rss/journals/01182575/current.rss</t>
  </si>
  <si>
    <t>https://ovidsp.ovid.com/rss/journals/01337441/current.rss</t>
  </si>
  <si>
    <t>Soil Science</t>
  </si>
  <si>
    <t>https://openathens.ovid.com/OAKeystone/deeplink?idpselect=https://idp.eng.nhs.uk/openathens&amp;entityID=https://idp.eng.nhs.uk/openathens&amp;T=JS&amp;NEWS=n&amp;CSC=Y&amp;PAGE=toc&amp;D=yrovft&amp;AN=00001665-000000000-00000</t>
  </si>
  <si>
    <t>Porto Biomedical Journal</t>
  </si>
  <si>
    <t>1473-5725</t>
  </si>
  <si>
    <t>2006-10-01</t>
  </si>
  <si>
    <t>https://openathens.ovid.com/OAKeystone/deeplink?idpselect=https://idp.eng.nhs.uk/openathens&amp;entityID=https://idp.eng.nhs.uk/openathens&amp;T=JS&amp;NEWS=n&amp;CSC=Y&amp;PAGE=main&amp;D=medc3</t>
  </si>
  <si>
    <t>https://openathens.ovid.com/OAKeystone/deeplink?idpselect=https://idp.eng.nhs.uk/openathens&amp;entityID=https://idp.eng.nhs.uk/openathens&amp;T=JS&amp;NEWS=n&amp;CSC=Y&amp;PAGE=toc&amp;D=yrovft&amp;AN=00005237-000000000-00000</t>
  </si>
  <si>
    <t>Nursing</t>
  </si>
  <si>
    <t>2010-01-15</t>
  </si>
  <si>
    <t>International Journal of STD &amp; AIDS</t>
  </si>
  <si>
    <t>https://ovidsp.ovid.com/rss/journals/00006123/pap.rss</t>
  </si>
  <si>
    <t>2007-09-01 - 2010-05-01</t>
  </si>
  <si>
    <t>https://ovidsp.ovid.com/rss/journals/01586154/current.rss</t>
  </si>
  <si>
    <t>2011-12-01</t>
  </si>
  <si>
    <t>1537-453X</t>
  </si>
  <si>
    <t>Medline (1996-1998)</t>
  </si>
  <si>
    <t>International Immunology</t>
  </si>
  <si>
    <t>0737-4038</t>
  </si>
  <si>
    <t>2000-11-01 - 2004-03-01</t>
  </si>
  <si>
    <t>2006-04-01 - 2010-04-01</t>
  </si>
  <si>
    <t>1473-5598</t>
  </si>
  <si>
    <t>Alzheimer Disease &amp; Associated Disorders</t>
  </si>
  <si>
    <t>0740-9303</t>
  </si>
  <si>
    <t>EMBASE 2018</t>
  </si>
  <si>
    <t>1533-4287</t>
  </si>
  <si>
    <t>Psychopharm Review</t>
  </si>
  <si>
    <t>1098-8963</t>
  </si>
  <si>
    <t>JPGN Reports</t>
  </si>
  <si>
    <t>https://openathens.ovid.com/OAKeystone/deeplink?idpselect=https://idp.eng.nhs.uk/openathens&amp;entityID=https://idp.eng.nhs.uk/openathens&amp;T=JS&amp;NEWS=n&amp;CSC=Y&amp;PAGE=toc&amp;D=yrovft&amp;AN=00005305-000000000-00000</t>
  </si>
  <si>
    <t>0887-6274</t>
  </si>
  <si>
    <t>https://openathens.ovid.com/OAKeystone/deeplink?idpselect=https://idp.eng.nhs.uk/openathens&amp;entityID=https://idp.eng.nhs.uk/openathens&amp;T=JS&amp;NEWS=n&amp;CSC=Y&amp;PAGE=toc&amp;D=yrovft&amp;AN=00066763-000000000-00000</t>
  </si>
  <si>
    <t>https://ovidsp.ovid.com/rss/journals/02200519/current.rss</t>
  </si>
  <si>
    <t>2001-01-01 - 2010-01-01</t>
  </si>
  <si>
    <t>https://ovidsp.ovid.com/rss/journals/00130535/current.rss</t>
  </si>
  <si>
    <t>0029-6562</t>
  </si>
  <si>
    <t>2002-01-01 - 2010-05-01</t>
  </si>
  <si>
    <t>https://ovidsp.ovid.com/rss/journals/00005131/pap.rss</t>
  </si>
  <si>
    <t>1542-1929</t>
  </si>
  <si>
    <t>0002-953X</t>
  </si>
  <si>
    <t>https://openathens.ovid.com/OAKeystone/deeplink?idpselect=https://idp.eng.nhs.uk/openathens&amp;entityID=https://idp.eng.nhs.uk/openathens&amp;T=JS&amp;NEWS=n&amp;CSC=Y&amp;PAGE=toc&amp;D=yrovft&amp;AN=02145553-000000000-00000</t>
  </si>
  <si>
    <t>https://ovidsp.ovid.com/rss/journals/00152192/pap.rss</t>
  </si>
  <si>
    <t>2018-03-01 - 2022-04-12</t>
  </si>
  <si>
    <t>Psychiatry by Ten Teachers</t>
  </si>
  <si>
    <t>https://ovidsp.ovid.com/rss/journals/00002417/pap.rss</t>
  </si>
  <si>
    <t>EMBASE 1996 to 1999</t>
  </si>
  <si>
    <t>https://ovidsp.ovid.com/rss/journals/00000448/current.rss</t>
  </si>
  <si>
    <t>Nature Reviews Endocrinology</t>
  </si>
  <si>
    <t>2020-02-01</t>
  </si>
  <si>
    <t>Journal of Advanced Nursing</t>
  </si>
  <si>
    <t>2001-04-01</t>
  </si>
  <si>
    <t>Medline Corrections (May 2019)</t>
  </si>
  <si>
    <t>2006-01-01</t>
  </si>
  <si>
    <t>https://ovidsp.ovid.com/rss/journals/00005768/current.rss</t>
  </si>
  <si>
    <t>https://ovidsp.ovid.com/rss/journals/01429653/current.rss</t>
  </si>
  <si>
    <t>https://ovidsp.ovid.com/rss/journals/01213011/pap.rss</t>
  </si>
  <si>
    <t>Nature Reviews Rheumatology</t>
  </si>
  <si>
    <t>https://openathens.ovid.com/OAKeystone/deeplink?idpselect=https://idp.eng.nhs.uk/openathens&amp;entityID=https://idp.eng.nhs.uk/openathens&amp;T=JS&amp;NEWS=n&amp;CSC=Y&amp;PAGE=toc&amp;D=yrovft&amp;AN=00024382-000000000-00000</t>
  </si>
  <si>
    <t>Ovid MEDLINE(R)</t>
  </si>
  <si>
    <t>https://openathens.ovid.com/OAKeystone/deeplink?idpselect=https://idp.eng.nhs.uk/openathens&amp;entityID=https://idp.eng.nhs.uk/openathens&amp;T=JS&amp;NEWS=n&amp;CSC=Y&amp;PAGE=toc&amp;D=yrovft&amp;AN=02158035-000000000-00000</t>
  </si>
  <si>
    <t>1984-01-01</t>
  </si>
  <si>
    <t>https://ovidsp.ovid.com/rss/journals/00019501/pap.rss</t>
  </si>
  <si>
    <t>2002-04-01 - 2010-05-01</t>
  </si>
  <si>
    <t>0276-2234</t>
  </si>
  <si>
    <t>https://ovidsp.ovid.com/rss/journals/00019048/current.rss</t>
  </si>
  <si>
    <t>American Journal of Alzheimer's Disease &amp; Other Dementias</t>
  </si>
  <si>
    <t>https://ovidsp.ovid.com/rss/journals/00019442/current.rss</t>
  </si>
  <si>
    <t>https://openathens.ovid.com/OAKeystone/deeplink?idpselect=https://idp.eng.nhs.uk/openathens&amp;entityID=https://idp.eng.nhs.uk/openathens&amp;T=JS&amp;NEWS=n&amp;CSC=Y&amp;PAGE=toc&amp;D=yrovft&amp;AN=00060989-000000000-00000</t>
  </si>
  <si>
    <t>1536-0636</t>
  </si>
  <si>
    <t>2022-05-13</t>
  </si>
  <si>
    <t>https://openathens.ovid.com/OAKeystone/deeplink?idpselect=https://idp.eng.nhs.uk/openathens&amp;entityID=https://idp.eng.nhs.uk/openathens&amp;T=JS&amp;NEWS=n&amp;CSC=Y&amp;PAGE=main&amp;D=med16</t>
  </si>
  <si>
    <t>https://openathens.ovid.com/OAKeystone/deeplink?idpselect=https://idp.eng.nhs.uk/openathens&amp;entityID=https://idp.eng.nhs.uk/openathens&amp;T=JS&amp;NEWS=n&amp;CSC=Y&amp;PAGE=toc&amp;D=yrovft&amp;AN=02112950-000000000-00000</t>
  </si>
  <si>
    <t>https://ovidsp.ovid.com/rss/journals/00001774/current.rss</t>
  </si>
  <si>
    <t>https://ovidsp.ovid.com/rss/journals/00043764/pap.rss</t>
  </si>
  <si>
    <t>Progress in Preventive Medicine</t>
  </si>
  <si>
    <t>https://openathens.ovid.com/OAKeystone/deeplink?idpselect=https://idp.eng.nhs.uk/openathens&amp;entityID=https://idp.eng.nhs.uk/openathens&amp;T=JS&amp;NEWS=n&amp;CSC=Y&amp;PAGE=toc&amp;D=yrovft&amp;AN=02249956-000000000-00000</t>
  </si>
  <si>
    <t>2020-11-01</t>
  </si>
  <si>
    <t>Psychiatric Genetics</t>
  </si>
  <si>
    <t>0-1985-6898-3</t>
  </si>
  <si>
    <t>1538-8670</t>
  </si>
  <si>
    <t>EMBASE 2005 to 2006</t>
  </si>
  <si>
    <t>https://ovidsp.ovid.com/rss/journals/00000140/pap.rss</t>
  </si>
  <si>
    <t>https://openathens.ovid.com/OAKeystone/deeplink?idpselect=https://idp.eng.nhs.uk/openathens&amp;entityID=https://idp.eng.nhs.uk/openathens&amp;T=JS&amp;NEWS=n&amp;CSC=Y&amp;PAGE=toc&amp;D=yrovft&amp;AN=01075922-000000000-00000</t>
  </si>
  <si>
    <t>1751-4266</t>
  </si>
  <si>
    <t>Springer Science + Business Media</t>
  </si>
  <si>
    <t>2004-03-27</t>
  </si>
  <si>
    <t>https://openathens.ovid.com/OAKeystone/deeplink?idpselect=https://idp.eng.nhs.uk/openathens&amp;entityID=https://idp.eng.nhs.uk/openathens&amp;T=JS&amp;NEWS=n&amp;CSC=Y&amp;PAGE=toc&amp;D=yrovft&amp;AN=00003458-000000000-00000</t>
  </si>
  <si>
    <t>2017-12-01 - 2022-03-01</t>
  </si>
  <si>
    <t>1537-5846</t>
  </si>
  <si>
    <t>1984-01-01 - 2021-12-01</t>
  </si>
  <si>
    <t>0029-7844</t>
  </si>
  <si>
    <t>Book Title</t>
  </si>
  <si>
    <t>https://openathens.ovid.com/OAKeystone/deeplink?idpselect=https://idp.eng.nhs.uk/openathens&amp;entityID=https://idp.eng.nhs.uk/openathens&amp;T=JS&amp;NEWS=n&amp;CSC=Y&amp;PAGE=main&amp;D=medc2</t>
  </si>
  <si>
    <t>https://ovidsp.ovid.com/rss/journals/00137754/current.rss</t>
  </si>
  <si>
    <t>https://openathens.ovid.com/OAKeystone/deeplink?idpselect=https://idp.eng.nhs.uk/openathens&amp;entityID=https://idp.eng.nhs.uk/openathens&amp;T=JS&amp;NEWS=n&amp;CSC=Y&amp;PAGE=toc&amp;D=yrovft&amp;AN=00127893-000000000-00000</t>
  </si>
  <si>
    <t>Journal of Christian Nursing</t>
  </si>
  <si>
    <t>2007-01-01</t>
  </si>
  <si>
    <t>2001-07-01 - 2008-01-01</t>
  </si>
  <si>
    <t>https://openathens.ovid.com/OAKeystone/deeplink?idpselect=https://idp.eng.nhs.uk/openathens&amp;entityID=https://idp.eng.nhs.uk/openathens&amp;T=JS&amp;NEWS=n&amp;CSC=Y&amp;PAGE=toc&amp;D=yrovft&amp;AN=00019040-000000000-00000</t>
  </si>
  <si>
    <t>Medline Alert Validation Segment</t>
  </si>
  <si>
    <t>International Journal of Health Care Finance &amp; Economics</t>
  </si>
  <si>
    <t>Laryngoscope</t>
  </si>
  <si>
    <t>https://openathens.ovid.com/OAKeystone/deeplink?idpselect=https://idp.eng.nhs.uk/openathens&amp;entityID=https://idp.eng.nhs.uk/openathens&amp;T=JS&amp;NEWS=n&amp;CSC=Y&amp;PAGE=toc&amp;D=yrovft&amp;AN=00013414-000000000-00000</t>
  </si>
  <si>
    <t>https://openathens.ovid.com/OAKeystone/deeplink?idpselect=https://idp.eng.nhs.uk/openathens&amp;entityID=https://idp.eng.nhs.uk/openathens&amp;T=JS&amp;NEWS=n&amp;CSC=Y&amp;PAGE=toc&amp;D=yrovft&amp;AN=00125480-000000000-00000</t>
  </si>
  <si>
    <t>https://openathens.ovid.com/OAKeystone/deeplink?idpselect=https://idp.eng.nhs.uk/openathens&amp;entityID=https://idp.eng.nhs.uk/openathens&amp;T=JS&amp;NEWS=n&amp;CSC=Y&amp;PAGE=toc&amp;D=yrovft&amp;AN=01223017-000000000-00000</t>
  </si>
  <si>
    <t>2004-01-01 - 2010-03-01</t>
  </si>
  <si>
    <t>0955-3541</t>
  </si>
  <si>
    <t>Diseases of the Colon &amp; Rectum</t>
  </si>
  <si>
    <t>https://ovidsp.ovid.com/rss/journals/01445407/current.rss</t>
  </si>
  <si>
    <t>1992-01-01</t>
  </si>
  <si>
    <t>2639-8028</t>
  </si>
  <si>
    <t>1081-5589</t>
  </si>
  <si>
    <t>2007-01-31</t>
  </si>
  <si>
    <t>2214-1677</t>
  </si>
  <si>
    <t>https://openathens.ovid.com/OAKeystone/deeplink?idpselect=https://idp.eng.nhs.uk/openathens&amp;entityID=https://idp.eng.nhs.uk/openathens&amp;T=JS&amp;NEWS=n&amp;CSC=Y&amp;PAGE=toc&amp;D=yrovft&amp;AN=00004845-000000000-00000</t>
  </si>
  <si>
    <t>Archives of Disease in Childhood</t>
  </si>
  <si>
    <t>2016-07-01 - 2022-05-17</t>
  </si>
  <si>
    <t>https://ovidsp.ovid.com/rss/journals/01243895/current.rss</t>
  </si>
  <si>
    <t>https://ovidsp.ovid.com/rss/journals/01445447/current.rss</t>
  </si>
  <si>
    <t>IJU Case Reports</t>
  </si>
  <si>
    <t>1532-0979</t>
  </si>
  <si>
    <t>0007-1250</t>
  </si>
  <si>
    <t>1537-8918</t>
  </si>
  <si>
    <t>2004-03-03</t>
  </si>
  <si>
    <t>Orthopaedic Surgery</t>
  </si>
  <si>
    <t>2096-6954</t>
  </si>
  <si>
    <t>2001-08-01 - 2015-04-01</t>
  </si>
  <si>
    <t>Journal of Pediatric Psychology</t>
  </si>
  <si>
    <t>1051-0443</t>
  </si>
  <si>
    <t>https://ovidsp.ovid.com/rss/journals/00004845/pap.rss</t>
  </si>
  <si>
    <t>https://ovidsp.ovid.com/rss/journals/02081062/current.rss</t>
  </si>
  <si>
    <t>https://openathens.ovid.com/OAKeystone/deeplink?idpselect=https://idp.eng.nhs.uk/openathens&amp;entityID=https://idp.eng.nhs.uk/openathens&amp;T=JS&amp;NEWS=n&amp;CSC=Y&amp;PAGE=toc&amp;D=yrovft&amp;AN=01434893-000000000-00000</t>
  </si>
  <si>
    <t>1522-2179</t>
  </si>
  <si>
    <t>1994-01-01 - 2010-04-01</t>
  </si>
  <si>
    <t>2019-08-01</t>
  </si>
  <si>
    <t>The Nurse Practitioner</t>
  </si>
  <si>
    <t>https://openathens.ovid.com/OAKeystone/deeplink?idpselect=https://idp.eng.nhs.uk/openathens&amp;entityID=https://idp.eng.nhs.uk/openathens&amp;T=JS&amp;NEWS=n&amp;CSC=Y&amp;PAGE=toc&amp;D=yrovft&amp;AN=00024665-000000000-00000</t>
  </si>
  <si>
    <t>Athens Jumpstart</t>
  </si>
  <si>
    <t>https://openathens.ovid.com/OAKeystone/deeplink?idpselect=https://idp.eng.nhs.uk/openathens&amp;entityID=https://idp.eng.nhs.uk/openathens&amp;T=JS&amp;NEWS=n&amp;CSC=Y&amp;PAGE=toc&amp;D=yrovft&amp;AN=00005009-000000000-00000</t>
  </si>
  <si>
    <t>0040-6376</t>
  </si>
  <si>
    <t>EMBASE</t>
  </si>
  <si>
    <t>https://ovidsp.ovid.com/rss/journals/00042737/current.rss</t>
  </si>
  <si>
    <t>0888-0395</t>
  </si>
  <si>
    <t>Nursing Times</t>
  </si>
  <si>
    <t>https://openathens.ovid.com/OAKeystone/deeplink?idpselect=https://idp.eng.nhs.uk/openathens&amp;entityID=https://idp.eng.nhs.uk/openathens&amp;T=JS&amp;NEWS=n&amp;CSC=Y&amp;PAGE=toc&amp;D=yrovft&amp;AN=00002142-000000000-00000</t>
  </si>
  <si>
    <t>2007-03-01</t>
  </si>
  <si>
    <t>https://ovidsp.ovid.com/rss/journals/01376517/current.rss</t>
  </si>
  <si>
    <t>0022-3018</t>
  </si>
  <si>
    <t>https://ovidsp.ovid.com/rss/journals/02054631/pap.rss</t>
  </si>
  <si>
    <t>https://openathens.ovid.com/OAKeystone/deeplink?idpselect=https://idp.eng.nhs.uk/openathens&amp;entityID=https://idp.eng.nhs.uk/openathens&amp;T=JS&amp;NEWS=n&amp;CSC=Y&amp;PAGE=toc&amp;D=yrovft&amp;AN=01274882-000000000-00000</t>
  </si>
  <si>
    <t>https://ovidsp.ovid.com/rss/journals/01300413/current.rss</t>
  </si>
  <si>
    <t>https://ovidsp.ovid.com/rss/journals/00003012/current.rss</t>
  </si>
  <si>
    <t>https://openathens.ovid.com/OAKeystone/deeplink?idpselect=https://idp.eng.nhs.uk/openathens&amp;entityID=https://idp.eng.nhs.uk/openathens&amp;T=JS&amp;NEWS=n&amp;CSC=Y&amp;PAGE=booktext&amp;D=books&amp;AN=01438551$&amp;XPATH=/PG(0)&amp;EPUB=Y</t>
  </si>
  <si>
    <t>https://openathens.ovid.com/OAKeystone/deeplink?idpselect=https://idp.eng.nhs.uk/openathens&amp;entityID=https://idp.eng.nhs.uk/openathens&amp;T=JS&amp;NEWS=n&amp;CSC=Y&amp;PAGE=main&amp;D=prem1</t>
  </si>
  <si>
    <t>https://openathens.ovid.com/OAKeystone/deeplink?idpselect=https://idp.eng.nhs.uk/openathens&amp;entityID=https://idp.eng.nhs.uk/openathens&amp;T=JS&amp;NEWS=n&amp;CSC=Y&amp;PAGE=toc&amp;D=yrovft&amp;AN=01720096-000000000-00000</t>
  </si>
  <si>
    <t>1080-9775</t>
  </si>
  <si>
    <t>2000-11-01 - 2004-05-01</t>
  </si>
  <si>
    <t>0003-4819</t>
  </si>
  <si>
    <t>https://openathens.ovid.com/OAKeystone/deeplink?idpselect=https://idp.eng.nhs.uk/openathens&amp;entityID=https://idp.eng.nhs.uk/openathens&amp;T=JS&amp;NEWS=n&amp;CSC=Y&amp;PAGE=toc&amp;D=yrovft&amp;AN=00008526-000000000-00000</t>
  </si>
  <si>
    <t>Journal of Antimicrobial Chemotherapy</t>
  </si>
  <si>
    <t>Cancer Reports</t>
  </si>
  <si>
    <t>https://openathens.ovid.com/OAKeystone/deeplink?idpselect=https://idp.eng.nhs.uk/openathens&amp;entityID=https://idp.eng.nhs.uk/openathens&amp;T=JS&amp;NEWS=n&amp;CSC=Y&amp;PAGE=main&amp;D=emed10</t>
  </si>
  <si>
    <t>1558-450X</t>
  </si>
  <si>
    <t>1533-4031</t>
  </si>
  <si>
    <t>https://openathens.ovid.com/OAKeystone/deeplink?idpselect=https://idp.eng.nhs.uk/openathens&amp;entityID=https://idp.eng.nhs.uk/openathens&amp;T=JS&amp;NEWS=n&amp;CSC=Y&amp;PAGE=main&amp;D=emca3</t>
  </si>
  <si>
    <t>https://openathens.ovid.com/OAKeystone/deeplink?idpselect=https://idp.eng.nhs.uk/openathens&amp;entityID=https://idp.eng.nhs.uk/openathens&amp;T=JS&amp;NEWS=n&amp;CSC=Y&amp;PAGE=toc&amp;D=yrovft&amp;AN=00126772-000000000-00000</t>
  </si>
  <si>
    <t>https://ovidsp.ovid.com/rss/journals/00001721/pap.rss</t>
  </si>
  <si>
    <t>https://ovidsp.ovid.com/rss/journals/00003856/pap.rss</t>
  </si>
  <si>
    <t>Strength &amp; Conditioning Journal</t>
  </si>
  <si>
    <t>978-1-9751-4556-9</t>
  </si>
  <si>
    <t>https://openathens.ovid.com/OAKeystone/deeplink?idpselect=https://idp.eng.nhs.uk/openathens&amp;entityID=https://idp.eng.nhs.uk/openathens&amp;T=JS&amp;NEWS=n&amp;CSC=Y&amp;PAGE=toc&amp;D=yrovft&amp;AN=00146965-000000000-00000</t>
  </si>
  <si>
    <t>https://openathens.ovid.com/OAKeystone/deeplink?idpselect=https://idp.eng.nhs.uk/openathens&amp;entityID=https://idp.eng.nhs.uk/openathens&amp;T=JS&amp;NEWS=n&amp;CSC=Y&amp;PAGE=toc&amp;D=yrovft&amp;AN=00075200-000000000-00000</t>
  </si>
  <si>
    <t>2326-3253</t>
  </si>
  <si>
    <t>https://ovidsp.ovid.com/rss/journals/00054832/current.rss</t>
  </si>
  <si>
    <t>1536-3678</t>
  </si>
  <si>
    <t>2004-04-01 - 2010-01-01</t>
  </si>
  <si>
    <t>https://openathens.ovid.com/OAKeystone/deeplink?idpselect=https://idp.eng.nhs.uk/openathens&amp;entityID=https://idp.eng.nhs.uk/openathens&amp;T=JS&amp;NEWS=n&amp;CSC=Y&amp;PAGE=toc&amp;D=yrovft&amp;AN=00124743-000000000-00000</t>
  </si>
  <si>
    <t>https://openathens.ovid.com/OAKeystone/deeplink?idpselect=https://idp.eng.nhs.uk/openathens&amp;entityID=https://idp.eng.nhs.uk/openathens&amp;T=JS&amp;NEWS=n&amp;CSC=Y&amp;PAGE=booktext&amp;D=books&amp;AN=01434814$&amp;XPATH=/PG(0)&amp;EPUB=Y</t>
  </si>
  <si>
    <t>2018-01-01</t>
  </si>
  <si>
    <t>0955-8829</t>
  </si>
  <si>
    <t>Annals of Plastic Surgery</t>
  </si>
  <si>
    <t>1040-8703</t>
  </si>
  <si>
    <t>https://openathens.ovid.com/OAKeystone/deeplink?idpselect=https://idp.eng.nhs.uk/openathens&amp;entityID=https://idp.eng.nhs.uk/openathens&amp;T=JS&amp;NEWS=n&amp;CSC=Y&amp;PAGE=toc&amp;D=yrovft&amp;AN=00129492-000000000-00000</t>
  </si>
  <si>
    <t>https://ovidsp.ovid.com/rss/journals/00125817/pap.rss</t>
  </si>
  <si>
    <t>https://openathens.ovid.com/OAKeystone/deeplink?idpselect=https://idp.eng.nhs.uk/openathens&amp;entityID=https://idp.eng.nhs.uk/openathens&amp;T=JS&amp;NEWS=n&amp;CSC=Y&amp;PAGE=toc&amp;D=yrovft&amp;AN=00004424-000000000-00000</t>
  </si>
  <si>
    <t>https://openathens.ovid.com/OAKeystone/deeplink?idpselect=https://idp.eng.nhs.uk/openathens&amp;entityID=https://idp.eng.nhs.uk/openathens&amp;T=JS&amp;NEWS=n&amp;CSC=Y&amp;PAGE=toc&amp;D=yrovft&amp;AN=00003453-000000000-00000</t>
  </si>
  <si>
    <t>https://openathens.ovid.com/OAKeystone/deeplink?idpselect=https://idp.eng.nhs.uk/openathens&amp;entityID=https://idp.eng.nhs.uk/openathens&amp;T=JS&amp;NEWS=n&amp;CSC=Y&amp;PAGE=toc&amp;D=yrovft&amp;AN=02260722-000000000-00000</t>
  </si>
  <si>
    <t>2163-0755</t>
  </si>
  <si>
    <t>https://openathens.ovid.com/OAKeystone/deeplink?idpselect=https://idp.eng.nhs.uk/openathens&amp;entityID=https://idp.eng.nhs.uk/openathens&amp;T=JS&amp;NEWS=n&amp;CSC=Y&amp;PAGE=booktext&amp;D=books&amp;AN=01434872$&amp;XPATH=/PG(0)&amp;EPUB=Y</t>
  </si>
  <si>
    <t>Current Opinion in Supportive &amp; Palliative Care</t>
  </si>
  <si>
    <t>HMIC Health Management Information Consortium &lt;1979 to March 2022&gt;</t>
  </si>
  <si>
    <t>https://openathens.ovid.com/OAKeystone/deeplink?idpselect=https://idp.eng.nhs.uk/openathens&amp;entityID=https://idp.eng.nhs.uk/openathens&amp;T=JS&amp;NEWS=n&amp;CSC=Y&amp;PAGE=toc&amp;D=yrovft&amp;AN=01300407-000000000-00000</t>
  </si>
  <si>
    <t>2001-08-01 - 2015-01-01</t>
  </si>
  <si>
    <t>978-0-1992-3946-7</t>
  </si>
  <si>
    <t>https://openathens.ovid.com/OAKeystone/deeplink?idpselect=https://idp.eng.nhs.uk/openathens&amp;entityID=https://idp.eng.nhs.uk/openathens&amp;T=JS&amp;NEWS=n&amp;CSC=Y&amp;PAGE=toc&amp;D=yrovft&amp;AN=00133587-000000000-00000</t>
  </si>
  <si>
    <t>2000-08-01 - 2010-04-01</t>
  </si>
  <si>
    <t>https://ovidsp.ovid.com/rss/journals/00003017/pap.rss</t>
  </si>
  <si>
    <t>2017-03-01 - 2022-05-24</t>
  </si>
  <si>
    <t>https://ovidsp.ovid.com/rss/journals/01429653/pap.rss</t>
  </si>
  <si>
    <t>https://ovidsp.ovid.com/rss/journals/01179370/current.rss</t>
  </si>
  <si>
    <t>The Bone &amp; Joint Journal</t>
  </si>
  <si>
    <t>https://ovidsp.ovid.com/rss/journals/01720096/current.rss</t>
  </si>
  <si>
    <t>https://openathens.ovid.com/OAKeystone/deeplink?idpselect=https://idp.eng.nhs.uk/openathens&amp;entityID=https://idp.eng.nhs.uk/openathens&amp;T=JS&amp;NEWS=n&amp;CSC=Y&amp;PAGE=toc&amp;D=yrovft&amp;AN=00126869-000000000-00000</t>
  </si>
  <si>
    <t>Journal of Clinical Neuromuscular Disease</t>
  </si>
  <si>
    <t>1524-4040</t>
  </si>
  <si>
    <t>978-0-3409-6833-8</t>
  </si>
  <si>
    <t>https://ovidsp.ovid.com/rss/journals/00001857/pap.rss</t>
  </si>
  <si>
    <t>0029-6570</t>
  </si>
  <si>
    <t>https://ovidsp.ovid.com/rss/journals/00002700/current.rss</t>
  </si>
  <si>
    <t>Beginning Issue</t>
  </si>
  <si>
    <t>https://ovidsp.ovid.com/rss/journals/00007815/current.rss</t>
  </si>
  <si>
    <t>2003-01-01 - 2003-01-01</t>
  </si>
  <si>
    <t>PubMed-not-MEDLINE 2013 to 2016</t>
  </si>
  <si>
    <t>https://ovidsp.ovid.com/rss/journals/00006534/current.rss</t>
  </si>
  <si>
    <t>1051-2144</t>
  </si>
  <si>
    <t>JONA: The Journal of Nursing Administration</t>
  </si>
  <si>
    <t>https://ovidsp.ovid.com/rss/journals/01445407/pap.rss</t>
  </si>
  <si>
    <t>1746-6318</t>
  </si>
  <si>
    <t>https://ovidsp.ovid.com/rss/journals/00126772/current.rss</t>
  </si>
  <si>
    <t>https://openathens.ovid.com/OAKeystone/deeplink?idpselect=https://idp.eng.nhs.uk/openathens&amp;entityID=https://idp.eng.nhs.uk/openathens&amp;T=JS&amp;NEWS=n&amp;CSC=Y&amp;PAGE=booktext&amp;D=books&amp;AN=01867010$&amp;XPATH=/PG(0)&amp;EPUB=Y</t>
  </si>
  <si>
    <t>https://openathens.ovid.com/OAKeystone/deeplink?idpselect=https://idp.eng.nhs.uk/openathens&amp;entityID=https://idp.eng.nhs.uk/openathens&amp;T=JS&amp;NEWS=n&amp;CSC=Y&amp;PAGE=toc&amp;D=yrovft&amp;AN=00002700-000000000-00000</t>
  </si>
  <si>
    <t>2009-02-01 - 2022-05-01</t>
  </si>
  <si>
    <t>1548-4688</t>
  </si>
  <si>
    <t>1537-4505</t>
  </si>
  <si>
    <t>1064-7481</t>
  </si>
  <si>
    <t>1550-5022</t>
  </si>
  <si>
    <t>Pathology Case Reviews</t>
  </si>
  <si>
    <t>1934-5917</t>
  </si>
  <si>
    <t>https://openathens.ovid.com/OAKeystone/deeplink?idpselect=https://idp.eng.nhs.uk/openathens&amp;entityID=https://idp.eng.nhs.uk/openathens&amp;T=JS&amp;NEWS=n&amp;CSC=Y&amp;PAGE=toc&amp;D=yrovft&amp;AN=00126334-000000000-00000</t>
  </si>
  <si>
    <t>https://ovidsp.ovid.com/rss/journals/00004032/current.rss</t>
  </si>
  <si>
    <t>https://openathens.ovid.com/OAKeystone/deeplink?idpselect=https://idp.eng.nhs.uk/openathens&amp;entityID=https://idp.eng.nhs.uk/openathens&amp;T=JS&amp;NEWS=n&amp;CSC=Y&amp;PAGE=toc&amp;D=yrovft&amp;AN=01268031-000000000-00000</t>
  </si>
  <si>
    <t>https://openathens.ovid.com/OAKeystone/deeplink?idpselect=https://idp.eng.nhs.uk/openathens&amp;entityID=https://idp.eng.nhs.uk/openathens&amp;T=JS&amp;NEWS=n&amp;CSC=Y&amp;PAGE=toc&amp;D=yrovft&amp;AN=00003727-000000000-00000</t>
  </si>
  <si>
    <t>Clinical Journal of Sport Medicine</t>
  </si>
  <si>
    <t>1537-1921</t>
  </si>
  <si>
    <t>1759-5037</t>
  </si>
  <si>
    <t>International Journal of Gynecological Pathology</t>
  </si>
  <si>
    <t>Plastic Surgical Nursing</t>
  </si>
  <si>
    <t>Acupuncture and Herbal Medicine</t>
  </si>
  <si>
    <t>American Journal of the Medical Sciences</t>
  </si>
  <si>
    <t>https://openathens.ovid.com/OAKeystone/deeplink?idpselect=https://idp.eng.nhs.uk/openathens&amp;entityID=https://idp.eng.nhs.uk/openathens&amp;T=JS&amp;NEWS=n&amp;CSC=Y&amp;PAGE=booktext&amp;D=books&amp;AN=01412563$&amp;XPATH=/PG(0)&amp;EPUB=Y</t>
  </si>
  <si>
    <t>https://openathens.ovid.com/OAKeystone/deeplink?idpselect=https://idp.eng.nhs.uk/openathens&amp;entityID=https://idp.eng.nhs.uk/openathens&amp;T=JS&amp;NEWS=n&amp;CSC=Y&amp;PAGE=toc&amp;D=yrovft&amp;AN=00001503-000000000-00000</t>
  </si>
  <si>
    <t>https://ovidsp.ovid.com/rss/journals/01253097/current.rss</t>
  </si>
  <si>
    <t>Dementia</t>
  </si>
  <si>
    <t>https://ovidsp.ovid.com/rss/journals/00001503/current.rss</t>
  </si>
  <si>
    <t>https://ovidsp.ovid.com/rss/journals/00007611/current.rss</t>
  </si>
  <si>
    <t>Genes, Brain and Behavior</t>
  </si>
  <si>
    <t>2018-10-01</t>
  </si>
  <si>
    <t>https://ovidsp.ovid.com/rss/journals/01960901/current.rss</t>
  </si>
  <si>
    <t>Journal of Flood Risk Management</t>
  </si>
  <si>
    <t>https://ovidsp.ovid.com/rss/journals/00012272/current.rss</t>
  </si>
  <si>
    <t>https://ovidsp.ovid.com/rss/journals/00003628/pap.rss</t>
  </si>
  <si>
    <t>978-1-5825-5555-3</t>
  </si>
  <si>
    <t>Journal of Molecular Cell Biology</t>
  </si>
  <si>
    <t>https://openathens.ovid.com/OAKeystone/deeplink?idpselect=https://idp.eng.nhs.uk/openathens&amp;entityID=https://idp.eng.nhs.uk/openathens&amp;T=JS&amp;NEWS=n&amp;CSC=Y&amp;PAGE=toc&amp;D=yrovft&amp;AN=00132578-000000000-00000</t>
  </si>
  <si>
    <t>https://ovidsp.ovid.com/rss/journals/01337225/current.rss</t>
  </si>
  <si>
    <t>Pharmacogenetics</t>
  </si>
  <si>
    <t>EMBASE 1988 to 1992</t>
  </si>
  <si>
    <t>https://openathens.ovid.com/OAKeystone/deeplink?idpselect=https://idp.eng.nhs.uk/openathens&amp;entityID=https://idp.eng.nhs.uk/openathens&amp;T=JS&amp;NEWS=n&amp;CSC=Y&amp;PAGE=toc&amp;D=yrovft&amp;AN=00002508-000000000-00000</t>
  </si>
  <si>
    <t>1473-5849</t>
  </si>
  <si>
    <t>1522-0443</t>
  </si>
  <si>
    <t>1531-6963</t>
  </si>
  <si>
    <t>1539-736X</t>
  </si>
  <si>
    <t>1536-0652</t>
  </si>
  <si>
    <t>1530-0277</t>
  </si>
  <si>
    <t>https://ovidsp.ovid.com/rss/journals/00003081/pap.rss</t>
  </si>
  <si>
    <t>https://ovidsp.ovid.com/rss/journals/02118581/current.rss</t>
  </si>
  <si>
    <t>https://ovidsp.ovid.com/rss/journals/00003643/current.rss</t>
  </si>
  <si>
    <t>1536-4844</t>
  </si>
  <si>
    <t>https://ovidsp.ovid.com/rss/journals/00043860/current.rss</t>
  </si>
  <si>
    <t>2001-03-01</t>
  </si>
  <si>
    <t>2010-01-01</t>
  </si>
  <si>
    <t>2000-02-01 - 2022-02-01</t>
  </si>
  <si>
    <t>https://ovidsp.ovid.com/rss/journals/00006324/current.rss</t>
  </si>
  <si>
    <t>https://ovidsp.ovid.com/rss/journals/00042423/current.rss</t>
  </si>
  <si>
    <t>2019-01-01 - 2022-05-01</t>
  </si>
  <si>
    <t>1460-2725</t>
  </si>
  <si>
    <t>Wiley-Blackwell</t>
  </si>
  <si>
    <t>American Journal of Surgical Pathology</t>
  </si>
  <si>
    <t>https://openathens.ovid.com/OAKeystone/deeplink?idpselect=https://idp.eng.nhs.uk/openathens&amp;entityID=https://idp.eng.nhs.uk/openathens&amp;T=JS&amp;NEWS=n&amp;CSC=Y&amp;PAGE=main&amp;D=med20</t>
  </si>
  <si>
    <t>https://ovidsp.ovid.com/rss/journals/02118597/current.rss</t>
  </si>
  <si>
    <t>Birth: Issues in Perinatal Care</t>
  </si>
  <si>
    <t>1534-6331</t>
  </si>
  <si>
    <t>https://openathens.ovid.com/OAKeystone/deeplink?idpselect=https://idp.eng.nhs.uk/openathens&amp;entityID=https://idp.eng.nhs.uk/openathens&amp;T=JS&amp;NEWS=n&amp;CSC=Y&amp;PAGE=toc&amp;D=yrovft&amp;AN=00115742-000000000-00000</t>
  </si>
  <si>
    <t>1-4051-8432-9</t>
  </si>
  <si>
    <t>1542-233X</t>
  </si>
  <si>
    <t>Topics in Language Disorders</t>
  </si>
  <si>
    <t>978-1-4511-0047-1</t>
  </si>
  <si>
    <t>https://ovidsp.ovid.com/rss/journals/00126548/current.rss</t>
  </si>
  <si>
    <t>0894-8771</t>
  </si>
  <si>
    <t>https://openathens.ovid.com/OAKeystone/deeplink?idpselect=https://idp.eng.nhs.uk/openathens&amp;entityID=https://idp.eng.nhs.uk/openathens&amp;T=JS&amp;NEWS=n&amp;CSC=Y&amp;PAGE=toc&amp;D=yrovft&amp;AN=02112947-000000000-00000</t>
  </si>
  <si>
    <t>2001-02-01 - 2005-12-01</t>
  </si>
  <si>
    <t>Journal of the American Board of Family Medicine</t>
  </si>
  <si>
    <t>0745-7472</t>
  </si>
  <si>
    <t>2352-6475</t>
  </si>
  <si>
    <t>Thorax</t>
  </si>
  <si>
    <t>Liver Cancer International</t>
  </si>
  <si>
    <t>0959-4973</t>
  </si>
  <si>
    <t>2022-01-12</t>
  </si>
  <si>
    <t>https://ovidsp.ovid.com/rss/journals/00002264/current.rss</t>
  </si>
  <si>
    <t>1872-1001</t>
  </si>
  <si>
    <t>https://ovidsp.ovid.com/rss/journals/00004471/current.rss</t>
  </si>
  <si>
    <t>2019-03-01</t>
  </si>
  <si>
    <t>https://openathens.ovid.com/OAKeystone/deeplink?idpselect=https://idp.eng.nhs.uk/openathens&amp;entityID=https://idp.eng.nhs.uk/openathens&amp;T=JS&amp;NEWS=n&amp;CSC=Y&amp;PAGE=toc&amp;D=yrovft&amp;AN=00010948-000000000-00000</t>
  </si>
  <si>
    <t>2017-12-01 - 2022-05-25</t>
  </si>
  <si>
    <t>0090-3493</t>
  </si>
  <si>
    <t>2003-06-01 - 2010-01-01</t>
  </si>
  <si>
    <t>https://ovidsp.ovid.com/rss/journals/01253092/pap.rss</t>
  </si>
  <si>
    <t>2003-04-01 - 2010-03-01</t>
  </si>
  <si>
    <t>Outcomes Management</t>
  </si>
  <si>
    <t>Annals of Internal Medicine</t>
  </si>
  <si>
    <t>https://ovidsp.ovid.com/rss/journals/00129191/pap.rss</t>
  </si>
  <si>
    <t>2014-01-01 - 2021-01-01</t>
  </si>
  <si>
    <t>2013-04-01</t>
  </si>
  <si>
    <t>https://ovidsp.ovid.com/rss/journals/01436319/pap.rss</t>
  </si>
  <si>
    <t>https://ovidsp.ovid.com/rss/journals/02003505/current.rss</t>
  </si>
  <si>
    <t>1056-9103</t>
  </si>
  <si>
    <t>2001-07-01 - 2015-03-01</t>
  </si>
  <si>
    <t>https://ovidsp.ovid.com/rss/journals/00004845/current.rss</t>
  </si>
  <si>
    <t>CNS: Neuroscience &amp; Therapeutics</t>
  </si>
  <si>
    <t>1538-4683</t>
  </si>
  <si>
    <t>https://ovidsp.ovid.com/rss/journals/00001665/pap.rss</t>
  </si>
  <si>
    <t>0885-9698</t>
  </si>
  <si>
    <t>https://ovidsp.ovid.com/rss/journals/00000196/pap.rss</t>
  </si>
  <si>
    <t>1474-3310</t>
  </si>
  <si>
    <t>The Royal College of Psychiatrists</t>
  </si>
  <si>
    <t>https://ovidsp.ovid.com/rss/journals/00124645/current.rss</t>
  </si>
  <si>
    <t>https://ovidsp.ovid.com/rss/journals/00000372/current.rss</t>
  </si>
  <si>
    <t>https://openathens.ovid.com/OAKeystone/deeplink?idpselect=https://idp.eng.nhs.uk/openathens&amp;entityID=https://idp.eng.nhs.uk/openathens&amp;T=JS&amp;NEWS=n&amp;CSC=Y&amp;PAGE=toc&amp;D=yrovft&amp;AN=01949578-000000000-00000</t>
  </si>
  <si>
    <t>https://ovidsp.ovid.com/rss/journals/00147124/current.rss</t>
  </si>
  <si>
    <t>https://openathens.ovid.com/OAKeystone/deeplink?idpselect=https://idp.eng.nhs.uk/openathens&amp;entityID=https://idp.eng.nhs.uk/openathens&amp;T=JS&amp;NEWS=n&amp;CSC=Y&amp;PAGE=toc&amp;D=yrovft&amp;AN=00001432-000000000-00000</t>
  </si>
  <si>
    <t>https://openathens.ovid.com/OAKeystone/deeplink?idpselect=https://idp.eng.nhs.uk/openathens&amp;entityID=https://idp.eng.nhs.uk/openathens&amp;T=JS&amp;NEWS=n&amp;CSC=Y&amp;PAGE=booktext&amp;D=books&amp;AN=01438607$&amp;XPATH=/PG(0)&amp;EPUB=Y</t>
  </si>
  <si>
    <t>Journal of Cellular &amp; Molecular Medicine</t>
  </si>
  <si>
    <t>https://openathens.ovid.com/OAKeystone/deeplink?idpselect=https://idp.eng.nhs.uk/openathens&amp;entityID=https://idp.eng.nhs.uk/openathens&amp;T=JS&amp;NEWS=n&amp;CSC=Y&amp;PAGE=toc&amp;D=yrovft&amp;AN=00065443-000000000-00000</t>
  </si>
  <si>
    <t>2002-01-01 - 2022-04-01</t>
  </si>
  <si>
    <t>https://ovidsp.ovid.com/rss/journals/00008563/pap.rss</t>
  </si>
  <si>
    <t>https://openathens.ovid.com/OAKeystone/deeplink?idpselect=https://idp.eng.nhs.uk/openathens&amp;entityID=https://idp.eng.nhs.uk/openathens&amp;T=JS&amp;NEWS=n&amp;CSC=Y&amp;PAGE=toc&amp;D=yrovft&amp;AN=00130404-000000000-00000</t>
  </si>
  <si>
    <t>https://ovidsp.ovid.com/rss/journals/00000478/current.rss</t>
  </si>
  <si>
    <t>2003-03-03 - 2010-05-12</t>
  </si>
  <si>
    <t>1365-2648</t>
  </si>
  <si>
    <t>https://openathens.ovid.com/OAKeystone/deeplink?idpselect=https://idp.eng.nhs.uk/openathens&amp;entityID=https://idp.eng.nhs.uk/openathens&amp;T=JS&amp;NEWS=n&amp;CSC=Y&amp;PAGE=toc&amp;D=yrovft&amp;AN=00132589-000000000-00000</t>
  </si>
  <si>
    <t>https://ovidsp.ovid.com/rss/journals/00006223/pap.rss</t>
  </si>
  <si>
    <t>1880-4276</t>
  </si>
  <si>
    <t>Health Data Matrix</t>
  </si>
  <si>
    <t>2000-02-01</t>
  </si>
  <si>
    <t>https://ovidsp.ovid.com/rss/journals/01265117/current.rss</t>
  </si>
  <si>
    <t>https://ovidsp.ovid.com/rss/journals/01626549/current.rss</t>
  </si>
  <si>
    <t>2002-03-01 - 2018-10-01</t>
  </si>
  <si>
    <t>0277-1691</t>
  </si>
  <si>
    <t>Orthopaedic Nursing</t>
  </si>
  <si>
    <t>2007-01-01 - 2009-01-01</t>
  </si>
  <si>
    <t>2002-02-23 - 2004-03-27</t>
  </si>
  <si>
    <t>https://ovidsp.ovid.com/rss/journals/00004770/current.rss</t>
  </si>
  <si>
    <t>2010-02-01</t>
  </si>
  <si>
    <t>2000-11-01</t>
  </si>
  <si>
    <t>https://openathens.ovid.com/OAKeystone/deeplink?idpselect=https://idp.eng.nhs.uk/openathens&amp;entityID=https://idp.eng.nhs.uk/openathens&amp;T=JS&amp;NEWS=n&amp;CSC=Y&amp;PAGE=booktext&amp;D=books&amp;AN=01382777$&amp;XPATH=/PG(0)&amp;EPUB=Y</t>
  </si>
  <si>
    <t>0967-0742</t>
  </si>
  <si>
    <t>1537-4513</t>
  </si>
  <si>
    <t>2012-01-01 - 2022-03-01</t>
  </si>
  <si>
    <t>2001-08-01 - 2004-12-01</t>
  </si>
  <si>
    <t>2001-01-01 - 2002-09-01</t>
  </si>
  <si>
    <t>https://ovidsp.ovid.com/rss/journals/02123149/pap.rss</t>
  </si>
  <si>
    <t>https://openathens.ovid.com/OAKeystone/deeplink?idpselect=https://idp.eng.nhs.uk/openathens&amp;entityID=https://idp.eng.nhs.uk/openathens&amp;T=JS&amp;NEWS=n&amp;CSC=Y&amp;PAGE=toc&amp;D=yrovft&amp;AN=01244664-000000000-00000</t>
  </si>
  <si>
    <t>https://openathens.ovid.com/OAKeystone/deeplink?idpselect=https://idp.eng.nhs.uk/openathens&amp;entityID=https://idp.eng.nhs.uk/openathens&amp;T=JS&amp;NEWS=n&amp;CSC=Y&amp;PAGE=main&amp;D=prem3</t>
  </si>
  <si>
    <t>Applied Immunohistochemistry &amp; Molecular Morphology</t>
  </si>
  <si>
    <t>https://openathens.ovid.com/OAKeystone/deeplink?idpselect=https://idp.eng.nhs.uk/openathens&amp;entityID=https://idp.eng.nhs.uk/openathens&amp;T=JS&amp;NEWS=n&amp;CSC=Y&amp;PAGE=toc&amp;D=yrovft&amp;AN=00006205-000000000-00000</t>
  </si>
  <si>
    <t>Clinical Obstetrics &amp; Gynecology</t>
  </si>
  <si>
    <t>https://ovidsp.ovid.com/rss/journals/00130478/current.rss</t>
  </si>
  <si>
    <t>https://ovidsp.ovid.com/rss/journals/00002030/pap.rss</t>
  </si>
  <si>
    <t>1468-4357</t>
  </si>
  <si>
    <t>1532-8651</t>
  </si>
  <si>
    <t>978-1-9018-3110-8</t>
  </si>
  <si>
    <t>Clinical Nurse Specialist</t>
  </si>
  <si>
    <t>978-1-9018-3122-1</t>
  </si>
  <si>
    <t>2002-03-01 - 2004-03-01</t>
  </si>
  <si>
    <t>https://ovidsp.ovid.com/rss/journals/00003086/pap.rss</t>
  </si>
  <si>
    <t>1530-0358</t>
  </si>
  <si>
    <t>Royal College of Physicians</t>
  </si>
  <si>
    <t>0362-5664</t>
  </si>
  <si>
    <t>Journal of Nursing Care Quality</t>
  </si>
  <si>
    <t>https://openathens.ovid.com/OAKeystone/deeplink?idpselect=https://idp.eng.nhs.uk/openathens&amp;entityID=https://idp.eng.nhs.uk/openathens&amp;T=JS&amp;NEWS=n&amp;CSC=Y&amp;PAGE=booktext&amp;D=books&amp;AN=01438635$&amp;XPATH=/PG(0)&amp;EPUB=Y</t>
  </si>
  <si>
    <t>https://openathens.ovid.com/OAKeystone/deeplink?idpselect=https://idp.eng.nhs.uk/openathens&amp;entityID=https://idp.eng.nhs.uk/openathens&amp;T=JS&amp;NEWS=n&amp;CSC=Y&amp;PAGE=main&amp;D=medc1</t>
  </si>
  <si>
    <t>https://ovidsp.ovid.com/rss/journals/00002311/current.rss</t>
  </si>
  <si>
    <t>https://openathens.ovid.com/OAKeystone/deeplink?idpselect=https://idp.eng.nhs.uk/openathens&amp;entityID=https://idp.eng.nhs.uk/openathens&amp;T=JS&amp;NEWS=n&amp;CSC=Y&amp;PAGE=toc&amp;D=yrovft&amp;AN=00134459-000000000-00000</t>
  </si>
  <si>
    <t>1040-8800</t>
  </si>
  <si>
    <t>2332-4252</t>
  </si>
  <si>
    <t>https://openathens.ovid.com/OAKeystone/deeplink?idpselect=https://idp.eng.nhs.uk/openathens&amp;entityID=https://idp.eng.nhs.uk/openathens&amp;T=JS&amp;NEWS=n&amp;CSC=Y&amp;PAGE=toc&amp;D=yrovft&amp;AN=02233721-000000000-00000</t>
  </si>
  <si>
    <t>https://openathens.ovid.com/OAKeystone/deeplink?idpselect=https://idp.eng.nhs.uk/openathens&amp;entityID=https://idp.eng.nhs.uk/openathens&amp;T=JS&amp;NEWS=n&amp;CSC=Y&amp;PAGE=toc&amp;D=yrovft&amp;AN=00042223-000000000-00000</t>
  </si>
  <si>
    <t>Current Opinion in Pulmonary Medicine</t>
  </si>
  <si>
    <t>1538-5159</t>
  </si>
  <si>
    <t>https://ovidsp.ovid.com/rss/journals/00013452/current.rss</t>
  </si>
  <si>
    <t>https://ovidsp.ovid.com/rss/journals/00130832/pap.rss</t>
  </si>
  <si>
    <t>1746-630X</t>
  </si>
  <si>
    <t>Annals of Surgery Open</t>
  </si>
  <si>
    <t>2021-07-30</t>
  </si>
  <si>
    <t>https://ovidsp.ovid.com/rss/journals/00001432/current.rss</t>
  </si>
  <si>
    <t>https://openathens.ovid.com/OAKeystone/deeplink?idpselect=https://idp.eng.nhs.uk/openathens&amp;entityID=https://idp.eng.nhs.uk/openathens&amp;T=JS&amp;NEWS=n&amp;CSC=Y&amp;PAGE=toc&amp;D=yrovft&amp;AN=00005721-000000000-00000</t>
  </si>
  <si>
    <t>1741-3842</t>
  </si>
  <si>
    <t>https://openathens.ovid.com/OAKeystone/deeplink?idpselect=https://idp.eng.nhs.uk/openathens&amp;entityID=https://idp.eng.nhs.uk/openathens&amp;T=JS&amp;NEWS=n&amp;CSC=Y&amp;PAGE=main&amp;D=prem4</t>
  </si>
  <si>
    <t>2002-02-01 - 2004-03-01</t>
  </si>
  <si>
    <t>1473-6551</t>
  </si>
  <si>
    <t>https://openathens.ovid.com/OAKeystone/deeplink?idpselect=https://idp.eng.nhs.uk/openathens&amp;entityID=https://idp.eng.nhs.uk/openathens&amp;T=JS&amp;NEWS=n&amp;CSC=Y&amp;PAGE=toc&amp;D=yrovft&amp;AN=01253092-000000000-00000</t>
  </si>
  <si>
    <t>2002-01-01 - 2015-04-01</t>
  </si>
  <si>
    <t>1549-8417</t>
  </si>
  <si>
    <t>978-1-4051-9249-1</t>
  </si>
  <si>
    <t>https://ovidsp.ovid.com/rss/journals/01960907/current.rss</t>
  </si>
  <si>
    <t>https://ovidsp.ovid.com/rss/journals/00125480/pap.rss</t>
  </si>
  <si>
    <t>1931-7662</t>
  </si>
  <si>
    <t>https://openathens.ovid.com/OAKeystone/deeplink?idpselect=https://idp.eng.nhs.uk/openathens&amp;entityID=https://idp.eng.nhs.uk/openathens&amp;T=JS&amp;NEWS=n&amp;CSC=Y&amp;PAGE=toc&amp;D=yrovft&amp;AN=00124645-000000000-00000</t>
  </si>
  <si>
    <t>Techniques in Hand &amp; Upper Extremity Surgery</t>
  </si>
  <si>
    <t>2380-5048</t>
  </si>
  <si>
    <t>2002-01-01 - 2003-01-01</t>
  </si>
  <si>
    <t>2006-04-01 - 2009-12-01</t>
  </si>
  <si>
    <t>https://openathens.ovid.com/OAKeystone/deeplink?idpselect=https://idp.eng.nhs.uk/openathens&amp;entityID=https://idp.eng.nhs.uk/openathens&amp;T=JS&amp;NEWS=n&amp;CSC=Y&amp;PAGE=toc&amp;D=yrovft&amp;AN=00006527-000000000-00000</t>
  </si>
  <si>
    <t>2022-03-01</t>
  </si>
  <si>
    <t>https://ovidsp.ovid.com/rss/journals/00125817/current.rss</t>
  </si>
  <si>
    <t>1529-7535</t>
  </si>
  <si>
    <t>Precision Nutrition</t>
  </si>
  <si>
    <t>https://ovidsp.ovid.com/rss/journals/00005884/pap.rss</t>
  </si>
  <si>
    <t>International Clinical Psychopharmacology</t>
  </si>
  <si>
    <t>Journal of Pelvic Medicine and Surgery</t>
  </si>
  <si>
    <t>The Journal of Behavioral Health Services &amp; Research</t>
  </si>
  <si>
    <t>British Medical Bulletin</t>
  </si>
  <si>
    <t>https://openathens.ovid.com/OAKeystone/deeplink?idpselect=https://idp.eng.nhs.uk/openathens&amp;entityID=https://idp.eng.nhs.uk/openathens&amp;T=JS&amp;NEWS=n&amp;CSC=Y&amp;PAGE=toc&amp;D=yrovft&amp;AN=00019038-000000000-00000</t>
  </si>
  <si>
    <t>0193-936X</t>
  </si>
  <si>
    <t>0022-3069</t>
  </si>
  <si>
    <t>https://openathens.ovid.com/OAKeystone/deeplink?idpselect=https://idp.eng.nhs.uk/openathens&amp;entityID=https://idp.eng.nhs.uk/openathens&amp;T=JS&amp;NEWS=n&amp;CSC=Y&amp;PAGE=toc&amp;D=yrovft&amp;AN=00006123-000000000-00000</t>
  </si>
  <si>
    <t>0148-5717</t>
  </si>
  <si>
    <t>https://openathens.ovid.com/OAKeystone/deeplink?idpselect=https://idp.eng.nhs.uk/openathens&amp;entityID=https://idp.eng.nhs.uk/openathens&amp;T=JS&amp;NEWS=n&amp;CSC=Y&amp;PAGE=toc&amp;D=yrovft&amp;AN=01273116-000000000-00000</t>
  </si>
  <si>
    <t>1741-0134</t>
  </si>
  <si>
    <t>1682-3141</t>
  </si>
  <si>
    <t>https://ovidsp.ovid.com/rss/journals/00002352/pap.rss</t>
  </si>
  <si>
    <t>0196-0202</t>
  </si>
  <si>
    <t>2004-09-01</t>
  </si>
  <si>
    <t>2007-06-01</t>
  </si>
  <si>
    <t>https://openathens.ovid.com/OAKeystone/deeplink?idpselect=https://idp.eng.nhs.uk/openathens&amp;entityID=https://idp.eng.nhs.uk/openathens&amp;T=JS&amp;NEWS=n&amp;CSC=Y&amp;PAGE=toc&amp;D=yrovft&amp;AN=00590575-000000000-00000</t>
  </si>
  <si>
    <t>0368-2811</t>
  </si>
  <si>
    <t>https://ovidsp.ovid.com/rss/journals/01274882/current.rss</t>
  </si>
  <si>
    <t>Schizophrenia Bulletin</t>
  </si>
  <si>
    <t>1996-01-01 - 2020-01-01</t>
  </si>
  <si>
    <t>978-1-4987-4774-5</t>
  </si>
  <si>
    <t>https://ovidsp.ovid.com/rss/journals/01938936/current.rss</t>
  </si>
  <si>
    <t>0730-4625</t>
  </si>
  <si>
    <t>Ecography</t>
  </si>
  <si>
    <t>https://ovidsp.ovid.com/rss/journals/00003072/current.rss</t>
  </si>
  <si>
    <t>https://openathens.ovid.com/OAKeystone/deeplink?idpselect=https://idp.eng.nhs.uk/openathens&amp;entityID=https://idp.eng.nhs.uk/openathens&amp;T=JS&amp;NEWS=n&amp;CSC=Y&amp;PAGE=toc&amp;D=yrovft&amp;AN=00003246-000000000-00000</t>
  </si>
  <si>
    <t>https://ovidsp.ovid.com/rss/journals/00129689/current.rss</t>
  </si>
  <si>
    <t>1523-9896</t>
  </si>
  <si>
    <t>https://openathens.ovid.com/OAKeystone/deeplink?idpselect=https://idp.eng.nhs.uk/openathens&amp;entityID=https://idp.eng.nhs.uk/openathens&amp;T=JS&amp;NEWS=n&amp;CSC=Y&amp;PAGE=toc&amp;D=yrovft&amp;AN=00134380-000000000-00000</t>
  </si>
  <si>
    <t>https://openathens.ovid.com/OAKeystone/deeplink?idpselect=https://idp.eng.nhs.uk/openathens&amp;entityID=https://idp.eng.nhs.uk/openathens&amp;T=JS&amp;NEWS=n&amp;CSC=Y&amp;PAGE=main&amp;D=medo</t>
  </si>
  <si>
    <t>1468-5833</t>
  </si>
  <si>
    <t>2010-05-30</t>
  </si>
  <si>
    <t>EMBASE 1902 to 1973</t>
  </si>
  <si>
    <t>Archives of Disease in Childhood, Fetal &amp; Neonatal Edition</t>
  </si>
  <si>
    <t>https://openathens.ovid.com/OAKeystone/deeplink?idpselect=https://idp.eng.nhs.uk/openathens&amp;entityID=https://idp.eng.nhs.uk/openathens&amp;T=JS&amp;NEWS=n&amp;CSC=Y&amp;PAGE=toc&amp;D=yrovft&amp;AN=00003017-000000000-00000</t>
  </si>
  <si>
    <t>https://openathens.ovid.com/OAKeystone/deeplink?idpselect=https://idp.eng.nhs.uk/openathens&amp;entityID=https://idp.eng.nhs.uk/openathens&amp;T=JS&amp;NEWS=n&amp;CSC=Y&amp;PAGE=toc&amp;D=yrovft&amp;AN=00002093-000000000-00000</t>
  </si>
  <si>
    <t>Annals of Noninvasive Electrocardiology</t>
  </si>
  <si>
    <t>https://openathens.ovid.com/OAKeystone/deeplink?idpselect=https://idp.eng.nhs.uk/openathens&amp;entityID=https://idp.eng.nhs.uk/openathens&amp;T=JS&amp;NEWS=n&amp;CSC=Y&amp;PAGE=toc&amp;D=yrovft&amp;AN=00003072-000000000-00000</t>
  </si>
  <si>
    <t>1536-3732</t>
  </si>
  <si>
    <t>https://ovidsp.ovid.com/rss/journals/00060651/current.rss</t>
  </si>
  <si>
    <t>2000-02-01 - 2010-04-01</t>
  </si>
  <si>
    <t>1050-6438</t>
  </si>
  <si>
    <t>2005-03-01</t>
  </si>
  <si>
    <t>2021-09-01 - 2021-12-01</t>
  </si>
  <si>
    <t>1473-6578</t>
  </si>
  <si>
    <t>2003-05-01</t>
  </si>
  <si>
    <t>1353-4505</t>
  </si>
  <si>
    <t>https://openathens.ovid.com/OAKeystone/deeplink?idpselect=https://idp.eng.nhs.uk/openathens&amp;entityID=https://idp.eng.nhs.uk/openathens&amp;T=JS&amp;NEWS=n&amp;CSC=Y&amp;PAGE=main&amp;D=emcr</t>
  </si>
  <si>
    <t>https://openathens.ovid.com/OAKeystone/deeplink?idpselect=https://idp.eng.nhs.uk/openathens&amp;entityID=https://idp.eng.nhs.uk/openathens&amp;T=JS&amp;NEWS=n&amp;CSC=Y&amp;PAGE=toc&amp;D=yrovft&amp;AN=02087401-000000000-00000</t>
  </si>
  <si>
    <t>https://ovidsp.ovid.com/rss/journals/00132577/pap.rss</t>
  </si>
  <si>
    <t>1350-7540</t>
  </si>
  <si>
    <t>1539-0721</t>
  </si>
  <si>
    <t>1743-4378</t>
  </si>
  <si>
    <t>2009-02-01 - 2009-12-01</t>
  </si>
  <si>
    <t>2007-02-01 - 2014-11-01</t>
  </si>
  <si>
    <t>https://ovidsp.ovid.com/rss/journals/00000346/current.rss</t>
  </si>
  <si>
    <t>1783-3914</t>
  </si>
  <si>
    <t>https://openathens.ovid.com/OAKeystone/deeplink?idpselect=https://idp.eng.nhs.uk/openathens&amp;entityID=https://idp.eng.nhs.uk/openathens&amp;T=JS&amp;NEWS=n&amp;CSC=Y&amp;PAGE=toc&amp;D=yrovft&amp;AN=00003226-000000000-00000</t>
  </si>
  <si>
    <t>0957-4824</t>
  </si>
  <si>
    <t>Nurse Educator</t>
  </si>
  <si>
    <t>https://openathens.ovid.com/OAKeystone/deeplink?idpselect=https://idp.eng.nhs.uk/openathens&amp;entityID=https://idp.eng.nhs.uk/openathens&amp;T=JS&amp;NEWS=n&amp;CSC=Y&amp;PAGE=toc&amp;D=yrovft&amp;AN=00000658-000000000-00000</t>
  </si>
  <si>
    <t>https://ovidsp.ovid.com/rss/journals/01222905/current.rss</t>
  </si>
  <si>
    <t>https://ovidsp.ovid.com/rss/journals/01445432/pap.rss</t>
  </si>
  <si>
    <t>0893-2190</t>
  </si>
  <si>
    <t>0959-8138</t>
  </si>
  <si>
    <t>https://ovidsp.ovid.com/rss/journals/01893704/current.rss</t>
  </si>
  <si>
    <t>https://ovidsp.ovid.com/rss/journals/01243894/current.rss</t>
  </si>
  <si>
    <t>https://openathens.ovid.com/OAKeystone/deeplink?idpselect=https://idp.eng.nhs.uk/openathens&amp;entityID=https://idp.eng.nhs.uk/openathens&amp;T=JS&amp;NEWS=n&amp;CSC=Y&amp;PAGE=toc&amp;D=yrovft&amp;AN=00000196-000000000-00000</t>
  </si>
  <si>
    <t>Pediatric Critical Care Medicine</t>
  </si>
  <si>
    <t>1542-1937</t>
  </si>
  <si>
    <t>https://openathens.ovid.com/OAKeystone/deeplink?idpselect=https://idp.eng.nhs.uk/openathens&amp;entityID=https://idp.eng.nhs.uk/openathens&amp;T=JS&amp;NEWS=n&amp;CSC=Y&amp;PAGE=toc&amp;D=yrovft&amp;AN=01720094-000000000-00000</t>
  </si>
  <si>
    <t>https://ovidsp.ovid.com/rss/journals/00005821/current.rss</t>
  </si>
  <si>
    <t>1082-9784</t>
  </si>
  <si>
    <t>1550-2430</t>
  </si>
  <si>
    <t>1532-3145</t>
  </si>
  <si>
    <t>https://ovidsp.ovid.com/rss/journals/00134372/current.rss</t>
  </si>
  <si>
    <t>https://ovidsp.ovid.com/rss/journals/01429668/current.rss</t>
  </si>
  <si>
    <t>https://openathens.ovid.com/OAKeystone/deeplink?idpselect=https://idp.eng.nhs.uk/openathens&amp;entityID=https://idp.eng.nhs.uk/openathens&amp;T=JS&amp;NEWS=n&amp;CSC=Y&amp;PAGE=toc&amp;D=yrovft&amp;AN=00006216-000000000-00000</t>
  </si>
  <si>
    <t>https://openathens.ovid.com/OAKeystone/deeplink?idpselect=https://idp.eng.nhs.uk/openathens&amp;entityID=https://idp.eng.nhs.uk/openathens&amp;T=JS&amp;NEWS=n&amp;CSC=Y&amp;PAGE=toc&amp;D=yrovft&amp;AN=00000346-000000000-00000</t>
  </si>
  <si>
    <t>2002-01-01 - 2008-11-01</t>
  </si>
  <si>
    <t>https://ovidsp.ovid.com/rss/journals/02107256/current.rss</t>
  </si>
  <si>
    <t>2013-01-01 - 2015-03-01</t>
  </si>
  <si>
    <t>European Journal of Oncology Pharmacy</t>
  </si>
  <si>
    <t>0021-924X</t>
  </si>
  <si>
    <t>American Journal of Forensic Medicine &amp; Pathology</t>
  </si>
  <si>
    <t>0009-7330</t>
  </si>
  <si>
    <t>1945-2810</t>
  </si>
  <si>
    <t>Nature Reviews Gastroenterology and Hepatology</t>
  </si>
  <si>
    <t>2020-02-01 - 2022-04-01</t>
  </si>
  <si>
    <t>https://ovidsp.ovid.com/rss/journals/00003628/current.rss</t>
  </si>
  <si>
    <t>https://openathens.ovid.com/OAKeystone/deeplink?idpselect=https://idp.eng.nhs.uk/openathens&amp;entityID=https://idp.eng.nhs.uk/openathens&amp;T=JS&amp;NEWS=n&amp;CSC=Y&amp;PAGE=main&amp;D=mesx</t>
  </si>
  <si>
    <t>2020-12-29</t>
  </si>
  <si>
    <t>1464-3685</t>
  </si>
  <si>
    <t>2018-04-01</t>
  </si>
  <si>
    <t>1742-4801</t>
  </si>
  <si>
    <t>2008-05-01</t>
  </si>
  <si>
    <t>Current Opinion in Otolaryngology &amp; Head &amp; Neck Surgery</t>
  </si>
  <si>
    <t>Journal for Nurses in Staff Development  - JNSD</t>
  </si>
  <si>
    <t>https://ovidsp.ovid.com/rss/journals/02112950/current.rss</t>
  </si>
  <si>
    <t>1087-2418</t>
  </si>
  <si>
    <t>Journal of Computer Assisted Tomography</t>
  </si>
  <si>
    <t>2007-06-01 - 2022-05-01</t>
  </si>
  <si>
    <t>2008-02-01</t>
  </si>
  <si>
    <t>https://openathens.ovid.com/OAKeystone/deeplink?idpselect=https://idp.eng.nhs.uk/openathens&amp;entityID=https://idp.eng.nhs.uk/openathens&amp;T=JS&amp;NEWS=n&amp;CSC=Y&amp;PAGE=main&amp;D=pmoz</t>
  </si>
  <si>
    <t>https://openathens.ovid.com/OAKeystone/deeplink?idpselect=https://idp.eng.nhs.uk/openathens&amp;entityID=https://idp.eng.nhs.uk/openathens&amp;T=JS&amp;NEWS=n&amp;CSC=Y&amp;PAGE=toc&amp;D=yrovft&amp;AN=01722470-000000000-00000</t>
  </si>
  <si>
    <t>2096-7241</t>
  </si>
  <si>
    <t>https://openathens.ovid.com/OAKeystone/deeplink?idpselect=https://idp.eng.nhs.uk/openathens&amp;entityID=https://idp.eng.nhs.uk/openathens&amp;T=JS&amp;NEWS=n&amp;CSC=Y&amp;PAGE=toc&amp;D=yrovft&amp;AN=00009185-000000000-00000</t>
  </si>
  <si>
    <t>https://ovidsp.ovid.com/rss/journals/00003072/pap.rss</t>
  </si>
  <si>
    <t>https://ovidsp.ovid.com/rss/journals/00129334/pap.rss</t>
  </si>
  <si>
    <t>Infectious Diseases in Clinical Practice</t>
  </si>
  <si>
    <t>0099-2399</t>
  </si>
  <si>
    <t>Journal of Glaucoma</t>
  </si>
  <si>
    <t>2097-0617</t>
  </si>
  <si>
    <t>2001-09-01 - 2010-05-01</t>
  </si>
  <si>
    <t>https://ovidsp.ovid.com/rss/journals/01787389/current.rss</t>
  </si>
  <si>
    <t>https://openathens.ovid.com/OAKeystone/deeplink?idpselect=https://idp.eng.nhs.uk/openathens&amp;entityID=https://idp.eng.nhs.uk/openathens&amp;T=JS&amp;NEWS=n&amp;CSC=Y&amp;PAGE=toc&amp;D=yrovft&amp;AN=02112952-000000000-00000</t>
  </si>
  <si>
    <t>0887-9311</t>
  </si>
  <si>
    <t>2021-09-01 - 2022-01-27</t>
  </si>
  <si>
    <t>2021-09-22 - 2022-03-08</t>
  </si>
  <si>
    <t>https://ovidsp.ovid.com/rss/journals/00126097/current.rss</t>
  </si>
  <si>
    <t>https://openathens.ovid.com/OAKeystone/deeplink?idpselect=https://idp.eng.nhs.uk/openathens&amp;entityID=https://idp.eng.nhs.uk/openathens&amp;T=JS&amp;NEWS=n&amp;CSC=Y&amp;PAGE=toc&amp;D=yrovft&amp;AN=00128682-000000000-00000</t>
  </si>
  <si>
    <t>https://openathens.ovid.com/OAKeystone/deeplink?idpselect=https://idp.eng.nhs.uk/openathens&amp;entityID=https://idp.eng.nhs.uk/openathens&amp;T=JS&amp;NEWS=n&amp;CSC=Y&amp;PAGE=toc&amp;D=yrovft&amp;AN=02075970-000000000-00000</t>
  </si>
  <si>
    <t>1999-03-01 - 2010-05-01</t>
  </si>
  <si>
    <t>https://ovidsp.ovid.com/rss/journals/00003086/current.rss</t>
  </si>
  <si>
    <t>1573-7373</t>
  </si>
  <si>
    <t>https://ovidsp.ovid.com/rss/journals/01429652/current.rss</t>
  </si>
  <si>
    <t>Nursing Made Incredibly Easy!</t>
  </si>
  <si>
    <t>2013-06-01</t>
  </si>
  <si>
    <t>0012-1797</t>
  </si>
  <si>
    <t>2021-03-01 - 2022-03-01</t>
  </si>
  <si>
    <t>https://openathens.ovid.com/OAKeystone/deeplink?idpselect=https://idp.eng.nhs.uk/openathens&amp;entityID=https://idp.eng.nhs.uk/openathens&amp;T=JS&amp;NEWS=n&amp;CSC=Y&amp;PAGE=toc&amp;D=yrovft&amp;AN=00003086-000000000-00000</t>
  </si>
  <si>
    <t>https://openathens.ovid.com/OAKeystone/deeplink?idpselect=https://idp.eng.nhs.uk/openathens&amp;entityID=https://idp.eng.nhs.uk/openathens&amp;T=JS&amp;NEWS=n&amp;CSC=Y&amp;PAGE=toc&amp;D=yrovft&amp;AN=00002371-000000000-00000</t>
  </si>
  <si>
    <t>Annals of Surgery</t>
  </si>
  <si>
    <t>2009-03-01 - 2022-04-01</t>
  </si>
  <si>
    <t>https://ovidsp.ovid.com/rss/journals/00001573/pap.rss</t>
  </si>
  <si>
    <t>https://openathens.ovid.com/OAKeystone/deeplink?idpselect=https://idp.eng.nhs.uk/openathens&amp;entityID=https://idp.eng.nhs.uk/openathens&amp;T=JS&amp;NEWS=n&amp;CSC=Y&amp;PAGE=toc&amp;D=yrovft&amp;AN=00139143-000000000-00000</t>
  </si>
  <si>
    <t>1556-1380</t>
  </si>
  <si>
    <t>https://openathens.ovid.com/OAKeystone/deeplink?idpselect=https://idp.eng.nhs.uk/openathens&amp;entityID=https://idp.eng.nhs.uk/openathens&amp;T=JS&amp;NEWS=n&amp;CSC=Y&amp;PAGE=toc&amp;D=yrovft&amp;AN=00129234-000000000-00000</t>
  </si>
  <si>
    <t>1468-2834</t>
  </si>
  <si>
    <t>https://ovidsp.ovid.com/rss/journals/01412499/current.rss</t>
  </si>
  <si>
    <t>1050-642X</t>
  </si>
  <si>
    <t>2008-12-17 - 2009-12-02</t>
  </si>
  <si>
    <t>1057-3631</t>
  </si>
  <si>
    <t>https://ovidsp.ovid.com/rss/journals/00163626/current.rss</t>
  </si>
  <si>
    <t>Adverse Drug Reaction Bulletin</t>
  </si>
  <si>
    <t>0895-0385</t>
  </si>
  <si>
    <t>0931-0509</t>
  </si>
  <si>
    <t>https://openathens.ovid.com/OAKeystone/deeplink?idpselect=https://idp.eng.nhs.uk/openathens&amp;entityID=https://idp.eng.nhs.uk/openathens&amp;T=JS&amp;NEWS=n&amp;CSC=Y&amp;PAGE=toc&amp;D=yrovft&amp;AN=00019605-000000000-00000</t>
  </si>
  <si>
    <t>0148-7043</t>
  </si>
  <si>
    <t>2002-03-01 - 2004-04-01</t>
  </si>
  <si>
    <t>ACADEMIC Physician &amp; Scientist</t>
  </si>
  <si>
    <t>https://openathens.ovid.com/OAKeystone/deeplink?idpselect=https://idp.eng.nhs.uk/openathens&amp;entityID=https://idp.eng.nhs.uk/openathens&amp;T=JS&amp;NEWS=n&amp;CSC=Y&amp;PAGE=toc&amp;D=yrovft&amp;AN=01202412-000000000-00000</t>
  </si>
  <si>
    <t>Quarterly Journal of Medicine</t>
  </si>
  <si>
    <t>EMBASE 2015</t>
  </si>
  <si>
    <t>https://ovidsp.ovid.com/rss/journals/02145553/current.rss</t>
  </si>
  <si>
    <t>Argosy Publishing, Inc.</t>
  </si>
  <si>
    <t>2003-01-01</t>
  </si>
  <si>
    <t>0022-1503</t>
  </si>
  <si>
    <t>https://ovidsp.ovid.com/rss/journals/02112952/current.rss</t>
  </si>
  <si>
    <t>British Editorial Society of Bone &amp; Joint Surgery</t>
  </si>
  <si>
    <t>1536-4828</t>
  </si>
  <si>
    <t>Medline (1996-2002)</t>
  </si>
  <si>
    <t>2016-09-01 - 2022-03-30</t>
  </si>
  <si>
    <t>0964-7562</t>
  </si>
  <si>
    <t>1538-9782</t>
  </si>
  <si>
    <t>2021-12-01</t>
  </si>
  <si>
    <t>2000-05-01</t>
  </si>
  <si>
    <t>https://ovidsp.ovid.com/rss/journals/00127893/pap.rss</t>
  </si>
  <si>
    <t>Medline (1986-1995)</t>
  </si>
  <si>
    <t>2002-02-01 - 2022-04-01</t>
  </si>
  <si>
    <t>https://openathens.ovid.com/OAKeystone/deeplink?idpselect=https://idp.eng.nhs.uk/openathens&amp;entityID=https://idp.eng.nhs.uk/openathens&amp;T=JS&amp;NEWS=n&amp;CSC=Y&amp;PAGE=toc&amp;D=yrovft&amp;AN=00041552-000000000-00000</t>
  </si>
  <si>
    <t>https://ovidsp.ovid.com/rss/journals/00013611/current.rss</t>
  </si>
  <si>
    <t>2019-07-01</t>
  </si>
  <si>
    <t>1389-6563</t>
  </si>
  <si>
    <t>1064-8011</t>
  </si>
  <si>
    <t>0009-7322</t>
  </si>
  <si>
    <t>1569-8041</t>
  </si>
  <si>
    <t>https://ovidsp.ovid.com/rss/journals/00006527/current.rss</t>
  </si>
  <si>
    <t>978-0-3409-8426-0</t>
  </si>
  <si>
    <t>Behavioural Pharmacology</t>
  </si>
  <si>
    <t>https://ovidsp.ovid.com/rss/journals/00130832/current.rss</t>
  </si>
  <si>
    <t>2007-03-01 - 2009-11-01</t>
  </si>
  <si>
    <t>https://ovidsp.ovid.com/rss/journals/01266021/pap.rss</t>
  </si>
  <si>
    <t>1460-2180</t>
  </si>
  <si>
    <t>1062-4821</t>
  </si>
  <si>
    <t>https://ovidsp.ovid.com/rss/journals/00139143/current.rss</t>
  </si>
  <si>
    <t>The Endocrinologist</t>
  </si>
  <si>
    <t>https://ovidsp.ovid.com/rss/journals/02087401/current.rss</t>
  </si>
  <si>
    <t>1538-9375</t>
  </si>
  <si>
    <t>https://ovidsp.ovid.com/rss/journals/00013611/pap.rss</t>
  </si>
  <si>
    <t>2398-7316</t>
  </si>
  <si>
    <t>2001-11-01 - 2004-03-01</t>
  </si>
  <si>
    <t>1077-2855</t>
  </si>
  <si>
    <t>https://openathens.ovid.com/OAKeystone/deeplink?idpselect=https://idp.eng.nhs.uk/openathens&amp;entityID=https://idp.eng.nhs.uk/openathens&amp;T=JS&amp;NEWS=n&amp;CSC=Y&amp;PAGE=booktext&amp;D=books&amp;AN=01867013$&amp;XPATH=/PG(0)&amp;EPUB=Y</t>
  </si>
  <si>
    <t>1550-5049</t>
  </si>
  <si>
    <t>2009-02-01 - 2015-04-01</t>
  </si>
  <si>
    <t>1095-0680</t>
  </si>
  <si>
    <t>Journal of Neurological Surgery Reports</t>
  </si>
  <si>
    <t>1065-9471</t>
  </si>
  <si>
    <t>https://ovidsp.ovid.com/rss/journals/00042223/pap.rss</t>
  </si>
  <si>
    <t>2001-04-01 - 2010-03-01</t>
  </si>
  <si>
    <t>https://ovidsp.ovid.com/rss/journals/00007783/current.rss</t>
  </si>
  <si>
    <t>https://openathens.ovid.com/OAKeystone/deeplink?idpselect=https://idp.eng.nhs.uk/openathens&amp;entityID=https://idp.eng.nhs.uk/openathens&amp;T=JS&amp;NEWS=n&amp;CSC=Y&amp;PAGE=toc&amp;D=yrovft&amp;AN=00000703-000000000-00000</t>
  </si>
  <si>
    <t>1741-0126</t>
  </si>
  <si>
    <t>HEART Insight</t>
  </si>
  <si>
    <t>1753-318X</t>
  </si>
  <si>
    <t>https://openathens.ovid.com/OAKeystone/deeplink?idpselect=https://idp.eng.nhs.uk/openathens&amp;entityID=https://idp.eng.nhs.uk/openathens&amp;T=JS&amp;NEWS=n&amp;CSC=Y&amp;PAGE=toc&amp;D=yrovft&amp;AN=01376517-000000000-00000</t>
  </si>
  <si>
    <t>https://ovidsp.ovid.com/rss/journals/00006416/pap.rss</t>
  </si>
  <si>
    <t>2020-07-01 - 2022-02-01</t>
  </si>
  <si>
    <t>1932-8087</t>
  </si>
  <si>
    <t>https://ovidsp.ovid.com/rss/journals/00003246/current.rss</t>
  </si>
  <si>
    <t>https://openathens.ovid.com/OAKeystone/deeplink?idpselect=https://idp.eng.nhs.uk/openathens&amp;entityID=https://idp.eng.nhs.uk/openathens&amp;T=JS&amp;NEWS=n&amp;CSC=Y&amp;PAGE=toc&amp;D=yrovft&amp;AN=00124784-000000000-00000</t>
  </si>
  <si>
    <t>https://ovidsp.ovid.com/rss/journals/00004583/current.rss</t>
  </si>
  <si>
    <t>https://openathens.ovid.com/OAKeystone/deeplink?idpselect=https://idp.eng.nhs.uk/openathens&amp;entityID=https://idp.eng.nhs.uk/openathens&amp;T=JS&amp;NEWS=n&amp;CSC=Y&amp;PAGE=booktext&amp;D=books&amp;AN=02238075$&amp;XPATH=/PG(0)&amp;EPUB=Y</t>
  </si>
  <si>
    <t>https://ovidsp.ovid.com/rss/journals/00045391/pap.rss</t>
  </si>
  <si>
    <t>https://ovidsp.ovid.com/rss/journals/00000140/current.rss</t>
  </si>
  <si>
    <t>0956-4624</t>
  </si>
  <si>
    <t>https://openathens.ovid.com/OAKeystone/deeplink?idpselect=https://idp.eng.nhs.uk/openathens&amp;entityID=https://idp.eng.nhs.uk/openathens&amp;T=JS&amp;NEWS=n&amp;CSC=Y&amp;PAGE=toc&amp;D=yrovft&amp;AN=01220507-000000000-00000</t>
  </si>
  <si>
    <t>https://openathens.ovid.com/OAKeystone/deeplink?idpselect=https://idp.eng.nhs.uk/openathens&amp;entityID=https://idp.eng.nhs.uk/openathens&amp;T=JS&amp;NEWS=n&amp;CSC=Y&amp;PAGE=toc&amp;D=yrovft&amp;AN=00042752-000000000-00000</t>
  </si>
  <si>
    <t>1520-9229</t>
  </si>
  <si>
    <t>1465-3931</t>
  </si>
  <si>
    <t>1068-9508</t>
  </si>
  <si>
    <t>https://openathens.ovid.com/OAKeystone/deeplink?idpselect=https://idp.eng.nhs.uk/openathens&amp;entityID=https://idp.eng.nhs.uk/openathens&amp;T=JS&amp;NEWS=n&amp;CSC=Y&amp;PAGE=toc&amp;D=yrovft&amp;AN=01243894-000000000-00000</t>
  </si>
  <si>
    <t>1545-7214</t>
  </si>
  <si>
    <t>1538-9243</t>
  </si>
  <si>
    <t>https://ovidsp.ovid.com/rss/journals/02045117/current.rss</t>
  </si>
  <si>
    <t>https://openathens.ovid.com/OAKeystone/deeplink?idpselect=https://idp.eng.nhs.uk/openathens&amp;entityID=https://idp.eng.nhs.uk/openathens&amp;T=JS&amp;NEWS=n&amp;CSC=Y&amp;PAGE=toc&amp;D=yrovft&amp;AN=00008486-000000000-00000</t>
  </si>
  <si>
    <t>https://openathens.ovid.com/OAKeystone/deeplink?idpselect=https://idp.eng.nhs.uk/openathens&amp;entityID=https://idp.eng.nhs.uk/openathens&amp;T=JS&amp;NEWS=n&amp;CSC=Y&amp;PAGE=main&amp;D=pmnm</t>
  </si>
  <si>
    <t>https://openathens.ovid.com/OAKeystone/deeplink?idpselect=https://idp.eng.nhs.uk/openathens&amp;entityID=https://idp.eng.nhs.uk/openathens&amp;T=JS&amp;NEWS=n&amp;CSC=Y&amp;PAGE=toc&amp;D=yrovft&amp;AN=02070904-000000000-00000</t>
  </si>
  <si>
    <t>JCR: Journal of Clinical Rheumatology</t>
  </si>
  <si>
    <t>0038-075X</t>
  </si>
  <si>
    <t>2007-01-01 - 2010-04-01</t>
  </si>
  <si>
    <t>https://ovidsp.ovid.com/rss/journals/01436970/current.rss</t>
  </si>
  <si>
    <t>1527-7941</t>
  </si>
  <si>
    <t>https://openathens.ovid.com/OAKeystone/deeplink?idpselect=https://idp.eng.nhs.uk/openathens&amp;entityID=https://idp.eng.nhs.uk/openathens&amp;T=JS&amp;NEWS=n&amp;CSC=Y&amp;PAGE=toc&amp;D=yrovft&amp;AN=02118581-000000000-00000</t>
  </si>
  <si>
    <t>Latest Year Coverage</t>
  </si>
  <si>
    <t>1999-06-01 - 2010-04-01</t>
  </si>
  <si>
    <t>https://ovidsp.ovid.com/rss/journals/02054628/pap.rss</t>
  </si>
  <si>
    <t>https://ovidsp.ovid.com/rss/journals/00002060/pap.rss</t>
  </si>
  <si>
    <t>https://openathens.ovid.com/OAKeystone/deeplink?idpselect=https://idp.eng.nhs.uk/openathens&amp;entityID=https://idp.eng.nhs.uk/openathens&amp;T=JS&amp;NEWS=n&amp;CSC=Y&amp;PAGE=toc&amp;D=yrovft&amp;AN=00041327-000000000-00000</t>
  </si>
  <si>
    <t>https://ovidsp.ovid.com/rss/journals/00124784/current.rss</t>
  </si>
  <si>
    <t>https://openathens.ovid.com/OAKeystone/deeplink?idpselect=https://idp.eng.nhs.uk/openathens&amp;entityID=https://idp.eng.nhs.uk/openathens&amp;T=JS&amp;NEWS=n&amp;CSC=Y&amp;PAGE=toc&amp;D=yrovft&amp;AN=00130478-000000000-00000</t>
  </si>
  <si>
    <t>https://ovidsp.ovid.com/rss/journals/00002508/current.rss</t>
  </si>
  <si>
    <t>2096-5540</t>
  </si>
  <si>
    <t>0906-7590</t>
  </si>
  <si>
    <t>0890-5339</t>
  </si>
  <si>
    <t>MCN: The American Journal of Maternal/Child Nursing</t>
  </si>
  <si>
    <t>2003-02-01 - 2008-11-01</t>
  </si>
  <si>
    <t>Gastroenterology Nursing</t>
  </si>
  <si>
    <t>Journal of Clinical Neurophysiology</t>
  </si>
  <si>
    <t>0966-0429</t>
  </si>
  <si>
    <t>2151-4585</t>
  </si>
  <si>
    <t>2001-09-01 - 2010-06-01</t>
  </si>
  <si>
    <t>https://openathens.ovid.com/OAKeystone/deeplink?idpselect=https://idp.eng.nhs.uk/openathens&amp;entityID=https://idp.eng.nhs.uk/openathens&amp;T=JS&amp;NEWS=n&amp;CSC=Y&amp;PAGE=main&amp;D=emca1</t>
  </si>
  <si>
    <t>https://openathens.ovid.com/OAKeystone/deeplink?idpselect=https://idp.eng.nhs.uk/openathens&amp;entityID=https://idp.eng.nhs.uk/openathens&amp;T=JS&amp;NEWS=n&amp;CSC=Y&amp;PAGE=toc&amp;D=yrovft&amp;AN=02118582-000000000-00000</t>
  </si>
  <si>
    <t>https://openathens.ovid.com/OAKeystone/deeplink?idpselect=https://idp.eng.nhs.uk/openathens&amp;entityID=https://idp.eng.nhs.uk/openathens&amp;T=JS&amp;NEWS=n&amp;CSC=Y&amp;PAGE=toc&amp;D=yrovft&amp;AN=00002060-000000000-00000</t>
  </si>
  <si>
    <t>https://openathens.ovid.com/OAKeystone/deeplink?idpselect=https://idp.eng.nhs.uk/openathens&amp;entityID=https://idp.eng.nhs.uk/openathens&amp;T=JS&amp;NEWS=n&amp;CSC=Y&amp;PAGE=toc&amp;D=yrovft&amp;AN=00003677-000000000-00000</t>
  </si>
  <si>
    <t>https://ovidsp.ovid.com/rss/journals/00004630/current.rss</t>
  </si>
  <si>
    <t>2637-5974</t>
  </si>
  <si>
    <t>https://ovidsp.ovid.com/rss/journals/00003643/pap.rss</t>
  </si>
  <si>
    <t>https://openathens.ovid.com/OAKeystone/deeplink?idpselect=https://idp.eng.nhs.uk/openathens&amp;entityID=https://idp.eng.nhs.uk/openathens&amp;T=JS&amp;NEWS=n&amp;CSC=Y&amp;PAGE=toc&amp;D=yrovft&amp;AN=01253097-000000000-00000</t>
  </si>
  <si>
    <t>1473-5628</t>
  </si>
  <si>
    <t>https://ovidsp.ovid.com/rss/journals/00002188/current.rss</t>
  </si>
  <si>
    <t>EMBASE 2017</t>
  </si>
  <si>
    <t>eISSN</t>
  </si>
  <si>
    <t>0883-5691</t>
  </si>
  <si>
    <t>International Journal of Epidemiology</t>
  </si>
  <si>
    <t>https://ovidsp.ovid.com/rss/journals/01337441/pap.rss</t>
  </si>
  <si>
    <t>1573-6962</t>
  </si>
  <si>
    <t>https://openathens.ovid.com/OAKeystone/deeplink?idpselect=https://idp.eng.nhs.uk/openathens&amp;entityID=https://idp.eng.nhs.uk/openathens&amp;T=JS&amp;NEWS=n&amp;CSC=Y&amp;PAGE=toc&amp;D=yrovft&amp;AN=00001786-000000000-00000</t>
  </si>
  <si>
    <t>1078-4659</t>
  </si>
  <si>
    <t>2010-10-01</t>
  </si>
  <si>
    <t>0-3409-8727-8</t>
  </si>
  <si>
    <t>Clinical &amp; Translational Immunology</t>
  </si>
  <si>
    <t>1537-7385</t>
  </si>
  <si>
    <t>1473-5733</t>
  </si>
  <si>
    <t>1531-6971</t>
  </si>
  <si>
    <t>https://ovidsp.ovid.com/rss/journals/00006479/pap.rss</t>
  </si>
  <si>
    <t>https://openathens.ovid.com/OAKeystone/deeplink?idpselect=https://idp.eng.nhs.uk/openathens&amp;entityID=https://idp.eng.nhs.uk/openathens&amp;T=JS&amp;NEWS=n&amp;CSC=Y&amp;PAGE=toc&amp;D=yrovft&amp;AN=00219246-000000000-00000</t>
  </si>
  <si>
    <t>Nature Clinical Practice Cardiovascular Medicine</t>
  </si>
  <si>
    <t>2058-5357</t>
  </si>
  <si>
    <t>Female Pelvic Medicine &amp; Reconstructive Surgery</t>
  </si>
  <si>
    <t>https://openathens.ovid.com/OAKeystone/deeplink?idpselect=https://idp.eng.nhs.uk/openathens&amp;entityID=https://idp.eng.nhs.uk/openathens&amp;T=JS&amp;NEWS=n&amp;CSC=Y&amp;PAGE=main&amp;D=emed3</t>
  </si>
  <si>
    <t>https://openathens.ovid.com/OAKeystone/deeplink?idpselect=https://idp.eng.nhs.uk/openathens&amp;entityID=https://idp.eng.nhs.uk/openathens&amp;T=JS&amp;NEWS=n&amp;CSC=Y&amp;PAGE=toc&amp;D=yrovft&amp;AN=00128488-000000000-00000</t>
  </si>
  <si>
    <t>1932-0620</t>
  </si>
  <si>
    <t>https://openathens.ovid.com/OAKeystone/deeplink?idpselect=https://idp.eng.nhs.uk/openathens&amp;entityID=https://idp.eng.nhs.uk/openathens&amp;T=JS&amp;NEWS=n&amp;CSC=Y&amp;PAGE=toc&amp;D=yrovft&amp;AN=00006250-000000000-00000</t>
  </si>
  <si>
    <t>1465-735X</t>
  </si>
  <si>
    <t>https://ovidsp.ovid.com/rss/journals/01429649/current.rss</t>
  </si>
  <si>
    <t>https://openathens.ovid.com/OAKeystone/deeplink?idpselect=https://idp.eng.nhs.uk/openathens&amp;entityID=https://idp.eng.nhs.uk/openathens&amp;T=JS&amp;NEWS=n&amp;CSC=Y&amp;PAGE=toc&amp;D=yrovft&amp;AN=00130561-000000000-00000</t>
  </si>
  <si>
    <t>https://openathens.ovid.com/OAKeystone/deeplink?idpselect=https://idp.eng.nhs.uk/openathens&amp;entityID=https://idp.eng.nhs.uk/openathens&amp;T=JS&amp;NEWS=n&amp;CSC=Y&amp;PAGE=toc&amp;D=yrovft&amp;AN=01979360-000000000-00000</t>
  </si>
  <si>
    <t>https://openathens.ovid.com/OAKeystone/deeplink?idpselect=https://idp.eng.nhs.uk/openathens&amp;entityID=https://idp.eng.nhs.uk/openathens&amp;T=JS&amp;NEWS=n&amp;CSC=Y&amp;PAGE=toc&amp;D=yrovft&amp;AN=00002311-000000000-00000</t>
  </si>
  <si>
    <t>https://ovidsp.ovid.com/rss/journals/00124509/pap.rss</t>
  </si>
  <si>
    <t>2001-09-01</t>
  </si>
  <si>
    <t>Obstetrics &amp; Gynecology</t>
  </si>
  <si>
    <t>2475-6024</t>
  </si>
  <si>
    <t>https://ovidsp.ovid.com/rss/journals/00045415/current.rss</t>
  </si>
  <si>
    <t>1536-0366</t>
  </si>
  <si>
    <t>1365-2214</t>
  </si>
  <si>
    <t>https://openathens.ovid.com/OAKeystone/deeplink?idpselect=https://idp.eng.nhs.uk/openathens&amp;entityID=https://idp.eng.nhs.uk/openathens&amp;T=JS&amp;NEWS=n&amp;CSC=Y&amp;PAGE=toc&amp;D=yrovft&amp;AN=01300517-000000000-00000</t>
  </si>
  <si>
    <t>https://openathens.ovid.com/OAKeystone/deeplink?idpselect=https://idp.eng.nhs.uk/openathens&amp;entityID=https://idp.eng.nhs.uk/openathens&amp;T=JS&amp;NEWS=n&amp;CSC=Y&amp;PAGE=toc&amp;D=yrovft&amp;AN=00006565-000000000-00000</t>
  </si>
  <si>
    <t>2474-7661</t>
  </si>
  <si>
    <t>https://openathens.ovid.com/OAKeystone/deeplink?idpselect=https://idp.eng.nhs.uk/openathens&amp;entityID=https://idp.eng.nhs.uk/openathens&amp;T=JS&amp;NEWS=n&amp;CSC=Y&amp;PAGE=toc&amp;D=yrovft&amp;AN=01517119-000000000-00000</t>
  </si>
  <si>
    <t>https://openathens.ovid.com/OAKeystone/deeplink?idpselect=https://idp.eng.nhs.uk/openathens&amp;entityID=https://idp.eng.nhs.uk/openathens&amp;T=JS&amp;NEWS=n&amp;CSC=Y&amp;PAGE=toc&amp;D=yrovft&amp;AN=00075198-000000000-00000</t>
  </si>
  <si>
    <t>https://ovidsp.ovid.com/rss/journals/02054639/current.rss</t>
  </si>
  <si>
    <t>0145-5613</t>
  </si>
  <si>
    <t>https://ovidsp.ovid.com/rss/journals/00007489/pap.rss</t>
  </si>
  <si>
    <t>Eyecare Business</t>
  </si>
  <si>
    <t>0268-1161</t>
  </si>
  <si>
    <t>https://openathens.ovid.com/OAKeystone/deeplink?idpselect=https://idp.eng.nhs.uk/openathens&amp;entityID=https://idp.eng.nhs.uk/openathens&amp;T=JS&amp;NEWS=n&amp;CSC=Y&amp;PAGE=toc&amp;D=yrovft&amp;AN=00126062-000000000-00000</t>
  </si>
  <si>
    <t>https://openathens.ovid.com/OAKeystone/deeplink?idpselect=https://idp.eng.nhs.uk/openathens&amp;entityID=https://idp.eng.nhs.uk/openathens&amp;T=JS&amp;NEWS=n&amp;CSC=Y&amp;PAGE=toc&amp;D=yrovft&amp;AN=00005382-000000000-00000</t>
  </si>
  <si>
    <t>Clinical Pulmonary Medicine</t>
  </si>
  <si>
    <t>https://ovidsp.ovid.com/rss/journals/00008505/current.rss</t>
  </si>
  <si>
    <t>2005-05-01</t>
  </si>
  <si>
    <t>978-0-1985-2064-1</t>
  </si>
  <si>
    <t>1872-6623</t>
  </si>
  <si>
    <t>2002-01-15</t>
  </si>
  <si>
    <t>https://ovidsp.ovid.com/rss/journals/01202412/pap.rss</t>
  </si>
  <si>
    <t>Endocrinology,Diabetes &amp; Metabolism</t>
  </si>
  <si>
    <t>Journal of Bio-X Research</t>
  </si>
  <si>
    <t>2006-12-01</t>
  </si>
  <si>
    <t>https://openathens.ovid.com/OAKeystone/deeplink?idpselect=https://idp.eng.nhs.uk/openathens&amp;entityID=https://idp.eng.nhs.uk/openathens&amp;T=JS&amp;NEWS=n&amp;CSC=Y&amp;PAGE=booktext&amp;D=books&amp;AN=01439295$&amp;XPATH=/PG(0)&amp;EPUB=Y</t>
  </si>
  <si>
    <t>https://ovidsp.ovid.com/rss/journals/00128360/pap.rss</t>
  </si>
  <si>
    <t>https://ovidsp.ovid.com/rss/journals/01429663/current.rss</t>
  </si>
  <si>
    <t>0002-9262</t>
  </si>
  <si>
    <t>https://openathens.ovid.com/OAKeystone/deeplink?idpselect=https://idp.eng.nhs.uk/openathens&amp;entityID=https://idp.eng.nhs.uk/openathens&amp;T=JS&amp;NEWS=n&amp;CSC=Y&amp;PAGE=toc&amp;D=yrovft&amp;AN=01265117-000000000-00000</t>
  </si>
  <si>
    <t>2006-04-01</t>
  </si>
  <si>
    <t>2003-04-01 - 2008-10-01</t>
  </si>
  <si>
    <t>2002-01-01 - 2004-05-01</t>
  </si>
  <si>
    <t>1759-4758</t>
  </si>
  <si>
    <t>2019-09-01 - 2022-03-01</t>
  </si>
  <si>
    <t>0951-7375</t>
  </si>
  <si>
    <t>https://ovidsp.ovid.com/rss/journals/02112946/current.rss</t>
  </si>
  <si>
    <t>1942-0080</t>
  </si>
  <si>
    <t>https://openathens.ovid.com/OAKeystone/deeplink?idpselect=https://idp.eng.nhs.uk/openathens&amp;entityID=https://idp.eng.nhs.uk/openathens&amp;T=JS&amp;NEWS=n&amp;CSC=Y&amp;PAGE=toc&amp;D=yrovft&amp;AN=00075484-000000000-00000</t>
  </si>
  <si>
    <t>SAGE Publications</t>
  </si>
  <si>
    <t>Annals of Emergency Medicine</t>
  </si>
  <si>
    <t>https://openathens.ovid.com/OAKeystone/deeplink?idpselect=https://idp.eng.nhs.uk/openathens&amp;entityID=https://idp.eng.nhs.uk/openathens&amp;T=JS&amp;NEWS=n&amp;CSC=Y&amp;PAGE=toc&amp;D=yrovft&amp;AN=00003439-000000000-00000</t>
  </si>
  <si>
    <t>2011-01-11 - 2020-03-01</t>
  </si>
  <si>
    <t>2008-01-01 - 2022-05-01</t>
  </si>
  <si>
    <t>2001-07-01 - 2020-04-01</t>
  </si>
  <si>
    <t>0960-8931</t>
  </si>
  <si>
    <t>Edition</t>
  </si>
  <si>
    <t>Journal of Cachexia, Sarcopenia and Muscle - Open Access</t>
  </si>
  <si>
    <t>https://openathens.ovid.com/OAKeystone/deeplink?idpselect=https://idp.eng.nhs.uk/openathens&amp;entityID=https://idp.eng.nhs.uk/openathens&amp;T=JS&amp;NEWS=n&amp;CSC=Y&amp;PAGE=toc&amp;D=yrovft&amp;AN=00000621-000000000-00000</t>
  </si>
  <si>
    <t>0196-206X</t>
  </si>
  <si>
    <t>Contemporary Diagnostic Radiology</t>
  </si>
  <si>
    <t>https://openathens.ovid.com/OAKeystone/deeplink?idpselect=https://idp.eng.nhs.uk/openathens&amp;entityID=https://idp.eng.nhs.uk/openathens&amp;T=JS&amp;NEWS=n&amp;CSC=Y&amp;PAGE=toc&amp;D=yrovft&amp;AN=00007632-000000000-00000</t>
  </si>
  <si>
    <t>Medline (2017)</t>
  </si>
  <si>
    <t>American Journal of Psychiatry</t>
  </si>
  <si>
    <t>2003-06-01 - 2010-04-01</t>
  </si>
  <si>
    <t>Eye &amp; Contact Lens: Science &amp; Clinical Practice</t>
  </si>
  <si>
    <t>Surgical Laparoscopy, Endoscopy &amp; Percutaneous Techniques</t>
  </si>
  <si>
    <t>0342-5282</t>
  </si>
  <si>
    <t>https://openathens.ovid.com/OAKeystone/deeplink?idpselect=https://idp.eng.nhs.uk/openathens&amp;entityID=https://idp.eng.nhs.uk/openathens&amp;T=JS&amp;NEWS=n&amp;CSC=Y&amp;PAGE=main&amp;D=emed2</t>
  </si>
  <si>
    <t>American Journal of Public Health</t>
  </si>
  <si>
    <t>https://openathens.ovid.com/OAKeystone/deeplink?idpselect=https://idp.eng.nhs.uk/openathens&amp;entityID=https://idp.eng.nhs.uk/openathens&amp;T=JS&amp;NEWS=n&amp;CSC=Y&amp;PAGE=toc&amp;D=yrovft&amp;AN=01256961-000000000-00000</t>
  </si>
  <si>
    <t>2002-04-01 - 2010-04-01</t>
  </si>
  <si>
    <t>https://openathens.ovid.com/OAKeystone/deeplink?idpselect=https://idp.eng.nhs.uk/openathens&amp;entityID=https://idp.eng.nhs.uk/openathens&amp;T=JS&amp;NEWS=n&amp;CSC=Y&amp;PAGE=toc&amp;D=yrovft&amp;AN=00006231-000000000-00000</t>
  </si>
  <si>
    <t>1535-7228</t>
  </si>
  <si>
    <t>https://ovidsp.ovid.com/rss/journals/01213011/current.rss</t>
  </si>
  <si>
    <t>https://ovidsp.ovid.com/rss/journals/01517119/current.rss</t>
  </si>
  <si>
    <t>https://ovidsp.ovid.com/rss/journals/01241398/pap.rss</t>
  </si>
  <si>
    <t>Techniques in Neurosurgery</t>
  </si>
  <si>
    <t>2376-7839</t>
  </si>
  <si>
    <t>https://ovidsp.ovid.com/rss/journals/00004623/pap.rss</t>
  </si>
  <si>
    <t>Journal of the American Association for Medical Transcription</t>
  </si>
  <si>
    <t>978-1-4051-7888-4</t>
  </si>
  <si>
    <t>0277-3732</t>
  </si>
  <si>
    <t>Current Opinion in Lipidology</t>
  </si>
  <si>
    <t>Kaplan &amp; Sadock's Comprehensive Textbook of Psychiatry</t>
  </si>
  <si>
    <t>https://ovidsp.ovid.com/rss/journals/01429651/current.rss</t>
  </si>
  <si>
    <t>https://ovidsp.ovid.com/rss/journals/00132589/current.rss</t>
  </si>
  <si>
    <t>https://openathens.ovid.com/OAKeystone/deeplink?idpselect=https://idp.eng.nhs.uk/openathens&amp;entityID=https://idp.eng.nhs.uk/openathens&amp;T=JS&amp;NEWS=n&amp;CSC=Y&amp;PAGE=toc&amp;D=yrovft&amp;AN=00004548-000000000-00000</t>
  </si>
  <si>
    <t>1759-507X</t>
  </si>
  <si>
    <t>https://openathens.ovid.com/OAKeystone/deeplink?idpselect=https://idp.eng.nhs.uk/openathens&amp;entityID=https://idp.eng.nhs.uk/openathens&amp;T=JS&amp;NEWS=n&amp;CSC=Y&amp;PAGE=toc&amp;D=yrovft&amp;AN=00004714-000000000-00000</t>
  </si>
  <si>
    <t>2001-09-01 - 2010-04-01</t>
  </si>
  <si>
    <t>https://openathens.ovid.com/OAKeystone/deeplink?idpselect=https://idp.eng.nhs.uk/openathens&amp;entityID=https://idp.eng.nhs.uk/openathens&amp;T=JS&amp;NEWS=n&amp;CSC=Y&amp;PAGE=toc&amp;D=yrovft&amp;AN=00020840-000000000-00000</t>
  </si>
  <si>
    <t>0025-7079</t>
  </si>
  <si>
    <t>https://ovidsp.ovid.com/rss/journals/02003505/pap.rss</t>
  </si>
  <si>
    <t>0735-0414</t>
  </si>
  <si>
    <t>0885-9701</t>
  </si>
  <si>
    <t>1536-0229</t>
  </si>
  <si>
    <t>https://ovidsp.ovid.com/rss/journals/01075922/current.rss</t>
  </si>
  <si>
    <t>0267-1379</t>
  </si>
  <si>
    <t>International Journal of Surgery: Global Health</t>
  </si>
  <si>
    <t>2022-05-02</t>
  </si>
  <si>
    <t>1460-2245</t>
  </si>
  <si>
    <t>https://ovidsp.ovid.com/rss/journals/00003453/current.rss</t>
  </si>
  <si>
    <t>1093-1139</t>
  </si>
  <si>
    <t>1543-9003</t>
  </si>
  <si>
    <t>https://ovidsp.ovid.com/rss/journals/01222929/current.rss</t>
  </si>
  <si>
    <t>0-3409-8194-6</t>
  </si>
  <si>
    <t>2021-01-14 - 2022-05-20</t>
  </si>
  <si>
    <t>https://ovidsp.ovid.com/rss/journals/00006216/current.rss</t>
  </si>
  <si>
    <t>Current Orthopaedic Practice</t>
  </si>
  <si>
    <t>2006-12-01 - 2010-03-01</t>
  </si>
  <si>
    <t>The American Journal of Dermatopathology</t>
  </si>
  <si>
    <t>https://ovidsp.ovid.com/rss/journals/00000542/pap.rss</t>
  </si>
  <si>
    <t>https://openathens.ovid.com/OAKeystone/deeplink?idpselect=https://idp.eng.nhs.uk/openathens&amp;entityID=https://idp.eng.nhs.uk/openathens&amp;T=JS&amp;NEWS=n&amp;CSC=Y&amp;PAGE=toc&amp;D=yrovft&amp;AN=01429649-000000000-00000</t>
  </si>
  <si>
    <t>https://openathens.ovid.com/OAKeystone/deeplink?idpselect=https://idp.eng.nhs.uk/openathens&amp;entityID=https://idp.eng.nhs.uk/openathens&amp;T=JS&amp;NEWS=n&amp;CSC=Y&amp;PAGE=toc&amp;D=yrovft&amp;AN=00594858-000000000-00000</t>
  </si>
  <si>
    <t>1525-3279</t>
  </si>
  <si>
    <t>https://openathens.ovid.com/OAKeystone/deeplink?idpselect=https://idp.eng.nhs.uk/openathens&amp;entityID=https://idp.eng.nhs.uk/openathens&amp;T=JS&amp;NEWS=n&amp;CSC=Y&amp;PAGE=toc&amp;D=yrovft&amp;AN=01412499-000000000-00000</t>
  </si>
  <si>
    <t>2009-05-01 - 2010-01-01</t>
  </si>
  <si>
    <t>0954-139X</t>
  </si>
  <si>
    <t>1532-5520</t>
  </si>
  <si>
    <t>https://openathens.ovid.com/OAKeystone/deeplink?idpselect=https://idp.eng.nhs.uk/openathens&amp;entityID=https://idp.eng.nhs.uk/openathens&amp;T=JS&amp;NEWS=n&amp;CSC=Y&amp;PAGE=toc&amp;D=yrovft&amp;AN=01960901-000000000-00000</t>
  </si>
  <si>
    <t>https://ovidsp.ovid.com/rss/journals/01445452/pap.rss</t>
  </si>
  <si>
    <t>1935-3227</t>
  </si>
  <si>
    <t>Critical Care Explorations</t>
  </si>
  <si>
    <t>https://ovidsp.ovid.com/rss/journals/00060793/current.rss</t>
  </si>
  <si>
    <t>https://openathens.ovid.com/OAKeystone/deeplink?idpselect=https://idp.eng.nhs.uk/openathens&amp;entityID=https://idp.eng.nhs.uk/openathens&amp;T=JS&amp;NEWS=n&amp;CSC=Y&amp;PAGE=main&amp;D=emed6</t>
  </si>
  <si>
    <t>https://openathens.ovid.com/OAKeystone/deeplink?idpselect=https://idp.eng.nhs.uk/openathens&amp;entityID=https://idp.eng.nhs.uk/openathens&amp;T=JS&amp;NEWS=n&amp;CSC=Y&amp;PAGE=main&amp;D=emed16</t>
  </si>
  <si>
    <t>https://ovidsp.ovid.com/rss/journals/00006454/current.rss</t>
  </si>
  <si>
    <t>0268-1315</t>
  </si>
  <si>
    <t>https://openathens.ovid.com/OAKeystone/deeplink?idpselect=https://idp.eng.nhs.uk/openathens&amp;entityID=https://idp.eng.nhs.uk/openathens&amp;T=JS&amp;NEWS=n&amp;CSC=Y&amp;PAGE=toc&amp;D=yrovft&amp;AN=00004397-000000000-00000</t>
  </si>
  <si>
    <t>https://ovidsp.ovid.com/rss/journals/02233705/current.rss</t>
  </si>
  <si>
    <t>0022-5282</t>
  </si>
  <si>
    <t>https://ovidsp.ovid.com/rss/journals/00006842/current.rss</t>
  </si>
  <si>
    <t>https://ovidsp.ovid.com/rss/journals/00062752/current.rss</t>
  </si>
  <si>
    <t>2022-04-07</t>
  </si>
  <si>
    <t>https://ovidsp.ovid.com/rss/journals/01845228/current.rss</t>
  </si>
  <si>
    <t>https://openathens.ovid.com/OAKeystone/deeplink?idpselect=https://idp.eng.nhs.uk/openathens&amp;entityID=https://idp.eng.nhs.uk/openathens&amp;T=JS&amp;NEWS=n&amp;CSC=Y&amp;PAGE=toc&amp;D=yrovft&amp;AN=00132580-000000000-00000</t>
  </si>
  <si>
    <t>EMBASE 2020</t>
  </si>
  <si>
    <t>BJA: British Journal of Anaesthesia</t>
  </si>
  <si>
    <t>Journal of Ambulatory Care Management</t>
  </si>
  <si>
    <t>2016-09-01 - 2022-01-12</t>
  </si>
  <si>
    <t>1744-6880</t>
  </si>
  <si>
    <t>1538-1951</t>
  </si>
  <si>
    <t>1536-3724</t>
  </si>
  <si>
    <t>https://ovidsp.ovid.com/rss/journals/00001703/current.rss</t>
  </si>
  <si>
    <t>2001-01-01 - 2010-05-01</t>
  </si>
  <si>
    <t>https://openathens.ovid.com/OAKeystone/deeplink?idpselect=https://idp.eng.nhs.uk/openathens&amp;entityID=https://idp.eng.nhs.uk/openathens&amp;T=JS&amp;NEWS=n&amp;CSC=Y&amp;PAGE=toc&amp;D=yrovft&amp;AN=00004872-000000000-00000</t>
  </si>
  <si>
    <t>1470-2118</t>
  </si>
  <si>
    <t>https://openathens.ovid.com/OAKeystone/deeplink?idpselect=https://idp.eng.nhs.uk/openathens&amp;entityID=https://idp.eng.nhs.uk/openathens&amp;T=JS&amp;NEWS=n&amp;CSC=Y&amp;PAGE=toc&amp;D=yrovft&amp;AN=01714648-000000000-00000</t>
  </si>
  <si>
    <t>https://ovidsp.ovid.com/rss/journals/02093599/current.rss</t>
  </si>
  <si>
    <t>https://ovidsp.ovid.com/rss/journals/00002142/current.rss</t>
  </si>
  <si>
    <t>https://ovidsp.ovid.com/rss/journals/01861735/current.rss</t>
  </si>
  <si>
    <t>https://ovidsp.ovid.com/rss/journals/00066763/current.rss</t>
  </si>
  <si>
    <t>Nursing Administration Quarterly</t>
  </si>
  <si>
    <t>https://openathens.ovid.com/OAKeystone/deeplink?idpselect=https://idp.eng.nhs.uk/openathens&amp;entityID=https://idp.eng.nhs.uk/openathens&amp;T=JS&amp;NEWS=n&amp;CSC=Y&amp;PAGE=toc&amp;D=yrovft&amp;AN=01960908-000000000-00000</t>
  </si>
  <si>
    <t>https://ovidsp.ovid.com/rss/journals/00001803/current.rss</t>
  </si>
  <si>
    <t>https://openathens.ovid.com/OAKeystone/deeplink?idpselect=https://idp.eng.nhs.uk/openathens&amp;entityID=https://idp.eng.nhs.uk/openathens&amp;T=JS&amp;NEWS=n&amp;CSC=Y&amp;PAGE=toc&amp;D=yrovft&amp;AN=01337498-000000000-00000</t>
  </si>
  <si>
    <t>https://openathens.ovid.com/OAKeystone/deeplink?idpselect=https://idp.eng.nhs.uk/openathens&amp;entityID=https://idp.eng.nhs.uk/openathens&amp;T=JS&amp;NEWS=n&amp;CSC=Y&amp;PAGE=main&amp;D=pmnm2</t>
  </si>
  <si>
    <t>https://ovidsp.ovid.com/rss/journals/00002591/current.rss</t>
  </si>
  <si>
    <t>https://openathens.ovid.com/OAKeystone/deeplink?idpselect=https://idp.eng.nhs.uk/openathens&amp;entityID=https://idp.eng.nhs.uk/openathens&amp;T=JS&amp;NEWS=n&amp;CSC=Y&amp;PAGE=toc&amp;D=yrovft&amp;AN=00002771-000000000-00000</t>
  </si>
  <si>
    <t>1744-6872</t>
  </si>
  <si>
    <t>1534-6080</t>
  </si>
  <si>
    <t>2001-07-15 - 2015-04-01</t>
  </si>
  <si>
    <t>2008-02-01 - 2022-04-01</t>
  </si>
  <si>
    <t>0267-8357</t>
  </si>
  <si>
    <t>https://ovidsp.ovid.com/rss/journals/00006512/current.rss</t>
  </si>
  <si>
    <t>Hypertension</t>
  </si>
  <si>
    <t>https://openathens.ovid.com/OAKeystone/deeplink?idpselect=https://idp.eng.nhs.uk/openathens&amp;entityID=https://idp.eng.nhs.uk/openathens&amp;T=JS&amp;NEWS=n&amp;CSC=Y&amp;PAGE=toc&amp;D=yrovft&amp;AN=00004790-000000000-00000</t>
  </si>
  <si>
    <t>1555-9203</t>
  </si>
  <si>
    <t>Assessment Made Incredibly Easy!</t>
  </si>
  <si>
    <t>Health Education Research</t>
  </si>
  <si>
    <t>Medline (Weekly rolling file no UPD)</t>
  </si>
  <si>
    <t>https://ovidsp.ovid.com/rss/journals/00004606/pap.rss</t>
  </si>
  <si>
    <t>2013-07-01</t>
  </si>
  <si>
    <t>https://ovidsp.ovid.com/rss/journals/00128488/current.rss</t>
  </si>
  <si>
    <t>Ovid Emcare 1995 to 2009</t>
  </si>
  <si>
    <t>2012-03-01</t>
  </si>
  <si>
    <t>https://openathens.ovid.com/OAKeystone/deeplink?idpselect=https://idp.eng.nhs.uk/openathens&amp;entityID=https://idp.eng.nhs.uk/openathens&amp;T=JS&amp;NEWS=n&amp;CSC=Y&amp;PAGE=toc&amp;D=yrovft&amp;AN=01906638-000000000-00000</t>
  </si>
  <si>
    <t>https://openathens.ovid.com/OAKeystone/deeplink?idpselect=https://idp.eng.nhs.uk/openathens&amp;entityID=https://idp.eng.nhs.uk/openathens&amp;T=JS&amp;NEWS=n&amp;CSC=Y&amp;PAGE=toc&amp;D=yrovft&amp;AN=00006223-000000000-00000</t>
  </si>
  <si>
    <t>2690-2702</t>
  </si>
  <si>
    <t>0265-0215</t>
  </si>
  <si>
    <t>https://ovidsp.ovid.com/rss/journals/00006620/current.rss</t>
  </si>
  <si>
    <t>1922-05-01 - 2022-05-27</t>
  </si>
  <si>
    <t>https://ovidsp.ovid.com/rss/journals/02123148/pap.rss</t>
  </si>
  <si>
    <t>Pediatric Investigation</t>
  </si>
  <si>
    <t>2001-07-01 - 2015-02-01</t>
  </si>
  <si>
    <t>https://openathens.ovid.com/OAKeystone/deeplink?idpselect=https://idp.eng.nhs.uk/openathens&amp;entityID=https://idp.eng.nhs.uk/openathens&amp;T=JS&amp;NEWS=n&amp;CSC=Y&amp;PAGE=toc&amp;D=yrovft&amp;AN=02112939-000000000-00000</t>
  </si>
  <si>
    <t>https://ovidsp.ovid.com/rss/journals/00134384/current.rss</t>
  </si>
  <si>
    <t>Rheumatology</t>
  </si>
  <si>
    <t>2021-12-14</t>
  </si>
  <si>
    <t>2003-03-01 - 2010-05-01</t>
  </si>
  <si>
    <t>2022-04-28</t>
  </si>
  <si>
    <t>2001-07-10 - 2015-03-31</t>
  </si>
  <si>
    <t>https://ovidsp.ovid.com/rss/journals/00003727/pap.rss</t>
  </si>
  <si>
    <t>https://openathens.ovid.com/OAKeystone/deeplink?idpselect=https://idp.eng.nhs.uk/openathens&amp;entityID=https://idp.eng.nhs.uk/openathens&amp;T=JS&amp;NEWS=n&amp;CSC=Y&amp;PAGE=toc&amp;D=yrovft&amp;AN=00055735-000000000-00000</t>
  </si>
  <si>
    <t>2004-01-01 - 2007-06-01</t>
  </si>
  <si>
    <t>https://openathens.ovid.com/OAKeystone/deeplink?idpselect=https://idp.eng.nhs.uk/openathens&amp;entityID=https://idp.eng.nhs.uk/openathens&amp;T=JS&amp;NEWS=n&amp;CSC=Y&amp;PAGE=toc&amp;D=yrovft&amp;AN=00008571-000000000-00000</t>
  </si>
  <si>
    <t>https://ovidsp.ovid.com/rss/journals/01268031/current.rss</t>
  </si>
  <si>
    <t>0039-6206</t>
  </si>
  <si>
    <t>https://ovidsp.ovid.com/rss/journals/00002820/current.rss</t>
  </si>
  <si>
    <t>Journal of Cardiopulmonary Rehabilitation and Prevention</t>
  </si>
  <si>
    <t>1759-5045</t>
  </si>
  <si>
    <t>2003-06-01 - 2003-09-01</t>
  </si>
  <si>
    <t>2018-12-01 - 2021-12-14</t>
  </si>
  <si>
    <t>Human Molecular Genetics</t>
  </si>
  <si>
    <t>https://ovidsp.ovid.com/rss/journals/00007632/current.rss</t>
  </si>
  <si>
    <t>2008-05-01 - 2022-03-01</t>
  </si>
  <si>
    <t>European Journal of Orthodontics</t>
  </si>
  <si>
    <t>https://ovidsp.ovid.com/rss/journals/00005650/current.rss</t>
  </si>
  <si>
    <t>1465-7333</t>
  </si>
  <si>
    <t>0195-9131</t>
  </si>
  <si>
    <t>1554-6578</t>
  </si>
  <si>
    <t>1550-5111</t>
  </si>
  <si>
    <t>https://ovidsp.ovid.com/rss/journals/00133587/current.rss</t>
  </si>
  <si>
    <t>1996-01-01 - 2022-05-01</t>
  </si>
  <si>
    <t>2022-05-17</t>
  </si>
  <si>
    <t>https://ovidsp.ovid.com/rss/journals/01244665/pap.rss</t>
  </si>
  <si>
    <t>0143-3636</t>
  </si>
  <si>
    <t>1538-005X</t>
  </si>
  <si>
    <t>Journal of Refractive Surgery Case Reports</t>
  </si>
  <si>
    <t>https://ovidsp.ovid.com/rss/journals/00004683/pap.rss</t>
  </si>
  <si>
    <t>2018-12-01</t>
  </si>
  <si>
    <t>https://ovidsp.ovid.com/rss/journals/00000469/current.rss</t>
  </si>
  <si>
    <t>Molecular Biology and Evolution</t>
  </si>
  <si>
    <t>https://openathens.ovid.com/OAKeystone/deeplink?idpselect=https://idp.eng.nhs.uk/openathens&amp;entityID=https://idp.eng.nhs.uk/openathens&amp;T=JS&amp;NEWS=n&amp;CSC=Y&amp;PAGE=toc&amp;D=yrovft&amp;AN=00007783-000000000-00000</t>
  </si>
  <si>
    <t>1536-0903</t>
  </si>
  <si>
    <t>https://ovidsp.ovid.com/rss/journals/00021768/current.rss</t>
  </si>
  <si>
    <t>Maternal-Fetal Medicine</t>
  </si>
  <si>
    <t>2007-01-01 - 2010-03-01</t>
  </si>
  <si>
    <t>https://openathens.ovid.com/OAKeystone/deeplink?idpselect=https://idp.eng.nhs.uk/openathens&amp;entityID=https://idp.eng.nhs.uk/openathens&amp;T=JS&amp;NEWS=n&amp;CSC=Y&amp;PAGE=toc&amp;D=yrovft&amp;AN=01212979-000000000-00000</t>
  </si>
  <si>
    <t>1524-4563</t>
  </si>
  <si>
    <t>2003-07-01 - 2010-04-01</t>
  </si>
  <si>
    <t>Acute Medicine &amp; Surgery - Open Access</t>
  </si>
  <si>
    <t>Critical Care Nursing Quarterly</t>
  </si>
  <si>
    <t>https://ovidsp.ovid.com/rss/journals/02211145/pap.rss</t>
  </si>
  <si>
    <t>https://openathens.ovid.com/OAKeystone/deeplink?idpselect=https://idp.eng.nhs.uk/openathens&amp;entityID=https://idp.eng.nhs.uk/openathens&amp;T=JS&amp;NEWS=n&amp;CSC=Y&amp;PAGE=toc&amp;D=yrovft&amp;AN=00029679-000000000-00000</t>
  </si>
  <si>
    <t>2001-11-01 - 2004-04-01</t>
  </si>
  <si>
    <t>https://ovidsp.ovid.com/rss/journals/00005422/pap.rss</t>
  </si>
  <si>
    <t>Retinal Physician</t>
  </si>
  <si>
    <t>1544-5186</t>
  </si>
  <si>
    <t>https://ovidsp.ovid.com/rss/journals/00002093/current.rss</t>
  </si>
  <si>
    <t>Journal of Women's Health Physical Therapy</t>
  </si>
  <si>
    <t>2007-07-01</t>
  </si>
  <si>
    <t>2009-01-01 - 2009-12-01</t>
  </si>
  <si>
    <t>https://ovidsp.ovid.com/rss/journals/00000637/current.rss</t>
  </si>
  <si>
    <t>https://openathens.ovid.com/OAKeystone/deeplink?idpselect=https://idp.eng.nhs.uk/openathens&amp;entityID=https://idp.eng.nhs.uk/openathens&amp;T=JS&amp;NEWS=n&amp;CSC=Y&amp;PAGE=toc&amp;D=yrovft&amp;AN=00006454-000000000-00000</t>
  </si>
  <si>
    <t>0-7817-6899-3</t>
  </si>
  <si>
    <t>0309-2402</t>
  </si>
  <si>
    <t>https://openathens.ovid.com/OAKeystone/deeplink?idpselect=https://idp.eng.nhs.uk/openathens&amp;entityID=https://idp.eng.nhs.uk/openathens&amp;T=JS&amp;NEWS=n&amp;CSC=Y&amp;PAGE=toc&amp;D=yrovft&amp;AN=00001774-000000000-00000</t>
  </si>
  <si>
    <t>Academic Medicine</t>
  </si>
  <si>
    <t>1527-8557</t>
  </si>
  <si>
    <t>1550-5081</t>
  </si>
  <si>
    <t>https://ovidsp.ovid.com/rss/journals/00134459/current.rss</t>
  </si>
  <si>
    <t>2004-01-01 - 2010-05-01</t>
  </si>
  <si>
    <t>2001-09-01 - 2010-03-01</t>
  </si>
  <si>
    <t>https://ovidsp.ovid.com/rss/journals/00008877/current.rss</t>
  </si>
  <si>
    <t>Nurse Researcher</t>
  </si>
  <si>
    <t>https://ovidsp.ovid.com/rss/journals/00061349/current.rss</t>
  </si>
  <si>
    <t>National Library of Medicine--Bethesda</t>
  </si>
  <si>
    <t>https://ovidsp.ovid.com/rss/journals/00003453/pap.rss</t>
  </si>
  <si>
    <t>https://ovidsp.ovid.com/rss/journals/00013542/current.rss</t>
  </si>
  <si>
    <t>Transactions of the ... Meeting of the Southern Surgical Association</t>
  </si>
  <si>
    <t>2018-06-29 - 2022-05-24</t>
  </si>
  <si>
    <t>0002-0443</t>
  </si>
  <si>
    <t>978-0-1985-6898-8</t>
  </si>
  <si>
    <t>2019-11-01</t>
  </si>
  <si>
    <t>https://openathens.ovid.com/OAKeystone/deeplink?idpselect=https://idp.eng.nhs.uk/openathens&amp;entityID=https://idp.eng.nhs.uk/openathens&amp;T=JS&amp;NEWS=n&amp;CSC=Y&amp;PAGE=toc&amp;D=yrovft&amp;AN=01445477-000000000-00000</t>
  </si>
  <si>
    <t>1993-01-01</t>
  </si>
  <si>
    <t>Biostatistics</t>
  </si>
  <si>
    <t>Journal of Neurologic Physical Therapy</t>
  </si>
  <si>
    <t>Pre-Medline October 05 to December 04, 2020</t>
  </si>
  <si>
    <t>Current Opinion in Hematology</t>
  </si>
  <si>
    <t>2003-04-01 - 2004-01-01</t>
  </si>
  <si>
    <t>1473-6527</t>
  </si>
  <si>
    <t>https://ovidsp.ovid.com/rss/journals/01429654/pap.rss</t>
  </si>
  <si>
    <t>https://openathens.ovid.com/OAKeystone/deeplink?idpselect=https://idp.eng.nhs.uk/openathens&amp;entityID=https://idp.eng.nhs.uk/openathens&amp;T=JS&amp;NEWS=n&amp;CSC=Y&amp;PAGE=toc&amp;D=yrovft&amp;AN=02123149-000000000-00000</t>
  </si>
  <si>
    <t>https://openathens.ovid.com/OAKeystone/deeplink?idpselect=https://idp.eng.nhs.uk/openathens&amp;entityID=https://idp.eng.nhs.uk/openathens&amp;T=JS&amp;NEWS=n&amp;CSC=Y&amp;PAGE=toc&amp;D=yrovft&amp;AN=00126450-000000000-00000</t>
  </si>
  <si>
    <t>https://ovidsp.ovid.com/rss/journals/00009185/pap.rss</t>
  </si>
  <si>
    <t>1473-5857</t>
  </si>
  <si>
    <t>2003-01-01 - 2010-01-01</t>
  </si>
  <si>
    <t>https://ovidsp.ovid.com/rss/journals/00005721/current.rss</t>
  </si>
  <si>
    <t>https://openathens.ovid.com/OAKeystone/deeplink?idpselect=https://idp.eng.nhs.uk/openathens&amp;entityID=https://idp.eng.nhs.uk/openathens&amp;T=JS&amp;NEWS=n&amp;CSC=Y&amp;PAGE=toc&amp;D=yrovft&amp;AN=00006842-000000000-00000</t>
  </si>
  <si>
    <t>https://ovidsp.ovid.com/rss/journals/00005217/current.rss</t>
  </si>
  <si>
    <t>2005-01-01 - 2022-05-01</t>
  </si>
  <si>
    <t>Behavioral Ecology</t>
  </si>
  <si>
    <t>2003-06-01 - 2003-12-01</t>
  </si>
  <si>
    <t>https://ovidsp.ovid.com/rss/journals/00041433/current.rss</t>
  </si>
  <si>
    <t>https://openathens.ovid.com/OAKeystone/deeplink?idpselect=https://idp.eng.nhs.uk/openathens&amp;entityID=https://idp.eng.nhs.uk/openathens&amp;T=JS&amp;NEWS=n&amp;CSC=Y&amp;PAGE=booktext&amp;D=books&amp;AN=01867027$&amp;XPATH=/PG(0)&amp;EPUB=Y</t>
  </si>
  <si>
    <t>1755-5930</t>
  </si>
  <si>
    <t>https://ovidsp.ovid.com/rss/journals/00001659/current.rss</t>
  </si>
  <si>
    <t>Annals of Oncology</t>
  </si>
  <si>
    <t>1528-1140</t>
  </si>
  <si>
    <t>https://ovidsp.ovid.com/rss/journals/00002727/current.rss</t>
  </si>
  <si>
    <t>https://ovidsp.ovid.com/rss/journals/00004424/pap.rss</t>
  </si>
  <si>
    <t>0141-5387</t>
  </si>
  <si>
    <t>0025-7974</t>
  </si>
  <si>
    <t>https://ovidsp.ovid.com/rss/journals/00060989/current.rss</t>
  </si>
  <si>
    <t>https://ovidsp.ovid.com/rss/journals/02054628/current.rss</t>
  </si>
  <si>
    <t>2475-5028</t>
  </si>
  <si>
    <t>0044-6394</t>
  </si>
  <si>
    <t>https://openathens.ovid.com/OAKeystone/deeplink?idpselect=https://idp.eng.nhs.uk/openathens&amp;entityID=https://idp.eng.nhs.uk/openathens&amp;T=JS&amp;NEWS=n&amp;CSC=Y&amp;PAGE=toc&amp;D=yrovft&amp;AN=00005344-000000000-00000</t>
  </si>
  <si>
    <t>Journal of Clinical Gastroenterology</t>
  </si>
  <si>
    <t>https://ovidsp.ovid.com/rss/journals/00005009/current.rss</t>
  </si>
  <si>
    <t>Neuropyschopharmacology Reports</t>
  </si>
  <si>
    <t>0884-741X</t>
  </si>
  <si>
    <t>1931-4485</t>
  </si>
  <si>
    <t>https://openathens.ovid.com/OAKeystone/deeplink?idpselect=https://idp.eng.nhs.uk/openathens&amp;entityID=https://idp.eng.nhs.uk/openathens&amp;T=JS&amp;NEWS=n&amp;CSC=Y&amp;PAGE=toc&amp;D=yrovft&amp;AN=00013644-000000000-00000</t>
  </si>
  <si>
    <t>https://openathens.ovid.com/OAKeystone/deeplink?idpselect=https://idp.eng.nhs.uk/openathens&amp;entityID=https://idp.eng.nhs.uk/openathens&amp;T=JS&amp;NEWS=n&amp;CSC=Y&amp;PAGE=toc&amp;D=yrovft&amp;AN=02196403-000000000-00000</t>
  </si>
  <si>
    <t>AACN Advanced Critical Care</t>
  </si>
  <si>
    <t>https://openathens.ovid.com/OAKeystone/deeplink?idpselect=https://idp.eng.nhs.uk/openathens&amp;entityID=https://idp.eng.nhs.uk/openathens&amp;T=JS&amp;NEWS=n&amp;CSC=Y&amp;PAGE=toc&amp;D=yrovft&amp;AN=01206485-000000000-00000</t>
  </si>
  <si>
    <t>https://ovidsp.ovid.com/rss/journals/00006620/pap.rss</t>
  </si>
  <si>
    <t>1607-551X</t>
  </si>
  <si>
    <t>Clinical Medicine</t>
  </si>
  <si>
    <t>https://ovidsp.ovid.com/rss/journals/02003427/current.rss</t>
  </si>
  <si>
    <t>https://ovidsp.ovid.com/rss/journals/01787401/current.rss</t>
  </si>
  <si>
    <t>2002-02-23</t>
  </si>
  <si>
    <t>1527-4268</t>
  </si>
  <si>
    <t>1571-8883</t>
  </si>
  <si>
    <t>https://openathens.ovid.com/OAKeystone/deeplink?idpselect=https://idp.eng.nhs.uk/openathens&amp;entityID=https://idp.eng.nhs.uk/openathens&amp;T=JS&amp;NEWS=n&amp;CSC=Y&amp;PAGE=toc&amp;D=yrovft&amp;AN=00005537-000000000-00000</t>
  </si>
  <si>
    <t>0363-9568</t>
  </si>
  <si>
    <t>2001-06-01 - 2022-06-01</t>
  </si>
  <si>
    <t>Dimensions of Critical Care Nursing</t>
  </si>
  <si>
    <t>https://ovidsp.ovid.com/rss/journals/00152258/current.rss</t>
  </si>
  <si>
    <t>https://openathens.ovid.com/OAKeystone/deeplink?idpselect=https://idp.eng.nhs.uk/openathens&amp;entityID=https://idp.eng.nhs.uk/openathens&amp;T=JS&amp;NEWS=n&amp;CSC=Y&amp;PAGE=main&amp;D=emed14</t>
  </si>
  <si>
    <t>https://openathens.ovid.com/OAKeystone/deeplink?idpselect=https://idp.eng.nhs.uk/openathens&amp;entityID=https://idp.eng.nhs.uk/openathens&amp;T=JS&amp;NEWS=n&amp;CSC=Y&amp;PAGE=toc&amp;D=yrovft&amp;AN=00045413-000000000-00000</t>
  </si>
  <si>
    <t>https://openathens.ovid.com/OAKeystone/deeplink?idpselect=https://idp.eng.nhs.uk/openathens&amp;entityID=https://idp.eng.nhs.uk/openathens&amp;T=JS&amp;NEWS=n&amp;CSC=Y&amp;PAGE=toc&amp;D=yrovft&amp;AN=01241330-000000000-00000</t>
  </si>
  <si>
    <t>1936-2994</t>
  </si>
  <si>
    <t>1464-3502</t>
  </si>
  <si>
    <t>https://ovidsp.ovid.com/rss/journals/01300515/current.rss</t>
  </si>
  <si>
    <t>0894-7376</t>
  </si>
  <si>
    <t>2021-09-01</t>
  </si>
  <si>
    <t>1473-5571</t>
  </si>
  <si>
    <t>https://ovidsp.ovid.com/rss/journals/00005793/current.rss</t>
  </si>
  <si>
    <t>Child: Care, Health &amp; Development</t>
  </si>
  <si>
    <t>1535-2811</t>
  </si>
  <si>
    <t>1995-01-01</t>
  </si>
  <si>
    <t>83-B</t>
  </si>
  <si>
    <t>1530-4515</t>
  </si>
  <si>
    <t>0743-2550</t>
  </si>
  <si>
    <t>Journal of Orthopaedic Trauma</t>
  </si>
  <si>
    <t>1462-0332</t>
  </si>
  <si>
    <t>Frontline Medical Communications Inc</t>
  </si>
  <si>
    <t>https://openathens.ovid.com/OAKeystone/deeplink?idpselect=https://idp.eng.nhs.uk/openathens&amp;entityID=https://idp.eng.nhs.uk/openathens&amp;T=JS&amp;NEWS=n&amp;CSC=Y&amp;PAGE=toc&amp;D=yrovft&amp;AN=02102031-000000000-00000</t>
  </si>
  <si>
    <t>https://ovidsp.ovid.com/rss/journals/00001622/current.rss</t>
  </si>
  <si>
    <t>https://ovidsp.ovid.com/rss/journals/00045526/current.rss</t>
  </si>
  <si>
    <t>Pre-Medline 2017 to 2018</t>
  </si>
  <si>
    <t>1936-3001</t>
  </si>
  <si>
    <t>1539-073X</t>
  </si>
  <si>
    <t>https://openathens.ovid.com/OAKeystone/deeplink?idpselect=https://idp.eng.nhs.uk/openathens&amp;entityID=https://idp.eng.nhs.uk/openathens&amp;T=JS&amp;NEWS=n&amp;CSC=Y&amp;PAGE=toc&amp;D=yrovft&amp;AN=00004836-000000000-00000</t>
  </si>
  <si>
    <t>Cardiovascular Endocrinology</t>
  </si>
  <si>
    <t>Clinical and Translational Gastroenterology</t>
  </si>
  <si>
    <t>1536-9943</t>
  </si>
  <si>
    <t>JONA's Healthcare Law, Ethics, and Regulation</t>
  </si>
  <si>
    <t>2576-3342</t>
  </si>
  <si>
    <t>https://ovidsp.ovid.com/rss/journals/00132980/current.rss</t>
  </si>
  <si>
    <t>EMBASE 2013</t>
  </si>
  <si>
    <t>Medline (2021 July Week 2 to Present)</t>
  </si>
  <si>
    <t>2472-7245</t>
  </si>
  <si>
    <t>Anti-Cancer Drugs</t>
  </si>
  <si>
    <t>Cancer Nursing</t>
  </si>
  <si>
    <t>2152-0895</t>
  </si>
  <si>
    <t>Heart Disease</t>
  </si>
  <si>
    <t>https://openathens.ovid.com/OAKeystone/deeplink?idpselect=https://idp.eng.nhs.uk/openathens&amp;entityID=https://idp.eng.nhs.uk/openathens&amp;T=JS&amp;NEWS=n&amp;CSC=Y&amp;PAGE=booktext&amp;D=books&amp;AN=01867011$&amp;XPATH=/PG(0)&amp;EPUB=Y</t>
  </si>
  <si>
    <t>https://openathens.ovid.com/OAKeystone/deeplink?idpselect=https://idp.eng.nhs.uk/openathens&amp;entityID=https://idp.eng.nhs.uk/openathens&amp;T=JS&amp;NEWS=n&amp;CSC=Y&amp;PAGE=main&amp;D=emexb</t>
  </si>
  <si>
    <t>Science Advances</t>
  </si>
  <si>
    <t>https://ovidsp.ovid.com/rss/journals/02211144/pap.rss</t>
  </si>
  <si>
    <t>2015-04-01</t>
  </si>
  <si>
    <t>https://openathens.ovid.com/OAKeystone/deeplink?idpselect=https://idp.eng.nhs.uk/openathens&amp;entityID=https://idp.eng.nhs.uk/openathens&amp;T=JS&amp;NEWS=n&amp;CSC=Y&amp;PAGE=toc&amp;D=yrovft&amp;AN=00128594-000000000-00000</t>
  </si>
  <si>
    <t>https://ovidsp.ovid.com/rss/journals/00006247/current.rss</t>
  </si>
  <si>
    <t>https://ovidsp.ovid.com/rss/journals/02014419/current.rss</t>
  </si>
  <si>
    <t>2000-01-01 - 2022-02-01</t>
  </si>
  <si>
    <t>https://openathens.ovid.com/OAKeystone/deeplink?idpselect=https://idp.eng.nhs.uk/openathens&amp;entityID=https://idp.eng.nhs.uk/openathens&amp;T=JS&amp;NEWS=n&amp;CSC=Y&amp;PAGE=toc&amp;D=yrovft&amp;AN=00019442-000000000-00000</t>
  </si>
  <si>
    <t>https://openathens.ovid.com/OAKeystone/deeplink?idpselect=https://idp.eng.nhs.uk/openathens&amp;entityID=https://idp.eng.nhs.uk/openathens&amp;T=JS&amp;NEWS=n&amp;CSC=Y&amp;PAGE=toc&amp;D=yrovft&amp;AN=00055749-000000000-00000</t>
  </si>
  <si>
    <t>https://openathens.ovid.com/OAKeystone/deeplink?idpselect=https://idp.eng.nhs.uk/openathens&amp;entityID=https://idp.eng.nhs.uk/openathens&amp;T=JS&amp;NEWS=n&amp;CSC=Y&amp;PAGE=toc&amp;D=yrovft&amp;AN=00054832-000000000-00000</t>
  </si>
  <si>
    <t>AORN Journal</t>
  </si>
  <si>
    <t>0002-9629</t>
  </si>
  <si>
    <t>2007-08-01 - 2010-04-01</t>
  </si>
  <si>
    <t>Pediatric Physical Therapy</t>
  </si>
  <si>
    <t>https://openathens.ovid.com/OAKeystone/deeplink?idpselect=https://idp.eng.nhs.uk/openathens&amp;entityID=https://idp.eng.nhs.uk/openathens&amp;T=JS&amp;NEWS=n&amp;CSC=Y&amp;PAGE=main&amp;D=med6</t>
  </si>
  <si>
    <t>https://openathens.ovid.com/OAKeystone/deeplink?idpselect=https://idp.eng.nhs.uk/openathens&amp;entityID=https://idp.eng.nhs.uk/openathens&amp;T=JS&amp;NEWS=n&amp;CSC=Y&amp;PAGE=toc&amp;D=yrovft&amp;AN=00131746-000000000-00000</t>
  </si>
  <si>
    <t>https://ovidsp.ovid.com/rss/journals/01436909/pap.rss</t>
  </si>
  <si>
    <t>2009-02-01 - 2009-04-01</t>
  </si>
  <si>
    <t>1096-0929</t>
  </si>
  <si>
    <t>2008-01-01</t>
  </si>
  <si>
    <t>2007-01-30</t>
  </si>
  <si>
    <t>1473-5709</t>
  </si>
  <si>
    <t>https://ovidsp.ovid.com/rss/journals/00043764/current.rss</t>
  </si>
  <si>
    <t>Pediatric Case Reviews</t>
  </si>
  <si>
    <t>https://ovidsp.ovid.com/rss/journals/02118582/current.rss</t>
  </si>
  <si>
    <t>https://ovidsp.ovid.com/rss/journals/01720094/current.rss</t>
  </si>
  <si>
    <t>https://openathens.ovid.com/OAKeystone/deeplink?idpselect=https://idp.eng.nhs.uk/openathens&amp;entityID=https://idp.eng.nhs.uk/openathens&amp;T=JS&amp;NEWS=n&amp;CSC=Y&amp;PAGE=toc&amp;D=yrovft&amp;AN=00004356-000000000-00000</t>
  </si>
  <si>
    <t>2020-07-17 - 2022-05-09</t>
  </si>
  <si>
    <t>0194-911X</t>
  </si>
  <si>
    <t>https://ovidsp.ovid.com/rss/journals/00004691/current.rss</t>
  </si>
  <si>
    <t>7-8</t>
  </si>
  <si>
    <t>0027-8874</t>
  </si>
  <si>
    <t>Environmental Epidemiology</t>
  </si>
  <si>
    <t>Journal of the History of Medicine and Allied Sciences</t>
  </si>
  <si>
    <t>2001-06-01 - 2004-12-01</t>
  </si>
  <si>
    <t>1531-7080</t>
  </si>
  <si>
    <t>https://ovidsp.ovid.com/rss/journals/00013414/current.rss</t>
  </si>
  <si>
    <t>2007-01-01 - 2010-05-01</t>
  </si>
  <si>
    <t>1541-2016</t>
  </si>
  <si>
    <t>1524-4636</t>
  </si>
  <si>
    <t>1550-5065</t>
  </si>
  <si>
    <t>https://ovidsp.ovid.com/rss/journals/00132587/current.rss</t>
  </si>
  <si>
    <t>1460-2407</t>
  </si>
  <si>
    <t>0267-5331</t>
  </si>
  <si>
    <t>Human Reproduction</t>
  </si>
  <si>
    <t>1543-3641</t>
  </si>
  <si>
    <t>https://ovidsp.ovid.com/rss/journals/00003690/current.rss</t>
  </si>
  <si>
    <t>The Cancer Journal</t>
  </si>
  <si>
    <t>2015-01-01 - 2021-12-01</t>
  </si>
  <si>
    <t>2001-06-01 - 2010-04-01</t>
  </si>
  <si>
    <t>Techniques in Orthopaedics</t>
  </si>
  <si>
    <t>JAAOS: Global Research and Reviews</t>
  </si>
  <si>
    <t>Journal of Clinical Engineering</t>
  </si>
  <si>
    <t>1533-0303</t>
  </si>
  <si>
    <t>https://openathens.ovid.com/OAKeystone/deeplink?idpselect=https://idp.eng.nhs.uk/openathens&amp;entityID=https://idp.eng.nhs.uk/openathens&amp;T=JS&amp;NEWS=n&amp;CSC=Y&amp;PAGE=main&amp;D=mess</t>
  </si>
  <si>
    <t>https://openathens.ovid.com/OAKeystone/deeplink?idpselect=https://idp.eng.nhs.uk/openathens&amp;entityID=https://idp.eng.nhs.uk/openathens&amp;T=JS&amp;NEWS=n&amp;CSC=Y&amp;PAGE=toc&amp;D=yrovft&amp;AN=00000433-000000000-00000</t>
  </si>
  <si>
    <t>2006-09-01 - 2010-04-01</t>
  </si>
  <si>
    <t>https://ovidsp.ovid.com/rss/journals/00005072/current.rss</t>
  </si>
  <si>
    <t>American Journal of Clinical Oncology</t>
  </si>
  <si>
    <t>https://openathens.ovid.com/OAKeystone/deeplink?idpselect=https://idp.eng.nhs.uk/openathens&amp;entityID=https://idp.eng.nhs.uk/openathens&amp;T=JS&amp;NEWS=n&amp;CSC=Y&amp;PAGE=toc&amp;D=yrovft&amp;AN=00008506-000000000-00000</t>
  </si>
  <si>
    <t>https://ovidsp.ovid.com/rss/journals/00004347/current.rss</t>
  </si>
  <si>
    <t>1759-5061</t>
  </si>
  <si>
    <t>Ovid Emcare &lt;1995 to 2022 Week 20&gt;</t>
  </si>
  <si>
    <t>Chest</t>
  </si>
  <si>
    <t>https://ovidsp.ovid.com/rss/journals/00000429/pap.rss</t>
  </si>
  <si>
    <t>2015-08-01</t>
  </si>
  <si>
    <t>Medline Corrections (December 2018 to April 2019)</t>
  </si>
  <si>
    <t>https://ovidsp.ovid.com/rss/journals/02054632/current.rss</t>
  </si>
  <si>
    <t>1060-152X</t>
  </si>
  <si>
    <t>https://ovidsp.ovid.com/rss/journals/02003426/current.rss</t>
  </si>
  <si>
    <t>https://openathens.ovid.com/OAKeystone/deeplink?idpselect=https://idp.eng.nhs.uk/openathens&amp;entityID=https://idp.eng.nhs.uk/openathens&amp;T=JS&amp;NEWS=n&amp;CSC=Y&amp;PAGE=toc&amp;D=yrovft&amp;AN=00004624-000000000-00000</t>
  </si>
  <si>
    <t>https://ovidsp.ovid.com/rss/journals/00062752/pap.rss</t>
  </si>
  <si>
    <t>https://openathens.ovid.com/OAKeystone/deeplink?idpselect=https://idp.eng.nhs.uk/openathens&amp;entityID=https://idp.eng.nhs.uk/openathens&amp;T=JS&amp;NEWS=n&amp;CSC=Y&amp;PAGE=toc&amp;D=yrovft&amp;AN=00003446-000000000-00000</t>
  </si>
  <si>
    <t>2001-10-01 - 2010-02-01</t>
  </si>
  <si>
    <t>https://openathens.ovid.com/OAKeystone/deeplink?idpselect=https://idp.eng.nhs.uk/openathens&amp;entityID=https://idp.eng.nhs.uk/openathens&amp;T=JS&amp;NEWS=n&amp;CSC=Y&amp;PAGE=toc&amp;D=yrovft&amp;AN=00007670-000000000-00000</t>
  </si>
  <si>
    <t>American Psychiatric Association Publishing</t>
  </si>
  <si>
    <t>2003-03-01 - 2010-03-01</t>
  </si>
  <si>
    <t>2001-07-27</t>
  </si>
  <si>
    <t>Health Expectations</t>
  </si>
  <si>
    <t>Current Opinion in Anaesthesiology</t>
  </si>
  <si>
    <t>ENToday</t>
  </si>
  <si>
    <t>https://ovidsp.ovid.com/rss/journals/00002343/current.rss</t>
  </si>
  <si>
    <t>1098-7339</t>
  </si>
  <si>
    <t>ACG Case Reports Journal</t>
  </si>
  <si>
    <t>2007-01-30 - 2010-02-15</t>
  </si>
  <si>
    <t>https://ovidsp.ovid.com/rss/journals/00019606/current.rss</t>
  </si>
  <si>
    <t>https://openathens.ovid.com/OAKeystone/deeplink?idpselect=https://idp.eng.nhs.uk/openathens&amp;entityID=https://idp.eng.nhs.uk/openathens&amp;T=JS&amp;NEWS=n&amp;CSC=Y&amp;PAGE=toc&amp;D=yrovft&amp;AN=00152232-000000000-00000</t>
  </si>
  <si>
    <t>Oncology Times</t>
  </si>
  <si>
    <t>https://openathens.ovid.com/OAKeystone/deeplink?idpselect=https://idp.eng.nhs.uk/openathens&amp;entityID=https://idp.eng.nhs.uk/openathens&amp;T=JS&amp;NEWS=n&amp;CSC=Y&amp;PAGE=main&amp;D=med12</t>
  </si>
  <si>
    <t>2001-01-01 - 2009-11-01</t>
  </si>
  <si>
    <t>0954-6928</t>
  </si>
  <si>
    <t>AJN, American Journal of Nursing</t>
  </si>
  <si>
    <t>https://ovidsp.ovid.com/rss/journals/00002771/current.rss</t>
  </si>
  <si>
    <t>2008-10-01</t>
  </si>
  <si>
    <t>Topics in Emergency Medicine</t>
  </si>
  <si>
    <t>https://ovidsp.ovid.com/rss/journals/01300407/current.rss</t>
  </si>
  <si>
    <t>0305-1862</t>
  </si>
  <si>
    <t>2000-01-01 - 2000-11-01</t>
  </si>
  <si>
    <t>Diabetes and Vascular Disease Research</t>
  </si>
  <si>
    <t>https://ovidsp.ovid.com/rss/journals/00128360/current.rss</t>
  </si>
  <si>
    <t>https://ovidsp.ovid.com/rss/journals/00005537/current.rss</t>
  </si>
  <si>
    <t>1533-9866</t>
  </si>
  <si>
    <t>2004-07-01 - 2022-04-01</t>
  </si>
  <si>
    <t>https://openathens.ovid.com/OAKeystone/deeplink?idpselect=https://idp.eng.nhs.uk/openathens&amp;entityID=https://idp.eng.nhs.uk/openathens&amp;T=JS&amp;NEWS=n&amp;CSC=Y&amp;PAGE=toc&amp;D=yrovft&amp;AN=00004859-000000000-00000</t>
  </si>
  <si>
    <t>https://ovidsp.ovid.com/rss/journals/02186223/current.rss</t>
  </si>
  <si>
    <t>Technology in Cancer Research and Treatment</t>
  </si>
  <si>
    <t>1460-2229</t>
  </si>
  <si>
    <t>https://openathens.ovid.com/OAKeystone/deeplink?idpselect=https://idp.eng.nhs.uk/openathens&amp;entityID=https://idp.eng.nhs.uk/openathens&amp;T=JS&amp;NEWS=n&amp;CSC=Y&amp;PAGE=toc&amp;D=yrovft&amp;AN=00002352-000000000-00000</t>
  </si>
  <si>
    <t>0955-8810</t>
  </si>
  <si>
    <t>https://ovidsp.ovid.com/rss/journals/01271255/current.rss</t>
  </si>
  <si>
    <t>JBJS Open Access</t>
  </si>
  <si>
    <t>1533-029X</t>
  </si>
  <si>
    <t>https://openathens.ovid.com/OAKeystone/deeplink?idpselect=https://idp.eng.nhs.uk/openathens&amp;entityID=https://idp.eng.nhs.uk/openathens&amp;T=JS&amp;NEWS=n&amp;CSC=Y&amp;PAGE=main&amp;D=emed15</t>
  </si>
  <si>
    <t>https://ovidsp.ovid.com/rss/journals/02003426/pap.rss</t>
  </si>
  <si>
    <t>1986-01-01 - 2019-11-01</t>
  </si>
  <si>
    <t>https://openathens.ovid.com/OAKeystone/deeplink?idpselect=https://idp.eng.nhs.uk/openathens&amp;entityID=https://idp.eng.nhs.uk/openathens&amp;T=JS&amp;NEWS=n&amp;CSC=Y&amp;PAGE=toc&amp;D=yrovft&amp;AN=01599573-000000000-00000</t>
  </si>
  <si>
    <t>Global Reproductive Health</t>
  </si>
  <si>
    <t>https://ovidsp.ovid.com/rss/journals/00008571/current.rss</t>
  </si>
  <si>
    <t>https://openathens.ovid.com/OAKeystone/deeplink?idpselect=https://idp.eng.nhs.uk/openathens&amp;entityID=https://idp.eng.nhs.uk/openathens&amp;T=JS&amp;NEWS=n&amp;CSC=Y&amp;PAGE=toc&amp;D=yrovft&amp;AN=01974549-000000000-00000</t>
  </si>
  <si>
    <t>https://ovidsp.ovid.com/rss/journals/01273293/current.rss</t>
  </si>
  <si>
    <t>https://ovidsp.ovid.com/rss/journals/00004683/current.rss</t>
  </si>
  <si>
    <t>https://openathens.ovid.com/OAKeystone/deeplink?idpselect=https://idp.eng.nhs.uk/openathens&amp;entityID=https://idp.eng.nhs.uk/openathens&amp;T=JS&amp;NEWS=n&amp;CSC=Y&amp;PAGE=toc&amp;D=yrovft&amp;AN=00127825-000000000-00000</t>
  </si>
  <si>
    <t>https://openathens.ovid.com/OAKeystone/deeplink?idpselect=https://idp.eng.nhs.uk/openathens&amp;entityID=https://idp.eng.nhs.uk/openathens&amp;T=JS&amp;NEWS=n&amp;CSC=Y&amp;PAGE=toc&amp;D=yrovft&amp;AN=02014419-000000000-00000</t>
  </si>
  <si>
    <t>0271-8294</t>
  </si>
  <si>
    <t>Microbial Biotechnology</t>
  </si>
  <si>
    <t>https://ovidsp.ovid.com/rss/journals/00000446/current.rss</t>
  </si>
  <si>
    <t>1531-4995</t>
  </si>
  <si>
    <t>1531-7021</t>
  </si>
  <si>
    <t>2019-03-01 - 2022-03-01</t>
  </si>
  <si>
    <t>AIDS</t>
  </si>
  <si>
    <t>https://ovidsp.ovid.com/rss/journals/00004728/pap.rss</t>
  </si>
  <si>
    <t>1075-2765</t>
  </si>
  <si>
    <t>https://ovidsp.ovid.com/rss/journals/00019605/pap.rss</t>
  </si>
  <si>
    <t>https://ovidsp.ovid.com/rss/journals/00140068/current.rss</t>
  </si>
  <si>
    <t>Journal of Nervous &amp; Mental Disease</t>
  </si>
  <si>
    <t>2007-04-01</t>
  </si>
  <si>
    <t>https://openathens.ovid.com/OAKeystone/deeplink?idpselect=https://idp.eng.nhs.uk/openathens&amp;entityID=https://idp.eng.nhs.uk/openathens&amp;T=JS&amp;NEWS=n&amp;CSC=Y&amp;PAGE=toc&amp;D=yrovft&amp;AN=00005110-000000000-00000</t>
  </si>
  <si>
    <t>https://openathens.ovid.com/OAKeystone/deeplink?idpselect=https://idp.eng.nhs.uk/openathens&amp;entityID=https://idp.eng.nhs.uk/openathens&amp;T=JS&amp;NEWS=n&amp;CSC=Y&amp;PAGE=toc&amp;D=yrovft&amp;AN=00129039-000000000-00000</t>
  </si>
  <si>
    <t>https://ovidsp.ovid.com/rss/journals/00126062/current.rss</t>
  </si>
  <si>
    <t>1745-1701</t>
  </si>
  <si>
    <t>https://openathens.ovid.com/OAKeystone/deeplink?idpselect=https://idp.eng.nhs.uk/openathens&amp;entityID=https://idp.eng.nhs.uk/openathens&amp;T=JS&amp;NEWS=n&amp;CSC=Y&amp;PAGE=toc&amp;D=yrovft&amp;AN=00000478-000000000-00000</t>
  </si>
  <si>
    <t>2003-03-01 - 2010-04-01</t>
  </si>
  <si>
    <t>https://openathens.ovid.com/OAKeystone/deeplink?idpselect=https://idp.eng.nhs.uk/openathens&amp;entityID=https://idp.eng.nhs.uk/openathens&amp;T=JS&amp;NEWS=n&amp;CSC=Y&amp;PAGE=toc&amp;D=yrovft&amp;AN=01300515-000000000-00000</t>
  </si>
  <si>
    <t>International Journal of Rehabilitation Research</t>
  </si>
  <si>
    <t>https://openathens.ovid.com/OAKeystone/deeplink?idpselect=https://idp.eng.nhs.uk/openathens&amp;entityID=https://idp.eng.nhs.uk/openathens&amp;T=JS&amp;NEWS=n&amp;CSC=Y&amp;PAGE=toc&amp;D=yrovft&amp;AN=01949573-000000000-00000</t>
  </si>
  <si>
    <t>https://openathens.ovid.com/OAKeystone/deeplink?idpselect=https://idp.eng.nhs.uk/openathens&amp;entityID=https://idp.eng.nhs.uk/openathens&amp;T=JS&amp;NEWS=n&amp;CSC=Y&amp;PAGE=toc&amp;D=yrovft&amp;AN=02003426-000000000-00000</t>
  </si>
  <si>
    <t>https://openathens.ovid.com/OAKeystone/deeplink?idpselect=https://idp.eng.nhs.uk/openathens&amp;entityID=https://idp.eng.nhs.uk/openathens&amp;T=JS&amp;NEWS=n&amp;CSC=Y&amp;PAGE=toc&amp;D=yrovft&amp;AN=01253099-000000000-00000</t>
  </si>
  <si>
    <t>1040-5488</t>
  </si>
  <si>
    <t>2015-02-01</t>
  </si>
  <si>
    <t>0952-7907</t>
  </si>
  <si>
    <t>Simulation in Healthcare: The Journal of the Society for Simulation in Healthcare</t>
  </si>
  <si>
    <t>https://openathens.ovid.com/OAKeystone/deeplink?idpselect=https://idp.eng.nhs.uk/openathens&amp;entityID=https://idp.eng.nhs.uk/openathens&amp;T=JS&amp;NEWS=n&amp;CSC=Y&amp;PAGE=booktext&amp;D=books&amp;AN=01434863$&amp;XPATH=/PG(0)&amp;EPUB=Y</t>
  </si>
  <si>
    <t>2022-03-20</t>
  </si>
  <si>
    <t>https://ovidsp.ovid.com/rss/journals/02144603/current.rss</t>
  </si>
  <si>
    <t>2007-06-01 - 2010-06-01</t>
  </si>
  <si>
    <t>Cancer Care Research Online</t>
  </si>
  <si>
    <t>2001-07-01 - 2010-04-01</t>
  </si>
  <si>
    <t>2001-01-01 - 2010-03-01</t>
  </si>
  <si>
    <t>https://openathens.ovid.com/OAKeystone/deeplink?idpselect=https://idp.eng.nhs.uk/openathens&amp;entityID=https://idp.eng.nhs.uk/openathens&amp;T=JS&amp;NEWS=n&amp;CSC=Y&amp;PAGE=toc&amp;D=yrovft&amp;AN=00008390-000000000-00000</t>
  </si>
  <si>
    <t>https://ovidsp.ovid.com/rss/journals/00010658/current.rss</t>
  </si>
  <si>
    <t>https://openathens.ovid.com/OAKeystone/deeplink?idpselect=https://idp.eng.nhs.uk/openathens&amp;entityID=https://idp.eng.nhs.uk/openathens&amp;T=JS&amp;NEWS=n&amp;CSC=Y&amp;PAGE=toc&amp;D=yrovft&amp;AN=00043426-000000000-00000</t>
  </si>
  <si>
    <t>0277-2116</t>
  </si>
  <si>
    <t>2004-02-01 - 2010-03-01</t>
  </si>
  <si>
    <t>https://openathens.ovid.com/OAKeystone/deeplink?idpselect=https://idp.eng.nhs.uk/openathens&amp;entityID=https://idp.eng.nhs.uk/openathens&amp;T=JS&amp;NEWS=n&amp;CSC=Y&amp;PAGE=toc&amp;D=yrovft&amp;AN=01429652-000000000-00000</t>
  </si>
  <si>
    <t>0003-3022</t>
  </si>
  <si>
    <t>0146-8693</t>
  </si>
  <si>
    <t>https://ovidsp.ovid.com/rss/journals/01787389/pap.rss</t>
  </si>
  <si>
    <t>2021-01-01</t>
  </si>
  <si>
    <t>0882-5645</t>
  </si>
  <si>
    <t>2096-952X</t>
  </si>
  <si>
    <t>https://ovidsp.ovid.com/rss/journals/00024665/current.rss</t>
  </si>
  <si>
    <t>1st_Edition</t>
  </si>
  <si>
    <t>https://openathens.ovid.com/OAKeystone/deeplink?idpselect=https://idp.eng.nhs.uk/openathens&amp;entityID=https://idp.eng.nhs.uk/openathens&amp;T=JS&amp;NEWS=n&amp;CSC=Y&amp;PAGE=toc&amp;D=yrovft&amp;AN=01626549-000000000-00000</t>
  </si>
  <si>
    <t>1759-4812</t>
  </si>
  <si>
    <t>https://openathens.ovid.com/OAKeystone/deeplink?idpselect=https://idp.eng.nhs.uk/openathens&amp;entityID=https://idp.eng.nhs.uk/openathens&amp;T=JS&amp;NEWS=n&amp;CSC=Y&amp;PAGE=toc&amp;D=yrovft&amp;AN=00019501-000000000-00000</t>
  </si>
  <si>
    <t>https://ovidsp.ovid.com/rss/journals/00134511/current.rss</t>
  </si>
  <si>
    <t>Professional Case Management</t>
  </si>
  <si>
    <t>2005-03-01 - 2005-11-01</t>
  </si>
  <si>
    <t>2004-08-01</t>
  </si>
  <si>
    <t>The American Occupational Therapy Association</t>
  </si>
  <si>
    <t>1460-2393</t>
  </si>
  <si>
    <t>https://openathens.ovid.com/OAKeystone/deeplink?idpselect=https://idp.eng.nhs.uk/openathens&amp;entityID=https://idp.eng.nhs.uk/openathens&amp;T=JS&amp;NEWS=n&amp;CSC=Y&amp;PAGE=toc&amp;D=yrovft&amp;AN=00130535-000000000-00000</t>
  </si>
  <si>
    <t>https://openathens.ovid.com/OAKeystone/deeplink?idpselect=https://idp.eng.nhs.uk/openathens&amp;entityID=https://idp.eng.nhs.uk/openathens&amp;T=JS&amp;NEWS=n&amp;CSC=Y&amp;PAGE=toc&amp;D=yrovft&amp;AN=01445447-000000000-00000</t>
  </si>
  <si>
    <t>0301-620X</t>
  </si>
  <si>
    <t>Journal of Craniofacial Surgery</t>
  </si>
  <si>
    <t>https://openathens.ovid.com/OAKeystone/deeplink?idpselect=https://idp.eng.nhs.uk/openathens&amp;entityID=https://idp.eng.nhs.uk/openathens&amp;T=JS&amp;NEWS=n&amp;CSC=Y&amp;PAGE=main&amp;D=med2</t>
  </si>
  <si>
    <t>2633-0873</t>
  </si>
  <si>
    <t>https://ovidsp.ovid.com/rss/journals/00590575/current.rss</t>
  </si>
  <si>
    <t>https://openathens.ovid.com/OAKeystone/deeplink?idpselect=https://idp.eng.nhs.uk/openathens&amp;entityID=https://idp.eng.nhs.uk/openathens&amp;T=JS&amp;NEWS=n&amp;CSC=Y&amp;PAGE=toc&amp;D=yrovft&amp;AN=02186187-000000000-00000</t>
  </si>
  <si>
    <t>https://ovidsp.ovid.com/rss/journals/00019614/pap.rss</t>
  </si>
  <si>
    <t>0094-3509</t>
  </si>
  <si>
    <t>0161-9268</t>
  </si>
  <si>
    <t>2007-03-01 - 2010-05-01</t>
  </si>
  <si>
    <t>Journal of the International Aids Society</t>
  </si>
  <si>
    <t>Current Opinion in Psychiatry</t>
  </si>
  <si>
    <t>2770-3169</t>
  </si>
  <si>
    <t>https://ovidsp.ovid.com/rss/journals/00013644/current.rss</t>
  </si>
  <si>
    <t>2007-01-01 - 2015-04-01</t>
  </si>
  <si>
    <t>https://ovidsp.ovid.com/rss/journals/00134380/pap.rss</t>
  </si>
  <si>
    <t>https://ovidsp.ovid.com/rss/journals/00008526/current.rss</t>
  </si>
  <si>
    <t>https://ovidsp.ovid.com/rss/journals/00002953/current.rss</t>
  </si>
  <si>
    <t>https://ovidsp.ovid.com/rss/journals/00005305/current.rss</t>
  </si>
  <si>
    <t>Pathology</t>
  </si>
  <si>
    <t>Elsevier Inc</t>
  </si>
  <si>
    <t>2004-05-01</t>
  </si>
  <si>
    <t>1040-8738</t>
  </si>
  <si>
    <t>1041-9918</t>
  </si>
  <si>
    <t>https://ovidsp.ovid.com/rss/journals/00008506/current.rss</t>
  </si>
  <si>
    <t>Computers in Nursing</t>
  </si>
  <si>
    <t>American Journal of Therapeutics</t>
  </si>
  <si>
    <t>https://ovidsp.ovid.com/rss/journals/00005042/pap.rss</t>
  </si>
  <si>
    <t>2014-11-01</t>
  </si>
  <si>
    <t>eJHaem</t>
  </si>
  <si>
    <t>Nursing Research</t>
  </si>
  <si>
    <t>https://ovidsp.ovid.com/rss/journals/00126548/pap.rss</t>
  </si>
  <si>
    <t>2015-05-01</t>
  </si>
  <si>
    <t>1460-2210</t>
  </si>
  <si>
    <t>EMBASE 2009 to 2010</t>
  </si>
  <si>
    <t>https://ovidsp.ovid.com/rss/journals/02233705/pap.rss</t>
  </si>
  <si>
    <t>1526-9914</t>
  </si>
  <si>
    <t>https://openathens.ovid.com/OAKeystone/deeplink?idpselect=https://idp.eng.nhs.uk/openathens&amp;entityID=https://idp.eng.nhs.uk/openathens&amp;T=JS&amp;NEWS=n&amp;CSC=Y&amp;PAGE=toc&amp;D=yrovft&amp;AN=00006254-000000000-00000</t>
  </si>
  <si>
    <t>1073-2322</t>
  </si>
  <si>
    <t>https://openathens.ovid.com/OAKeystone/deeplink?idpselect=https://idp.eng.nhs.uk/openathens&amp;entityID=https://idp.eng.nhs.uk/openathens&amp;T=JS&amp;NEWS=n&amp;CSC=Y&amp;PAGE=toc&amp;D=yrovft&amp;AN=00001648-000000000-00000</t>
  </si>
  <si>
    <t>https://ovidsp.ovid.com/rss/journals/00004356/pap.rss</t>
  </si>
  <si>
    <t>https://openathens.ovid.com/OAKeystone/deeplink?idpselect=https://idp.eng.nhs.uk/openathens&amp;entityID=https://idp.eng.nhs.uk/openathens&amp;T=JS&amp;NEWS=n&amp;CSC=Y&amp;PAGE=booktext&amp;D=books&amp;AN=01996175$&amp;XPATH=/PG(0)&amp;EPUB=Y</t>
  </si>
  <si>
    <t>https://ovidsp.ovid.com/rss/journals/00019614/current.rss</t>
  </si>
  <si>
    <t>2097-0226</t>
  </si>
  <si>
    <t>1535-1386</t>
  </si>
  <si>
    <t>https://ovidsp.ovid.com/rss/journals/00025572/current.rss</t>
  </si>
  <si>
    <t>https://openathens.ovid.com/OAKeystone/deeplink?idpselect=https://idp.eng.nhs.uk/openathens&amp;entityID=https://idp.eng.nhs.uk/openathens&amp;T=JS&amp;NEWS=n&amp;CSC=Y&amp;PAGE=toc&amp;D=yrovft&amp;AN=01802875-000000000-00000</t>
  </si>
  <si>
    <t>https://openathens.ovid.com/OAKeystone/deeplink?idpselect=https://idp.eng.nhs.uk/openathens&amp;entityID=https://idp.eng.nhs.uk/openathens&amp;T=JS&amp;NEWS=n&amp;CSC=Y&amp;PAGE=toc&amp;D=yrovft&amp;AN=02112943-000000000-00000</t>
  </si>
  <si>
    <t>Acta Psychiatrica Scandinavica</t>
  </si>
  <si>
    <t>1550-3275</t>
  </si>
  <si>
    <t>https://ovidsp.ovid.com/rss/journals/02003429/current.rss</t>
  </si>
  <si>
    <t>Medicine &amp; Science in Sports &amp; Exercise</t>
  </si>
  <si>
    <t>Psychosomatic Medicine</t>
  </si>
  <si>
    <t>Beginning Year Coverage</t>
  </si>
  <si>
    <t>2021-02-01</t>
  </si>
  <si>
    <t>https://ovidsp.ovid.com/rss/journals/00132577/current.rss</t>
  </si>
  <si>
    <t>https://ovidsp.ovid.com/rss/journals/00004010/pap.rss</t>
  </si>
  <si>
    <t>https://ovidsp.ovid.com/rss/journals/00013346/current.rss</t>
  </si>
  <si>
    <t>https://ovidsp.ovid.com/rss/journals/02070903/current.rss</t>
  </si>
  <si>
    <t>1359-2998</t>
  </si>
  <si>
    <t>Journal of Lower Genital Tract Disease</t>
  </si>
  <si>
    <t>https://openathens.ovid.com/OAKeystone/deeplink?idpselect=https://idp.eng.nhs.uk/openathens&amp;entityID=https://idp.eng.nhs.uk/openathens&amp;T=JS&amp;NEWS=n&amp;CSC=Y&amp;PAGE=toc&amp;D=yrovft&amp;AN=00002341-000000000-00000</t>
  </si>
  <si>
    <t>https://openathens.ovid.com/OAKeystone/deeplink?idpselect=https://idp.eng.nhs.uk/openathens&amp;entityID=https://idp.eng.nhs.uk/openathens&amp;T=JS&amp;NEWS=n&amp;CSC=Y&amp;PAGE=toc&amp;D=yrovft&amp;AN=01213011-000000000-00000</t>
  </si>
  <si>
    <t>Transplantation</t>
  </si>
  <si>
    <t>2001-02-01 - 2015-04-01</t>
  </si>
  <si>
    <t>2001-08-01 - 2010-04-01</t>
  </si>
  <si>
    <t>Journal of Public Health</t>
  </si>
  <si>
    <t>https://openathens.ovid.com/OAKeystone/deeplink?idpselect=https://idp.eng.nhs.uk/openathens&amp;entityID=https://idp.eng.nhs.uk/openathens&amp;T=JS&amp;NEWS=n&amp;CSC=Y&amp;PAGE=toc&amp;D=yrovft&amp;AN=00005053-000000000-00000</t>
  </si>
  <si>
    <t>2022-05-26</t>
  </si>
  <si>
    <t>https://openathens.ovid.com/OAKeystone/deeplink?idpselect=https://idp.eng.nhs.uk/openathens&amp;entityID=https://idp.eng.nhs.uk/openathens&amp;T=JS&amp;NEWS=n&amp;CSC=Y&amp;PAGE=toc&amp;D=yrovft&amp;AN=00132585-000000000-00000</t>
  </si>
  <si>
    <t>JAMA Health Forum</t>
  </si>
  <si>
    <t>Real Living with Multiple Sclerosis</t>
  </si>
  <si>
    <t>https://ovidsp.ovid.com/rss/journals/00008526/pap.rss</t>
  </si>
  <si>
    <t>2020-03-01</t>
  </si>
  <si>
    <t>2003-06-01</t>
  </si>
  <si>
    <t>Contemporary Optometry</t>
  </si>
  <si>
    <t>2005-08-01 - 2022-04-01</t>
  </si>
  <si>
    <t>https://ovidsp.ovid.com/rss/journals/00003845/current.rss</t>
  </si>
  <si>
    <t>0887-9303</t>
  </si>
  <si>
    <t>https://ovidsp.ovid.com/rss/journals/01189060/pap.rss</t>
  </si>
  <si>
    <t>2020-09-01 - 2022-05-13</t>
  </si>
  <si>
    <t>Pediatric Infectious Disease Journal</t>
  </si>
  <si>
    <t>2004-01-01</t>
  </si>
  <si>
    <t>https://openathens.ovid.com/OAKeystone/deeplink?idpselect=https://idp.eng.nhs.uk/openathens&amp;entityID=https://idp.eng.nhs.uk/openathens&amp;T=JS&amp;NEWS=n&amp;CSC=Y&amp;PAGE=toc&amp;D=yrovft&amp;AN=02186223-000000000-00000</t>
  </si>
  <si>
    <t>https://ovidsp.ovid.com/rss/journals/00001163/current.rss</t>
  </si>
  <si>
    <t>https://ovidsp.ovid.com/rss/journals/00002093/pap.rss</t>
  </si>
  <si>
    <t>1541-0048</t>
  </si>
  <si>
    <t>Journal of Neuropathology &amp; Experimental Neurology</t>
  </si>
  <si>
    <t>https://ovidsp.ovid.com/rss/journals/00005053/current.rss</t>
  </si>
  <si>
    <t>1538-9774</t>
  </si>
  <si>
    <t>2002-01-01 - 2010-03-01</t>
  </si>
  <si>
    <t>https://openathens.ovid.com/OAKeystone/deeplink?idpselect=https://idp.eng.nhs.uk/openathens&amp;entityID=https://idp.eng.nhs.uk/openathens&amp;T=JS&amp;NEWS=n&amp;CSC=Y&amp;PAGE=booktext&amp;D=books&amp;AN=02134375$&amp;XPATH=/PG(0)&amp;EPUB=Y</t>
  </si>
  <si>
    <t>2378-9506</t>
  </si>
  <si>
    <t>Alzheimer's &amp; Dementia: Translational Research &amp; Clinical Interventions</t>
  </si>
  <si>
    <t>https://ovidsp.ovid.com/rss/journals/00001659/pap.rss</t>
  </si>
  <si>
    <t>2019-03-01 - 2022-05-01</t>
  </si>
  <si>
    <t>2015-02-01 - 2022-05-13</t>
  </si>
  <si>
    <t>https://openathens.ovid.com/OAKeystone/deeplink?idpselect=https://idp.eng.nhs.uk/openathens&amp;entityID=https://idp.eng.nhs.uk/openathens&amp;T=JS&amp;NEWS=n&amp;CSC=Y&amp;PAGE=toc&amp;D=yrovft&amp;AN=01266029-000000000-00000</t>
  </si>
  <si>
    <t>https://openathens.ovid.com/OAKeystone/deeplink?idpselect=https://idp.eng.nhs.uk/openathens&amp;entityID=https://idp.eng.nhs.uk/openathens&amp;T=JS&amp;NEWS=n&amp;CSC=Y&amp;PAGE=toc&amp;D=yrovft&amp;AN=00003643-000000000-00000</t>
  </si>
  <si>
    <t>1559-2332</t>
  </si>
  <si>
    <t>https://ovidsp.ovid.com/rss/journals/00019052/current.rss</t>
  </si>
  <si>
    <t>0162-220X</t>
  </si>
  <si>
    <t>https://openathens.ovid.com/OAKeystone/deeplink?idpselect=https://idp.eng.nhs.uk/openathens&amp;entityID=https://idp.eng.nhs.uk/openathens&amp;T=JS&amp;NEWS=n&amp;CSC=Y&amp;PAGE=toc&amp;D=yrovft&amp;AN=00001610-000000000-00000</t>
  </si>
  <si>
    <t>1539-0705</t>
  </si>
  <si>
    <t>Shock</t>
  </si>
  <si>
    <t>Journal of Endodontics</t>
  </si>
  <si>
    <t>Sexually Transmitted Diseases</t>
  </si>
  <si>
    <t>https://ovidsp.ovid.com/rss/journals/00754481/current.rss</t>
  </si>
  <si>
    <t>2003-02-01</t>
  </si>
  <si>
    <t>https://ovidsp.ovid.com/rss/journals/00132986/current.rss</t>
  </si>
  <si>
    <t>1539-8412</t>
  </si>
  <si>
    <t>https://ovidsp.ovid.com/rss/journals/01394381/current.rss</t>
  </si>
  <si>
    <t>https://openathens.ovid.com/OAKeystone/deeplink?idpselect=https://idp.eng.nhs.uk/openathens&amp;entityID=https://idp.eng.nhs.uk/openathens&amp;T=JS&amp;NEWS=n&amp;CSC=Y&amp;PAGE=booktext&amp;D=books&amp;AN=01439379$&amp;XPATH=/PG(0)&amp;EPUB=Y</t>
  </si>
  <si>
    <t>EMBASE 2011</t>
  </si>
  <si>
    <t>https://openathens.ovid.com/OAKeystone/deeplink?idpselect=https://idp.eng.nhs.uk/openathens&amp;entityID=https://idp.eng.nhs.uk/openathens&amp;T=JS&amp;NEWS=n&amp;CSC=Y&amp;PAGE=toc&amp;D=yrovft&amp;AN=01752260-000000000-00000</t>
  </si>
  <si>
    <t>https://ovidsp.ovid.com/rss/journals/01434893/current.rss</t>
  </si>
  <si>
    <t>1533-0346</t>
  </si>
  <si>
    <t>Diagnostic Molecular Pathology</t>
  </si>
  <si>
    <t>Health Care Management Review</t>
  </si>
  <si>
    <t>Nature Clinical Practice Oncology</t>
  </si>
  <si>
    <t>https://ovidsp.ovid.com/rss/journals/01273116/pap.rss</t>
  </si>
  <si>
    <t>https://openathens.ovid.com/OAKeystone/deeplink?idpselect=https://idp.eng.nhs.uk/openathens&amp;entityID=https://idp.eng.nhs.uk/openathens&amp;T=JS&amp;NEWS=n&amp;CSC=Y&amp;PAGE=toc&amp;D=yrovft&amp;AN=00149525-000000000-00000</t>
  </si>
  <si>
    <t>1999-03-01</t>
  </si>
  <si>
    <t>https://openathens.ovid.com/OAKeystone/deeplink?idpselect=https://idp.eng.nhs.uk/openathens&amp;entityID=https://idp.eng.nhs.uk/openathens&amp;T=JS&amp;NEWS=n&amp;CSC=Y&amp;PAGE=toc&amp;D=yrovft&amp;AN=00130911-000000000-00000</t>
  </si>
  <si>
    <t>https://openathens.ovid.com/OAKeystone/deeplink?idpselect=https://idp.eng.nhs.uk/openathens&amp;entityID=https://idp.eng.nhs.uk/openathens&amp;T=JS&amp;NEWS=n&amp;CSC=Y&amp;PAGE=toc&amp;D=yrovft&amp;AN=00019614-000000000-00000</t>
  </si>
  <si>
    <t>European Journal of Gastroenterology &amp; Hepatology</t>
  </si>
  <si>
    <t>https://openathens.ovid.com/OAKeystone/deeplink?idpselect=https://idp.eng.nhs.uk/openathens&amp;entityID=https://idp.eng.nhs.uk/openathens&amp;T=JS&amp;NEWS=n&amp;CSC=Y&amp;PAGE=toc&amp;D=yrovft&amp;AN=00041444-000000000-00000</t>
  </si>
  <si>
    <t>https://openathens.ovid.com/OAKeystone/deeplink?idpselect=https://idp.eng.nhs.uk/openathens&amp;entityID=https://idp.eng.nhs.uk/openathens&amp;T=JS&amp;NEWS=n&amp;CSC=Y&amp;PAGE=main&amp;D=emex</t>
  </si>
  <si>
    <t>2021-03-01</t>
  </si>
  <si>
    <t>https://ovidsp.ovid.com/rss/journals/00000542/current.rss</t>
  </si>
  <si>
    <t>0012-3706</t>
  </si>
  <si>
    <t>https://ovidsp.ovid.com/rss/journals/00005382/pap.rss</t>
  </si>
  <si>
    <t>1531-5487</t>
  </si>
  <si>
    <t>2005-11-01</t>
  </si>
  <si>
    <t>https://ovidsp.ovid.com/rss/journals/01223017/current.rss</t>
  </si>
  <si>
    <t>International Journal of Dermatology and Venereology</t>
  </si>
  <si>
    <t>1995-01-01 - 2005-11-01</t>
  </si>
  <si>
    <t>Medline (1966-1985)</t>
  </si>
  <si>
    <t>1531-703X</t>
  </si>
  <si>
    <t>Jannetti Publications, Inc. (Journals)</t>
  </si>
  <si>
    <t>https://ovidsp.ovid.com/rss/journals/00004872/pap.rss</t>
  </si>
  <si>
    <t>100 Cases in Psychiatry</t>
  </si>
  <si>
    <t>https://openathens.ovid.com/OAKeystone/deeplink?idpselect=https://idp.eng.nhs.uk/openathens&amp;entityID=https://idp.eng.nhs.uk/openathens&amp;T=JS&amp;NEWS=n&amp;CSC=Y&amp;PAGE=toc&amp;D=yrovft&amp;AN=00000448-000000000-00000</t>
  </si>
  <si>
    <t>2014-01-01</t>
  </si>
  <si>
    <t>1752-2978</t>
  </si>
  <si>
    <t>Medical Innovation &amp; Business</t>
  </si>
  <si>
    <t>https://ovidsp.ovid.com/rss/journals/01445488/pap.rss</t>
  </si>
  <si>
    <t>1040-8746</t>
  </si>
  <si>
    <t>https://ovidsp.ovid.com/rss/journals/01274882/pap.rss</t>
  </si>
  <si>
    <t>Journal of Women's Imaging</t>
  </si>
  <si>
    <t>1539-2031</t>
  </si>
  <si>
    <t>https://openathens.ovid.com/OAKeystone/deeplink?idpselect=https://idp.eng.nhs.uk/openathens&amp;entityID=https://idp.eng.nhs.uk/openathens&amp;T=JS&amp;NEWS=n&amp;CSC=Y&amp;PAGE=toc&amp;D=yrovft&amp;AN=00004606-000000000-00000</t>
  </si>
  <si>
    <t>0029-7828</t>
  </si>
  <si>
    <t>Ophthalmic Plastic &amp; Reconstructive Surgery</t>
  </si>
  <si>
    <t>https://openathens.ovid.com/OAKeystone/deeplink?idpselect=https://idp.eng.nhs.uk/openathens&amp;entityID=https://idp.eng.nhs.uk/openathens&amp;T=JS&amp;NEWS=n&amp;CSC=Y&amp;PAGE=main&amp;D=emed9</t>
  </si>
  <si>
    <t>1040-872X</t>
  </si>
  <si>
    <t>https://ovidsp.ovid.com/rss/journals/00008483/current.rss</t>
  </si>
  <si>
    <t>978-0-1992-9809-9</t>
  </si>
  <si>
    <t>0883-9212</t>
  </si>
  <si>
    <t>Journal of Cardiovascular Pharmacology and Therapeutics</t>
  </si>
  <si>
    <t>0271-6798</t>
  </si>
  <si>
    <t>https://ovidsp.ovid.com/rss/journals/01714648/current.rss</t>
  </si>
  <si>
    <t>978-1-9018-3107-8</t>
  </si>
  <si>
    <t>1533-4023</t>
  </si>
  <si>
    <t>Occupational Medicine</t>
  </si>
  <si>
    <t>1460-2385</t>
  </si>
  <si>
    <t>1054-0725</t>
  </si>
  <si>
    <t>Journal of Spinal Disorders</t>
  </si>
  <si>
    <t>https://ovidsp.ovid.com/rss/journals/00006231/current.rss</t>
  </si>
  <si>
    <t>0009-9201</t>
  </si>
  <si>
    <t>https://openathens.ovid.com/OAKeystone/deeplink?idpselect=https://idp.eng.nhs.uk/openathens&amp;entityID=https://idp.eng.nhs.uk/openathens&amp;T=JS&amp;NEWS=n&amp;CSC=Y&amp;PAGE=toc&amp;D=yrovft&amp;AN=00060651-000000000-00000</t>
  </si>
  <si>
    <t>2004-03-01</t>
  </si>
  <si>
    <t>RCN Publishing Company Ltd.</t>
  </si>
  <si>
    <t>Nature Publishing Group</t>
  </si>
  <si>
    <t>https://ovidsp.ovid.com/rss/journals/00029330/current.rss</t>
  </si>
  <si>
    <t>https://ovidsp.ovid.com/rss/journals/00024665/pap.rss</t>
  </si>
  <si>
    <t>2021-04-01</t>
  </si>
  <si>
    <t>https://ovidsp.ovid.com/rss/journals/00002703/pap.rss</t>
  </si>
  <si>
    <t>1536-5166</t>
  </si>
  <si>
    <t>2015-06-01 - 2022-03-30</t>
  </si>
  <si>
    <t>https://ovidsp.ovid.com/rss/journals/00131746/current.rss</t>
  </si>
  <si>
    <t>OfferedOn</t>
  </si>
  <si>
    <t>2018-04-01 - 2022-04-01</t>
  </si>
  <si>
    <t>A&amp;A Case Reports</t>
  </si>
  <si>
    <t>2001-07-01 - 2010-01-01</t>
  </si>
  <si>
    <t>Contemporary Spine Surgery</t>
  </si>
  <si>
    <t>Journal of Bone and Joint Surgery</t>
  </si>
  <si>
    <t>Topics in Magnetic Resonance Imaging</t>
  </si>
  <si>
    <t>2003-11-01</t>
  </si>
  <si>
    <t>1999-06-01</t>
  </si>
  <si>
    <t>2010-09-01 - 2020-01-01</t>
  </si>
  <si>
    <t>https://openathens.ovid.com/OAKeystone/deeplink?idpselect=https://idp.eng.nhs.uk/openathens&amp;entityID=https://idp.eng.nhs.uk/openathens&amp;T=JS&amp;NEWS=n&amp;CSC=Y&amp;PAGE=main&amp;D=med15</t>
  </si>
  <si>
    <t>0309-3646</t>
  </si>
  <si>
    <t>1536-593X</t>
  </si>
  <si>
    <t>1999-01-01</t>
  </si>
  <si>
    <t>2008-12-17</t>
  </si>
  <si>
    <t>2022-04-01</t>
  </si>
  <si>
    <t>https://ovidsp.ovid.com/rss/journals/01271255/pap.rss</t>
  </si>
  <si>
    <t>https://ovidsp.ovid.com/rss/journals/00019441/pap.rss</t>
  </si>
  <si>
    <t>https://ovidsp.ovid.com/rss/journals/00008390/current.rss</t>
  </si>
  <si>
    <t>Journal of Trauma and Acute Care Surgery</t>
  </si>
  <si>
    <t>1062-8592</t>
  </si>
  <si>
    <t>Oxford Textbook of Old Age Psychiatry, The</t>
  </si>
  <si>
    <t>1759-4820</t>
  </si>
  <si>
    <t>https://openathens.ovid.com/OAKeystone/deeplink?idpselect=https://idp.eng.nhs.uk/openathens&amp;entityID=https://idp.eng.nhs.uk/openathens&amp;T=JS&amp;NEWS=n&amp;CSC=Y&amp;PAGE=toc&amp;D=yrovft&amp;AN=01198282-000000000-00000</t>
  </si>
  <si>
    <t>2004-04-01</t>
  </si>
  <si>
    <t>1042-895X</t>
  </si>
  <si>
    <t>1070-8030</t>
  </si>
  <si>
    <t>1536-0237</t>
  </si>
  <si>
    <t>0962-8827</t>
  </si>
  <si>
    <t>1531-7072</t>
  </si>
  <si>
    <t>0962-7480</t>
  </si>
  <si>
    <t>Medline (2021 to 2022)</t>
  </si>
  <si>
    <t>https://ovidsp.ovid.com/rss/journals/00149619/current.rss</t>
  </si>
  <si>
    <t>0020-9996</t>
  </si>
  <si>
    <t>Journal of Urology</t>
  </si>
  <si>
    <t>https://ovidsp.ovid.com/rss/journals/00005768/pap.rss</t>
  </si>
  <si>
    <t>2022-05-20</t>
  </si>
  <si>
    <t>https://openathens.ovid.com/OAKeystone/deeplink?idpselect=https://idp.eng.nhs.uk/openathens&amp;entityID=https://idp.eng.nhs.uk/openathens&amp;T=JS&amp;NEWS=n&amp;CSC=Y&amp;PAGE=toc&amp;D=yrovft&amp;AN=00007489-000000000-00000</t>
  </si>
  <si>
    <t>2003-05-01 - 2010-03-01</t>
  </si>
  <si>
    <t>Nursing Management (RCN Publication)</t>
  </si>
  <si>
    <t>https://ovidsp.ovid.com/rss/journals/02003428/current.rss</t>
  </si>
  <si>
    <t>https://ovidsp.ovid.com/rss/journals/01747083/current.rss</t>
  </si>
  <si>
    <t>1091-5397</t>
  </si>
  <si>
    <t>https://openathens.ovid.com/OAKeystone/deeplink?idpselect=https://idp.eng.nhs.uk/openathens&amp;entityID=https://idp.eng.nhs.uk/openathens&amp;T=JS&amp;NEWS=n&amp;CSC=Y&amp;PAGE=toc&amp;D=yrovft&amp;AN=00005272-000000000-00000</t>
  </si>
  <si>
    <t>0022-5347</t>
  </si>
  <si>
    <t>https://ovidsp.ovid.com/rss/journals/00042752/current.rss</t>
  </si>
  <si>
    <t>EMAP Limited</t>
  </si>
  <si>
    <t>Implant Dentistry</t>
  </si>
  <si>
    <t>https://openathens.ovid.com/OAKeystone/deeplink?idpselect=https://idp.eng.nhs.uk/openathens&amp;entityID=https://idp.eng.nhs.uk/openathens&amp;T=JS&amp;NEWS=n&amp;CSC=Y&amp;PAGE=toc&amp;D=yrovft&amp;AN=00013346-000000000-00000</t>
  </si>
  <si>
    <t>0-3409-8426-0</t>
  </si>
  <si>
    <t>https://openathens.ovid.com/OAKeystone/deeplink?idpselect=https://idp.eng.nhs.uk/openathens&amp;entityID=https://idp.eng.nhs.uk/openathens&amp;T=JS&amp;NEWS=n&amp;CSC=Y&amp;PAGE=toc&amp;D=yrovft&amp;AN=00754481-000000000-00000</t>
  </si>
  <si>
    <t>0148-396X</t>
  </si>
  <si>
    <t>2001-02-01 - 2010-06-01</t>
  </si>
  <si>
    <t>https://ovidsp.ovid.com/rss/journals/00019038/pap.rss</t>
  </si>
  <si>
    <t>https://ovidsp.ovid.com/rss/journals/00000740/pap.rss</t>
  </si>
  <si>
    <t>Journal of the American Board of Family Practice</t>
  </si>
  <si>
    <t>https://ovidsp.ovid.com/rss/journals/02186222/current.rss</t>
  </si>
  <si>
    <t>2001-06-01 - 2010-06-01</t>
  </si>
  <si>
    <t>2019-04-01 - 2022-04-01</t>
  </si>
  <si>
    <t>2003-01-01 - 2010-03-01</t>
  </si>
  <si>
    <t>https://openathens.ovid.com/OAKeystone/deeplink?idpselect=https://idp.eng.nhs.uk/openathens&amp;entityID=https://idp.eng.nhs.uk/openathens&amp;T=JS&amp;NEWS=n&amp;CSC=Y&amp;PAGE=toc&amp;D=yrovft&amp;AN=00001577-000000000-00000</t>
  </si>
  <si>
    <t>European Heart Journal</t>
  </si>
  <si>
    <t>2007-02-01 - 2010-04-01</t>
  </si>
  <si>
    <t>American Public Health Association</t>
  </si>
  <si>
    <t>Epidemiologic Reviews</t>
  </si>
  <si>
    <t>0898-4921</t>
  </si>
  <si>
    <t>Survey of Anesthesiology</t>
  </si>
  <si>
    <t>2003-04-01</t>
  </si>
  <si>
    <t>2444-8664</t>
  </si>
  <si>
    <t>Oxford University Press</t>
  </si>
  <si>
    <t>2010-05-12</t>
  </si>
  <si>
    <t>https://openathens.ovid.com/OAKeystone/deeplink?idpselect=https://idp.eng.nhs.uk/openathens&amp;entityID=https://idp.eng.nhs.uk/openathens&amp;T=JS&amp;NEWS=n&amp;CSC=Y&amp;PAGE=main&amp;D=emcl2</t>
  </si>
  <si>
    <t>1538-1145</t>
  </si>
  <si>
    <t>https://ovidsp.ovid.com/rss/journals/00045526/pap.rss</t>
  </si>
  <si>
    <t>https://openathens.ovid.com/OAKeystone/deeplink?idpselect=https://idp.eng.nhs.uk/openathens&amp;entityID=https://idp.eng.nhs.uk/openathens&amp;T=JS&amp;NEWS=n&amp;CSC=Y&amp;PAGE=toc&amp;D=yrovft&amp;AN=00002188-000000000-00000</t>
  </si>
  <si>
    <t>https://ovidsp.ovid.com/rss/journals/00004345/pap.rss</t>
  </si>
  <si>
    <t>1534-4908</t>
  </si>
  <si>
    <t>ACSM'S Health &amp; Fitness Journal</t>
  </si>
  <si>
    <t>https://openathens.ovid.com/OAKeystone/deeplink?idpselect=https://idp.eng.nhs.uk/openathens&amp;entityID=https://idp.eng.nhs.uk/openathens&amp;T=JS&amp;NEWS=n&amp;CSC=Y&amp;PAGE=toc&amp;D=yrovft&amp;AN=00002281-000000000-00000</t>
  </si>
  <si>
    <t>https://openathens.ovid.com/OAKeystone/deeplink?idpselect=https://idp.eng.nhs.uk/openathens&amp;entityID=https://idp.eng.nhs.uk/openathens&amp;T=JS&amp;NEWS=n&amp;CSC=Y&amp;PAGE=toc&amp;D=yrovft&amp;AN=00004479-000000000-00000</t>
  </si>
  <si>
    <t>1097-6760</t>
  </si>
  <si>
    <t>Anesthesiology</t>
  </si>
  <si>
    <t>https://openathens.ovid.com/OAKeystone/deeplink?idpselect=https://idp.eng.nhs.uk/openathens&amp;entityID=https://idp.eng.nhs.uk/openathens&amp;T=JS&amp;NEWS=n&amp;CSC=Y&amp;PAGE=toc&amp;D=yrovft&amp;AN=01189060-000000000-00000</t>
  </si>
  <si>
    <t>0363-3624</t>
  </si>
  <si>
    <t>1536-0644</t>
  </si>
  <si>
    <t>Current Opinion in Clinical Nutrition &amp; Metabolic Care</t>
  </si>
  <si>
    <t>https://ovidsp.ovid.com/rss/journals/00003677/pap.rss</t>
  </si>
  <si>
    <t>https://ovidsp.ovid.com/rss/journals/01752260/current.rss</t>
  </si>
  <si>
    <t>https://openathens.ovid.com/OAKeystone/deeplink?idpselect=https://idp.eng.nhs.uk/openathens&amp;entityID=https://idp.eng.nhs.uk/openathens&amp;T=JS&amp;NEWS=n&amp;CSC=Y&amp;PAGE=toc&amp;D=yrovft&amp;AN=00005821-000000000-00000</t>
  </si>
  <si>
    <t>0192-0790</t>
  </si>
  <si>
    <t>https://ovidsp.ovid.com/rss/journals/01429659/current.rss</t>
  </si>
  <si>
    <t>2022-01-25</t>
  </si>
  <si>
    <t>https://openathens.ovid.com/OAKeystone/deeplink?idpselect=https://idp.eng.nhs.uk/openathens&amp;entityID=https://idp.eng.nhs.uk/openathens&amp;T=JS&amp;NEWS=n&amp;CSC=Y&amp;PAGE=toc&amp;D=yrovft&amp;AN=01437872-000000000-00000</t>
  </si>
  <si>
    <t>https://openathens.ovid.com/OAKeystone/deeplink?idpselect=https://idp.eng.nhs.uk/openathens&amp;entityID=https://idp.eng.nhs.uk/openathens&amp;T=JS&amp;NEWS=n&amp;CSC=Y&amp;PAGE=toc&amp;D=yrovft&amp;AN=01960907-000000000-00000</t>
  </si>
  <si>
    <t>https://ovidsp.ovid.com/rss/journals/00131402/current.rss</t>
  </si>
  <si>
    <t>2001-07-01 - 2006-12-01</t>
  </si>
  <si>
    <t>https://ovidsp.ovid.com/rss/journals/00129039/pap.rss</t>
  </si>
  <si>
    <t>0022-5045</t>
  </si>
  <si>
    <t>EMBASE 2000 to 2002</t>
  </si>
  <si>
    <t>EMBASE 2007 to 2008</t>
  </si>
  <si>
    <t>https://openathens.ovid.com/OAKeystone/deeplink?idpselect=https://idp.eng.nhs.uk/openathens&amp;entityID=https://idp.eng.nhs.uk/openathens&amp;T=JS&amp;NEWS=n&amp;CSC=Y&amp;PAGE=main&amp;D=med5</t>
  </si>
  <si>
    <t>2009-01-01 - 2015-04-01</t>
  </si>
  <si>
    <t>Circulation Research</t>
  </si>
  <si>
    <t>https://ovidsp.ovid.com/rss/journals/00003226/current.rss</t>
  </si>
  <si>
    <t>https://openathens.ovid.com/OAKeystone/deeplink?idpselect=https://idp.eng.nhs.uk/openathens&amp;entityID=https://idp.eng.nhs.uk/openathens&amp;T=JS&amp;NEWS=n&amp;CSC=Y&amp;PAGE=toc&amp;D=yrovft&amp;AN=00004347-000000000-00000</t>
  </si>
  <si>
    <t>https://openathens.ovid.com/OAKeystone/deeplink?idpselect=https://idp.eng.nhs.uk/openathens&amp;entityID=https://idp.eng.nhs.uk/openathens&amp;T=JS&amp;NEWS=n&amp;CSC=Y&amp;PAGE=toc&amp;D=yrovft&amp;AN=02054639-000000000-00000</t>
  </si>
  <si>
    <t>2008-03-01 - 2022-06-01</t>
  </si>
  <si>
    <t>https://ovidsp.ovid.com/rss/journals/00006842/pap.rss</t>
  </si>
  <si>
    <t>https://openathens.ovid.com/OAKeystone/deeplink?idpselect=https://idp.eng.nhs.uk/openathens&amp;entityID=https://idp.eng.nhs.uk/openathens&amp;T=JS&amp;NEWS=n&amp;CSC=Y&amp;PAGE=toc&amp;D=yrovft&amp;AN=00010694-000000000-00000</t>
  </si>
  <si>
    <t>2019-08-01 - 2022-04-01</t>
  </si>
  <si>
    <t>https://ovidsp.ovid.com/rss/journals/02211172/pap.rss</t>
  </si>
  <si>
    <t>https://ovidsp.ovid.com/rss/journals/00013414/pap.rss</t>
  </si>
  <si>
    <t>PubMed-not-MEDLINE 1781 to 1999</t>
  </si>
  <si>
    <t>Journal of Neurosurgical Anesthesiology</t>
  </si>
  <si>
    <t>https://openathens.ovid.com/OAKeystone/deeplink?idpselect=https://idp.eng.nhs.uk/openathens&amp;entityID=https://idp.eng.nhs.uk/openathens&amp;T=JS&amp;NEWS=n&amp;CSC=Y&amp;PAGE=toc&amp;D=yrovft&amp;AN=01787389-000000000-00000</t>
  </si>
  <si>
    <t>Lewis's Child and Adolescent Psychiatry</t>
  </si>
  <si>
    <t>https://openathens.ovid.com/OAKeystone/deeplink?idpselect=https://idp.eng.nhs.uk/openathens&amp;entityID=https://idp.eng.nhs.uk/openathens&amp;T=JS&amp;NEWS=n&amp;CSC=Y&amp;PAGE=toc&amp;D=yrovft&amp;AN=02003505-000000000-00000</t>
  </si>
  <si>
    <t>https://openathens.ovid.com/OAKeystone/deeplink?idpselect=https://idp.eng.nhs.uk/openathens&amp;entityID=https://idp.eng.nhs.uk/openathens&amp;T=JS&amp;NEWS=n&amp;CSC=Y&amp;PAGE=toc&amp;D=yrovft&amp;AN=00000542-000000000-00000</t>
  </si>
  <si>
    <t>https://ovidsp.ovid.com/rss/journals/00001648/current.rss</t>
  </si>
  <si>
    <t>2007-04-01 - 2010-04-01</t>
  </si>
  <si>
    <t>Journal of Psychosocial Oncology Research &amp; Practice</t>
  </si>
  <si>
    <t>2020-09-01 - 2022-04-01</t>
  </si>
  <si>
    <t>American Board of Family Practice</t>
  </si>
  <si>
    <t>1548-2545</t>
  </si>
  <si>
    <t>1351-5578</t>
  </si>
  <si>
    <t>World Allergy Organization Journal</t>
  </si>
  <si>
    <t>2155-384X</t>
  </si>
  <si>
    <t>2013-10-01 - 2015-04-01</t>
  </si>
  <si>
    <t>2001-08-01 - 2015-03-01</t>
  </si>
  <si>
    <t>1533-1458</t>
  </si>
  <si>
    <t>2022-04-20</t>
  </si>
  <si>
    <t>1743-4270</t>
  </si>
  <si>
    <t>Journal of Clinical Nursing</t>
  </si>
  <si>
    <t>2003-05-01 - 2010-05-01</t>
  </si>
  <si>
    <t>https://openathens.ovid.com/OAKeystone/deeplink?idpselect=https://idp.eng.nhs.uk/openathens&amp;entityID=https://idp.eng.nhs.uk/openathens&amp;T=JS&amp;NEWS=n&amp;CSC=Y&amp;PAGE=toc&amp;D=yrovft&amp;AN=02014405-000000000-00000</t>
  </si>
  <si>
    <t>10th_Edition</t>
  </si>
  <si>
    <t>https://openathens.ovid.com/OAKeystone/deeplink?idpselect=https://idp.eng.nhs.uk/openathens&amp;entityID=https://idp.eng.nhs.uk/openathens&amp;T=JS&amp;NEWS=n&amp;CSC=Y&amp;PAGE=toc&amp;D=yrovft&amp;AN=00132981-000000000-00000</t>
  </si>
  <si>
    <t>https://openathens.ovid.com/OAKeystone/deeplink?idpselect=https://idp.eng.nhs.uk/openathens&amp;entityID=https://idp.eng.nhs.uk/openathens&amp;T=JS&amp;NEWS=n&amp;CSC=Y&amp;PAGE=booktext&amp;D=books&amp;AN=01439102$&amp;XPATH=/PG(0)&amp;EPUB=Y</t>
  </si>
  <si>
    <t>1996-01-01 - 2021-11-01</t>
  </si>
  <si>
    <t>2001-08-01 - 2006-01-01</t>
  </si>
  <si>
    <t>Pubmed-not-MEDLINE 2020 to October 20, 2021</t>
  </si>
  <si>
    <t>2001-08-21 - 2004-04-06</t>
  </si>
  <si>
    <t>Topics in Geriatric Rehabilitation</t>
  </si>
  <si>
    <t>https://ovidsp.ovid.com/rss/journals/00004850/pap.rss</t>
  </si>
  <si>
    <t>JAIDS Journal of Acquired Immune Deficiency Syndromes</t>
  </si>
  <si>
    <t>https://ovidsp.ovid.com/rss/journals/00019040/current.rss</t>
  </si>
  <si>
    <t>https://ovidsp.ovid.com/rss/journals/02003428/pap.rss</t>
  </si>
  <si>
    <t>2001-11-01 - 2012-12-01</t>
  </si>
  <si>
    <t>Journal Of Diabetes</t>
  </si>
  <si>
    <t>Current Opinion in Gastroenterology</t>
  </si>
  <si>
    <t>2002-03-01 - 2010-05-01</t>
  </si>
  <si>
    <t>1524-4539</t>
  </si>
  <si>
    <t>2009-01-15</t>
  </si>
  <si>
    <t>Journal of Heredity</t>
  </si>
  <si>
    <t>Vocational Rehabilitation and Mental Health</t>
  </si>
  <si>
    <t>EMBASE 1993 to 1995</t>
  </si>
  <si>
    <t>https://ovidsp.ovid.com/rss/journals/01437872/current.rss</t>
  </si>
  <si>
    <t>https://openathens.ovid.com/OAKeystone/deeplink?idpselect=https://idp.eng.nhs.uk/openathens&amp;entityID=https://idp.eng.nhs.uk/openathens&amp;T=JS&amp;NEWS=n&amp;CSC=Y&amp;PAGE=toc&amp;D=yrovft&amp;AN=00149619-000000000-00000</t>
  </si>
  <si>
    <t>1537-2677</t>
  </si>
  <si>
    <t>https://ovidsp.ovid.com/rss/journals/00005373/current.rss</t>
  </si>
  <si>
    <t>2001-10-10 - 2004-03-03</t>
  </si>
  <si>
    <t>https://openathens.ovid.com/OAKeystone/deeplink?idpselect=https://idp.eng.nhs.uk/openathens&amp;entityID=https://idp.eng.nhs.uk/openathens&amp;T=JS&amp;NEWS=n&amp;CSC=Y&amp;PAGE=toc&amp;D=yrovft&amp;AN=00006676-000000000-00000</t>
  </si>
  <si>
    <t>https://openathens.ovid.com/OAKeystone/deeplink?idpselect=https://idp.eng.nhs.uk/openathens&amp;entityID=https://idp.eng.nhs.uk/openathens&amp;T=JS&amp;NEWS=n&amp;CSC=Y&amp;PAGE=toc&amp;D=yrovft&amp;AN=01330296-000000000-00000</t>
  </si>
  <si>
    <t>2022-06-01</t>
  </si>
  <si>
    <t>https://ovidsp.ovid.com/rss/journals/00001573/current.rss</t>
  </si>
  <si>
    <t>https://openathens.ovid.com/OAKeystone/deeplink?idpselect=https://idp.eng.nhs.uk/openathens&amp;entityID=https://idp.eng.nhs.uk/openathens&amp;T=JS&amp;NEWS=n&amp;CSC=Y&amp;PAGE=toc&amp;D=yrovft&amp;AN=00135124-000000000-00000</t>
  </si>
  <si>
    <t>https://openathens.ovid.com/OAKeystone/deeplink?idpselect=https://idp.eng.nhs.uk/openathens&amp;entityID=https://idp.eng.nhs.uk/openathens&amp;T=JS&amp;NEWS=n&amp;CSC=Y&amp;PAGE=toc&amp;D=yrovft&amp;AN=00075197-000000000-00000</t>
  </si>
  <si>
    <t>https://ovidsp.ovid.com/rss/journals/01979360/current.rss</t>
  </si>
  <si>
    <t>2005-08-01</t>
  </si>
  <si>
    <t>https://openathens.ovid.com/OAKeystone/deeplink?idpselect=https://idp.eng.nhs.uk/openathens&amp;entityID=https://idp.eng.nhs.uk/openathens&amp;T=JS&amp;NEWS=n&amp;CSC=Y&amp;PAGE=toc&amp;D=yrovft&amp;AN=00001857-000000000-00000</t>
  </si>
  <si>
    <t>2001-07-01 - 2009-12-01</t>
  </si>
  <si>
    <t>https://ovidsp.ovid.com/rss/journals/00256406/current.rss</t>
  </si>
  <si>
    <t>1536-7185</t>
  </si>
  <si>
    <t>https://openathens.ovid.com/OAKeystone/deeplink?idpselect=https://idp.eng.nhs.uk/openathens&amp;entityID=https://idp.eng.nhs.uk/openathens&amp;T=JS&amp;NEWS=n&amp;CSC=Y&amp;PAGE=toc&amp;D=yrovft&amp;AN=00002030-000000000-00000</t>
  </si>
  <si>
    <t>1465-3664</t>
  </si>
  <si>
    <t>Medicine: Case Reports and Study Protocols</t>
  </si>
  <si>
    <t>2009-01-15 - 2010-01-15</t>
  </si>
  <si>
    <t>Journal of Head Trauma Rehabilitation</t>
  </si>
  <si>
    <t>https://openathens.ovid.com/OAKeystone/deeplink?idpselect=https://idp.eng.nhs.uk/openathens&amp;entityID=https://idp.eng.nhs.uk/openathens&amp;T=JS&amp;NEWS=n&amp;CSC=Y&amp;PAGE=toc&amp;D=yrovft&amp;AN=00021768-000000000-00000</t>
  </si>
  <si>
    <t>https://openathens.ovid.com/OAKeystone/deeplink?idpselect=https://idp.eng.nhs.uk/openathens&amp;entityID=https://idp.eng.nhs.uk/openathens&amp;T=JS&amp;NEWS=n&amp;CSC=Y&amp;PAGE=toc&amp;D=yrovft&amp;AN=01078520-000000000-00000</t>
  </si>
  <si>
    <t>https://openathens.ovid.com/OAKeystone/deeplink?idpselect=https://idp.eng.nhs.uk/openathens&amp;entityID=https://idp.eng.nhs.uk/openathens&amp;T=JS&amp;NEWS=n&amp;CSC=Y&amp;PAGE=toc&amp;D=yrovft&amp;AN=02003429-000000000-00000</t>
  </si>
  <si>
    <t>https://openathens.ovid.com/OAKeystone/deeplink?idpselect=https://idp.eng.nhs.uk/openathens&amp;entityID=https://idp.eng.nhs.uk/openathens&amp;T=JS&amp;NEWS=n&amp;CSC=Y&amp;PAGE=toc&amp;D=yrovft&amp;AN=00002343-000000000-00000</t>
  </si>
  <si>
    <t>https://ovidsp.ovid.com/rss/journals/00001786/pap.rss</t>
  </si>
  <si>
    <t>Geriatric Orthopaedic Surgery &amp; Rehabilitation</t>
  </si>
  <si>
    <t>https://openathens.ovid.com/OAKeystone/deeplink?idpselect=https://idp.eng.nhs.uk/openathens&amp;entityID=https://idp.eng.nhs.uk/openathens&amp;T=JS&amp;NEWS=n&amp;CSC=Y&amp;PAGE=toc&amp;D=yrovft&amp;AN=01253098-000000000-00000</t>
  </si>
  <si>
    <t>Social Policy and Practice</t>
  </si>
  <si>
    <t>https://ovidsp.ovid.com/rss/journals/02196409/current.rss</t>
  </si>
  <si>
    <t>Journal of Developmental &amp; Behavioral Pediatrics</t>
  </si>
  <si>
    <t>https://openathens.ovid.com/OAKeystone/deeplink?idpselect=https://idp.eng.nhs.uk/openathens&amp;entityID=https://idp.eng.nhs.uk/openathens&amp;T=JS&amp;NEWS=n&amp;CSC=Y&amp;PAGE=toc&amp;D=yrovft&amp;AN=00005072-000000000-00000</t>
  </si>
  <si>
    <t>ISSN</t>
  </si>
  <si>
    <t>Journal of Arrythmia</t>
  </si>
  <si>
    <t>https://ovidsp.ovid.com/rss/journals/01189060/current.rss</t>
  </si>
  <si>
    <t>https://openathens.ovid.com/OAKeystone/deeplink?idpselect=https://idp.eng.nhs.uk/openathens&amp;entityID=https://idp.eng.nhs.uk/openathens&amp;T=JS&amp;NEWS=n&amp;CSC=Y&amp;PAGE=toc&amp;D=yrovft&amp;AN=00002518-000000000-00000</t>
  </si>
  <si>
    <t>https://ovidsp.ovid.com/rss/journals/01272067/current.rss</t>
  </si>
  <si>
    <t>1753-0393</t>
  </si>
  <si>
    <t>Journal of Strength and Conditioning Research</t>
  </si>
  <si>
    <t>https://openathens.ovid.com/OAKeystone/deeplink?idpselect=https://idp.eng.nhs.uk/openathens&amp;entityID=https://idp.eng.nhs.uk/openathens&amp;T=JS&amp;NEWS=n&amp;CSC=Y&amp;PAGE=toc&amp;D=yrovft&amp;AN=00152258-000000000-00000</t>
  </si>
  <si>
    <t>https://ovidsp.ovid.com/rss/journals/02200497/current.rss</t>
  </si>
  <si>
    <t>https://ovidsp.ovid.com/rss/journals/01256961/current.rss</t>
  </si>
  <si>
    <t>https://openathens.ovid.com/OAKeystone/deeplink?idpselect=https://idp.eng.nhs.uk/openathens&amp;entityID=https://idp.eng.nhs.uk/openathens&amp;T=JS&amp;NEWS=n&amp;CSC=Y&amp;PAGE=toc&amp;D=yrovft&amp;AN=00019616-000000000-00000</t>
  </si>
  <si>
    <t>https://ovidsp.ovid.com/rss/journals/01960908/current.rss</t>
  </si>
  <si>
    <t>0891-8929</t>
  </si>
  <si>
    <t>2009-10-01 - 2015-04-01</t>
  </si>
  <si>
    <t>https://ovidsp.ovid.com/rss/journals/01253092/current.rss</t>
  </si>
  <si>
    <t>2022-02-02</t>
  </si>
  <si>
    <t>2021-09-22</t>
  </si>
  <si>
    <t>FEBS Open Bio - Open Access</t>
  </si>
  <si>
    <t>2002-01-01</t>
  </si>
  <si>
    <t>2002-04-01 - 2003-01-01</t>
  </si>
  <si>
    <t>https://ovidsp.ovid.com/rss/journals/00126350/current.rss</t>
  </si>
  <si>
    <t>https://openathens.ovid.com/OAKeystone/deeplink?idpselect=https://idp.eng.nhs.uk/openathens&amp;entityID=https://idp.eng.nhs.uk/openathens&amp;T=JS&amp;NEWS=n&amp;CSC=Y&amp;PAGE=toc&amp;D=yrovft&amp;AN=00002800-000000000-00000</t>
  </si>
  <si>
    <t>https://ovidsp.ovid.com/rss/journals/00055749/current.rss</t>
  </si>
  <si>
    <t>Journal of Trauma: Injury, Infection &amp; Critical Care</t>
  </si>
  <si>
    <t>1996-01-01</t>
  </si>
  <si>
    <t>https://openathens.ovid.com/OAKeystone/deeplink?idpselect=https://idp.eng.nhs.uk/openathens&amp;entityID=https://idp.eng.nhs.uk/openathens&amp;T=JS&amp;NEWS=n&amp;CSC=Y&amp;PAGE=toc&amp;D=yrovft&amp;AN=00003081-000000000-00000</t>
  </si>
  <si>
    <t>https://ovidsp.ovid.com/rss/journals/00009185/current.rss</t>
  </si>
  <si>
    <t>https://ovidsp.ovid.com/rss/journals/00019052/pap.rss</t>
  </si>
  <si>
    <t>Database Title</t>
  </si>
  <si>
    <t>2009-04-01 - 2022-04-07</t>
  </si>
  <si>
    <t>0959-8278</t>
  </si>
  <si>
    <t>Journal of Bronchology &amp; Interventional Pulmonology</t>
  </si>
  <si>
    <t>1090-2260</t>
  </si>
  <si>
    <t>0893-8652</t>
  </si>
  <si>
    <t>https://openathens.ovid.com/OAKeystone/deeplink?idpselect=https://idp.eng.nhs.uk/openathens&amp;entityID=https://idp.eng.nhs.uk/openathens&amp;T=JS&amp;NEWS=n&amp;CSC=Y&amp;PAGE=toc&amp;D=yrovft&amp;AN=00000566-000000000-00000</t>
  </si>
  <si>
    <t>https://openathens.ovid.com/OAKeystone/deeplink?idpselect=https://idp.eng.nhs.uk/openathens&amp;entityID=https://idp.eng.nhs.uk/openathens&amp;T=JS&amp;NEWS=n&amp;CSC=Y&amp;PAGE=toc&amp;D=yrovft&amp;AN=01429668-000000000-00000</t>
  </si>
  <si>
    <t>https://openathens.ovid.com/OAKeystone/deeplink?idpselect=https://idp.eng.nhs.uk/openathens&amp;entityID=https://idp.eng.nhs.uk/openathens&amp;T=JS&amp;NEWS=n&amp;CSC=Y&amp;PAGE=toc&amp;D=yrovft&amp;AN=00017285-000000000-00000</t>
  </si>
  <si>
    <t>Acta Obstetricia et Gynecologica Scandinavica</t>
  </si>
  <si>
    <t>1538-7151</t>
  </si>
  <si>
    <t>2001-08-01 - 2010-06-01</t>
  </si>
  <si>
    <t>0739-8328</t>
  </si>
  <si>
    <t>0-3409-8601-8</t>
  </si>
  <si>
    <t>https://ovidsp.ovid.com/rss/journals/01651676/current.rss</t>
  </si>
  <si>
    <t>The Health Care Manager</t>
  </si>
  <si>
    <t>Contemporary Ophthalmology</t>
  </si>
  <si>
    <t>https://ovidsp.ovid.com/rss/journals/01984727/current.rss</t>
  </si>
  <si>
    <t>2007-02-01 - 2010-06-01</t>
  </si>
  <si>
    <t>2020-01-01</t>
  </si>
  <si>
    <t>LPN</t>
  </si>
  <si>
    <t>1-4987-4774-4</t>
  </si>
  <si>
    <t>2001-10-01 - 2004-03-01</t>
  </si>
  <si>
    <t>1473-5660</t>
  </si>
  <si>
    <t>https://ovidsp.ovid.com/rss/journals/00001577/current.rss</t>
  </si>
  <si>
    <t>Quality Management in Health Care</t>
  </si>
  <si>
    <t>2016-03-01 - 2022-05-18</t>
  </si>
  <si>
    <t>https://ovidsp.ovid.com/rss/journals/00004872/current.rss</t>
  </si>
  <si>
    <t>https://ovidsp.ovid.com/rss/journals/00024382/current.rss</t>
  </si>
  <si>
    <t>2021 Week 01 to 2021 Week 27</t>
  </si>
  <si>
    <t>2002-03-01</t>
  </si>
  <si>
    <t>1726-4901</t>
  </si>
  <si>
    <t>2009-01-01 - 2009-11-01</t>
  </si>
  <si>
    <t>https://ovidsp.ovid.com/rss/journals/00004790/current.rss</t>
  </si>
  <si>
    <t>https://ovidsp.ovid.com/rss/journals/00135124/current.rss</t>
  </si>
  <si>
    <t>2008-01-01 - 2010-04-01</t>
  </si>
  <si>
    <t>Mental Health Nursing Made Incredibly Easy!</t>
  </si>
  <si>
    <t>https://ovidsp.ovid.com/rss/journals/02211145/current.rss</t>
  </si>
  <si>
    <t>https://openathens.ovid.com/OAKeystone/deeplink?idpselect=https://idp.eng.nhs.uk/openathens&amp;entityID=https://idp.eng.nhs.uk/openathens&amp;T=JS&amp;NEWS=n&amp;CSC=Y&amp;PAGE=toc&amp;D=yrovft&amp;AN=00129191-000000000-00000</t>
  </si>
  <si>
    <t>The Back Letter</t>
  </si>
  <si>
    <t>https://ovidsp.ovid.com/rss/journals/00060993/current.rss</t>
  </si>
  <si>
    <t>Journal of the National Cancer Institute</t>
  </si>
  <si>
    <t>https://ovidsp.ovid.com/rss/journals/02054631/current.rss</t>
  </si>
  <si>
    <t>https://ovidsp.ovid.com/rss/journals/01273116/current.rss</t>
  </si>
  <si>
    <t>Sports Medicine and Arthroscopy Review</t>
  </si>
  <si>
    <t>https://ovidsp.ovid.com/rss/journals/00011363/current.rss</t>
  </si>
  <si>
    <t>1-9018-3106-X</t>
  </si>
  <si>
    <t>2001-07-27 - 2015-04-24</t>
  </si>
  <si>
    <t>1559-047X</t>
  </si>
  <si>
    <t>2003-10-01</t>
  </si>
  <si>
    <t>Journal of Addiction Medicine</t>
  </si>
  <si>
    <t>https://ovidsp.ovid.com/rss/journals/00004623/current.rss</t>
  </si>
  <si>
    <t>https://ovidsp.ovid.com/rss/journals/00019442/pap.rss</t>
  </si>
  <si>
    <t>2001-07-01 - 2015-01-01</t>
  </si>
  <si>
    <t>https://openathens.ovid.com/OAKeystone/deeplink?idpselect=https://idp.eng.nhs.uk/openathens&amp;entityID=https://idp.eng.nhs.uk/openathens&amp;T=JS&amp;NEWS=n&amp;CSC=Y&amp;PAGE=main&amp;D=huaa17</t>
  </si>
  <si>
    <t>https://openathens.ovid.com/OAKeystone/deeplink?idpselect=https://idp.eng.nhs.uk/openathens&amp;entityID=https://idp.eng.nhs.uk/openathens&amp;T=JS&amp;NEWS=n&amp;CSC=Y&amp;PAGE=toc&amp;D=yrovft&amp;AN=01940646-000000000-00000</t>
  </si>
  <si>
    <t>https://ovidsp.ovid.com/rss/journals/00005042/current.rss</t>
  </si>
  <si>
    <t>2011-01-11</t>
  </si>
  <si>
    <t>https://ovidsp.ovid.com/rss/journals/00152258/pap.rss</t>
  </si>
  <si>
    <t>2022-05-05</t>
  </si>
  <si>
    <t>https://openathens.ovid.com/OAKeystone/deeplink?idpselect=https://idp.eng.nhs.uk/openathens&amp;entityID=https://idp.eng.nhs.uk/openathens&amp;T=JS&amp;NEWS=n&amp;CSC=Y&amp;PAGE=toc&amp;D=yrovft&amp;AN=00000469-000000000-00000</t>
  </si>
  <si>
    <t>https://openathens.ovid.com/OAKeystone/deeplink?idpselect=https://idp.eng.nhs.uk/openathens&amp;entityID=https://idp.eng.nhs.uk/openathens&amp;T=JS&amp;NEWS=n&amp;CSC=Y&amp;PAGE=toc&amp;D=yrovft&amp;AN=00054725-000000000-00000</t>
  </si>
  <si>
    <t>2016-10-01 - 2022-05-18</t>
  </si>
  <si>
    <t>1558-2027</t>
  </si>
  <si>
    <t>https://openathens.ovid.com/OAKeystone/deeplink?idpselect=https://idp.eng.nhs.uk/openathens&amp;entityID=https://idp.eng.nhs.uk/openathens&amp;T=JS&amp;NEWS=n&amp;CSC=Y&amp;PAGE=toc&amp;D=yrovft&amp;AN=01244665-000000000-00000</t>
  </si>
  <si>
    <t>1741-3850</t>
  </si>
  <si>
    <t>https://openathens.ovid.com/OAKeystone/deeplink?idpselect=https://idp.eng.nhs.uk/openathens&amp;entityID=https://idp.eng.nhs.uk/openathens&amp;T=JS&amp;NEWS=n&amp;CSC=Y&amp;PAGE=toc&amp;D=yrovft&amp;AN=01312070-000000000-00000</t>
  </si>
  <si>
    <t>2017-12-01</t>
  </si>
  <si>
    <t>2004-11-01</t>
  </si>
  <si>
    <t>2001-01-01 - 2004-03-01</t>
  </si>
  <si>
    <t>https://openathens.ovid.com/OAKeystone/deeplink?idpselect=https://idp.eng.nhs.uk/openathens&amp;entityID=https://idp.eng.nhs.uk/openathens&amp;T=JS&amp;NEWS=n&amp;CSC=Y&amp;PAGE=toc&amp;D=yrovft&amp;AN=00003690-000000000-00000</t>
  </si>
  <si>
    <t>Transactions of the ... Meeting of the American Surgical Association</t>
  </si>
  <si>
    <t>https://ovidsp.ovid.com/rss/journals/01940646/current.rss</t>
  </si>
  <si>
    <t>https://openathens.ovid.com/OAKeystone/deeplink?idpselect=https://idp.eng.nhs.uk/openathens&amp;entityID=https://idp.eng.nhs.uk/openathens&amp;T=JS&amp;NEWS=n&amp;CSC=Y&amp;PAGE=toc&amp;D=yrovft&amp;AN=00019514-000000000-00000</t>
  </si>
  <si>
    <t>1536-3708</t>
  </si>
  <si>
    <t>https://ovidsp.ovid.com/rss/journals/00002417/current.rss</t>
  </si>
  <si>
    <t>2018-03-01</t>
  </si>
  <si>
    <t>2008-12-01 - 2009-12-01</t>
  </si>
  <si>
    <t>2003-03-01 - 2004-11-01</t>
  </si>
  <si>
    <t>0268-1153</t>
  </si>
  <si>
    <t>https://ovidsp.ovid.com/rss/journals/00000539/current.rss</t>
  </si>
  <si>
    <t>https://ovidsp.ovid.com/rss/journals/00004424/current.rss</t>
  </si>
  <si>
    <t>0041-1337</t>
  </si>
  <si>
    <t>978-0-4700-3274-9</t>
  </si>
  <si>
    <t>https://ovidsp.ovid.com/rss/journals/00134745/current.rss</t>
  </si>
  <si>
    <t>https://openathens.ovid.com/OAKeystone/deeplink?idpselect=https://idp.eng.nhs.uk/openathens&amp;entityID=https://idp.eng.nhs.uk/openathens&amp;T=JS&amp;NEWS=n&amp;CSC=Y&amp;PAGE=toc&amp;D=yrovft&amp;AN=02045117-000000000-00000</t>
  </si>
  <si>
    <t>https://openathens.ovid.com/OAKeystone/deeplink?idpselect=https://idp.eng.nhs.uk/openathens&amp;entityID=https://idp.eng.nhs.uk/openathens&amp;T=JS&amp;NEWS=n&amp;CSC=Y&amp;PAGE=toc&amp;D=yrovft&amp;AN=01720097-000000000-00000</t>
  </si>
  <si>
    <t>Journal of Global Oncology</t>
  </si>
  <si>
    <t>2473-294X</t>
  </si>
  <si>
    <t>2162-0989</t>
  </si>
  <si>
    <t>0143-3334</t>
  </si>
  <si>
    <t>International Journal of Gynecological Cancer</t>
  </si>
  <si>
    <t>2015-10-01</t>
  </si>
  <si>
    <t>Pediatric Emergency Care</t>
  </si>
  <si>
    <t>https://ovidsp.ovid.com/rss/journals/00127927/current.rss</t>
  </si>
  <si>
    <t>2000-01-01 - 2022-05-01</t>
  </si>
  <si>
    <t>2002-01-15 - 2010-05-15</t>
  </si>
  <si>
    <t>https://ovidsp.ovid.com/rss/journals/00004859/current.rss</t>
  </si>
  <si>
    <t>2019-07-01 - 2022-04-26</t>
  </si>
  <si>
    <t>2004-07-01</t>
  </si>
  <si>
    <t>Nature Reviews Cardiology</t>
  </si>
  <si>
    <t>2021-02-25 - 2022-05-10</t>
  </si>
  <si>
    <t>https://ovidsp.ovid.com/rss/journals/00075198/pap.rss</t>
  </si>
  <si>
    <t>https://openathens.ovid.com/OAKeystone/deeplink?idpselect=https://idp.eng.nhs.uk/openathens&amp;entityID=https://idp.eng.nhs.uk/openathens&amp;T=JS&amp;NEWS=n&amp;CSC=Y&amp;PAGE=toc&amp;D=yrovft&amp;AN=01429663-000000000-00000</t>
  </si>
  <si>
    <t>1532-9798</t>
  </si>
  <si>
    <t>2003-01-01 - 2022-03-01</t>
  </si>
  <si>
    <t>https://openathens.ovid.com/OAKeystone/deeplink?idpselect=https://idp.eng.nhs.uk/openathens&amp;entityID=https://idp.eng.nhs.uk/openathens&amp;T=JS&amp;NEWS=n&amp;CSC=Y&amp;PAGE=toc&amp;D=yrovft&amp;AN=00005422-000000000-00000</t>
  </si>
  <si>
    <t>https://openathens.ovid.com/OAKeystone/deeplink?idpselect=https://idp.eng.nhs.uk/openathens&amp;entityID=https://idp.eng.nhs.uk/openathens&amp;T=JS&amp;NEWS=n&amp;CSC=Y&amp;PAGE=toc&amp;D=yrovft&amp;AN=00004623-000000000-00000</t>
  </si>
  <si>
    <t>https://ovidsp.ovid.com/rss/journals/00000441/current.rss</t>
  </si>
  <si>
    <t>https://ovidsp.ovid.com/rss/journals/01272067/pap.rss</t>
  </si>
  <si>
    <t>Cognitive and Behavioral Neurology</t>
  </si>
  <si>
    <t>https://ovidsp.ovid.com/rss/journals/00152192/current.rss</t>
  </si>
  <si>
    <t>https://ovidsp.ovid.com/rss/journals/00062706/current.rss</t>
  </si>
  <si>
    <t>BMJ</t>
  </si>
  <si>
    <t>0896-3746</t>
  </si>
  <si>
    <t>Embase Preprint</t>
  </si>
  <si>
    <t>2022-05-25</t>
  </si>
  <si>
    <t>0-4700-3274-X</t>
  </si>
  <si>
    <t>https://ovidsp.ovid.com/rss/journals/00127825/current.rss</t>
  </si>
  <si>
    <t>https://ovidsp.ovid.com/rss/journals/01253108/current.rss</t>
  </si>
  <si>
    <t>https://ovidsp.ovid.com/rss/journals/00055749/pap.rss</t>
  </si>
  <si>
    <t>2015-01-01</t>
  </si>
  <si>
    <t>https://ovidsp.ovid.com/rss/journals/00004010/current.rss</t>
  </si>
  <si>
    <t>https://openathens.ovid.com/OAKeystone/deeplink?idpselect=https://idp.eng.nhs.uk/openathens&amp;entityID=https://idp.eng.nhs.uk/openathens&amp;T=JS&amp;NEWS=n&amp;CSC=Y&amp;PAGE=toc&amp;D=yrovft&amp;AN=01271211-000000000-00000</t>
  </si>
  <si>
    <t>Pediatric Quality &amp; Safety</t>
  </si>
  <si>
    <t>https://openathens.ovid.com/OAKeystone/deeplink?idpselect=https://idp.eng.nhs.uk/openathens&amp;entityID=https://idp.eng.nhs.uk/openathens&amp;T=JS&amp;NEWS=n&amp;CSC=Y&amp;PAGE=toc&amp;D=yrovft&amp;AN=00000374-000000000-00000</t>
  </si>
  <si>
    <t>https://ovidsp.ovid.com/rss/journals/01078520/current.rss</t>
  </si>
  <si>
    <t>https://ovidsp.ovid.com/rss/journals/00041444/current.rss</t>
  </si>
  <si>
    <t>2002-02-01 - 2019-01-01</t>
  </si>
  <si>
    <t>1058-2916</t>
  </si>
  <si>
    <t>0951-7367</t>
  </si>
  <si>
    <t>Nature Clinical Practice Rheumatology</t>
  </si>
  <si>
    <t>0891-3633</t>
  </si>
  <si>
    <t>1941-9651</t>
  </si>
  <si>
    <t>0361-6274</t>
  </si>
  <si>
    <t>https://openathens.ovid.com/OAKeystone/deeplink?idpselect=https://idp.eng.nhs.uk/openathens&amp;entityID=https://idp.eng.nhs.uk/openathens&amp;T=JS&amp;NEWS=n&amp;CSC=Y&amp;PAGE=toc&amp;D=yrovft&amp;AN=00005178-000000000-00000</t>
  </si>
  <si>
    <t>1752-8984</t>
  </si>
  <si>
    <t>1471-6771</t>
  </si>
  <si>
    <t>2008-11-01</t>
  </si>
  <si>
    <t>Southern Medical Journal</t>
  </si>
  <si>
    <t>2574-0954</t>
  </si>
  <si>
    <t>https://ovidsp.ovid.com/rss/journals/00002343/pap.rss</t>
  </si>
  <si>
    <t>0263-2136</t>
  </si>
  <si>
    <t>https://ovidsp.ovid.com/rss/journals/00008390/pap.rss</t>
  </si>
  <si>
    <t>2016-12-01</t>
  </si>
  <si>
    <t>Open Forum Infectious Diseases</t>
  </si>
  <si>
    <t>https://openathens.ovid.com/OAKeystone/deeplink?idpselect=https://idp.eng.nhs.uk/openathens&amp;entityID=https://idp.eng.nhs.uk/openathens&amp;T=JS&amp;NEWS=n&amp;CSC=Y&amp;PAGE=toc&amp;D=yrovft&amp;AN=00002417-000000000-00000</t>
  </si>
  <si>
    <t>https://openathens.ovid.com/OAKeystone/deeplink?idpselect=https://idp.eng.nhs.uk/openathens&amp;entityID=https://idp.eng.nhs.uk/openathens&amp;T=JS&amp;NEWS=n&amp;CSC=Y&amp;PAGE=booktext&amp;D=books&amp;AN=01273126$&amp;XPATH=/PG(0)&amp;EPUB=Y</t>
  </si>
  <si>
    <t>1533-3175</t>
  </si>
  <si>
    <t>5th_Edition</t>
  </si>
  <si>
    <t>https://openathens.ovid.com/OAKeystone/deeplink?idpselect=https://idp.eng.nhs.uk/openathens&amp;entityID=https://idp.eng.nhs.uk/openathens&amp;T=JS&amp;NEWS=n&amp;CSC=Y&amp;PAGE=toc&amp;D=yrovft&amp;AN=02186170-000000000-00000</t>
  </si>
  <si>
    <t>https://openathens.ovid.com/OAKeystone/deeplink?idpselect=https://idp.eng.nhs.uk/openathens&amp;entityID=https://idp.eng.nhs.uk/openathens&amp;T=JS&amp;NEWS=n&amp;CSC=Y&amp;PAGE=main&amp;D=emed20</t>
  </si>
  <si>
    <t>1523-536X</t>
  </si>
  <si>
    <t>Operative Neurosurgery</t>
  </si>
  <si>
    <t>1015-6305</t>
  </si>
  <si>
    <t>https://ovidsp.ovid.com/rss/journals/01412507/current.rss</t>
  </si>
  <si>
    <t>https://ovidsp.ovid.com/rss/journals/00000421/pap.rss</t>
  </si>
  <si>
    <t>0163-2108</t>
  </si>
  <si>
    <t>https://openathens.ovid.com/OAKeystone/deeplink?idpselect=https://idp.eng.nhs.uk/openathens&amp;entityID=https://idp.eng.nhs.uk/openathens&amp;T=JS&amp;NEWS=n&amp;CSC=Y&amp;PAGE=toc&amp;D=yrovft&amp;AN=00004311-000000000-00000</t>
  </si>
  <si>
    <t>https://ovidsp.ovid.com/rss/journals/00001786/current.rss</t>
  </si>
  <si>
    <t>https://openathens.ovid.com/OAKeystone/deeplink?idpselect=https://idp.eng.nhs.uk/openathens&amp;entityID=https://idp.eng.nhs.uk/openathens&amp;T=JS&amp;NEWS=n&amp;CSC=Y&amp;PAGE=toc&amp;D=yrovft&amp;AN=01271221-000000000-00000</t>
  </si>
  <si>
    <t>https://openathens.ovid.com/OAKeystone/deeplink?idpselect=https://idp.eng.nhs.uk/openathens&amp;entityID=https://idp.eng.nhs.uk/openathens&amp;T=JS&amp;NEWS=n&amp;CSC=Y&amp;PAGE=toc&amp;D=yrovft&amp;AN=00008874-000000000-00000</t>
  </si>
  <si>
    <t>1057-0829</t>
  </si>
  <si>
    <t>Lippincott's Case Management</t>
  </si>
  <si>
    <t>2006-12-01 - 2010-05-01</t>
  </si>
  <si>
    <t>2000-08-01</t>
  </si>
  <si>
    <t>1-9751-4556-9</t>
  </si>
  <si>
    <t>https://ovidsp.ovid.com/rss/journals/00005272/pap.rss</t>
  </si>
  <si>
    <t>1460-2237</t>
  </si>
  <si>
    <t>https://ovidsp.ovid.com/rss/journals/00004356/current.rss</t>
  </si>
  <si>
    <t>https://openathens.ovid.com/OAKeystone/deeplink?idpselect=https://idp.eng.nhs.uk/openathens&amp;entityID=https://idp.eng.nhs.uk/openathens&amp;T=JS&amp;NEWS=n&amp;CSC=Y&amp;PAGE=toc&amp;D=yrovft&amp;AN=00002257-000000000-00000</t>
  </si>
  <si>
    <t>https://ovidsp.ovid.com/rss/journals/00126869/current.rss</t>
  </si>
  <si>
    <t>https://ovidsp.ovid.com/rss/journals/00054725/current.rss</t>
  </si>
  <si>
    <t>1440-172X</t>
  </si>
  <si>
    <t>2014-06-01 - 2022-04-13</t>
  </si>
  <si>
    <t>https://openathens.ovid.com/OAKeystone/deeplink?idpselect=https://idp.eng.nhs.uk/openathens&amp;entityID=https://idp.eng.nhs.uk/openathens&amp;T=JS&amp;NEWS=n&amp;CSC=Y&amp;PAGE=booktext&amp;D=books&amp;AN=01305987$&amp;XPATH=/PG(0)&amp;EPUB=Y</t>
  </si>
  <si>
    <t>0031-3025</t>
  </si>
  <si>
    <t>1098-3600</t>
  </si>
  <si>
    <t>1944-7884</t>
  </si>
  <si>
    <t>https://ovidsp.ovid.com/rss/journals/00000196/current.rss</t>
  </si>
  <si>
    <t>JPO Journal of Prosthetics and Orthotics</t>
  </si>
  <si>
    <t>https://ovidsp.ovid.com/rss/journals/00004479/pap.rss</t>
  </si>
  <si>
    <t>https://openathens.ovid.com/OAKeystone/deeplink?idpselect=https://idp.eng.nhs.uk/openathens&amp;entityID=https://idp.eng.nhs.uk/openathens&amp;T=JS&amp;NEWS=n&amp;CSC=Y&amp;PAGE=toc&amp;D=yrovft&amp;AN=00062706-000000000-00000</t>
  </si>
  <si>
    <t>CRC Press</t>
  </si>
  <si>
    <t>Plastic and Reconstructive Surgery - Global Open</t>
  </si>
  <si>
    <t>https://openathens.ovid.com/OAKeystone/deeplink?idpselect=https://idp.eng.nhs.uk/openathens&amp;entityID=https://idp.eng.nhs.uk/openathens&amp;T=JS&amp;NEWS=n&amp;CSC=Y&amp;PAGE=toc&amp;D=yrovft&amp;AN=01445478-000000000-00000</t>
  </si>
  <si>
    <t>2096-9511</t>
  </si>
  <si>
    <t>2005-01-01</t>
  </si>
  <si>
    <t>https://openathens.ovid.com/OAKeystone/deeplink?idpselect=https://idp.eng.nhs.uk/openathens&amp;entityID=https://idp.eng.nhs.uk/openathens&amp;T=JS&amp;NEWS=n&amp;CSC=Y&amp;PAGE=toc&amp;D=yrovft&amp;AN=00001813-000000000-00000</t>
  </si>
  <si>
    <t>https://ovidsp.ovid.com/rss/journals/01253085/current.rss</t>
  </si>
  <si>
    <t>https://openathens.ovid.com/OAKeystone/deeplink?idpselect=https://idp.eng.nhs.uk/openathens&amp;entityID=https://idp.eng.nhs.uk/openathens&amp;T=JS&amp;NEWS=n&amp;CSC=Y&amp;PAGE=toc&amp;D=yrovft&amp;AN=00129804-000000000-00000</t>
  </si>
  <si>
    <t>https://openathens.ovid.com/OAKeystone/deeplink?idpselect=https://idp.eng.nhs.uk/openathens&amp;entityID=https://idp.eng.nhs.uk/openathens&amp;T=JS&amp;NEWS=n&amp;CSC=Y&amp;PAGE=main&amp;D=med19</t>
  </si>
  <si>
    <t>Social Cognitive &amp; Affective Neuroscience</t>
  </si>
  <si>
    <t>https://openathens.ovid.com/OAKeystone/deeplink?idpselect=https://idp.eng.nhs.uk/openathens&amp;entityID=https://idp.eng.nhs.uk/openathens&amp;T=JS&amp;NEWS=n&amp;CSC=Y&amp;PAGE=toc&amp;D=yrovft&amp;AN=00004669-000000000-00000</t>
  </si>
  <si>
    <t>Nephrology Times</t>
  </si>
  <si>
    <t>0361-1817</t>
  </si>
  <si>
    <t>SLACK Incorporated</t>
  </si>
  <si>
    <t>2020-05-13</t>
  </si>
  <si>
    <t>https://ovidsp.ovid.com/rss/journals/00001756/current.rss</t>
  </si>
  <si>
    <t>978-0-7817-6214-4</t>
  </si>
  <si>
    <t>https://openathens.ovid.com/OAKeystone/deeplink?idpselect=https://idp.eng.nhs.uk/openathens&amp;entityID=https://idp.eng.nhs.uk/openathens&amp;T=JS&amp;NEWS=n&amp;CSC=Y&amp;PAGE=toc&amp;D=yrovft&amp;AN=01747083-000000000-00000</t>
  </si>
  <si>
    <t>https://ovidsp.ovid.com/rss/journals/00132588/current.rss</t>
  </si>
  <si>
    <t>2018-06-01 - 2022-03-01</t>
  </si>
  <si>
    <t>https://ovidsp.ovid.com/rss/journals/00130561/current.rss</t>
  </si>
  <si>
    <t>2022-03-08</t>
  </si>
  <si>
    <t/>
  </si>
  <si>
    <t>https://openathens.ovid.com/OAKeystone/deeplink?idpselect=https://idp.eng.nhs.uk/openathens&amp;entityID=https://idp.eng.nhs.uk/openathens&amp;T=JS&amp;NEWS=n&amp;CSC=Y&amp;PAGE=toc&amp;D=yrovft&amp;AN=00147124-000000000-00000</t>
  </si>
  <si>
    <t>Journal of Pediatric Orthopaedics</t>
  </si>
  <si>
    <t>Advances in Anatomic Pathology</t>
  </si>
  <si>
    <t>2022-05-18</t>
  </si>
  <si>
    <t>American College of Chest Physicians (Journals)</t>
  </si>
  <si>
    <t>Nephrology Dialysis Transplantation</t>
  </si>
  <si>
    <t>New Oxford Textbook of Psychiatry</t>
  </si>
  <si>
    <t>Emergency and Critical Care Medicine</t>
  </si>
  <si>
    <t>https://ovidsp.ovid.com/rss/journals/00075198/current.rss</t>
  </si>
  <si>
    <t>https://openathens.ovid.com/OAKeystone/deeplink?idpselect=https://idp.eng.nhs.uk/openathens&amp;entityID=https://idp.eng.nhs.uk/openathens&amp;T=JS&amp;NEWS=n&amp;CSC=Y&amp;PAGE=toc&amp;D=yrovft&amp;AN=00060793-000000000-00000</t>
  </si>
  <si>
    <t>EMBASE 1974 to 1979</t>
  </si>
  <si>
    <t>https://openathens.ovid.com/OAKeystone/deeplink?idpselect=https://idp.eng.nhs.uk/openathens&amp;entityID=https://idp.eng.nhs.uk/openathens&amp;T=JS&amp;NEWS=n&amp;CSC=Y&amp;PAGE=toc&amp;D=yrovft&amp;AN=00000101-000000000-00000</t>
  </si>
  <si>
    <t>2001-08-21</t>
  </si>
  <si>
    <t>https://openathens.ovid.com/OAKeystone/deeplink?idpselect=https://idp.eng.nhs.uk/openathens&amp;entityID=https://idp.eng.nhs.uk/openathens&amp;T=JS&amp;NEWS=n&amp;CSC=Y&amp;PAGE=toc&amp;D=yrovft&amp;AN=00132587-000000000-00000</t>
  </si>
  <si>
    <t>https://ovidsp.ovid.com/rss/journals/00061349/pap.rss</t>
  </si>
  <si>
    <t>2021-12-09</t>
  </si>
  <si>
    <t>https://openathens.ovid.com/OAKeystone/deeplink?idpselect=https://idp.eng.nhs.uk/openathens&amp;entityID=https://idp.eng.nhs.uk/openathens&amp;T=JS&amp;NEWS=n&amp;CSC=Y&amp;PAGE=main&amp;D=emexc</t>
  </si>
  <si>
    <t>https://ovidsp.ovid.com/rss/journals/00061198/current.rss</t>
  </si>
  <si>
    <t>2001-11-01 - 2010-01-01</t>
  </si>
  <si>
    <t>2012-01-01</t>
  </si>
  <si>
    <t>2691-171X</t>
  </si>
  <si>
    <t>1537-1905</t>
  </si>
  <si>
    <t>Nature Clinical Practice Gastroenterology &amp; Hepatology</t>
  </si>
  <si>
    <t>https://ovidsp.ovid.com/rss/journals/00129804/current.rss</t>
  </si>
  <si>
    <t>0741-5206</t>
  </si>
  <si>
    <t>1533-4058</t>
  </si>
  <si>
    <t>1359-5237</t>
  </si>
  <si>
    <t>https://openathens.ovid.com/OAKeystone/deeplink?idpselect=https://idp.eng.nhs.uk/openathens&amp;entityID=https://idp.eng.nhs.uk/openathens&amp;T=JS&amp;NEWS=n&amp;CSC=Y&amp;PAGE=toc&amp;D=yrovft&amp;AN=00005884-000000000-00000</t>
  </si>
  <si>
    <t>1061-5377</t>
  </si>
  <si>
    <t>DB List Title</t>
  </si>
  <si>
    <t>1559-4939</t>
  </si>
  <si>
    <t>0885-9167</t>
  </si>
  <si>
    <t>https://ovidsp.ovid.com/rss/journals/00042106/current.rss</t>
  </si>
  <si>
    <t>https://ovidsp.ovid.com/rss/journals/01183741/current.rss</t>
  </si>
  <si>
    <t>https://ovidsp.ovid.com/rss/journals/00000101/current.rss</t>
  </si>
  <si>
    <t>https://openathens.ovid.com/OAKeystone/deeplink?idpselect=https://idp.eng.nhs.uk/openathens&amp;entityID=https://idp.eng.nhs.uk/openathens&amp;T=JS&amp;NEWS=n&amp;CSC=Y&amp;PAGE=toc&amp;D=yrovft&amp;AN=02112946-000000000-00000</t>
  </si>
  <si>
    <t>2010-04-01</t>
  </si>
  <si>
    <t>1601-1848</t>
  </si>
  <si>
    <t>https://ovidsp.ovid.com/rss/journals/00005110/current.rss</t>
  </si>
  <si>
    <t>1534-4916</t>
  </si>
  <si>
    <t>Cell Proliferation</t>
  </si>
  <si>
    <t>Disaster Medicine &amp; Public Health Preparedness</t>
  </si>
  <si>
    <t>0745-2624</t>
  </si>
  <si>
    <t>2190-6009</t>
  </si>
  <si>
    <t>https://openathens.ovid.com/OAKeystone/deeplink?idpselect=https://idp.eng.nhs.uk/openathens&amp;entityID=https://idp.eng.nhs.uk/openathens&amp;T=JS&amp;NEWS=n&amp;CSC=Y&amp;PAGE=toc&amp;D=yrovft&amp;AN=00140068-000000000-00000</t>
  </si>
  <si>
    <t>https://ovidsp.ovid.com/rss/journals/00001774/pap.rss</t>
  </si>
  <si>
    <t>Journal of Spinal Disorders &amp; Techniques</t>
  </si>
  <si>
    <t>2003-03-03</t>
  </si>
  <si>
    <t>European Journal of Cancer Prevention</t>
  </si>
  <si>
    <t>0268-1080</t>
  </si>
  <si>
    <t>Journal of Perinatal &amp; Neonatal Nursing</t>
  </si>
  <si>
    <t>2007-09-01 - 2022-03-01</t>
  </si>
  <si>
    <t>Ovid MEDLINE(R) ALL &lt;1946 to May 25, 2022&gt;</t>
  </si>
  <si>
    <t>Epidemiology</t>
  </si>
  <si>
    <t>https://ovidsp.ovid.com/rss/journals/00005422/current.rss</t>
  </si>
  <si>
    <t>https://ovidsp.ovid.com/rss/journals/00005344/pap.rss</t>
  </si>
  <si>
    <t>1558-2035</t>
  </si>
  <si>
    <t>https://ovidsp.ovid.com/rss/journals/00003690/pap.rss</t>
  </si>
  <si>
    <t>https://ovidsp.ovid.com/rss/journals/00006396/pap.rss</t>
  </si>
  <si>
    <t>https://ovidsp.ovid.com/rss/journals/00004471/pap.rss</t>
  </si>
  <si>
    <t>2009-02-01 - 2010-01-01</t>
  </si>
  <si>
    <t>1530-0315</t>
  </si>
  <si>
    <t>0305-7453</t>
  </si>
  <si>
    <t>978-0-1992-1669-7</t>
  </si>
  <si>
    <t>Wound Care Made Incredibly Easy!</t>
  </si>
  <si>
    <t>2020-07-17</t>
  </si>
  <si>
    <t>1070-8022</t>
  </si>
  <si>
    <t>1556-6803</t>
  </si>
  <si>
    <t>https://ovidsp.ovid.com/rss/journals/01720097/current.rss</t>
  </si>
  <si>
    <t>Current Opinion in Orthopaedics</t>
  </si>
  <si>
    <t>International Journal of Nursing Practice</t>
  </si>
  <si>
    <t>https://ovidsp.ovid.com/rss/journals/00043605/current.rss</t>
  </si>
  <si>
    <t>https://ovidsp.ovid.com/rss/journals/00003017/current.rss</t>
  </si>
  <si>
    <t>https://openathens.ovid.com/OAKeystone/deeplink?idpselect=https://idp.eng.nhs.uk/openathens&amp;entityID=https://idp.eng.nhs.uk/openathens&amp;T=JS&amp;NEWS=n&amp;CSC=Y&amp;PAGE=toc&amp;D=yrovft&amp;AN=00126548-000000000-00000</t>
  </si>
  <si>
    <t>1-4051-7888-4</t>
  </si>
  <si>
    <t>Embase &lt;1974 to 1979&gt;</t>
  </si>
  <si>
    <t>Infants &amp; Young Children</t>
  </si>
  <si>
    <t>https://openathens.ovid.com/OAKeystone/deeplink?idpselect=https://idp.eng.nhs.uk/openathens&amp;entityID=https://idp.eng.nhs.uk/openathens&amp;T=JS&amp;NEWS=n&amp;CSC=Y&amp;PAGE=booktext&amp;D=books&amp;AN=02008465$&amp;XPATH=/PG(0)&amp;EPUB=Y</t>
  </si>
  <si>
    <t>https://openathens.ovid.com/OAKeystone/deeplink?idpselect=https://idp.eng.nhs.uk/openathens&amp;entityID=https://idp.eng.nhs.uk/openathens&amp;T=JS&amp;NEWS=n&amp;CSC=Y&amp;PAGE=booktext&amp;D=books&amp;AN=01979445$&amp;XPATH=/PG(0)&amp;EPUB=Y</t>
  </si>
  <si>
    <t>https://ovidsp.ovid.com/rss/journals/00045391/current.rss</t>
  </si>
  <si>
    <t>0195-668X</t>
  </si>
  <si>
    <t>https://openathens.ovid.com/OAKeystone/deeplink?idpselect=https://idp.eng.nhs.uk/openathens&amp;entityID=https://idp.eng.nhs.uk/openathens&amp;T=JS&amp;NEWS=n&amp;CSC=Y&amp;PAGE=toc&amp;D=yrovft&amp;AN=00001163-000000000-00000</t>
  </si>
  <si>
    <t>https://ovidsp.ovid.com/rss/journals/00075484/current.rss</t>
  </si>
  <si>
    <t>https://ovidsp.ovid.com/rss/journals/01244664/current.rss</t>
  </si>
  <si>
    <t>1745-8366</t>
  </si>
  <si>
    <t>4th_Edition</t>
  </si>
  <si>
    <t>1474-3329</t>
  </si>
  <si>
    <t>EMBASE 1980 to 1987</t>
  </si>
  <si>
    <t>2002-02-01 - 2010-04-01</t>
  </si>
  <si>
    <t>https://openathens.ovid.com/OAKeystone/deeplink?idpselect=https://idp.eng.nhs.uk/openathens&amp;entityID=https://idp.eng.nhs.uk/openathens&amp;T=JS&amp;NEWS=n&amp;CSC=Y&amp;PAGE=main&amp;D=emed18</t>
  </si>
  <si>
    <t>1524-9557</t>
  </si>
  <si>
    <t>https://openathens.ovid.com/OAKeystone/deeplink?idpselect=https://idp.eng.nhs.uk/openathens&amp;entityID=https://idp.eng.nhs.uk/openathens&amp;T=JS&amp;NEWS=n&amp;CSC=Y&amp;PAGE=toc&amp;D=yrovft&amp;AN=00024720-000000000-00000</t>
  </si>
  <si>
    <t>United European Gastroenterology Journal</t>
  </si>
  <si>
    <t>https://ovidsp.ovid.com/rss/journals/00002423/current.rss</t>
  </si>
  <si>
    <t>https://ovidsp.ovid.com/rss/journals/00132578/current.rss</t>
  </si>
  <si>
    <t>Innovations: Technology and Techniques in Cardiothoracic and Vascular Surgery</t>
  </si>
  <si>
    <t>https://ovidsp.ovid.com/rss/journals/00130747/current.rss</t>
  </si>
  <si>
    <t>https://ovidsp.ovid.com/rss/journals/02054256/current.rss</t>
  </si>
  <si>
    <t>https://openathens.ovid.com/OAKeystone/deeplink?idpselect=https://idp.eng.nhs.uk/openathens&amp;entityID=https://idp.eng.nhs.uk/openathens&amp;T=JS&amp;NEWS=n&amp;CSC=Y&amp;PAGE=toc&amp;D=yrovft&amp;AN=01445407-000000000-00000</t>
  </si>
  <si>
    <t>https://ovidsp.ovid.com/rss/journals/00001837/pap.rss</t>
  </si>
  <si>
    <t>0957-5235</t>
  </si>
  <si>
    <t>https://ovidsp.ovid.com/rss/journals/00002257/current.rss</t>
  </si>
  <si>
    <t>International Drug Therapy Newsletter</t>
  </si>
  <si>
    <t>978-1-9018-3117-7</t>
  </si>
  <si>
    <t>2022-05-24</t>
  </si>
  <si>
    <t>Current Opinion in Neurology</t>
  </si>
  <si>
    <t>Multiple</t>
  </si>
  <si>
    <t>https://openathens.ovid.com/OAKeystone/deeplink?idpselect=https://idp.eng.nhs.uk/openathens&amp;entityID=https://idp.eng.nhs.uk/openathens&amp;T=JS&amp;NEWS=n&amp;CSC=Y&amp;PAGE=main&amp;D=prem6</t>
  </si>
  <si>
    <t>2022-04-13</t>
  </si>
  <si>
    <t>2021-07-30 - 2022-05-24</t>
  </si>
  <si>
    <t>https://openathens.ovid.com/OAKeystone/deeplink?idpselect=https://idp.eng.nhs.uk/openathens&amp;entityID=https://idp.eng.nhs.uk/openathens&amp;T=JS&amp;NEWS=n&amp;CSC=Y&amp;PAGE=toc&amp;D=yrovft&amp;AN=01861735-000000000-00000</t>
  </si>
  <si>
    <t>1537-1603</t>
  </si>
  <si>
    <t>978-0-3409-8194-8</t>
  </si>
  <si>
    <t>Men in Nursing</t>
  </si>
  <si>
    <t>JAMA Network Open</t>
  </si>
  <si>
    <t>https://ovidsp.ovid.com/rss/journals/00008563/current.rss</t>
  </si>
  <si>
    <t>1674-2788</t>
  </si>
  <si>
    <t>0-1992-1669-X</t>
  </si>
  <si>
    <t>Topics in Clinical Nutrition</t>
  </si>
  <si>
    <t>HLRP: Health Literacy Research and Practice</t>
  </si>
  <si>
    <t>0361-929X</t>
  </si>
  <si>
    <t>https://ovidsp.ovid.com/rss/journals/00029330/pap.rss</t>
  </si>
  <si>
    <t>https://ovidsp.ovid.com/rss/journals/01241398/current.rss</t>
  </si>
  <si>
    <t>https://ovidsp.ovid.com/rss/journals/00043605/pap.rss</t>
  </si>
  <si>
    <t>https://ovidsp.ovid.com/rss/journals/01312070/current.rss</t>
  </si>
  <si>
    <t>2766-3604</t>
  </si>
  <si>
    <t>0586-7614</t>
  </si>
  <si>
    <t>https://openathens.ovid.com/OAKeystone/deeplink?idpselect=https://idp.eng.nhs.uk/openathens&amp;entityID=https://idp.eng.nhs.uk/openathens&amp;T=JS&amp;NEWS=n&amp;CSC=Y&amp;PAGE=toc&amp;D=yrovft&amp;AN=00007611-000000000-00000</t>
  </si>
  <si>
    <t>2001-07-06</t>
  </si>
  <si>
    <t>https://ovidsp.ovid.com/rss/journals/01949573/current.rss</t>
  </si>
  <si>
    <t>0003-4932</t>
  </si>
  <si>
    <t>https://ovidsp.ovid.com/rss/journals/00003012/pap.rss</t>
  </si>
  <si>
    <t>https://openathens.ovid.com/OAKeystone/deeplink?idpselect=https://idp.eng.nhs.uk/openathens&amp;entityID=https://idp.eng.nhs.uk/openathens&amp;T=JS&amp;NEWS=n&amp;CSC=Y&amp;PAGE=toc&amp;D=yrovft&amp;AN=00000446-000000000-00000</t>
  </si>
  <si>
    <t>2211-5463</t>
  </si>
  <si>
    <t>International Journal of Women’s Dermatology</t>
  </si>
  <si>
    <t>https://openathens.ovid.com/OAKeystone/deeplink?idpselect=https://idp.eng.nhs.uk/openathens&amp;entityID=https://idp.eng.nhs.uk/openathens&amp;T=JS&amp;NEWS=n&amp;CSC=Y&amp;PAGE=toc&amp;D=yrovft&amp;AN=00001721-000000000-00000</t>
  </si>
  <si>
    <t>1-9018-3109-4</t>
  </si>
  <si>
    <t>1932-8095</t>
  </si>
  <si>
    <t>https://ovidsp.ovid.com/rss/journals/02039743/current.rss</t>
  </si>
  <si>
    <t>Clinical Diabetes</t>
  </si>
  <si>
    <t>https://ovidsp.ovid.com/rss/journals/00042737/pap.rss</t>
  </si>
  <si>
    <t>2001-08-01 - 2008-12-01</t>
  </si>
  <si>
    <t>0066-0833</t>
  </si>
  <si>
    <t>2009-02-01</t>
  </si>
  <si>
    <t>https://openathens.ovid.com/OAKeystone/deeplink?idpselect=https://idp.eng.nhs.uk/openathens&amp;entityID=https://idp.eng.nhs.uk/openathens&amp;T=JS&amp;NEWS=n&amp;CSC=Y&amp;PAGE=toc&amp;D=yrovft&amp;AN=02003425-000000000-00000</t>
  </si>
  <si>
    <t>https://openathens.ovid.com/OAKeystone/deeplink?idpselect=https://idp.eng.nhs.uk/openathens&amp;entityID=https://idp.eng.nhs.uk/openathens&amp;T=JS&amp;NEWS=n&amp;CSC=Y&amp;PAGE=main&amp;D=emca2</t>
  </si>
  <si>
    <t>0953-8178</t>
  </si>
  <si>
    <t>1-5825-5555-9</t>
  </si>
  <si>
    <t>https://ovidsp.ovid.com/rss/journals/00045413/current.rss</t>
  </si>
  <si>
    <t>2006-09-01</t>
  </si>
  <si>
    <t>https://openathens.ovid.com/OAKeystone/deeplink?idpselect=https://idp.eng.nhs.uk/openathens&amp;entityID=https://idp.eng.nhs.uk/openathens&amp;T=JS&amp;NEWS=n&amp;CSC=Y&amp;PAGE=toc&amp;D=yrovft&amp;AN=00132582-000000000-00000</t>
  </si>
  <si>
    <t>Evidence-Based Gastroenterology</t>
  </si>
  <si>
    <t>https://openathens.ovid.com/OAKeystone/deeplink?idpselect=https://idp.eng.nhs.uk/openathens&amp;entityID=https://idp.eng.nhs.uk/openathens&amp;T=JS&amp;NEWS=n&amp;CSC=Y&amp;PAGE=toc&amp;D=yrovft&amp;AN=01253100-000000000-00000</t>
  </si>
  <si>
    <t>https://ovidsp.ovid.com/rss/journals/01445447/pap.rss</t>
  </si>
  <si>
    <t>2016-10-01</t>
  </si>
  <si>
    <t>https://openathens.ovid.com/OAKeystone/deeplink?idpselect=https://idp.eng.nhs.uk/openathens&amp;entityID=https://idp.eng.nhs.uk/openathens&amp;T=JS&amp;NEWS=n&amp;CSC=Y&amp;PAGE=toc&amp;D=yrovft&amp;AN=02186222-000000000-00000</t>
  </si>
  <si>
    <t>2003-03-01</t>
  </si>
  <si>
    <t>https://openathens.ovid.com/OAKeystone/deeplink?idpselect=https://idp.eng.nhs.uk/openathens&amp;entityID=https://idp.eng.nhs.uk/openathens&amp;T=JS&amp;NEWS=n&amp;CSC=Y&amp;PAGE=toc&amp;D=yrovft&amp;AN=01271255-000000000-00000</t>
  </si>
  <si>
    <t>Neurosurgery</t>
  </si>
  <si>
    <t>https://ovidsp.ovid.com/rss/journals/00124743/current.rss</t>
  </si>
  <si>
    <t>https://openathens.ovid.com/OAKeystone/deeplink?idpselect=https://idp.eng.nhs.uk/openathens&amp;entityID=https://idp.eng.nhs.uk/openathens&amp;T=JS&amp;NEWS=n&amp;CSC=Y&amp;PAGE=main&amp;D=med10</t>
  </si>
  <si>
    <t>2022-03-30</t>
  </si>
  <si>
    <t>2007-07-01 - 2022-04-01</t>
  </si>
  <si>
    <t>https://ovidsp.ovid.com/rss/journals/00134745/pap.rss</t>
  </si>
  <si>
    <t>2001-01-01 - 2010-04-25</t>
  </si>
  <si>
    <t>2003-01-01 - 2004-10-01</t>
  </si>
  <si>
    <t>Royal Society of Medicine Press</t>
  </si>
  <si>
    <t>https://openathens.ovid.com/OAKeystone/deeplink?idpselect=https://idp.eng.nhs.uk/openathens&amp;entityID=https://idp.eng.nhs.uk/openathens&amp;T=JS&amp;NEWS=n&amp;CSC=Y&amp;PAGE=main&amp;D=med3</t>
  </si>
  <si>
    <t>https://ovidsp.ovid.com/rss/journals/00005178/pap.rss</t>
  </si>
  <si>
    <t>1743-4297</t>
  </si>
  <si>
    <t>2001-06-01 - 2015-03-01</t>
  </si>
  <si>
    <t>2014-03-01 - 2022-05-01</t>
  </si>
  <si>
    <t>https://openathens.ovid.com/OAKeystone/deeplink?idpselect=https://idp.eng.nhs.uk/openathens&amp;entityID=https://idp.eng.nhs.uk/openathens&amp;T=JS&amp;NEWS=n&amp;CSC=Y&amp;PAGE=toc&amp;D=yrovft&amp;AN=01238502-000000000-00000</t>
  </si>
  <si>
    <t>https://ovidsp.ovid.com/rss/journals/00002030/current.rss</t>
  </si>
  <si>
    <t>2001-07-01 - 2010-03-01</t>
  </si>
  <si>
    <t>https://ovidsp.ovid.com/rss/journals/00003226/pap.rss</t>
  </si>
  <si>
    <t>https://openathens.ovid.com/OAKeystone/deeplink?idpselect=https://idp.eng.nhs.uk/openathens&amp;entityID=https://idp.eng.nhs.uk/openathens&amp;T=JS&amp;NEWS=n&amp;CSC=Y&amp;PAGE=toc&amp;D=yrovft&amp;AN=00003628-000000000-00000</t>
  </si>
  <si>
    <t>Nutrition &amp; the M.D.</t>
  </si>
  <si>
    <t>https://openathens.ovid.com/OAKeystone/deeplink?idpselect=https://idp.eng.nhs.uk/openathens&amp;entityID=https://idp.eng.nhs.uk/openathens&amp;T=JS&amp;NEWS=n&amp;CSC=Y&amp;PAGE=toc&amp;D=yrovft&amp;AN=02039743-000000000-00000</t>
  </si>
  <si>
    <t>Infectious Microbes and Diseases</t>
  </si>
  <si>
    <t>https://openathens.ovid.com/OAKeystone/deeplink?idpselect=https://idp.eng.nhs.uk/openathens&amp;entityID=https://idp.eng.nhs.uk/openathens&amp;T=JS&amp;NEWS=n&amp;CSC=Y&amp;PAGE=toc&amp;D=yrovft&amp;AN=00008480-000000000-00000</t>
  </si>
  <si>
    <t>https://openathens.ovid.com/OAKeystone/deeplink?idpselect=https://idp.eng.nhs.uk/openathens&amp;entityID=https://idp.eng.nhs.uk/openathens&amp;T=JS&amp;NEWS=n&amp;CSC=Y&amp;PAGE=toc&amp;D=yrovft&amp;AN=00005176-000000000-00000</t>
  </si>
  <si>
    <t>https://openathens.ovid.com/OAKeystone/deeplink?idpselect=https://idp.eng.nhs.uk/openathens&amp;entityID=https://idp.eng.nhs.uk/openathens&amp;T=JS&amp;NEWS=n&amp;CSC=Y&amp;PAGE=toc&amp;D=yrovft&amp;AN=00153307-000000000-00000</t>
  </si>
  <si>
    <t>The American Board of Family Medicine</t>
  </si>
  <si>
    <t>Nature Clinical Practice Nephrology</t>
  </si>
  <si>
    <t>https://openathens.ovid.com/OAKeystone/deeplink?idpselect=https://idp.eng.nhs.uk/openathens&amp;entityID=https://idp.eng.nhs.uk/openathens&amp;T=JS&amp;NEWS=n&amp;CSC=Y&amp;PAGE=toc&amp;D=yrovft&amp;AN=01429651-000000000-00000</t>
  </si>
  <si>
    <t>Clinical Orthopaedics &amp; Related Research</t>
  </si>
  <si>
    <t>1535-282X</t>
  </si>
  <si>
    <t>EMBASE 2016</t>
  </si>
  <si>
    <t>https://openathens.ovid.com/OAKeystone/deeplink?idpselect=https://idp.eng.nhs.uk/openathens&amp;entityID=https://idp.eng.nhs.uk/openathens&amp;T=JS&amp;NEWS=n&amp;CSC=Y&amp;PAGE=toc&amp;D=yrovft&amp;AN=00005131-000000000-00000</t>
  </si>
  <si>
    <t>https://ovidsp.ovid.com/rss/journals/00132582/current.rss</t>
  </si>
  <si>
    <t>https://ovidsp.ovid.com/rss/journals/00063413/current.rss</t>
  </si>
  <si>
    <t>Physician Assistant</t>
  </si>
  <si>
    <t>Australian and New Zealand Journal of Public Health</t>
  </si>
  <si>
    <t>0141-0768</t>
  </si>
  <si>
    <t>1079-4220</t>
  </si>
  <si>
    <t>0362-2436</t>
  </si>
  <si>
    <t>https://ovidsp.ovid.com/rss/journals/01273293/pap.rss</t>
  </si>
  <si>
    <t>https://openathens.ovid.com/OAKeystone/deeplink?idpselect=https://idp.eng.nhs.uk/openathens&amp;entityID=https://idp.eng.nhs.uk/openathens&amp;T=JS&amp;NEWS=n&amp;CSC=Y&amp;PAGE=toc&amp;D=yrovft&amp;AN=00003856-000000000-00000</t>
  </si>
  <si>
    <t>https://openathens.ovid.com/OAKeystone/deeplink?idpselect=https://idp.eng.nhs.uk/openathens&amp;entityID=https://idp.eng.nhs.uk/openathens&amp;T=JS&amp;NEWS=n&amp;CSC=Y&amp;PAGE=toc&amp;D=yrovft&amp;AN=00004010-000000000-00000</t>
  </si>
  <si>
    <t>0300-5771</t>
  </si>
  <si>
    <t>Medical Law Review</t>
  </si>
  <si>
    <t>https://openathens.ovid.com/OAKeystone/deeplink?idpselect=https://idp.eng.nhs.uk/openathens&amp;entityID=https://idp.eng.nhs.uk/openathens&amp;T=JS&amp;NEWS=n&amp;CSC=Y&amp;PAGE=toc&amp;D=yrovft&amp;AN=00044029-000000000-00000</t>
  </si>
  <si>
    <t>Oxford Textbook of Psychotherapy</t>
  </si>
  <si>
    <t>Current Opinion in Oncology</t>
  </si>
  <si>
    <t>https://openathens.ovid.com/OAKeystone/deeplink?idpselect=https://idp.eng.nhs.uk/openathens&amp;entityID=https://idp.eng.nhs.uk/openathens&amp;T=JS&amp;NEWS=n&amp;CSC=Y&amp;PAGE=toc&amp;D=yrovft&amp;AN=00256406-000000000-00000</t>
  </si>
  <si>
    <t>https://ovidsp.ovid.com/rss/journals/00001888/current.rss</t>
  </si>
  <si>
    <t>Journal of the Royal Society of Medicine</t>
  </si>
  <si>
    <t>https://ovidsp.ovid.com/rss/journals/00129492/pap.rss</t>
  </si>
  <si>
    <t>https://ovidsp.ovid.com/rss/journals/00005721/pap.rss</t>
  </si>
  <si>
    <t>https://openathens.ovid.com/OAKeystone/deeplink?idpselect=https://idp.eng.nhs.uk/openathens&amp;entityID=https://idp.eng.nhs.uk/openathens&amp;T=JS&amp;NEWS=n&amp;CSC=Y&amp;PAGE=main&amp;D=pmnm3</t>
  </si>
  <si>
    <t>https://ovidsp.ovid.com/rss/journals/00001604/current.rss</t>
  </si>
  <si>
    <t>2007-02-01 - 2007-07-01</t>
  </si>
  <si>
    <t>https://ovidsp.ovid.com/rss/journals/00060989/pap.rss</t>
  </si>
  <si>
    <t>https://openathens.ovid.com/OAKeystone/deeplink?idpselect=https://idp.eng.nhs.uk/openathens&amp;entityID=https://idp.eng.nhs.uk/openathens&amp;T=JS&amp;NEWS=n&amp;CSC=Y&amp;PAGE=toc&amp;D=yrovft&amp;AN=00013542-000000000-00000</t>
  </si>
  <si>
    <t>JCO Global Oncology</t>
  </si>
  <si>
    <t>https://ovidsp.ovid.com/rss/journals/00003677/current.rss</t>
  </si>
  <si>
    <t>1-4511-0047-7</t>
  </si>
  <si>
    <t>Infectious Diseases &amp; Immunity</t>
  </si>
  <si>
    <t>2096-3726</t>
  </si>
  <si>
    <t>OVIDSP</t>
  </si>
  <si>
    <t>American Medical Association</t>
  </si>
  <si>
    <t>2002-03-15 - 2010-01-01</t>
  </si>
  <si>
    <t>1521-737X</t>
  </si>
  <si>
    <t>https://openathens.ovid.com/OAKeystone/deeplink?idpselect=https://idp.eng.nhs.uk/openathens&amp;entityID=https://idp.eng.nhs.uk/openathens&amp;T=JS&amp;NEWS=n&amp;CSC=Y&amp;PAGE=toc&amp;D=yrovft&amp;AN=00152193-000000000-00000</t>
  </si>
  <si>
    <t>Publisher</t>
  </si>
  <si>
    <t>https://ovidsp.ovid.com/rss/journals/00001857/current.rss</t>
  </si>
  <si>
    <t>0885-3177</t>
  </si>
  <si>
    <t>0007-1420</t>
  </si>
  <si>
    <t>2008-04-01 - 2010-03-01</t>
  </si>
  <si>
    <t>https://ovidsp.ovid.com/rss/journals/00132981/current.rss</t>
  </si>
  <si>
    <t>1068-3097</t>
  </si>
  <si>
    <t>2003-05-01 - 2004-01-01</t>
  </si>
  <si>
    <t>British Library Board/England</t>
  </si>
  <si>
    <t>https://openathens.ovid.com/OAKeystone/deeplink?idpselect=https://idp.eng.nhs.uk/openathens&amp;entityID=https://idp.eng.nhs.uk/openathens&amp;T=JS&amp;NEWS=n&amp;CSC=Y&amp;PAGE=toc&amp;D=yrovft&amp;AN=01412507-000000000-00000</t>
  </si>
  <si>
    <t>2007-11-01 - 2010-04-01</t>
  </si>
  <si>
    <t>2020-07-17 - 2022-05-25</t>
  </si>
  <si>
    <t>1742-8009</t>
  </si>
  <si>
    <t>1089-3393</t>
  </si>
  <si>
    <t>2096-5672</t>
  </si>
  <si>
    <t>2010-04-25</t>
  </si>
  <si>
    <t>https://ovidsp.ovid.com/rss/journals/00006565/current.rss</t>
  </si>
  <si>
    <t>1538-2990</t>
  </si>
  <si>
    <t>2007-02-01</t>
  </si>
  <si>
    <t>https://openathens.ovid.com/OAKeystone/deeplink?idpselect=https://idp.eng.nhs.uk/openathens&amp;entityID=https://idp.eng.nhs.uk/openathens&amp;T=JS&amp;NEWS=n&amp;CSC=Y&amp;PAGE=toc&amp;D=yrovft&amp;AN=00149078-000000000-00000</t>
  </si>
  <si>
    <t>https://openathens.ovid.com/OAKeystone/deeplink?idpselect=https://idp.eng.nhs.uk/openathens&amp;entityID=https://idp.eng.nhs.uk/openathens&amp;T=JS&amp;NEWS=n&amp;CSC=Y&amp;PAGE=toc&amp;D=yrovft&amp;AN=00130989-000000000-00000</t>
  </si>
  <si>
    <t>2009-03-01</t>
  </si>
  <si>
    <t>https://ovidsp.ovid.com/rss/journals/01198282/current.rss</t>
  </si>
  <si>
    <t>2021-06-01 - 2022-04-01</t>
  </si>
  <si>
    <t>https://openathens.ovid.com/OAKeystone/deeplink?idpselect=https://idp.eng.nhs.uk/openathens&amp;entityID=https://idp.eng.nhs.uk/openathens&amp;T=JS&amp;NEWS=n&amp;CSC=Y&amp;PAGE=toc&amp;D=yrovft&amp;AN=00000421-000000000-00000</t>
  </si>
  <si>
    <t>1550-512X</t>
  </si>
  <si>
    <t>https://ovidsp.ovid.com/rss/journals/02186220/current.rss</t>
  </si>
  <si>
    <t>2007-09-01</t>
  </si>
  <si>
    <t>https://ovidsp.ovid.com/rss/journals/00042752/pap.rss</t>
  </si>
  <si>
    <t>Maternal and Child Nutrition</t>
  </si>
  <si>
    <t>https://openathens.ovid.com/OAKeystone/deeplink?idpselect=https://idp.eng.nhs.uk/openathens&amp;entityID=https://idp.eng.nhs.uk/openathens&amp;T=JS&amp;NEWS=n&amp;CSC=Y&amp;PAGE=toc&amp;D=yrovft&amp;AN=00133323-000000000-00000</t>
  </si>
  <si>
    <t>1524-4571</t>
  </si>
  <si>
    <t>1460-2377</t>
  </si>
  <si>
    <t>Current Opinion in Nephrology &amp; Hypertension</t>
  </si>
  <si>
    <t>https://openathens.ovid.com/OAKeystone/deeplink?idpselect=https://idp.eng.nhs.uk/openathens&amp;entityID=https://idp.eng.nhs.uk/openathens&amp;T=JS&amp;NEWS=n&amp;CSC=Y&amp;PAGE=main&amp;D=amed</t>
  </si>
  <si>
    <t>0033-3174</t>
  </si>
  <si>
    <t>Biomedical Safety &amp; Standards</t>
  </si>
  <si>
    <t>Blood Pressure Monitoring</t>
  </si>
  <si>
    <t>https://ovidsp.ovid.com/rss/journals/00029447/current.rss</t>
  </si>
  <si>
    <t>https://openathens.ovid.com/OAKeystone/deeplink?idpselect=https://idp.eng.nhs.uk/openathens&amp;entityID=https://idp.eng.nhs.uk/openathens&amp;T=JS&amp;NEWS=n&amp;CSC=Y&amp;PAGE=toc&amp;D=yrovft&amp;AN=00001433-000000000-00000</t>
  </si>
  <si>
    <t>Plastic &amp; Reconstructive Surgery</t>
  </si>
  <si>
    <t>https://ovidsp.ovid.com/rss/journals/00004624/current.rss</t>
  </si>
  <si>
    <t>0273-8481</t>
  </si>
  <si>
    <t>2005-04-01 - 2010-01-01</t>
  </si>
  <si>
    <t>Addictive Disorders &amp; Their Treatment</t>
  </si>
  <si>
    <t>https://openathens.ovid.com/OAKeystone/deeplink?idpselect=https://idp.eng.nhs.uk/openathens&amp;entityID=https://idp.eng.nhs.uk/openathens&amp;T=JS&amp;NEWS=n&amp;CSC=Y&amp;PAGE=toc&amp;D=yrovft&amp;AN=00004650-000000000-00000</t>
  </si>
  <si>
    <t>1943-0701</t>
  </si>
  <si>
    <t>https://ovidsp.ovid.com/rss/journals/00000372/pap.rss</t>
  </si>
  <si>
    <t>https://ovidsp.ovid.com/rss/journals/01241330/current.rss</t>
  </si>
  <si>
    <t>2007-03-01 - 2010-03-01</t>
  </si>
  <si>
    <t>1536-5395</t>
  </si>
  <si>
    <t>1-9018-3122-1</t>
  </si>
  <si>
    <t>Journal of Cataract and Refractive Surgery Online Case Reports</t>
  </si>
  <si>
    <t>https://ovidsp.ovid.com/rss/journals/00128594/current.rss</t>
  </si>
  <si>
    <t>2003-09-01 - 2010-05-01</t>
  </si>
  <si>
    <t>1539-3704</t>
  </si>
  <si>
    <t>0009-921X</t>
  </si>
  <si>
    <t>0890-8567</t>
  </si>
  <si>
    <t>12th_Edition</t>
  </si>
  <si>
    <t>Veterinary Record Open</t>
  </si>
  <si>
    <t>Molecular Human Reproduction</t>
  </si>
  <si>
    <t>2691-3895</t>
  </si>
  <si>
    <t>https://ovidsp.ovid.com/rss/journals/02238396/current.rss</t>
  </si>
  <si>
    <t>https://ovidsp.ovid.com/rss/journals/00042192/current.rss</t>
  </si>
  <si>
    <t>https://openathens.ovid.com/OAKeystone/deeplink?idpselect=https://idp.eng.nhs.uk/openathens&amp;entityID=https://idp.eng.nhs.uk/openathens&amp;T=JS&amp;NEWS=n&amp;CSC=Y&amp;PAGE=toc&amp;D=yrovft&amp;AN=00002820-000000000-00000</t>
  </si>
  <si>
    <t>4B</t>
  </si>
  <si>
    <t>https://openathens.ovid.com/OAKeystone/deeplink?idpselect=https://idp.eng.nhs.uk/openathens&amp;entityID=https://idp.eng.nhs.uk/openathens&amp;T=JS&amp;NEWS=n&amp;CSC=Y&amp;PAGE=toc&amp;D=yrovft&amp;AN=00003845-000000000-00000</t>
  </si>
  <si>
    <t>Journal of Neuro-Ophthalmology</t>
  </si>
  <si>
    <t>https://ovidsp.ovid.com/rss/journals/00002508/pap.rss</t>
  </si>
  <si>
    <t>2015-06-01 - 2019-01-01</t>
  </si>
  <si>
    <t>https://ovidsp.ovid.com/rss/journals/00007489/current.rss</t>
  </si>
  <si>
    <t>https://openathens.ovid.com/OAKeystone/deeplink?idpselect=https://idp.eng.nhs.uk/openathens&amp;entityID=https://idp.eng.nhs.uk/openathens&amp;T=JS&amp;NEWS=n&amp;CSC=Y&amp;PAGE=toc&amp;D=yrovft&amp;AN=02054633-000000000-00000</t>
  </si>
  <si>
    <t>2015-03-01</t>
  </si>
  <si>
    <t>0142-6338</t>
  </si>
  <si>
    <t>Pubmed-not-MEDLINE 2017 to 2019</t>
  </si>
  <si>
    <t>1365-2346</t>
  </si>
  <si>
    <t>https://openathens.ovid.com/OAKeystone/deeplink?idpselect=https://idp.eng.nhs.uk/openathens&amp;entityID=https://idp.eng.nhs.uk/openathens&amp;T=JS&amp;NEWS=n&amp;CSC=Y&amp;PAGE=main&amp;D=med9</t>
  </si>
  <si>
    <t>978-0-4709-9795-6</t>
  </si>
  <si>
    <t>2001-09-01 - 2015-03-01</t>
  </si>
  <si>
    <t>https://ovidsp.ovid.com/rss/journals/00054725/pap.rss</t>
  </si>
  <si>
    <t>Ovid Emcare 2021 to Present</t>
  </si>
  <si>
    <t>Journal of Geriatric Physical Therapy</t>
  </si>
  <si>
    <t>0167-594X</t>
  </si>
  <si>
    <t>https://openathens.ovid.com/OAKeystone/deeplink?idpselect=https://idp.eng.nhs.uk/openathens&amp;entityID=https://idp.eng.nhs.uk/openathens&amp;T=JS&amp;NEWS=n&amp;CSC=Y&amp;PAGE=toc&amp;D=yrovft&amp;AN=01253085-000000000-00000</t>
  </si>
  <si>
    <t>1996-02-01 - 2022-03-01</t>
  </si>
  <si>
    <t>https://ovidsp.ovid.com/rss/journals/00000465/current.rss</t>
  </si>
  <si>
    <t>2010-01-01 - 2010-03-01</t>
  </si>
  <si>
    <t>https://ovidsp.ovid.com/rss/journals/00002405/current.rss</t>
  </si>
  <si>
    <t>1044-3983</t>
  </si>
  <si>
    <t>8750-7544</t>
  </si>
  <si>
    <t>https://openathens.ovid.com/OAKeystone/deeplink?idpselect=https://idp.eng.nhs.uk/openathens&amp;entityID=https://idp.eng.nhs.uk/openathens&amp;T=JS&amp;NEWS=n&amp;CSC=Y&amp;PAGE=toc&amp;D=yrovft&amp;AN=00129689-000000000-00000</t>
  </si>
  <si>
    <t>1-4987-5756-1</t>
  </si>
  <si>
    <t>https://ovidsp.ovid.com/rss/journals/01949578/current.rss</t>
  </si>
  <si>
    <t>2005-12-01</t>
  </si>
  <si>
    <t>https://openathens.ovid.com/OAKeystone/deeplink?idpselect=https://idp.eng.nhs.uk/openathens&amp;entityID=https://idp.eng.nhs.uk/openathens&amp;T=JS&amp;NEWS=n&amp;CSC=Y&amp;PAGE=toc&amp;D=yrovft&amp;AN=00006203-000000000-00000</t>
  </si>
  <si>
    <t>2018-06-01</t>
  </si>
  <si>
    <t>1751-4258</t>
  </si>
  <si>
    <t>Current Opinion in Ophthalmology</t>
  </si>
  <si>
    <t>1945-760X</t>
  </si>
  <si>
    <t>2001-01-01 - 2013-01-01</t>
  </si>
  <si>
    <t>https://ovidsp.ovid.com/rss/journals/02249956/current.rss</t>
  </si>
  <si>
    <t>American Diabetes Association</t>
  </si>
  <si>
    <t>Clinical Nuclear Medicine</t>
  </si>
  <si>
    <t>https://openathens.ovid.com/OAKeystone/deeplink?idpselect=https://idp.eng.nhs.uk/openathens&amp;entityID=https://idp.eng.nhs.uk/openathens&amp;T=JS&amp;NEWS=n&amp;CSC=Y&amp;PAGE=toc&amp;D=yrovft&amp;AN=00010658-000000000-00000</t>
  </si>
  <si>
    <t>https://openathens.ovid.com/OAKeystone/deeplink?idpselect=https://idp.eng.nhs.uk/openathens&amp;entityID=https://idp.eng.nhs.uk/openathens&amp;T=JS&amp;NEWS=n&amp;CSC=Y&amp;PAGE=main&amp;D=mezz</t>
  </si>
  <si>
    <t>2020-11-01 - 2022-05-25</t>
  </si>
  <si>
    <t>2013-01-01</t>
  </si>
  <si>
    <t>2018-01-01 - 2022-05-01</t>
  </si>
  <si>
    <t>2015-06-01</t>
  </si>
  <si>
    <t>2012-01-01 - 2015-04-01</t>
  </si>
  <si>
    <t>2020-09-01</t>
  </si>
  <si>
    <t>https://ovidsp.ovid.com/rss/journals/00004397/current.rss</t>
  </si>
  <si>
    <t>https://openathens.ovid.com/OAKeystone/deeplink?idpselect=https://idp.eng.nhs.uk/openathens&amp;entityID=https://idp.eng.nhs.uk/openathens&amp;T=JS&amp;NEWS=n&amp;CSC=Y&amp;PAGE=toc&amp;D=yrovft&amp;AN=00042871-000000000-00000</t>
  </si>
  <si>
    <t>Journal of Medical Microbiology</t>
  </si>
  <si>
    <t>1533-3973</t>
  </si>
  <si>
    <t>Investigative Radiology</t>
  </si>
  <si>
    <t>1527-4160</t>
  </si>
  <si>
    <t>2022-05-10</t>
  </si>
  <si>
    <t>0012-3692</t>
  </si>
  <si>
    <t>https://ovidsp.ovid.com/rss/journals/00001504/pap.rss</t>
  </si>
  <si>
    <t>0964-6906</t>
  </si>
  <si>
    <t>1559-0879</t>
  </si>
  <si>
    <t>1465-4644</t>
  </si>
  <si>
    <t>https://openathens.ovid.com/OAKeystone/deeplink?idpselect=https://idp.eng.nhs.uk/openathens&amp;entityID=https://idp.eng.nhs.uk/openathens&amp;T=JS&amp;NEWS=n&amp;CSC=Y&amp;PAGE=booktext&amp;D=books&amp;AN=01438577$&amp;XPATH=/PG(0)&amp;EPUB=Y</t>
  </si>
  <si>
    <t>https://ovidsp.ovid.com/rss/journals/00044067/current.rss</t>
  </si>
  <si>
    <t>1363-1950</t>
  </si>
  <si>
    <t>https://openathens.ovid.com/OAKeystone/deeplink?idpselect=https://idp.eng.nhs.uk/openathens&amp;entityID=https://idp.eng.nhs.uk/openathens&amp;T=JS&amp;NEWS=n&amp;CSC=Y&amp;PAGE=toc&amp;D=yrovft&amp;AN=00002953-000000000-00000</t>
  </si>
  <si>
    <t>https://ovidsp.ovid.com/rss/journals/00152232/current.rss</t>
  </si>
  <si>
    <t>0-3409-6833-8</t>
  </si>
  <si>
    <t>1535-1122</t>
  </si>
  <si>
    <t>1535-1815</t>
  </si>
  <si>
    <t>Journal of Patient Safety</t>
  </si>
  <si>
    <t>https://openathens.ovid.com/OAKeystone/deeplink?idpselect=https://idp.eng.nhs.uk/openathens&amp;entityID=https://idp.eng.nhs.uk/openathens&amp;T=JS&amp;NEWS=n&amp;CSC=Y&amp;PAGE=main&amp;D=emed1</t>
  </si>
  <si>
    <t>2018-05-01</t>
  </si>
  <si>
    <t>1465-7279</t>
  </si>
  <si>
    <t>https://ovidsp.ovid.com/rss/journals/01429663/pap.rss</t>
  </si>
  <si>
    <t>978-0-3409-8601-1</t>
  </si>
  <si>
    <t>0001-2092</t>
  </si>
  <si>
    <t>1573-7217</t>
  </si>
  <si>
    <t>0149-5992</t>
  </si>
  <si>
    <t>https://openathens.ovid.com/OAKeystone/deeplink?idpselect=https://idp.eng.nhs.uk/openathens&amp;entityID=https://idp.eng.nhs.uk/openathens&amp;T=JS&amp;NEWS=n&amp;CSC=Y&amp;PAGE=toc&amp;D=yrovft&amp;AN=00129334-000000000-00000</t>
  </si>
  <si>
    <t>2009-02-01 - 2009-03-01</t>
  </si>
  <si>
    <t>https://ovidsp.ovid.com/rss/journals/00152236/current.rss</t>
  </si>
  <si>
    <t>1533-4112</t>
  </si>
  <si>
    <t>Nursing Standard</t>
  </si>
  <si>
    <t>https://ovidsp.ovid.com/rss/journals/00060993/pap.rss</t>
  </si>
  <si>
    <t>Human Brain Mapping</t>
  </si>
  <si>
    <t>Brief Treatment and Crisis Intervention</t>
  </si>
  <si>
    <t>2002-03-15</t>
  </si>
  <si>
    <t>https://openathens.ovid.com/OAKeystone/deeplink?idpselect=https://idp.eng.nhs.uk/openathens&amp;entityID=https://idp.eng.nhs.uk/openathens&amp;T=JS&amp;NEWS=n&amp;CSC=Y&amp;PAGE=toc&amp;D=yrovft&amp;AN=00145756-000000000-00000</t>
  </si>
  <si>
    <t>https://openathens.ovid.com/OAKeystone/deeplink?idpselect=https://idp.eng.nhs.uk/openathens&amp;entityID=https://idp.eng.nhs.uk/openathens&amp;T=JS&amp;NEWS=n&amp;CSC=Y&amp;PAGE=toc&amp;D=yrovft&amp;AN=01243895-000000000-00000</t>
  </si>
  <si>
    <t>1536-7312</t>
  </si>
  <si>
    <t>2015-03-31</t>
  </si>
  <si>
    <t>https://ovidsp.ovid.com/rss/journals/00152236/pap.rss</t>
  </si>
  <si>
    <t>https://ovidsp.ovid.com/rss/journals/02186187/current.rss</t>
  </si>
  <si>
    <t>International Journal of Methods in Psychiatric Research</t>
  </si>
  <si>
    <t>https://openathens.ovid.com/OAKeystone/deeplink?idpselect=https://idp.eng.nhs.uk/openathens&amp;entityID=https://idp.eng.nhs.uk/openathens&amp;T=JS&amp;NEWS=n&amp;CSC=Y&amp;PAGE=toc&amp;D=yrovft&amp;AN=01845228-000000000-00000</t>
  </si>
  <si>
    <t>https://ovidsp.ovid.com/rss/journals/00004836/pap.rss</t>
  </si>
  <si>
    <t>https://openathens.ovid.com/OAKeystone/deeplink?idpselect=https://idp.eng.nhs.uk/openathens&amp;entityID=https://idp.eng.nhs.uk/openathens&amp;T=JS&amp;NEWS=n&amp;CSC=Y&amp;PAGE=toc&amp;D=yrovft&amp;AN=01179370-000000000-00000</t>
  </si>
  <si>
    <t>1464-3790</t>
  </si>
  <si>
    <t>https://openathens.ovid.com/OAKeystone/deeplink?idpselect=https://idp.eng.nhs.uk/openathens&amp;entityID=https://idp.eng.nhs.uk/openathens&amp;T=JS&amp;NEWS=n&amp;CSC=Y&amp;PAGE=toc&amp;D=yrovft&amp;AN=02196183-000000000-00000</t>
  </si>
  <si>
    <t>https://ovidsp.ovid.com/rss/journals/00002423/pap.rss</t>
  </si>
  <si>
    <t>https://ovidsp.ovid.com/rss/journals/00013240/current.rss</t>
  </si>
  <si>
    <t>1759-5002</t>
  </si>
  <si>
    <t>100 Cases in General Practice</t>
  </si>
  <si>
    <t>https://ovidsp.ovid.com/rss/journals/01238502/pap.rss</t>
  </si>
  <si>
    <t>2572-9241</t>
  </si>
  <si>
    <t>2012-05-01 - 2015-04-01</t>
  </si>
  <si>
    <t>Latest Volume</t>
  </si>
  <si>
    <t>0001-6349</t>
  </si>
  <si>
    <t>https://openathens.ovid.com/OAKeystone/deeplink?idpselect=https://idp.eng.nhs.uk/openathens&amp;entityID=https://idp.eng.nhs.uk/openathens&amp;T=JS&amp;NEWS=n&amp;CSC=Y&amp;PAGE=booktext&amp;D=books&amp;AN=01439302$&amp;XPATH=/PG(0)&amp;EPUB=Y</t>
  </si>
  <si>
    <t>Beginning Volume</t>
  </si>
  <si>
    <t>1531-6998</t>
  </si>
  <si>
    <t>https://openathens.ovid.com/OAKeystone/deeplink?idpselect=https://idp.eng.nhs.uk/openathens&amp;entityID=https://idp.eng.nhs.uk/openathens&amp;T=JS&amp;NEWS=n&amp;CSC=Y&amp;PAGE=toc&amp;D=yrovft&amp;AN=00126097-000000000-00000</t>
  </si>
  <si>
    <t>1355-6037</t>
  </si>
  <si>
    <t>International Ophthalmology Clinics</t>
  </si>
  <si>
    <t>1535-7732</t>
  </si>
  <si>
    <t>Stem Cells Translational Medicine - Open Access</t>
  </si>
  <si>
    <t>https://openathens.ovid.com/OAKeystone/deeplink?idpselect=https://idp.eng.nhs.uk/openathens&amp;entityID=https://idp.eng.nhs.uk/openathens&amp;T=JS&amp;NEWS=n&amp;CSC=Y&amp;PAGE=toc&amp;D=yrovft&amp;AN=02081062-000000000-00000</t>
  </si>
  <si>
    <t>Current Opinion in Obstetrics &amp; Gynecology</t>
  </si>
  <si>
    <t>2003-02-01 - 2004-12-01</t>
  </si>
  <si>
    <t>1-9018-3117-5</t>
  </si>
  <si>
    <t>Prosthetics &amp; Orthotics International</t>
  </si>
  <si>
    <t>https://openathens.ovid.com/OAKeystone/deeplink?idpselect=https://idp.eng.nhs.uk/openathens&amp;entityID=https://idp.eng.nhs.uk/openathens&amp;T=JS&amp;NEWS=n&amp;CSC=Y&amp;PAGE=toc&amp;D=yrovft&amp;AN=00076734-000000000-00000</t>
  </si>
  <si>
    <t>Journal of Cardiovascular Medicine</t>
  </si>
  <si>
    <t>https://openathens.ovid.com/OAKeystone/deeplink?idpselect=https://idp.eng.nhs.uk/openathens&amp;entityID=https://idp.eng.nhs.uk/openathens&amp;T=JS&amp;NEWS=n&amp;CSC=Y&amp;PAGE=toc&amp;D=yrovft&amp;AN=00025572-000000000-00000</t>
  </si>
  <si>
    <t>Cancer Communications</t>
  </si>
  <si>
    <t>2009-11-01</t>
  </si>
  <si>
    <t>https://ovidsp.ovid.com/rss/journals/00134747/current.rss</t>
  </si>
  <si>
    <t>0954-691X</t>
  </si>
  <si>
    <t>Journal of Cardiopulmonary Rehabilitation</t>
  </si>
  <si>
    <t>1539-591X</t>
  </si>
  <si>
    <t>2022-01-04</t>
  </si>
  <si>
    <t>https://openathens.ovid.com/OAKeystone/deeplink?idpselect=https://idp.eng.nhs.uk/openathens&amp;entityID=https://idp.eng.nhs.uk/openathens&amp;T=JS&amp;NEWS=n&amp;CSC=Y&amp;PAGE=toc&amp;D=yrovft&amp;AN=00019606-000000000-00000</t>
  </si>
  <si>
    <t>Medicine</t>
  </si>
  <si>
    <t>Clinical Dysmorphology</t>
  </si>
  <si>
    <t>2009-01-01 - 2010-03-01</t>
  </si>
  <si>
    <t>1745-8382</t>
  </si>
  <si>
    <t>https://openathens.ovid.com/OAKeystone/deeplink?idpselect=https://idp.eng.nhs.uk/openathens&amp;entityID=https://idp.eng.nhs.uk/openathens&amp;T=JS&amp;NEWS=n&amp;CSC=Y&amp;PAGE=toc&amp;D=yrovft&amp;AN=02123148-000000000-00000</t>
  </si>
  <si>
    <t>https://ovidsp.ovid.com/rss/journals/00000566/current.rss</t>
  </si>
  <si>
    <t>https://openathens.ovid.com/OAKeystone/deeplink?idpselect=https://idp.eng.nhs.uk/openathens&amp;entityID=https://idp.eng.nhs.uk/openathens&amp;T=JS&amp;NEWS=n&amp;CSC=Y&amp;PAGE=toc&amp;D=yrovft&amp;AN=00063413-000000000-00000</t>
  </si>
  <si>
    <t>2013-02-01</t>
  </si>
  <si>
    <t>1559-7768</t>
  </si>
  <si>
    <t>https://ovidsp.ovid.com/rss/journals/00041327/pap.rss</t>
  </si>
  <si>
    <t>https://ovidsp.ovid.com/rss/journals/01300517/current.rss</t>
  </si>
  <si>
    <t>Oxford University Press (Journals)</t>
  </si>
  <si>
    <t>OTA International: The Open Access Journal of Orthopaedic Trauma</t>
  </si>
  <si>
    <t>1528-1175</t>
  </si>
  <si>
    <t>1526-7598</t>
  </si>
  <si>
    <t>https://ovidsp.ovid.com/rss/journals/00001703/pap.rss</t>
  </si>
  <si>
    <t>https://ovidsp.ovid.com/rss/journals/00001721/current.rss</t>
  </si>
  <si>
    <t>1538-9766</t>
  </si>
  <si>
    <t>2009-04-01 - 2009-10-01</t>
  </si>
  <si>
    <t>2002-04-01</t>
  </si>
  <si>
    <t>2001-07-01 - 2005-01-01</t>
  </si>
  <si>
    <t>2002-02-01 - 2004-02-01</t>
  </si>
  <si>
    <t>OvidSP</t>
  </si>
  <si>
    <t>https://openathens.ovid.com/OAKeystone/deeplink?idpselect=https://idp.eng.nhs.uk/openathens&amp;entityID=https://idp.eng.nhs.uk/openathens&amp;T=JS&amp;NEWS=n&amp;CSC=Y&amp;PAGE=toc&amp;D=yrovft&amp;AN=02003427-000000000-00000</t>
  </si>
  <si>
    <t>https://openathens.ovid.com/OAKeystone/deeplink?idpselect=https://idp.eng.nhs.uk/openathens&amp;entityID=https://idp.eng.nhs.uk/openathens&amp;T=JS&amp;NEWS=n&amp;CSC=Y&amp;PAGE=toc&amp;D=yrovft&amp;AN=00008877-000000000-00000</t>
  </si>
  <si>
    <t>2161-6094</t>
  </si>
  <si>
    <t>HMIC Health Management Information Consortium</t>
  </si>
  <si>
    <t>Brain Pathology</t>
  </si>
  <si>
    <t>https://ovidsp.ovid.com/rss/journals/00126334/pap.rss</t>
  </si>
  <si>
    <t>2016-10-01 - 2022-05-05</t>
  </si>
  <si>
    <t>https://openathens.ovid.com/OAKeystone/deeplink?idpselect=https://idp.eng.nhs.uk/openathens&amp;entityID=https://idp.eng.nhs.uk/openathens&amp;T=JS&amp;NEWS=n&amp;CSC=Y&amp;PAGE=toc&amp;D=yrovft&amp;AN=00000465-000000000-00000</t>
  </si>
  <si>
    <t>https://ovidsp.ovid.com/rss/journals/00000658/current.rss</t>
  </si>
  <si>
    <t>https://ovidsp.ovid.com/rss/journals/00043623/current.rss</t>
  </si>
  <si>
    <t>https://ovidsp.ovid.com/rss/journals/01271221/current.rss</t>
  </si>
  <si>
    <t>0003-9888</t>
  </si>
  <si>
    <t>https://openathens.ovid.com/OAKeystone/deeplink?idpselect=https://idp.eng.nhs.uk/openathens&amp;entityID=https://idp.eng.nhs.uk/openathens&amp;T=JS&amp;NEWS=n&amp;CSC=Y&amp;PAGE=toc&amp;D=yrovft&amp;AN=00128360-000000000-00000</t>
  </si>
  <si>
    <t>1473-6519</t>
  </si>
  <si>
    <t>https://openathens.ovid.com/OAKeystone/deeplink?idpselect=https://idp.eng.nhs.uk/openathens&amp;entityID=https://idp.eng.nhs.uk/openathens&amp;T=JS&amp;NEWS=n&amp;CSC=Y&amp;PAGE=toc&amp;D=yrovft&amp;AN=01436970-000000000-00000</t>
  </si>
  <si>
    <t>https://openathens.ovid.com/OAKeystone/deeplink?idpselect=https://idp.eng.nhs.uk/openathens&amp;entityID=https://idp.eng.nhs.uk/openathens&amp;T=JS&amp;NEWS=n&amp;CSC=Y&amp;PAGE=toc&amp;D=yrovft&amp;AN=00005650-000000000-00000</t>
  </si>
  <si>
    <t>1531-7048</t>
  </si>
  <si>
    <t>0030-4085</t>
  </si>
  <si>
    <t>Genetics in Medicine</t>
  </si>
  <si>
    <t>1525-1438</t>
  </si>
  <si>
    <t>https://openathens.ovid.com/OAKeystone/deeplink?idpselect=https://idp.eng.nhs.uk/openathens&amp;entityID=https://idp.eng.nhs.uk/openathens&amp;T=JS&amp;NEWS=n&amp;CSC=Y&amp;PAGE=toc&amp;D=yrovft&amp;AN=00003681-000000000-00000</t>
  </si>
  <si>
    <t>2157-6564</t>
  </si>
  <si>
    <t>0957-9672</t>
  </si>
  <si>
    <t>Medline 2013-2017</t>
  </si>
  <si>
    <t>https://ovidsp.ovid.com/rss/journals/02014405/current.rss</t>
  </si>
  <si>
    <t>https://openathens.ovid.com/OAKeystone/deeplink?idpselect=https://idp.eng.nhs.uk/openathens&amp;entityID=https://idp.eng.nhs.uk/openathens&amp;T=JS&amp;NEWS=n&amp;CSC=Y&amp;PAGE=main&amp;D=emed12</t>
  </si>
  <si>
    <t>1077-4114</t>
  </si>
  <si>
    <t>2057-4347</t>
  </si>
  <si>
    <t>2006-08-01 - 2010-04-01</t>
  </si>
  <si>
    <t>1535-2765</t>
  </si>
  <si>
    <t>2015-10-01 - 2022-04-01</t>
  </si>
  <si>
    <t>Human Anatomy Atlas</t>
  </si>
  <si>
    <t>1101-1262</t>
  </si>
  <si>
    <t>https://openathens.ovid.com/OAKeystone/deeplink?idpselect=https://idp.eng.nhs.uk/openathens&amp;entityID=https://idp.eng.nhs.uk/openathens&amp;T=JS&amp;NEWS=n&amp;CSC=Y&amp;PAGE=main&amp;D=emed22</t>
  </si>
  <si>
    <t>https://ovidsp.ovid.com/rss/journals/02070903/pap.rss</t>
  </si>
  <si>
    <t>https://ovidsp.ovid.com/rss/journals/00004548/pap.rss</t>
  </si>
  <si>
    <t>Nursing Critical Care</t>
  </si>
  <si>
    <t>https://ovidsp.ovid.com/rss/journals/00129191/current.rss</t>
  </si>
  <si>
    <t>https://ovidsp.ovid.com/rss/journals/00006324/pap.rss</t>
  </si>
  <si>
    <t>2001-11-01 - 2009-12-01</t>
  </si>
  <si>
    <t>2002-06-01 - 2010-03-01</t>
  </si>
  <si>
    <t>https://openathens.ovid.com/OAKeystone/deeplink?idpselect=https://idp.eng.nhs.uk/openathens&amp;entityID=https://idp.eng.nhs.uk/openathens&amp;T=JS&amp;NEWS=n&amp;CSC=Y&amp;PAGE=toc&amp;D=yrovft&amp;AN=01253086-000000000-00000</t>
  </si>
  <si>
    <t>2001-01-01</t>
  </si>
  <si>
    <t>1752-296X</t>
  </si>
  <si>
    <t>https://ovidsp.ovid.com/rss/journals/02123149/current.rss</t>
  </si>
  <si>
    <t>Cardiology in Review</t>
  </si>
  <si>
    <t>1473-5741</t>
  </si>
  <si>
    <t>0277-3740</t>
  </si>
  <si>
    <t>1986-02-01 - 2010-04-01</t>
  </si>
  <si>
    <t>2019-07-01 - 2022-05-03</t>
  </si>
  <si>
    <t>Point of Care: The Journal of Near-Patient Testing &amp; Technology</t>
  </si>
  <si>
    <t>https://ovidsp.ovid.com/rss/journals/00012995/current.rss</t>
  </si>
  <si>
    <t>AMED (Allied and Complementary Medicine)</t>
  </si>
  <si>
    <t>Alzheimer's Care Today</t>
  </si>
  <si>
    <t>PubMed-not-MEDLINE October 21, 2021 - Present</t>
  </si>
  <si>
    <t>2049-4394</t>
  </si>
  <si>
    <t>2008-12-01</t>
  </si>
  <si>
    <t>2003-06-01 - 2010-03-01</t>
  </si>
  <si>
    <t>https://ovidsp.ovid.com/rss/journals/00002517/current.rss</t>
  </si>
  <si>
    <t>https://ovidsp.ovid.com/rss/journals/00132580/current.rss</t>
  </si>
  <si>
    <t>Brain Science Advances</t>
  </si>
  <si>
    <t>https://openathens.ovid.com/OAKeystone/deeplink?idpselect=https://idp.eng.nhs.uk/openathens&amp;entityID=https://idp.eng.nhs.uk/openathens&amp;T=JS&amp;NEWS=n&amp;CSC=Y&amp;PAGE=toc&amp;D=yrovft&amp;AN=00129491-000000000-00000</t>
  </si>
  <si>
    <t>https://ovidsp.ovid.com/rss/journals/00004850/current.rss</t>
  </si>
  <si>
    <t>0737-1209</t>
  </si>
  <si>
    <t>https://ovidsp.ovid.com/rss/journals/00004728/current.rss</t>
  </si>
  <si>
    <t>https://ovidsp.ovid.com/rss/journals/00019514/current.rss</t>
  </si>
  <si>
    <t>Breast Cancer Research &amp; Treatment</t>
  </si>
  <si>
    <t>2007-07-01 - 2010-03-01</t>
  </si>
  <si>
    <t>1076-2752</t>
  </si>
  <si>
    <t>https://ovidsp.ovid.com/rss/journals/00006416/current.rss</t>
  </si>
  <si>
    <t>1525-1446</t>
  </si>
  <si>
    <t>2014-03-01</t>
  </si>
  <si>
    <t>2010-03-01</t>
  </si>
  <si>
    <t>1525-8599</t>
  </si>
  <si>
    <t>https://ovidsp.ovid.com/rss/journals/01300408/current.rss</t>
  </si>
  <si>
    <t>European Journal of Public Health</t>
  </si>
  <si>
    <t>0749-5161</t>
  </si>
  <si>
    <t>PAIN Reports</t>
  </si>
  <si>
    <t>RSS Feed URL</t>
  </si>
  <si>
    <t>1759-4774</t>
  </si>
  <si>
    <t>0002-936X</t>
  </si>
  <si>
    <t>1537-162X</t>
  </si>
  <si>
    <t>2007-01-01 - 2010-06-01</t>
  </si>
  <si>
    <t>1740-8695</t>
  </si>
  <si>
    <t>Critical Pathways in Cardiology: A Journal of Evidence-Based Medicine</t>
  </si>
  <si>
    <t>https://ovidsp.ovid.com/rss/journals/00004714/current.rss</t>
  </si>
  <si>
    <t>https://ovidsp.ovid.com/rss/journals/00042154/current.rss</t>
  </si>
  <si>
    <t>https://ovidsp.ovid.com/rss/journals/02075970/current.rss</t>
  </si>
  <si>
    <t>2007-08-01</t>
  </si>
  <si>
    <t>https://ovidsp.ovid.com/rss/journals/00003246/pap.rss</t>
  </si>
  <si>
    <t>2009-12-01</t>
  </si>
  <si>
    <t>https://openathens.ovid.com/OAKeystone/deeplink?idpselect=https://idp.eng.nhs.uk/openathens&amp;entityID=https://idp.eng.nhs.uk/openathens&amp;T=JS&amp;NEWS=n&amp;CSC=Y&amp;PAGE=booktext&amp;D=books&amp;AN=01438549$&amp;XPATH=/PG(0)&amp;EPUB=Y</t>
  </si>
  <si>
    <t>Ear, Nose &amp; Throat Journal</t>
  </si>
  <si>
    <t>2018-07-01 - 2022-05-10</t>
  </si>
  <si>
    <t>2003-04-01 - 2007-04-01</t>
  </si>
  <si>
    <t>https://openathens.ovid.com/OAKeystone/deeplink?idpselect=https://idp.eng.nhs.uk/openathens&amp;entityID=https://idp.eng.nhs.uk/openathens&amp;T=JS&amp;NEWS=n&amp;CSC=Y&amp;PAGE=toc&amp;D=yrovft&amp;AN=01429653-000000000-00000</t>
  </si>
  <si>
    <t>2002-03-01 - 2005-05-01</t>
  </si>
  <si>
    <t>https://openathens.ovid.com/OAKeystone/deeplink?idpselect=https://idp.eng.nhs.uk/openathens&amp;entityID=https://idp.eng.nhs.uk/openathens&amp;T=JS&amp;NEWS=n&amp;CSC=Y&amp;PAGE=main&amp;D=pmnm1</t>
  </si>
  <si>
    <t>https://openathens.ovid.com/OAKeystone/deeplink?idpselect=https://idp.eng.nhs.uk/openathens&amp;entityID=https://idp.eng.nhs.uk/openathens&amp;T=JS&amp;NEWS=n&amp;CSC=Y&amp;PAGE=toc&amp;D=yrovft&amp;AN=01183741-000000000-00000</t>
  </si>
  <si>
    <t>https://ovidsp.ovid.com/rss/journals/00004606/current.rss</t>
  </si>
  <si>
    <t>1462-0324</t>
  </si>
  <si>
    <t>https://openathens.ovid.com/OAKeystone/deeplink?idpselect=https://idp.eng.nhs.uk/openathens&amp;entityID=https://idp.eng.nhs.uk/openathens&amp;T=JS&amp;NEWS=n&amp;CSC=Y&amp;PAGE=toc&amp;D=yrovft&amp;AN=00006324-000000000-00000</t>
  </si>
  <si>
    <t>https://ovidsp.ovid.com/rss/journals/00129491/current.rss</t>
  </si>
  <si>
    <t>https://ovidsp.ovid.com/rss/journals/00005176/pap.rss</t>
  </si>
  <si>
    <t>https://ovidsp.ovid.com/rss/journals/00008480/current.rss</t>
  </si>
  <si>
    <t>2010-06-01</t>
  </si>
  <si>
    <t>Pathophysiology Made Incredibly Visual!</t>
  </si>
  <si>
    <t>0001-690X</t>
  </si>
  <si>
    <t>https://openathens.ovid.com/OAKeystone/deeplink?idpselect=https://idp.eng.nhs.uk/openathens&amp;entityID=https://idp.eng.nhs.uk/openathens&amp;T=JS&amp;NEWS=n&amp;CSC=Y&amp;PAGE=main&amp;D=emed19</t>
  </si>
  <si>
    <t>2332-7812</t>
  </si>
  <si>
    <t>https://openathens.ovid.com/OAKeystone/deeplink?idpselect=https://idp.eng.nhs.uk/openathens&amp;entityID=https://idp.eng.nhs.uk/openathens&amp;T=JS&amp;NEWS=n&amp;CSC=Y&amp;PAGE=toc&amp;D=yrovft&amp;AN=01241398-000000000-00000</t>
  </si>
  <si>
    <t>2013-04-01 - 2022-05-26</t>
  </si>
  <si>
    <t>https://openathens.ovid.com/OAKeystone/deeplink?idpselect=https://idp.eng.nhs.uk/openathens&amp;entityID=https://idp.eng.nhs.uk/openathens&amp;T=JS&amp;NEWS=n&amp;CSC=Y&amp;PAGE=toc&amp;D=yrovft&amp;AN=02224449-000000000-00000</t>
  </si>
  <si>
    <t>https://openathens.ovid.com/OAKeystone/deeplink?idpselect=https://idp.eng.nhs.uk/openathens&amp;entityID=https://idp.eng.nhs.uk/openathens&amp;T=JS&amp;NEWS=n&amp;CSC=Y&amp;PAGE=toc&amp;D=yrovft&amp;AN=01222929-000000000-00000</t>
  </si>
  <si>
    <t>0020-5907</t>
  </si>
  <si>
    <t>2001-06-01 - 2001-12-01</t>
  </si>
  <si>
    <t>2474-7882</t>
  </si>
  <si>
    <t>https://ovidsp.ovid.com/rss/journals/00005082/current.rss</t>
  </si>
  <si>
    <t>Medline (2005-2007)</t>
  </si>
  <si>
    <t>https://ovidsp.ovid.com/rss/journals/00002480/current.rss</t>
  </si>
  <si>
    <t>https://openathens.ovid.com/OAKeystone/deeplink?idpselect=https://idp.eng.nhs.uk/openathens&amp;entityID=https://idp.eng.nhs.uk/openathens&amp;T=JS&amp;NEWS=n&amp;CSC=Y&amp;PAGE=toc&amp;D=yrovft&amp;AN=00001199-000000000-00000</t>
  </si>
  <si>
    <t>2001-07-01 - 2010-06-01</t>
  </si>
  <si>
    <t>EMBASE 2019</t>
  </si>
  <si>
    <t>European Journal of Anaesthesiology</t>
  </si>
  <si>
    <t>https://openathens.ovid.com/OAKeystone/deeplink?idpselect=https://idp.eng.nhs.uk/openathens&amp;entityID=https://idp.eng.nhs.uk/openathens&amp;T=JS&amp;NEWS=n&amp;CSC=Y&amp;PAGE=toc&amp;D=yrovft&amp;AN=00125817-000000000-00000</t>
  </si>
  <si>
    <t>Journal of Psychiatric Practice</t>
  </si>
  <si>
    <t>https://ovidsp.ovid.com/rss/journals/02003425/current.rss</t>
  </si>
  <si>
    <t>https://ovidsp.ovid.com/rss/journals/00006396/current.rss</t>
  </si>
  <si>
    <t>1070-5287</t>
  </si>
  <si>
    <t>2005-04-01 - 2015-03-01</t>
  </si>
  <si>
    <t>0-4709-9795-8</t>
  </si>
  <si>
    <t>1541-5783</t>
  </si>
  <si>
    <t>1322-7114</t>
  </si>
  <si>
    <t>https://openathens.ovid.com/OAKeystone/deeplink?idpselect=https://idp.eng.nhs.uk/openathens&amp;entityID=https://idp.eng.nhs.uk/openathens&amp;T=JS&amp;NEWS=n&amp;CSC=Y&amp;PAGE=toc&amp;D=yrovft&amp;AN=00134747-000000000-00000</t>
  </si>
  <si>
    <t>Techniques in Ophthalmology</t>
  </si>
  <si>
    <t>0360-4039</t>
  </si>
  <si>
    <t>1530-0293</t>
  </si>
  <si>
    <t>Diabetes Care</t>
  </si>
  <si>
    <t>1355-4786</t>
  </si>
  <si>
    <t>2016-05-01</t>
  </si>
  <si>
    <t>2010-10-01 - 2022-04-01</t>
  </si>
  <si>
    <t>https://openathens.ovid.com/OAKeystone/deeplink?idpselect=https://idp.eng.nhs.uk/openathens&amp;entityID=https://idp.eng.nhs.uk/openathens&amp;T=JS&amp;NEWS=n&amp;CSC=Y&amp;PAGE=toc&amp;D=yrovft&amp;AN=01253108-000000000-00000</t>
  </si>
  <si>
    <t>Nature Reviews Clinical Oncology</t>
  </si>
  <si>
    <t>2003-03-01 - 2003-09-01</t>
  </si>
  <si>
    <t>https://ovidsp.ovid.com/rss/journals/00008874/pap.rss</t>
  </si>
  <si>
    <t>The Clinical Journal of Pain</t>
  </si>
  <si>
    <t>https://ovidsp.ovid.com/rss/journals/01974549/current.rss</t>
  </si>
  <si>
    <t>2001-06-01 - 2015-04-01</t>
  </si>
  <si>
    <t>https://ovidsp.ovid.com/rss/journals/01256879/current.rss</t>
  </si>
  <si>
    <t>2019-01-01</t>
  </si>
  <si>
    <t>2005-06-01</t>
  </si>
  <si>
    <t>Journal of the Dermatology Nurses' Association</t>
  </si>
  <si>
    <t>https://ovidsp.ovid.com/rss/journals/00000421/current.rss</t>
  </si>
  <si>
    <t>Pediatric Research</t>
  </si>
  <si>
    <t>https://ovidsp.ovid.com/rss/journals/01436970/pap.rss</t>
  </si>
  <si>
    <t>https://ovidsp.ovid.com/rss/journals/00007435/pap.rss</t>
  </si>
  <si>
    <t>1531-7013</t>
  </si>
  <si>
    <t>https://openathens.ovid.com/OAKeystone/deeplink?idpselect=https://idp.eng.nhs.uk/openathens&amp;entityID=https://idp.eng.nhs.uk/openathens&amp;T=JS&amp;NEWS=n&amp;CSC=Y&amp;PAGE=toc&amp;D=yrovft&amp;AN=00004683-000000000-00000</t>
  </si>
  <si>
    <t>1939-4551</t>
  </si>
  <si>
    <t>https://openathens.ovid.com/OAKeystone/deeplink?idpselect=https://idp.eng.nhs.uk/openathens&amp;entityID=https://idp.eng.nhs.uk/openathens&amp;T=JS&amp;NEWS=n&amp;CSC=Y&amp;PAGE=toc&amp;D=yrovft&amp;AN=00132577-000000000-00000</t>
  </si>
  <si>
    <t>1098-7886</t>
  </si>
  <si>
    <t>978-1-4987-5756-0</t>
  </si>
  <si>
    <t>Alzheimer's &amp; Dementia: Diagnosis, Assessment &amp; Disease Monitoring</t>
  </si>
  <si>
    <t>https://ovidsp.ovid.com/rss/journals/00002518/current.rss</t>
  </si>
  <si>
    <t>Precision Medical Sciences</t>
  </si>
  <si>
    <t>https://ovidsp.ovid.com/rss/journals/00132579/current.rss</t>
  </si>
  <si>
    <t>https://openathens.ovid.com/OAKeystone/deeplink?idpselect=https://idp.eng.nhs.uk/openathens&amp;entityID=https://idp.eng.nhs.uk/openathens&amp;T=JS&amp;NEWS=n&amp;CSC=Y&amp;PAGE=toc&amp;D=yrovft&amp;AN=00004850-000000000-00000</t>
  </si>
  <si>
    <t>https://ovidsp.ovid.com/rss/journals/00006534/pap.rss</t>
  </si>
  <si>
    <t>Paediatric and Neonatal Pain</t>
  </si>
  <si>
    <t>Health Physics</t>
  </si>
  <si>
    <t>Family &amp; Community Health</t>
  </si>
  <si>
    <t>https://ovidsp.ovid.com/rss/journals/00005283/current.rss</t>
  </si>
  <si>
    <t>1473-5830</t>
  </si>
  <si>
    <t>Year</t>
  </si>
  <si>
    <t>2009-04-01 - 2010-01-01</t>
  </si>
  <si>
    <t>https://openathens.ovid.com/OAKeystone/deeplink?idpselect=https://idp.eng.nhs.uk/openathens&amp;entityID=https://idp.eng.nhs.uk/openathens&amp;T=JS&amp;NEWS=n&amp;CSC=Y&amp;PAGE=toc&amp;D=yrovft&amp;AN=00043623-000000000-00000</t>
  </si>
  <si>
    <t>https://ovidsp.ovid.com/rss/journals/00010948/current.rss</t>
  </si>
  <si>
    <t>2009-02-01 - 2009-10-01</t>
  </si>
  <si>
    <t>https://ovidsp.ovid.com/rss/journals/00002341/current.rss</t>
  </si>
  <si>
    <t>https://ovidsp.ovid.com/rss/journals/02054630/pap.rss</t>
  </si>
  <si>
    <t>Clinical Nutrition INSIGHT</t>
  </si>
  <si>
    <t>https://openathens.ovid.com/OAKeystone/deeplink?idpselect=https://idp.eng.nhs.uk/openathens&amp;entityID=https://idp.eng.nhs.uk/openathens&amp;T=JS&amp;NEWS=n&amp;CSC=Y&amp;PAGE=toc&amp;D=yrovft&amp;AN=00061349-000000000-00000</t>
  </si>
  <si>
    <t>1557-2625</t>
  </si>
  <si>
    <t>1708-8267</t>
  </si>
  <si>
    <t>https://ovidsp.ovid.com/rss/journals/02003425/pap.rss</t>
  </si>
  <si>
    <t>American Journal of Epidemiology</t>
  </si>
  <si>
    <t>Alzheimer's Care Quarterly</t>
  </si>
  <si>
    <t>1460-2083</t>
  </si>
  <si>
    <t>https://openathens.ovid.com/OAKeystone/deeplink?idpselect=https://idp.eng.nhs.uk/openathens&amp;entityID=https://idp.eng.nhs.uk/openathens&amp;T=JS&amp;NEWS=n&amp;CSC=Y&amp;PAGE=toc&amp;D=yrovft&amp;AN=01938936-000000000-00000</t>
  </si>
  <si>
    <t>https://openathens.ovid.com/OAKeystone/deeplink?idpselect=https://idp.eng.nhs.uk/openathens&amp;entityID=https://idp.eng.nhs.uk/openathens&amp;T=JS&amp;NEWS=n&amp;CSC=Y&amp;PAGE=toc&amp;D=yrovft&amp;AN=01273293-000000000-00000</t>
  </si>
  <si>
    <t>https://openathens.ovid.com/OAKeystone/deeplink?idpselect=https://idp.eng.nhs.uk/openathens&amp;entityID=https://idp.eng.nhs.uk/openathens&amp;T=JS&amp;NEWS=n&amp;CSC=Y&amp;PAGE=toc&amp;D=yrovft&amp;AN=00006416-000000000-00000</t>
  </si>
  <si>
    <t>2003-03-01 - 2015-03-01</t>
  </si>
  <si>
    <t>https://ovidsp.ovid.com/rss/journals/00005176/current.rss</t>
  </si>
  <si>
    <t>https://openathens.ovid.com/OAKeystone/deeplink?idpselect=https://idp.eng.nhs.uk/openathens&amp;entityID=https://idp.eng.nhs.uk/openathens&amp;T=JS&amp;NEWS=n&amp;CSC=Y&amp;PAGE=toc&amp;D=yrovft&amp;AN=00587875-000000000-00000</t>
  </si>
  <si>
    <t>1473-6500</t>
  </si>
  <si>
    <t>https://openathens.ovid.com/OAKeystone/deeplink?idpselect=https://idp.eng.nhs.uk/openathens&amp;entityID=https://idp.eng.nhs.uk/openathens&amp;T=JS&amp;NEWS=n&amp;CSC=Y&amp;PAGE=toc&amp;D=yrovft&amp;AN=00132986-000000000-00000</t>
  </si>
  <si>
    <t>https://ovidsp.ovid.com/rss/journals/00146866/current.rss</t>
  </si>
  <si>
    <t>Pre-Medline 2019</t>
  </si>
  <si>
    <t>https://openathens.ovid.com/OAKeystone/deeplink?idpselect=https://idp.eng.nhs.uk/openathens&amp;entityID=https://idp.eng.nhs.uk/openathens&amp;T=JS&amp;NEWS=n&amp;CSC=Y&amp;PAGE=toc&amp;D=yrovft&amp;AN=00012272-000000000-00000</t>
  </si>
  <si>
    <t>Nature Clinical Practice Urology</t>
  </si>
  <si>
    <t>https://openathens.ovid.com/OAKeystone/deeplink?idpselect=https://idp.eng.nhs.uk/openathens&amp;entityID=https://idp.eng.nhs.uk/openathens&amp;T=JS&amp;NEWS=n&amp;CSC=Y&amp;PAGE=main&amp;D=pomm</t>
  </si>
  <si>
    <t>2000-07-01</t>
  </si>
  <si>
    <t>https://ovidsp.ovid.com/rss/journals/01840667/pap.rss</t>
  </si>
  <si>
    <t>0145-6008</t>
  </si>
  <si>
    <t>https://ovidsp.ovid.com/rss/journals/00219246/current.rss</t>
  </si>
  <si>
    <t>2013-01-01 - 2022-02-02</t>
  </si>
  <si>
    <t>2017-09-01</t>
  </si>
  <si>
    <t>2001-07-01 - 2010-05-01</t>
  </si>
  <si>
    <t>https://ovidsp.ovid.com/rss/journals/00019605/current.rss</t>
  </si>
  <si>
    <t>https://ovidsp.ovid.com/rss/journals/00013240/pap.rss</t>
  </si>
  <si>
    <t>https://ovidsp.ovid.com/rss/journals/00007670/pap.rss</t>
  </si>
  <si>
    <t>https://openathens.ovid.com/OAKeystone/deeplink?idpselect=https://idp.eng.nhs.uk/openathens&amp;entityID=https://idp.eng.nhs.uk/openathens&amp;T=JS&amp;NEWS=n&amp;CSC=Y&amp;PAGE=toc&amp;D=yrovft&amp;AN=00132588-000000000-00000</t>
  </si>
  <si>
    <t>https://openathens.ovid.com/OAKeystone/deeplink?idpselect=https://idp.eng.nhs.uk/openathens&amp;entityID=https://idp.eng.nhs.uk/openathens&amp;T=JS&amp;NEWS=n&amp;CSC=Y&amp;PAGE=toc&amp;D=yrovft&amp;AN=01893704-000000000-00000</t>
  </si>
  <si>
    <t>Melanoma Research</t>
  </si>
  <si>
    <t>Current Opinion in Endocrinology, Diabetes &amp; Obesity</t>
  </si>
  <si>
    <t>94-B</t>
  </si>
  <si>
    <t>2022-04-26</t>
  </si>
  <si>
    <t>2002-01-01 - 2010-04-01</t>
  </si>
  <si>
    <t>Journal of Thoracic Oncology</t>
  </si>
  <si>
    <t>https://openathens.ovid.com/OAKeystone/deeplink?idpselect=https://idp.eng.nhs.uk/openathens&amp;entityID=https://idp.eng.nhs.uk/openathens&amp;T=JS&amp;NEWS=n&amp;CSC=Y&amp;PAGE=toc&amp;D=yrovft&amp;AN=00130990-000000000-00000</t>
  </si>
  <si>
    <t>Current Opinion in HIV and AIDS</t>
  </si>
  <si>
    <t>https://openathens.ovid.com/OAKeystone/deeplink?idpselect=https://idp.eng.nhs.uk/openathens&amp;entityID=https://idp.eng.nhs.uk/openathens&amp;T=JS&amp;NEWS=n&amp;CSC=Y&amp;PAGE=toc&amp;D=yrovft&amp;AN=00006534-000000000-00000</t>
  </si>
  <si>
    <t>2004-01-01 - 2015-01-01</t>
  </si>
  <si>
    <t>https://ovidsp.ovid.com/rss/journals/00013542/pap.rss</t>
  </si>
  <si>
    <t>2009-05-01</t>
  </si>
  <si>
    <t>2009-01-01 - 2010-01-01</t>
  </si>
  <si>
    <t>Continuing Education in Anaesthesia, Critical Care &amp; Pain</t>
  </si>
  <si>
    <t>2015-04-15</t>
  </si>
  <si>
    <t>Journal of Pediatric Hematology/Oncology</t>
  </si>
  <si>
    <t>Optometric Management</t>
  </si>
  <si>
    <t>https://ovidsp.ovid.com/rss/journals/00006247/pap.rss</t>
  </si>
  <si>
    <t>https://ovidsp.ovid.com/rss/journals/00129492/current.rss</t>
  </si>
  <si>
    <t>1936-9255</t>
  </si>
  <si>
    <t>978-1-4963-4549-3</t>
  </si>
  <si>
    <t>https://openathens.ovid.com/OAKeystone/deeplink?idpselect=https://idp.eng.nhs.uk/openathens&amp;entityID=https://idp.eng.nhs.uk/openathens&amp;T=JS&amp;NEWS=n&amp;CSC=Y&amp;PAGE=main&amp;D=emexa</t>
  </si>
  <si>
    <t>https://openathens.ovid.com/OAKeystone/deeplink?idpselect=https://idp.eng.nhs.uk/openathens&amp;entityID=https://idp.eng.nhs.uk/openathens&amp;T=JS&amp;NEWS=n&amp;CSC=Y&amp;PAGE=toc&amp;D=yrovft&amp;AN=00001504-000000000-00000</t>
  </si>
  <si>
    <t>Reproductive Medicine and Biology</t>
  </si>
  <si>
    <t>https://ovidsp.ovid.com/rss/journals/00126062/pap.rss</t>
  </si>
  <si>
    <t>0039-2499</t>
  </si>
  <si>
    <t>Society for General Microbiology</t>
  </si>
  <si>
    <t>2008-04-01</t>
  </si>
  <si>
    <t>Journal of Cardiovascular Nursing</t>
  </si>
  <si>
    <t>1537-1913</t>
  </si>
  <si>
    <t>https://ovidsp.ovid.com/rss/journals/02196183/current.rss</t>
  </si>
  <si>
    <t>https://openathens.ovid.com/OAKeystone/deeplink?idpselect=https://idp.eng.nhs.uk/openathens&amp;entityID=https://idp.eng.nhs.uk/openathens&amp;T=JS&amp;NEWS=n&amp;CSC=Y&amp;PAGE=toc&amp;D=yrovft&amp;AN=00127927-000000000-00000</t>
  </si>
  <si>
    <t>https://openathens.ovid.com/OAKeystone/deeplink?idpselect=https://idp.eng.nhs.uk/openathens&amp;entityID=https://idp.eng.nhs.uk/openathens&amp;T=JS&amp;NEWS=n&amp;CSC=Y&amp;PAGE=toc&amp;D=yrovft&amp;AN=00062752-000000000-00000</t>
  </si>
  <si>
    <t>Reviews in Medical Microbiology</t>
  </si>
  <si>
    <t>https://ovidsp.ovid.com/rss/journals/00006454/pap.rss</t>
  </si>
  <si>
    <t>https://openathens.ovid.com/OAKeystone/deeplink?idpselect=https://idp.eng.nhs.uk/openathens&amp;entityID=https://idp.eng.nhs.uk/openathens&amp;T=JS&amp;NEWS=n&amp;CSC=Y&amp;PAGE=main&amp;D=prew</t>
  </si>
  <si>
    <t>0149-9009</t>
  </si>
  <si>
    <t>EMBASE 2012</t>
  </si>
  <si>
    <t>2002-03-01 - 2010-01-01</t>
  </si>
  <si>
    <t>PubMed-not-MEDLINE 2000 to 2012</t>
  </si>
  <si>
    <t>0963-0643</t>
  </si>
  <si>
    <t>1048-891X</t>
  </si>
  <si>
    <t>0002-0729</t>
  </si>
  <si>
    <t>https://openathens.ovid.com/OAKeystone/deeplink?idpselect=https://idp.eng.nhs.uk/openathens&amp;entityID=https://idp.eng.nhs.uk/openathens&amp;T=JS&amp;NEWS=n&amp;CSC=Y&amp;PAGE=toc&amp;D=yrovft&amp;AN=00000140-000000000-00000</t>
  </si>
  <si>
    <t>https://ovidsp.ovid.com/rss/journals/02091979/current.rss</t>
  </si>
  <si>
    <t>https://ovidsp.ovid.com/rss/journals/02070904/pap.rss</t>
  </si>
  <si>
    <t>978-0-3409-8727-8</t>
  </si>
  <si>
    <t>https://ovidsp.ovid.com/rss/journals/02123147/current.rss</t>
  </si>
  <si>
    <t>2001-07-01 - 2015-05-01</t>
  </si>
  <si>
    <t>EMBASE Daily (weekly rolling)</t>
  </si>
  <si>
    <t>https://openathens.ovid.com/OAKeystone/deeplink?idpselect=https://idp.eng.nhs.uk/openathens&amp;entityID=https://idp.eng.nhs.uk/openathens&amp;T=JS&amp;NEWS=n&amp;CSC=Y&amp;PAGE=toc&amp;D=yrovft&amp;AN=01651676-000000000-00000</t>
  </si>
  <si>
    <t>https://ovidsp.ovid.com/rss/journals/00002826/current.rss</t>
  </si>
  <si>
    <t>https://ovidsp.ovid.com/rss/journals/00124743/pap.rss</t>
  </si>
  <si>
    <t>https://ovidsp.ovid.com/rss/journals/00004836/current.rss</t>
  </si>
  <si>
    <t>2004-03-01 - 2009-12-01</t>
  </si>
  <si>
    <t>https://ovidsp.ovid.com/rss/journals/00024720/current.rss</t>
  </si>
  <si>
    <t>0883-5993</t>
  </si>
  <si>
    <t>https://openathens.ovid.com/OAKeystone/deeplink?idpselect=https://idp.eng.nhs.uk/openathens&amp;entityID=https://idp.eng.nhs.uk/openathens&amp;T=JS&amp;NEWS=n&amp;CSC=Y&amp;PAGE=toc&amp;D=yrovft&amp;AN=01223018-000000000-00000</t>
  </si>
  <si>
    <t>1539-0667</t>
  </si>
  <si>
    <t>2013-10-01 - 2022-05-25</t>
  </si>
  <si>
    <t>Medline Corrections (1950 - Present)</t>
  </si>
  <si>
    <t>2021-01-14</t>
  </si>
  <si>
    <t>1476-6256</t>
  </si>
  <si>
    <t>https://ovidsp.ovid.com/rss/journals/00007435/current.rss</t>
  </si>
  <si>
    <t>https://openathens.ovid.com/OAKeystone/deeplink?idpselect=https://idp.eng.nhs.uk/openathens&amp;entityID=https://idp.eng.nhs.uk/openathens&amp;T=JS&amp;NEWS=n&amp;CSC=Y&amp;PAGE=main&amp;D=pmnm5</t>
  </si>
  <si>
    <t>https://ovidsp.ovid.com/rss/journals/01802875/current.rss</t>
  </si>
  <si>
    <t>1473-6586</t>
  </si>
  <si>
    <t>Nature Clinical Practice Endocrinology &amp; Metabolism</t>
  </si>
  <si>
    <t>https://openathens.ovid.com/OAKeystone/deeplink?idpselect=https://idp.eng.nhs.uk/openathens&amp;entityID=https://idp.eng.nhs.uk/openathens&amp;T=JS&amp;NEWS=n&amp;CSC=Y&amp;PAGE=toc&amp;D=yrovft&amp;AN=02054631-000000000-00000</t>
  </si>
  <si>
    <t>https://openathens.ovid.com/OAKeystone/deeplink?idpselect=https://idp.eng.nhs.uk/openathens&amp;entityID=https://idp.eng.nhs.uk/openathens&amp;T=JS&amp;NEWS=n&amp;CSC=Y&amp;PAGE=toc&amp;D=yrovft&amp;AN=00130832-000000000-00000</t>
  </si>
  <si>
    <t>2019-04-01</t>
  </si>
  <si>
    <t>2011-01-01</t>
  </si>
  <si>
    <t>2018-06-01 - 2021-12-09</t>
  </si>
  <si>
    <t>https://openathens.ovid.com/OAKeystone/deeplink?idpselect=https://idp.eng.nhs.uk/openathens&amp;entityID=https://idp.eng.nhs.uk/openathens&amp;T=JS&amp;NEWS=n&amp;CSC=Y&amp;PAGE=main&amp;D=medc</t>
  </si>
  <si>
    <t>2019-09-01</t>
  </si>
  <si>
    <t>1063-8628</t>
  </si>
  <si>
    <t>https://ovidsp.ovid.com/rss/journals/00019441/current.rss</t>
  </si>
  <si>
    <t>Journal of Hypertension</t>
  </si>
  <si>
    <t>Journal of Tropical Pediatrics</t>
  </si>
  <si>
    <t>https://ovidsp.ovid.com/rss/journals/00130959/current.rss</t>
  </si>
  <si>
    <t>https://ovidsp.ovid.com/rss/journals/00004311/current.rss</t>
  </si>
  <si>
    <t>https://ovidsp.ovid.com/rss/journals/01445477/pap.rss</t>
  </si>
  <si>
    <t>2002-02-01</t>
  </si>
  <si>
    <t>0194-5181</t>
  </si>
  <si>
    <t>2000-07-01 - 2022-05-01</t>
  </si>
  <si>
    <t>2004-04-01 - 2022-05-01</t>
  </si>
  <si>
    <t>https://openathens.ovid.com/OAKeystone/deeplink?idpselect=https://idp.eng.nhs.uk/openathens&amp;entityID=https://idp.eng.nhs.uk/openathens&amp;T=JS&amp;NEWS=n&amp;CSC=Y&amp;PAGE=toc&amp;D=yrovft&amp;AN=00002591-000000000-00000</t>
  </si>
  <si>
    <t>2007-02-01 - 2015-04-01</t>
  </si>
  <si>
    <t>2009-01-01 - 2009-03-01</t>
  </si>
  <si>
    <t>Advances in Skin &amp; Wound Care</t>
  </si>
  <si>
    <t>1073-6514</t>
  </si>
  <si>
    <t>https://openathens.ovid.com/OAKeystone/deeplink?idpselect=https://idp.eng.nhs.uk/openathens&amp;entityID=https://idp.eng.nhs.uk/openathens&amp;T=JS&amp;NEWS=n&amp;CSC=Y&amp;PAGE=main&amp;D=sopp</t>
  </si>
  <si>
    <t>1559-7776</t>
  </si>
  <si>
    <t>2002-01-01 - 2003-12-01</t>
  </si>
  <si>
    <t>https://ovidsp.ovid.com/rss/journals/00010694/current.rss</t>
  </si>
  <si>
    <t>Journal of Hospice &amp; Palliative Nursing</t>
  </si>
  <si>
    <t>1473-656X</t>
  </si>
  <si>
    <t>1473-5687</t>
  </si>
  <si>
    <t>Journal of Thoracic Imaging</t>
  </si>
  <si>
    <t>1532-0316</t>
  </si>
  <si>
    <t>https://ovidsp.ovid.com/rss/journals/00587875/current.rss</t>
  </si>
  <si>
    <t>https://ovidsp.ovid.com/rss/journals/00006231/pap.rss</t>
  </si>
  <si>
    <t>https://ovidsp.ovid.com/rss/journals/00008486/current.rss</t>
  </si>
  <si>
    <t>2022-05-12</t>
  </si>
  <si>
    <t>https://ovidsp.ovid.com/rss/journals/00126334/current.rss</t>
  </si>
  <si>
    <t>1543-9879</t>
  </si>
  <si>
    <t>https://openathens.ovid.com/OAKeystone/deeplink?idpselect=https://idp.eng.nhs.uk/openathens&amp;entityID=https://idp.eng.nhs.uk/openathens&amp;T=JS&amp;NEWS=n&amp;CSC=Y&amp;PAGE=toc&amp;D=yrovft&amp;AN=00006396-000000000-00000</t>
  </si>
  <si>
    <t>https://openathens.ovid.com/OAKeystone/deeplink?idpselect=https://idp.eng.nhs.uk/openathens&amp;entityID=https://idp.eng.nhs.uk/openathens&amp;T=JS&amp;NEWS=n&amp;CSC=Y&amp;PAGE=toc&amp;D=yrovft&amp;AN=00006620-000000000-00000</t>
  </si>
  <si>
    <t>2015-10-01 - 2019-12-01</t>
  </si>
  <si>
    <t>2009-04-01 - 2010-04-01</t>
  </si>
  <si>
    <t>https://ovidsp.ovid.com/rss/journals/01271211/current.rss</t>
  </si>
  <si>
    <t>0164-2340</t>
  </si>
  <si>
    <t>ISBN-10</t>
  </si>
  <si>
    <t>https://ovidsp.ovid.com/rss/journals/00042192/pap.rss</t>
  </si>
  <si>
    <t>https://openathens.ovid.com/OAKeystone/deeplink?idpselect=https://idp.eng.nhs.uk/openathens&amp;entityID=https://idp.eng.nhs.uk/openathens&amp;T=JS&amp;NEWS=n&amp;CSC=Y&amp;PAGE=toc&amp;D=yrovft&amp;AN=00001803-000000000-00000</t>
  </si>
  <si>
    <t>Pain</t>
  </si>
  <si>
    <t>American Journal of Physical Medicine &amp; Rehabilitation</t>
  </si>
  <si>
    <t>0029-666X</t>
  </si>
  <si>
    <t>https://ovidsp.ovid.com/rss/journals/00000433/pap.rss</t>
  </si>
  <si>
    <t>https://ovidsp.ovid.com/rss/journals/02233721/current.rss</t>
  </si>
  <si>
    <t>https://openathens.ovid.com/OAKeystone/deeplink?idpselect=https://idp.eng.nhs.uk/openathens&amp;entityID=https://idp.eng.nhs.uk/openathens&amp;T=JS&amp;NEWS=n&amp;CSC=Y&amp;PAGE=toc&amp;D=yrovft&amp;AN=01337496-000000000-00000</t>
  </si>
  <si>
    <t>Current Opinion in Internal Medicine</t>
  </si>
  <si>
    <t>Journal of Bone and Joint Surgery, British Volume</t>
  </si>
  <si>
    <t>1533-0311</t>
  </si>
  <si>
    <t>1558-6243</t>
  </si>
  <si>
    <t>0020-6571</t>
  </si>
  <si>
    <t>https://ovidsp.ovid.com/rss/journals/01330296/pap.rss</t>
  </si>
  <si>
    <t>https://openathens.ovid.com/OAKeystone/deeplink?idpselect=https://idp.eng.nhs.uk/openathens&amp;entityID=https://idp.eng.nhs.uk/openathens&amp;T=JS&amp;NEWS=n&amp;CSC=Y&amp;PAGE=toc&amp;D=yrovft&amp;AN=01445432-000000000-00000</t>
  </si>
  <si>
    <t>0007-0912</t>
  </si>
  <si>
    <t>https://ovidsp.ovid.com/rss/journals/00128682/current.rss</t>
  </si>
  <si>
    <t>https://ovidsp.ovid.com/rss/journals/00005650/pap.rss</t>
  </si>
  <si>
    <t>Searching Skills Toolkit</t>
  </si>
  <si>
    <t>https://openathens.ovid.com/OAKeystone/deeplink?idpselect=https://idp.eng.nhs.uk/openathens&amp;entityID=https://idp.eng.nhs.uk/openathens&amp;T=JS&amp;NEWS=n&amp;CSC=Y&amp;PAGE=booktext&amp;D=books&amp;AN=01439067$&amp;XPATH=/PG(0)&amp;EPUB=Y</t>
  </si>
  <si>
    <t>The Kaohsiung Journal of Medical Sciences</t>
  </si>
  <si>
    <t>Kluwer Academic Publishers</t>
  </si>
  <si>
    <t>1538-9804</t>
  </si>
  <si>
    <t>Quality Letter for Healthcare Leaders, The</t>
  </si>
  <si>
    <t>2022-01-27</t>
  </si>
  <si>
    <t>2162-688X</t>
  </si>
  <si>
    <t>Annals of Occupational Hygiene</t>
  </si>
  <si>
    <t>1460-2105</t>
  </si>
  <si>
    <t>2001-07-01 - 2011-12-01</t>
  </si>
  <si>
    <t>1538-9235</t>
  </si>
  <si>
    <t>Oxford Handbook of Psychiatry</t>
  </si>
  <si>
    <t>1522-9645</t>
  </si>
  <si>
    <t>Journal of Clinical Psychopharmacology</t>
  </si>
  <si>
    <t>2008-12-01 - 2010-01-01</t>
  </si>
  <si>
    <t>Pre-Medline 1946 - 2016</t>
  </si>
  <si>
    <t>Diabetes</t>
  </si>
  <si>
    <t>https://openathens.ovid.com/OAKeystone/deeplink?idpselect=https://idp.eng.nhs.uk/openathens&amp;entityID=https://idp.eng.nhs.uk/openathens&amp;T=JS&amp;NEWS=n&amp;CSC=Y&amp;PAGE=toc&amp;D=yrovft&amp;AN=00152236-000000000-00000</t>
  </si>
  <si>
    <t>2016-12-01 - 2020-05-13</t>
  </si>
  <si>
    <t>https://openathens.ovid.com/OAKeystone/deeplink?idpselect=https://idp.eng.nhs.uk/openathens&amp;entityID=https://idp.eng.nhs.uk/openathens&amp;T=JS&amp;NEWS=n&amp;CSC=Y&amp;PAGE=toc&amp;D=yrovft&amp;AN=00013240-000000000-00000</t>
  </si>
  <si>
    <t>2002-09-01 - 2010-03-01</t>
  </si>
  <si>
    <t>Child: Care, Health and Development Supplement</t>
  </si>
  <si>
    <t>https://openathens.ovid.com/OAKeystone/deeplink?idpselect=https://idp.eng.nhs.uk/openathens&amp;entityID=https://idp.eng.nhs.uk/openathens&amp;T=JS&amp;NEWS=n&amp;CSC=Y&amp;PAGE=toc&amp;D=yrovft&amp;AN=00004630-000000000-00000</t>
  </si>
  <si>
    <t>2009-03-01 - 2022-05-01</t>
  </si>
  <si>
    <t>1040-2446</t>
  </si>
  <si>
    <t>Circulation: Cardiovascular Quality and Outcomes</t>
  </si>
  <si>
    <t>1938-1395</t>
  </si>
  <si>
    <t>https://openathens.ovid.com/OAKeystone/deeplink?idpselect=https://idp.eng.nhs.uk/openathens&amp;entityID=https://idp.eng.nhs.uk/openathens&amp;T=JS&amp;NEWS=n&amp;CSC=Y&amp;PAGE=booktext&amp;D=books&amp;AN=01439334$&amp;XPATH=/PG(0)&amp;EPUB=Y</t>
  </si>
  <si>
    <t>https://ovidsp.ovid.com/rss/journals/02211144/current.rss</t>
  </si>
  <si>
    <t>1752-6981</t>
  </si>
  <si>
    <t>https://ovidsp.ovid.com/rss/journals/00001199/current.rss</t>
  </si>
  <si>
    <t>The Hearing Journal</t>
  </si>
  <si>
    <t>EMBASE 2003 to 2004</t>
  </si>
  <si>
    <t>Medline (2003-2004)</t>
  </si>
  <si>
    <t>https://openathens.ovid.com/OAKeystone/deeplink?idpselect=https://idp.eng.nhs.uk/openathens&amp;entityID=https://idp.eng.nhs.uk/openathens&amp;T=JS&amp;NEWS=n&amp;CSC=Y&amp;PAGE=toc&amp;D=yrovft&amp;AN=01300516-000000000-00000</t>
  </si>
  <si>
    <t>https://openathens.ovid.com/OAKeystone/deeplink?idpselect=https://idp.eng.nhs.uk/openathens&amp;entityID=https://idp.eng.nhs.uk/openathens&amp;T=JS&amp;NEWS=n&amp;CSC=Y&amp;PAGE=toc&amp;D=yrovft&amp;AN=00137754-000000000-00000</t>
  </si>
  <si>
    <t>https://openathens.ovid.com/OAKeystone/deeplink?idpselect=https://idp.eng.nhs.uk/openathens&amp;entityID=https://idp.eng.nhs.uk/openathens&amp;T=JS&amp;NEWS=n&amp;CSC=Y&amp;PAGE=toc&amp;D=yrovft&amp;AN=00005793-000000000-00000</t>
  </si>
  <si>
    <t>0304-3959</t>
  </si>
  <si>
    <t>2169-7574</t>
  </si>
  <si>
    <t>Jumpstart</t>
  </si>
  <si>
    <t>2005-04-01</t>
  </si>
  <si>
    <t>https://openathens.ovid.com/OAKeystone/deeplink?idpselect=https://idp.eng.nhs.uk/openathens&amp;entityID=https://idp.eng.nhs.uk/openathens&amp;T=JS&amp;NEWS=n&amp;CSC=Y&amp;PAGE=toc&amp;D=yrovft&amp;AN=00002517-000000000-00000</t>
  </si>
  <si>
    <t>Menopause</t>
  </si>
  <si>
    <t>https://openathens.ovid.com/OAKeystone/deeplink?idpselect=https://idp.eng.nhs.uk/openathens&amp;entityID=https://idp.eng.nhs.uk/openathens&amp;T=JS&amp;NEWS=n&amp;CSC=Y&amp;PAGE=main&amp;D=emedx</t>
  </si>
  <si>
    <t>Ovid MEDLINE(R) Daily Update</t>
  </si>
  <si>
    <t>Evidence-Based Eye Care</t>
  </si>
  <si>
    <t>https://openathens.ovid.com/OAKeystone/deeplink?idpselect=https://idp.eng.nhs.uk/openathens&amp;entityID=https://idp.eng.nhs.uk/openathens&amp;T=JS&amp;NEWS=n&amp;CSC=Y&amp;PAGE=toc&amp;D=yrovft&amp;AN=01300518-000000000-00000</t>
  </si>
  <si>
    <t>1745-8323</t>
  </si>
  <si>
    <t>2002-06-01 - 2010-01-01</t>
  </si>
  <si>
    <t>Chinese Medical Journals Publishing House Co., Ltd</t>
  </si>
  <si>
    <t>https://ovidsp.ovid.com/rss/journals/01330296/current.rss</t>
  </si>
  <si>
    <t>2013-06-01 - 2022-05-25</t>
  </si>
  <si>
    <t>1531-7129</t>
  </si>
  <si>
    <t>https://openathens.ovid.com/OAKeystone/deeplink?idpselect=https://idp.eng.nhs.uk/openathens&amp;entityID=https://idp.eng.nhs.uk/openathens&amp;T=JS&amp;NEWS=n&amp;CSC=Y&amp;PAGE=toc&amp;D=yrovft&amp;AN=01266021-000000000-00000</t>
  </si>
  <si>
    <t>1468-3296</t>
  </si>
  <si>
    <t>https://openathens.ovid.com/OAKeystone/deeplink?idpselect=https://idp.eng.nhs.uk/openathens&amp;entityID=https://idp.eng.nhs.uk/openathens&amp;T=JS&amp;NEWS=n&amp;CSC=Y&amp;PAGE=toc&amp;D=yrovft&amp;AN=00130747-000000000-00000</t>
  </si>
  <si>
    <t>https://ovidsp.ovid.com/rss/journals/00129039/current.rss</t>
  </si>
  <si>
    <t>https://ovidsp.ovid.com/rss/journals/00042154/pap.rss</t>
  </si>
  <si>
    <t>https://ovidsp.ovid.com/rss/journals/00003446/pap.rss</t>
  </si>
  <si>
    <t>https://openathens.ovid.com/OAKeystone/deeplink?idpselect=https://idp.eng.nhs.uk/openathens&amp;entityID=https://idp.eng.nhs.uk/openathens&amp;T=JS&amp;NEWS=n&amp;CSC=Y&amp;PAGE=toc&amp;D=yrovft&amp;AN=02211172-000000000-00000</t>
  </si>
  <si>
    <t>https://openathens.ovid.com/OAKeystone/deeplink?idpselect=https://idp.eng.nhs.uk/openathens&amp;entityID=https://idp.eng.nhs.uk/openathens&amp;T=JS&amp;NEWS=n&amp;CSC=Y&amp;PAGE=toc&amp;D=yrovft&amp;AN=00042106-000000000-00000</t>
  </si>
  <si>
    <t>https://openathens.ovid.com/OAKeystone/deeplink?idpselect=https://idp.eng.nhs.uk/openathens&amp;entityID=https://idp.eng.nhs.uk/openathens&amp;T=JS&amp;NEWS=n&amp;CSC=Y&amp;PAGE=toc&amp;D=yrovft&amp;AN=00043605-000000000-00000</t>
  </si>
  <si>
    <t>CIN: Computers, Informatics, Nursing</t>
  </si>
  <si>
    <t>https://openathens.ovid.com/OAKeystone/deeplink?idpselect=https://idp.eng.nhs.uk/openathens&amp;entityID=https://idp.eng.nhs.uk/openathens&amp;T=JS&amp;NEWS=n&amp;CSC=Y&amp;PAGE=toc&amp;D=yrovft&amp;AN=00042192-000000000-00000</t>
  </si>
  <si>
    <t>https://ovidsp.ovid.com/rss/journals/00002820/pap.rss</t>
  </si>
  <si>
    <t>2001-07-10</t>
  </si>
  <si>
    <t>2000-05-01 - 2005-05-01</t>
  </si>
  <si>
    <t>https://openathens.ovid.com/OAKeystone/deeplink?idpselect=https://idp.eng.nhs.uk/openathens&amp;entityID=https://idp.eng.nhs.uk/openathens&amp;T=JS&amp;NEWS=n&amp;CSC=Y&amp;PAGE=toc&amp;D=yrovft&amp;AN=01984727-000000000-00000</t>
  </si>
  <si>
    <t>https://openathens.ovid.com/OAKeystone/deeplink?idpselect=https://idp.eng.nhs.uk/openathens&amp;entityID=https://idp.eng.nhs.uk/openathens&amp;T=JS&amp;NEWS=n&amp;CSC=Y&amp;PAGE=toc&amp;D=yrovft&amp;AN=00005082-000000000-00000</t>
  </si>
  <si>
    <t>https://ovidsp.ovid.com/rss/journals/00130989/current.rss</t>
  </si>
  <si>
    <t>2001-09-01 - 2015-04-01</t>
  </si>
  <si>
    <t>Journal of Bronchology</t>
  </si>
  <si>
    <t>https://ovidsp.ovid.com/rss/journals/00132587/pap.rss</t>
  </si>
  <si>
    <t>https://ovidsp.ovid.com/rss/journals/00001813/pap.rss</t>
  </si>
  <si>
    <t>The Neurologist</t>
  </si>
  <si>
    <t>https://ovidsp.ovid.com/rss/journals/00001574/current.rss</t>
  </si>
  <si>
    <t>Pancreas</t>
  </si>
  <si>
    <t>https://ovidsp.ovid.com/rss/journals/00004268/current.rss</t>
  </si>
  <si>
    <t>Journal of the Royal Society of Medicine, Supplement</t>
  </si>
  <si>
    <t>Journal of Head &amp; Neck Anesthesia</t>
  </si>
  <si>
    <t>Nature Reviews Urology</t>
  </si>
  <si>
    <t>1524-1602</t>
  </si>
  <si>
    <t>2002-03-01 - 2010-04-01</t>
  </si>
  <si>
    <t>978-0-7817-6899-3</t>
  </si>
  <si>
    <t>1996-02-01</t>
  </si>
  <si>
    <t>2002-04-01 - 2004-04-01</t>
  </si>
  <si>
    <t>2001-11-01</t>
  </si>
  <si>
    <t>Journal of Neuro-Oncology</t>
  </si>
  <si>
    <t>Regional Anesthesia &amp; Pain Medicine</t>
  </si>
  <si>
    <t>2022-01-01</t>
  </si>
  <si>
    <t>https://openathens.ovid.com/OAKeystone/deeplink?idpselect=https://idp.eng.nhs.uk/openathens&amp;entityID=https://idp.eng.nhs.uk/openathens&amp;T=JS&amp;NEWS=n&amp;CSC=Y&amp;PAGE=toc&amp;D=yrovft&amp;AN=00009577-000000000-00000</t>
  </si>
  <si>
    <t>1550-5073</t>
  </si>
  <si>
    <t>https://openathens.ovid.com/OAKeystone/deeplink?idpselect=https://idp.eng.nhs.uk/openathens&amp;entityID=https://idp.eng.nhs.uk/openathens&amp;T=JS&amp;NEWS=n&amp;CSC=Y&amp;PAGE=main&amp;D=emed7</t>
  </si>
  <si>
    <t>https://ovidsp.ovid.com/rss/journals/00041327/current.rss</t>
  </si>
  <si>
    <t>https://openathens.ovid.com/OAKeystone/deeplink?idpselect=https://idp.eng.nhs.uk/openathens&amp;entityID=https://idp.eng.nhs.uk/openathens&amp;T=JS&amp;NEWS=n&amp;CSC=Y&amp;PAGE=toc&amp;D=yrovft&amp;AN=01269241-000000000-00000</t>
  </si>
  <si>
    <t>1574-7891</t>
  </si>
  <si>
    <t>2018-07-01</t>
  </si>
  <si>
    <t>https://ovidsp.ovid.com/rss/journals/00153307/current.rss</t>
  </si>
  <si>
    <t>2015-03-01 - 2021-01-01</t>
  </si>
  <si>
    <t>1536-4801</t>
  </si>
  <si>
    <t>Medline (2020 to July 2021 Week 01)</t>
  </si>
  <si>
    <t>Skin Research &amp; Technology</t>
  </si>
  <si>
    <t>https://ovidsp.ovid.com/rss/journals/00008469/pap.rss</t>
  </si>
  <si>
    <t>https://ovidsp.ovid.com/rss/journals/00590574/current.rss</t>
  </si>
  <si>
    <t>https://ovidsp.ovid.com/rss/journals/00124278/pap.rss</t>
  </si>
  <si>
    <t>1878-0369</t>
  </si>
  <si>
    <t>Brain</t>
  </si>
  <si>
    <t>Circulation: Cardiovascular Imaging</t>
  </si>
  <si>
    <t>https://openathens.ovid.com/OAKeystone/deeplink?idpselect=https://idp.eng.nhs.uk/openathens&amp;entityID=https://idp.eng.nhs.uk/openathens&amp;T=JS&amp;NEWS=n&amp;CSC=Y&amp;PAGE=toc&amp;D=yrovft&amp;AN=00004728-000000000-00000</t>
  </si>
  <si>
    <t>https://ovidsp.ovid.com/rss/journals/00043426/current.rss</t>
  </si>
  <si>
    <t>https://ovidsp.ovid.com/rss/journals/00007783/pap.rss</t>
  </si>
  <si>
    <t>Social Policy and Practice &lt;202201&gt;</t>
  </si>
  <si>
    <t>2012-12-01</t>
  </si>
  <si>
    <t>2021-11-01</t>
  </si>
  <si>
    <t>1993-01-01 - 2022-05-01</t>
  </si>
  <si>
    <t>Lippincott Williams &amp; Wilkins</t>
  </si>
  <si>
    <t>Heart</t>
  </si>
  <si>
    <t>1536-9617</t>
  </si>
  <si>
    <t>2169-981X</t>
  </si>
  <si>
    <t>2020-03-01 - 2021-09-01</t>
  </si>
  <si>
    <t>https://ovidsp.ovid.com/rss/journals/00004347/pap.rss</t>
  </si>
  <si>
    <t>https://ovidsp.ovid.com/rss/journals/00006479/current.rss</t>
  </si>
  <si>
    <t>1537-1611</t>
  </si>
  <si>
    <t>https://ovidsp.ovid.com/rss/journals/00005053/pap.rss</t>
  </si>
  <si>
    <t>https://openathens.ovid.com/OAKeystone/deeplink?idpselect=https://idp.eng.nhs.uk/openathens&amp;entityID=https://idp.eng.nhs.uk/openathens&amp;T=JS&amp;NEWS=n&amp;CSC=Y&amp;PAGE=toc&amp;D=yrovft&amp;AN=00126350-000000000-00000</t>
  </si>
  <si>
    <t>2001-07-01 - 2005-12-01</t>
  </si>
  <si>
    <t>Nature Reviews Neurology</t>
  </si>
  <si>
    <t>2005-04-01 - 2015-04-01</t>
  </si>
  <si>
    <t>2006-01-01 - 2022-03-20</t>
  </si>
  <si>
    <t>1079-0713</t>
  </si>
  <si>
    <t>https://ovidsp.ovid.com/rss/journals/00005082/pap.rss</t>
  </si>
  <si>
    <t>2004-12-01</t>
  </si>
  <si>
    <t>https://ovidsp.ovid.com/rss/journals/01209203/pap.rss</t>
  </si>
  <si>
    <t>2006-12-31 - 2010-05-15</t>
  </si>
  <si>
    <t>0744-6020</t>
  </si>
  <si>
    <t>0-7817-6214-6</t>
  </si>
  <si>
    <t>https://openathens.ovid.com/OAKeystone/deeplink?idpselect=https://idp.eng.nhs.uk/openathens&amp;entityID=https://idp.eng.nhs.uk/openathens&amp;T=JS&amp;NEWS=n&amp;CSC=Y&amp;PAGE=toc&amp;D=yrovft&amp;AN=02107256-000000000-00000</t>
  </si>
  <si>
    <t>https://openathens.ovid.com/OAKeystone/deeplink?idpselect=https://idp.eng.nhs.uk/openathens&amp;entityID=https://idp.eng.nhs.uk/openathens&amp;T=JS&amp;NEWS=n&amp;CSC=Y&amp;PAGE=toc&amp;D=yrovft&amp;AN=00019048-000000000-00000</t>
  </si>
  <si>
    <t>https://openathens.ovid.com/OAKeystone/deeplink?idpselect=https://idp.eng.nhs.uk/openathens&amp;entityID=https://idp.eng.nhs.uk/openathens&amp;T=JS&amp;NEWS=n&amp;CSC=Y&amp;PAGE=toc&amp;D=yrovft&amp;AN=00002727-000000000-00000</t>
  </si>
  <si>
    <t>https://ovidsp.ovid.com/rss/journals/00002371/pap.rss</t>
  </si>
  <si>
    <t>0960-7722</t>
  </si>
  <si>
    <t>978-1-9018-3109-2</t>
  </si>
  <si>
    <t>2001-10-01 - 2010-05-01</t>
  </si>
  <si>
    <t>Inflammatory Bowel Diseases</t>
  </si>
  <si>
    <t>Journal of Pediatric Gastroenterology &amp; Nutrition</t>
  </si>
  <si>
    <t>2000-01-01 - 2010-04-01</t>
  </si>
  <si>
    <t>1536-0253</t>
  </si>
  <si>
    <t>Medline (2010-2011)</t>
  </si>
  <si>
    <t>1542-2321</t>
  </si>
  <si>
    <t>https://ovidsp.ovid.com/rss/journals/01198282/pap.rss</t>
  </si>
  <si>
    <t>Pre-Medline September 30 to October 05, 2020</t>
  </si>
  <si>
    <t>Medical Care</t>
  </si>
  <si>
    <t>https://ovidsp.ovid.com/rss/journals/01599573/pap.rss</t>
  </si>
  <si>
    <t>Clinical Neuropharmacology</t>
  </si>
  <si>
    <t>1540-336X</t>
  </si>
  <si>
    <t>1537-4521</t>
  </si>
  <si>
    <t>https://ovidsp.ovid.com/rss/journals/02260722/current.rss</t>
  </si>
  <si>
    <t>American Association for the Advancement of Science</t>
  </si>
  <si>
    <t>Current Opinion in Infectious Diseases</t>
  </si>
  <si>
    <t>https://ovidsp.ovid.com/rss/journals/00029679/current.rss</t>
  </si>
  <si>
    <t>https://ovidsp.ovid.com/rss/journals/02224449/current.rss</t>
  </si>
  <si>
    <t>1539-2570</t>
  </si>
  <si>
    <t>1530-0374</t>
  </si>
  <si>
    <t>https://openathens.ovid.com/OAKeystone/deeplink?idpselect=https://idp.eng.nhs.uk/openathens&amp;entityID=https://idp.eng.nhs.uk/openathens&amp;T=JS&amp;NEWS=n&amp;CSC=Y&amp;PAGE=toc&amp;D=yrovft&amp;AN=00001837-000000000-00000</t>
  </si>
  <si>
    <t>https://openathens.ovid.com/OAKeystone/deeplink?idpselect=https://idp.eng.nhs.uk/openathens&amp;entityID=https://idp.eng.nhs.uk/openathens&amp;T=JS&amp;NEWS=n&amp;CSC=Y&amp;PAGE=toc&amp;D=yrovft&amp;AN=01300413-000000000-00000</t>
  </si>
  <si>
    <t>https://ovidsp.ovid.com/rss/journals/00002700/pap.rss</t>
  </si>
  <si>
    <t>https://openathens.ovid.com/OAKeystone/deeplink?idpselect=https://idp.eng.nhs.uk/openathens&amp;entityID=https://idp.eng.nhs.uk/openathens&amp;T=JS&amp;NEWS=n&amp;CSC=Y&amp;PAGE=toc&amp;D=yrovft&amp;AN=00042423-000000000-00000</t>
  </si>
  <si>
    <t>Journal Title</t>
  </si>
  <si>
    <t>0736-8593</t>
  </si>
  <si>
    <t>https://openathens.ovid.com/OAKeystone/deeplink?idpselect=https://idp.eng.nhs.uk/openathens&amp;entityID=https://idp.eng.nhs.uk/openathens&amp;T=JS&amp;NEWS=n&amp;CSC=Y&amp;PAGE=toc&amp;D=yrovft&amp;AN=00001574-000000000-00000</t>
  </si>
  <si>
    <t>https://ovidsp.ovid.com/rss/journals/00063198/current.rss</t>
  </si>
  <si>
    <t>Current Urology</t>
  </si>
  <si>
    <t>https://openathens.ovid.com/OAKeystone/deeplink?idpselect=https://idp.eng.nhs.uk/openathens&amp;entityID=https://idp.eng.nhs.uk/openathens&amp;T=JS&amp;NEWS=n&amp;CSC=Y&amp;PAGE=toc&amp;D=yrovft&amp;AN=00011363-000000000-00000</t>
  </si>
  <si>
    <t>https://ovidsp.ovid.com/rss/journals/00006450/current.rss</t>
  </si>
  <si>
    <t>2017-09-01 - 2022-05-25</t>
  </si>
  <si>
    <t>https://openathens.ovid.com/OAKeystone/deeplink?idpselect=https://idp.eng.nhs.uk/openathens&amp;entityID=https://idp.eng.nhs.uk/openathens&amp;T=JS&amp;NEWS=n&amp;CSC=Y&amp;PAGE=toc&amp;D=yrovft&amp;AN=00001756-000000000-00000</t>
  </si>
  <si>
    <t>1533-0664</t>
  </si>
  <si>
    <t>https://openathens.ovid.com/OAKeystone/deeplink?idpselect=https://idp.eng.nhs.uk/openathens&amp;entityID=https://idp.eng.nhs.uk/openathens&amp;T=JS&amp;NEWS=n&amp;CSC=Y&amp;PAGE=main&amp;D=prem5</t>
  </si>
  <si>
    <t>2004-01-01 - 2022-05-01</t>
  </si>
  <si>
    <t>Year Coverage</t>
  </si>
  <si>
    <t>https://openathens.ovid.com/OAKeystone/deeplink?idpselect=https://idp.eng.nhs.uk/openathens&amp;entityID=https://idp.eng.nhs.uk/openathens&amp;T=JS&amp;NEWS=n&amp;CSC=Y&amp;PAGE=toc&amp;D=yrovft&amp;AN=00045391-000000000-00000</t>
  </si>
  <si>
    <t>https://openathens.ovid.com/OAKeystone/deeplink?idpselect=https://idp.eng.nhs.uk/openathens&amp;entityID=https://idp.eng.nhs.uk/openathens&amp;T=JS&amp;NEWS=n&amp;CSC=Y&amp;PAGE=toc&amp;D=yrovft&amp;AN=02196409-000000000-00000</t>
  </si>
  <si>
    <t>Carcinogenesis</t>
  </si>
  <si>
    <t>2020-01-01 - 2022-01-01</t>
  </si>
  <si>
    <t>https://openathens.ovid.com/OAKeystone/deeplink?idpselect=https://idp.eng.nhs.uk/openathens&amp;entityID=https://idp.eng.nhs.uk/openathens&amp;T=JS&amp;NEWS=n&amp;CSC=Y&amp;PAGE=toc&amp;D=yrovft&amp;AN=00134745-000000000-00000</t>
  </si>
  <si>
    <t>Contact Lens Spectrum</t>
  </si>
  <si>
    <t>https://ovidsp.ovid.com/rss/journals/00005072/pap.rss</t>
  </si>
  <si>
    <t>1759-4804</t>
  </si>
  <si>
    <t>https://ovidsp.ovid.com/rss/journals/01445395/current.rss</t>
  </si>
  <si>
    <t>https://ovidsp.ovid.com/rss/journals/01244665/current.rss</t>
  </si>
  <si>
    <t>https://openathens.ovid.com/OAKeystone/deeplink?idpselect=https://idp.eng.nhs.uk/openathens&amp;entityID=https://idp.eng.nhs.uk/openathens&amp;T=JS&amp;NEWS=n&amp;CSC=Y&amp;PAGE=toc&amp;D=yrovft&amp;AN=00134384-000000000-00000</t>
  </si>
  <si>
    <t>2001-01-01 - 2022-05-01</t>
  </si>
  <si>
    <t>https://openathens.ovid.com/OAKeystone/deeplink?idpselect=https://idp.eng.nhs.uk/openathens&amp;entityID=https://idp.eng.nhs.uk/openathens&amp;T=JS&amp;NEWS=n&amp;CSC=Y&amp;PAGE=toc&amp;D=yrovft&amp;AN=00006450-000000000-00000</t>
  </si>
  <si>
    <t>1072-3714</t>
  </si>
  <si>
    <t>https://ovidsp.ovid.com/rss/journals/01256961/pap.rss</t>
  </si>
  <si>
    <t>0196-0644</t>
  </si>
  <si>
    <t>Dermatology Nursing</t>
  </si>
  <si>
    <t>2018-06-29</t>
  </si>
  <si>
    <t>0003-2999</t>
  </si>
  <si>
    <t>Itch</t>
  </si>
  <si>
    <t>https://ovidsp.ovid.com/rss/journals/00019501/current.rss</t>
  </si>
  <si>
    <t>Coronary Artery Disease</t>
  </si>
  <si>
    <t>2013-07-01 - 2021-12-01</t>
  </si>
  <si>
    <t>Alcohol and Alcoholism</t>
  </si>
  <si>
    <t>https://ovidsp.ovid.com/rss/journals/00004548/current.rss</t>
  </si>
  <si>
    <t>https://openathens.ovid.com/OAKeystone/deeplink?idpselect=https://idp.eng.nhs.uk/openathens&amp;entityID=https://idp.eng.nhs.uk/openathens&amp;T=JS&amp;NEWS=n&amp;CSC=Y&amp;PAGE=toc&amp;D=yrovft&amp;AN=02070903-000000000-00000</t>
  </si>
  <si>
    <t>1473-6322</t>
  </si>
  <si>
    <t>1065-6251</t>
  </si>
  <si>
    <t>Ovid OLDMEDLINE(R) &lt;1946 to 1965&gt;</t>
  </si>
  <si>
    <t>https://ovidsp.ovid.com/rss/journals/02211172/current.rss</t>
  </si>
  <si>
    <t>https://openathens.ovid.com/OAKeystone/deeplink?idpselect=https://idp.eng.nhs.uk/openathens&amp;entityID=https://idp.eng.nhs.uk/openathens&amp;T=JS&amp;NEWS=n&amp;CSC=Y&amp;PAGE=toc&amp;D=yrovft&amp;AN=00006479-000000000-00000</t>
  </si>
  <si>
    <t>https://ovidsp.ovid.com/rss/journals/00124509/current.rss</t>
  </si>
  <si>
    <t>2021-06-01</t>
  </si>
  <si>
    <t>2004-02-01</t>
  </si>
  <si>
    <t>Blood Coagulation &amp; Fibrinolysis</t>
  </si>
  <si>
    <t>2575-3126</t>
  </si>
  <si>
    <t>2006-10-01 - 2010-01-01</t>
  </si>
  <si>
    <t>1526-0976</t>
  </si>
  <si>
    <t>1084-824X</t>
  </si>
  <si>
    <t>https://openathens.ovid.com/OAKeystone/deeplink?idpselect=https://idp.eng.nhs.uk/openathens&amp;entityID=https://idp.eng.nhs.uk/openathens&amp;T=JS&amp;NEWS=n&amp;CSC=Y&amp;PAGE=toc&amp;D=yrovft&amp;AN=01429659-000000000-00000</t>
  </si>
  <si>
    <t>9th_Edition</t>
  </si>
  <si>
    <t>2002-04-01 - 2004-02-01</t>
  </si>
  <si>
    <t>https://ovidsp.ovid.com/rss/journals/00130478/pap.rss</t>
  </si>
  <si>
    <t>https://openathens.ovid.com/OAKeystone/deeplink?idpselect=https://idp.eng.nhs.uk/openathens&amp;entityID=https://idp.eng.nhs.uk/openathens&amp;T=JS&amp;NEWS=n&amp;CSC=Y&amp;PAGE=toc&amp;D=yrovft&amp;AN=01222905-000000000-00000</t>
  </si>
  <si>
    <t>https://openathens.ovid.com/OAKeystone/deeplink?idpselect=https://idp.eng.nhs.uk/openathens&amp;entityID=https://idp.eng.nhs.uk/openathens&amp;T=JS&amp;NEWS=n&amp;CSC=Y&amp;PAGE=booktext&amp;D=books&amp;AN=01435353$&amp;XPATH=/PG(0)&amp;EPUB=Y</t>
  </si>
  <si>
    <t>0363-8855</t>
  </si>
  <si>
    <t>Exercise and Sport Sciences Reviews</t>
  </si>
  <si>
    <t>1076-1608</t>
  </si>
  <si>
    <t>Journal of Pediatric Orthopaedics B</t>
  </si>
  <si>
    <t>https://openathens.ovid.com/OAKeystone/deeplink?idpselect=https://idp.eng.nhs.uk/openathens&amp;entityID=https://idp.eng.nhs.uk/openathens&amp;T=JS&amp;NEWS=n&amp;CSC=Y&amp;PAGE=main&amp;D=medlmock</t>
  </si>
  <si>
    <t>https://openathens.ovid.com/OAKeystone/deeplink?idpselect=https://idp.eng.nhs.uk/openathens&amp;entityID=https://idp.eng.nhs.uk/openathens&amp;T=JS&amp;NEWS=n&amp;CSC=Y&amp;PAGE=toc&amp;D=yrovft&amp;AN=00146866-000000000-00000</t>
  </si>
  <si>
    <t>https://ovidsp.ovid.com/rss/journals/00129234/current.rss</t>
  </si>
  <si>
    <t>Inside Case Management</t>
  </si>
  <si>
    <t>https://ovidsp.ovid.com/rss/journals/02070904/current.rss</t>
  </si>
  <si>
    <t>https://ovidsp.ovid.com/rss/journals/02196403/current.rss</t>
  </si>
  <si>
    <t>https://ovidsp.ovid.com/rss/journals/00075200/pap.rss</t>
  </si>
  <si>
    <t>https://ovidsp.ovid.com/rss/journals/00006123/current.rss</t>
  </si>
  <si>
    <t>https://ovidsp.ovid.com/rss/journals/00006216/pap.rss</t>
  </si>
  <si>
    <t>https://ovidsp.ovid.com/rss/journals/00019616/current.rss</t>
  </si>
  <si>
    <t>2192-8304</t>
  </si>
  <si>
    <t>1550-509X</t>
  </si>
  <si>
    <t>https://ovidsp.ovid.com/rss/journals/00130911/pap.rss</t>
  </si>
  <si>
    <t>https://ovidsp.ovid.com/rss/journals/02054629/current.rss</t>
  </si>
  <si>
    <t>Current Opinion in Organ Transplantation</t>
  </si>
  <si>
    <t>Journal of Cutaneous Immunology and Allergy</t>
  </si>
  <si>
    <t>1553-0582</t>
  </si>
  <si>
    <t>https://ovidsp.ovid.com/rss/journals/01206485/current.rss</t>
  </si>
  <si>
    <t>OR Nurse</t>
  </si>
  <si>
    <t>https://openathens.ovid.com/OAKeystone/deeplink?idpselect=https://idp.eng.nhs.uk/openathens&amp;entityID=https://idp.eng.nhs.uk/openathens&amp;T=JS&amp;NEWS=n&amp;CSC=Y&amp;PAGE=toc&amp;D=yrovft&amp;AN=02054629-000000000-00000</t>
  </si>
  <si>
    <t>2006-12-01 - 2010-04-01</t>
  </si>
  <si>
    <t>1460-2156</t>
  </si>
  <si>
    <t>2006-01-01 - 2022-03-01</t>
  </si>
  <si>
    <t>https://openathens.ovid.com/OAKeystone/deeplink?idpselect=https://idp.eng.nhs.uk/openathens&amp;entityID=https://idp.eng.nhs.uk/openathens&amp;T=JS&amp;NEWS=n&amp;CSC=Y&amp;PAGE=toc&amp;D=yrovft&amp;AN=02091979-000000000-00000</t>
  </si>
  <si>
    <t>2021-09-01 - 2022-05-25</t>
  </si>
  <si>
    <t>1533-404X</t>
  </si>
  <si>
    <t>1052-9551</t>
  </si>
  <si>
    <t>https://openathens.ovid.com/OAKeystone/deeplink?idpselect=https://idp.eng.nhs.uk/openathens&amp;entityID=https://idp.eng.nhs.uk/openathens&amp;T=JS&amp;NEWS=n&amp;CSC=Y&amp;PAGE=toc&amp;D=yrovft&amp;AN=01394381-000000000-00000</t>
  </si>
  <si>
    <t>2003-04-01 - 2003-10-01</t>
  </si>
  <si>
    <t>1348-9585</t>
  </si>
  <si>
    <t>2015-09-01</t>
  </si>
  <si>
    <t>1460-2369</t>
  </si>
  <si>
    <t>Nature Reviews Nephrology</t>
  </si>
  <si>
    <t>1047-5311</t>
  </si>
  <si>
    <t>https://openathens.ovid.com/OAKeystone/deeplink?idpselect=https://idp.eng.nhs.uk/openathens&amp;entityID=https://idp.eng.nhs.uk/openathens&amp;T=JS&amp;NEWS=n&amp;CSC=Y&amp;PAGE=toc&amp;D=yrovft&amp;AN=00004703-000000000-00000</t>
  </si>
  <si>
    <t>2022-05-09</t>
  </si>
  <si>
    <t>2021-04-01 - 2022-04-26</t>
  </si>
  <si>
    <t>https://ovidsp.ovid.com/rss/journals/01263393/current.rss</t>
  </si>
  <si>
    <t>1746-1553</t>
  </si>
  <si>
    <t>https://openathens.ovid.com/OAKeystone/deeplink?idpselect=https://idp.eng.nhs.uk/openathens&amp;entityID=https://idp.eng.nhs.uk/openathens&amp;T=JS&amp;NEWS=n&amp;CSC=Y&amp;PAGE=toc&amp;D=yrovft&amp;AN=00021668-000000000-00000</t>
  </si>
  <si>
    <t>2001-06-01</t>
  </si>
  <si>
    <t>2381-652X</t>
  </si>
  <si>
    <t>https://ovidsp.ovid.com/rss/journals/00130404/current.rss</t>
  </si>
  <si>
    <t>https://openathens.ovid.com/OAKeystone/deeplink?idpselect=https://idp.eng.nhs.uk/openathens&amp;entityID=https://idp.eng.nhs.uk/openathens&amp;T=JS&amp;NEWS=n&amp;CSC=Y&amp;PAGE=toc&amp;D=yrovft&amp;AN=02272506-000000000-00000</t>
  </si>
  <si>
    <t>https://openathens.ovid.com/OAKeystone/deeplink?idpselect=https://idp.eng.nhs.uk/openathens&amp;entityID=https://idp.eng.nhs.uk/openathens&amp;T=JS&amp;NEWS=n&amp;CSC=Y&amp;PAGE=toc&amp;D=yrovft&amp;AN=00019441-000000000-00000</t>
  </si>
  <si>
    <t>https://ovidsp.ovid.com/rss/journals/00005272/current.rss</t>
  </si>
  <si>
    <t>Blood Science</t>
  </si>
  <si>
    <t>1354-5760</t>
  </si>
  <si>
    <t>Ovid MEDLINE(R) In-Process &amp; Other Non-Indexed Citations &lt;January 25, 2019&gt;</t>
  </si>
  <si>
    <t>https://ovidsp.ovid.com/rss/journals/00041552/pap.rss</t>
  </si>
  <si>
    <t>https://openathens.ovid.com/OAKeystone/deeplink?idpselect=https://idp.eng.nhs.uk/openathens&amp;entityID=https://idp.eng.nhs.uk/openathens&amp;T=JS&amp;NEWS=n&amp;CSC=Y&amp;PAGE=main&amp;D=med7</t>
  </si>
  <si>
    <t>Ovid MEDLINE(R) and In-Process, In-Data-Review &amp; Other Non-Indexed Citations &lt;1946 to May 25, 2022&gt;</t>
  </si>
  <si>
    <t>1555-9211</t>
  </si>
  <si>
    <t>https://ovidsp.ovid.com/rss/journals/00000539/pap.rss</t>
  </si>
  <si>
    <t>https://openathens.ovid.com/OAKeystone/deeplink?idpselect=https://idp.eng.nhs.uk/openathens&amp;entityID=https://idp.eng.nhs.uk/openathens&amp;T=JS&amp;NEWS=n&amp;CSC=Y&amp;PAGE=toc&amp;D=yrovft&amp;AN=00004471-000000000-00000</t>
  </si>
  <si>
    <t>Optometry and Vision Science</t>
  </si>
  <si>
    <t>https://ovidsp.ovid.com/rss/journals/00001610/current.rss</t>
  </si>
  <si>
    <t>Latest Issue</t>
  </si>
  <si>
    <t>https://ovidsp.ovid.com/rss/journals/01253100/current.rss</t>
  </si>
  <si>
    <t>0959-4965</t>
  </si>
  <si>
    <t>2003-03-01 - 2009-11-01</t>
  </si>
  <si>
    <t>Public Health Nursing</t>
  </si>
  <si>
    <t>2016-05-01 - 2021-12-16</t>
  </si>
  <si>
    <t>https://ovidsp.ovid.com/rss/journals/00003845/pap.rss</t>
  </si>
  <si>
    <t>https://ovidsp.ovid.com/rss/journals/00132584/current.rss</t>
  </si>
  <si>
    <t>https://ovidsp.ovid.com/rss/journals/00006199/current.rss</t>
  </si>
  <si>
    <t>1471-8405</t>
  </si>
  <si>
    <t>https://openathens.ovid.com/OAKeystone/deeplink?idpselect=https://idp.eng.nhs.uk/openathens&amp;entityID=https://idp.eng.nhs.uk/openathens&amp;T=JS&amp;NEWS=n&amp;CSC=Y&amp;PAGE=toc&amp;D=yrovft&amp;AN=00005283-000000000-00000</t>
  </si>
  <si>
    <t>Neurology® Neuroimmunology &amp; Neuroinflammation</t>
  </si>
  <si>
    <t>https://ovidsp.ovid.com/rss/journals/01212979/current.rss</t>
  </si>
  <si>
    <t>1528-1132</t>
  </si>
  <si>
    <t>2003-03-01 - 2003-12-01</t>
  </si>
  <si>
    <t>https://openathens.ovid.com/OAKeystone/deeplink?idpselect=https://idp.eng.nhs.uk/openathens&amp;entityID=https://idp.eng.nhs.uk/openathens&amp;T=JS&amp;NEWS=n&amp;CSC=Y&amp;PAGE=toc&amp;D=yrovft&amp;AN=00002480-000000000-00000</t>
  </si>
  <si>
    <t>Journal of Infusion Nursing</t>
  </si>
  <si>
    <t>https://ovidsp.ovid.com/rss/journals/00004268/pap.rss</t>
  </si>
  <si>
    <t>Medline (2015)</t>
  </si>
  <si>
    <t>JOR Spine</t>
  </si>
  <si>
    <t>https://ovidsp.ovid.com/rss/journals/00001433/current.rss</t>
  </si>
  <si>
    <t>https://ovidsp.ovid.com/rss/journals/00013614/current.rss</t>
  </si>
  <si>
    <t>Ear &amp; Hearing</t>
  </si>
  <si>
    <t>Stroke</t>
  </si>
  <si>
    <t>Psychiatric Research &amp; Clinical Practice</t>
  </si>
  <si>
    <t>2010-05-01</t>
  </si>
  <si>
    <t>1556-0864</t>
  </si>
  <si>
    <t>2001-03-01 - 2010-04-01</t>
  </si>
  <si>
    <t>Oncology Times UK</t>
  </si>
  <si>
    <t>Evidence Base for Diabetes Care, The</t>
  </si>
  <si>
    <t>https://ovidsp.ovid.com/rss/journals/00004045/pap.rss</t>
  </si>
  <si>
    <t>2001-01-01 - 2010-06-01</t>
  </si>
  <si>
    <t>https://ovidsp.ovid.com/rss/journals/00005884/current.rss</t>
  </si>
  <si>
    <t>https://openathens.ovid.com/OAKeystone/deeplink?idpselect=https://idp.eng.nhs.uk/openathens&amp;entityID=https://idp.eng.nhs.uk/openathens&amp;T=JS&amp;NEWS=n&amp;CSC=Y&amp;PAGE=toc&amp;D=yrovft&amp;AN=00003524-000000000-00000</t>
  </si>
  <si>
    <t>2001-01-01 - 2022-03-01</t>
  </si>
  <si>
    <t>2009-04-01</t>
  </si>
  <si>
    <t>1600-0447</t>
  </si>
  <si>
    <t>1525-8610</t>
  </si>
  <si>
    <t>0898-5669</t>
  </si>
  <si>
    <t>https://openathens.ovid.com/OAKeystone/deeplink?idpselect=https://idp.eng.nhs.uk/openathens&amp;entityID=https://idp.eng.nhs.uk/openathens&amp;T=JS&amp;NEWS=n&amp;CSC=Y&amp;PAGE=toc&amp;D=yrovft&amp;AN=01429654-000000000-00000</t>
  </si>
  <si>
    <t>AMED (Allied and Complementary Medicine) &lt;1985 to May 2022&gt;</t>
  </si>
  <si>
    <t>https://openathens.ovid.com/OAKeystone/deeplink?idpselect=https://idp.eng.nhs.uk/openathens&amp;entityID=https://idp.eng.nhs.uk/openathens&amp;T=JS&amp;NEWS=n&amp;CSC=Y&amp;PAGE=toc&amp;D=yrovft&amp;AN=01337441-000000000-00000</t>
  </si>
  <si>
    <t>https://openathens.ovid.com/OAKeystone/deeplink?idpselect=https://idp.eng.nhs.uk/openathens&amp;entityID=https://idp.eng.nhs.uk/openathens&amp;T=JS&amp;NEWS=n&amp;CSC=Y&amp;PAGE=toc&amp;D=yrovft&amp;AN=00129300-000000000-00000</t>
  </si>
  <si>
    <t>0739-9529</t>
  </si>
  <si>
    <t>https://ovidsp.ovid.com/rss/journals/01445488/current.rss</t>
  </si>
  <si>
    <t>https://ovidsp.ovid.com/rss/journals/00063413/pap.rss</t>
  </si>
  <si>
    <t>https://openathens.ovid.com/OAKeystone/deeplink?idpselect=https://idp.eng.nhs.uk/openathens&amp;entityID=https://idp.eng.nhs.uk/openathens&amp;T=JS&amp;NEWS=n&amp;CSC=Y&amp;PAGE=main&amp;D=medall</t>
  </si>
  <si>
    <t>Health Care Food &amp; Nutrition Focus</t>
  </si>
  <si>
    <t>Health Policy &amp; Planning</t>
  </si>
  <si>
    <t>https://openathens.ovid.com/OAKeystone/deeplink?idpselect=https://idp.eng.nhs.uk/openathens&amp;entityID=https://idp.eng.nhs.uk/openathens&amp;T=JS&amp;NEWS=n&amp;CSC=Y&amp;PAGE=toc&amp;D=yrovft&amp;AN=01436909-000000000-00000</t>
  </si>
  <si>
    <t>The Journal of ECT</t>
  </si>
  <si>
    <t>EMBASE 2014</t>
  </si>
  <si>
    <t>https://openathens.ovid.com/OAKeystone/deeplink?idpselect=https://idp.eng.nhs.uk/openathens&amp;entityID=https://idp.eng.nhs.uk/openathens&amp;T=JS&amp;NEWS=n&amp;CSC=Y&amp;PAGE=main&amp;D=hmic</t>
  </si>
  <si>
    <t>Circulation</t>
  </si>
  <si>
    <t>1536-5409</t>
  </si>
  <si>
    <t>1-4051-5849-2</t>
  </si>
  <si>
    <t>HemaSphere</t>
  </si>
  <si>
    <t>https://ovidsp.ovid.com/rss/journals/00012272/pap.rss</t>
  </si>
  <si>
    <t>https://openathens.ovid.com/OAKeystone/deeplink?idpselect=https://idp.eng.nhs.uk/openathens&amp;entityID=https://idp.eng.nhs.uk/openathens&amp;T=JS&amp;NEWS=n&amp;CSC=Y&amp;PAGE=toc&amp;D=yrovft&amp;AN=00590574-000000000-00000</t>
  </si>
  <si>
    <t>https://ovidsp.ovid.com/rss/journals/00005178/current.rss</t>
  </si>
  <si>
    <t>978-1-4051-5849-7</t>
  </si>
  <si>
    <t>https://ovidsp.ovid.com/rss/journals/00005084/current.rss</t>
  </si>
  <si>
    <t>Thieme Medical Publishers</t>
  </si>
  <si>
    <t>https://ovidsp.ovid.com/rss/journals/02054630/current.rss</t>
  </si>
  <si>
    <t>Home Healthcare Nurse</t>
  </si>
  <si>
    <t>1538-1935</t>
  </si>
  <si>
    <t>https://ovidsp.ovid.com/rss/journals/00139143/pap.rss</t>
  </si>
  <si>
    <t>https://openathens.ovid.com/OAKeystone/deeplink?idpselect=https://idp.eng.nhs.uk/openathens&amp;entityID=https://idp.eng.nhs.uk/openathens&amp;T=JS&amp;NEWS=n&amp;CSC=Y&amp;PAGE=toc&amp;D=yrovft&amp;AN=00000605-000000000-00000</t>
  </si>
  <si>
    <t>https://ovidsp.ovid.com/rss/journals/00005382/current.rss</t>
  </si>
  <si>
    <t>2022-02-01</t>
  </si>
  <si>
    <t>2010-09-01</t>
  </si>
  <si>
    <t>Nuclear Medicine Communications</t>
  </si>
  <si>
    <t>1098-7126</t>
  </si>
  <si>
    <t>https://ovidsp.ovid.com/rss/journals/00003856/current.rss</t>
  </si>
  <si>
    <t>Journal of Neuroscience Nursing</t>
  </si>
  <si>
    <t>https://ovidsp.ovid.com/rss/journals/01840667/current.rss</t>
  </si>
  <si>
    <t>CIN Plus</t>
  </si>
  <si>
    <t>https://openathens.ovid.com/OAKeystone/deeplink?idpselect=https://idp.eng.nhs.uk/openathens&amp;entityID=https://idp.eng.nhs.uk/openathens&amp;T=JS&amp;NEWS=n&amp;CSC=Y&amp;PAGE=toc&amp;D=yrovft&amp;AN=00124509-000000000-00000</t>
  </si>
  <si>
    <t>The Journal of Family Practice</t>
  </si>
  <si>
    <t>https://openathens.ovid.com/OAKeystone/deeplink?idpselect=https://idp.eng.nhs.uk/openathens&amp;entityID=https://idp.eng.nhs.uk/openathens&amp;T=JS&amp;NEWS=n&amp;CSC=Y&amp;PAGE=toc&amp;D=yrovft&amp;AN=00008483-000000000-00000</t>
  </si>
  <si>
    <t>https://ovidsp.ovid.com/rss/journals/00076734/pap.rss</t>
  </si>
  <si>
    <t>2001-01-01 - 2003-01-01</t>
  </si>
  <si>
    <t>https://openathens.ovid.com/OAKeystone/deeplink?idpselect=https://idp.eng.nhs.uk/openathens&amp;entityID=https://idp.eng.nhs.uk/openathens&amp;T=JS&amp;NEWS=n&amp;CSC=Y&amp;PAGE=main&amp;D=prem2</t>
  </si>
  <si>
    <t>2022-04-12</t>
  </si>
  <si>
    <t>Embo Molecular Medicine</t>
  </si>
  <si>
    <t>2007-02-01 - 2007-05-01</t>
  </si>
  <si>
    <t>Otology &amp; Neurotology Open</t>
  </si>
  <si>
    <t>2049-4408</t>
  </si>
  <si>
    <t>https://ovidsp.ovid.com/rss/journals/01212983/current.rss</t>
  </si>
  <si>
    <t>https://openathens.ovid.com/OAKeystone/deeplink?idpselect=https://idp.eng.nhs.uk/openathens&amp;entityID=https://idp.eng.nhs.uk/openathens&amp;T=JS&amp;NEWS=n&amp;CSC=Y&amp;PAGE=toc&amp;D=yrovft&amp;AN=02233705-000000000-00000</t>
  </si>
  <si>
    <t>1582-1838</t>
  </si>
  <si>
    <t>2001-07-01 - 2004-09-01</t>
  </si>
  <si>
    <t>https://ovidsp.ovid.com/rss/journals/00003681/current.rss</t>
  </si>
  <si>
    <t>https://ovidsp.ovid.com/rss/journals/00075197/current.rss</t>
  </si>
  <si>
    <t>2012-03-01 - 2017-12-01</t>
  </si>
  <si>
    <t>https://openathens.ovid.com/OAKeystone/deeplink?idpselect=https://idp.eng.nhs.uk/openathens&amp;entityID=https://idp.eng.nhs.uk/openathens&amp;T=JS&amp;NEWS=n&amp;CSC=Y&amp;PAGE=toc&amp;D=yrovft&amp;AN=00132576-000000000-00000</t>
  </si>
  <si>
    <t>2003-04-01 - 2010-04-01</t>
  </si>
  <si>
    <t>2003-04-01 - 2004-10-01</t>
  </si>
  <si>
    <t>Ovid MEDLINE(R) &lt;1946 to May Week 3 2022&gt;</t>
  </si>
  <si>
    <t>https://ovidsp.ovid.com/rss/journals/00126097/pap.rss</t>
  </si>
  <si>
    <t>https://ovidsp.ovid.com/rss/journals/00005821/pap.rss</t>
  </si>
  <si>
    <t>https://openathens.ovid.com/OAKeystone/deeplink?idpselect=https://idp.eng.nhs.uk/openathens&amp;entityID=https://idp.eng.nhs.uk/openathens&amp;T=JS&amp;NEWS=n&amp;CSC=Y&amp;PAGE=main&amp;D=med8</t>
  </si>
  <si>
    <t>https://ovidsp.ovid.com/rss/journals/00140068/pap.rss</t>
  </si>
  <si>
    <t>https://ovidsp.ovid.com/rss/journals/00124278/current.rss</t>
  </si>
  <si>
    <t>Family Practice</t>
  </si>
  <si>
    <t>https://ovidsp.ovid.com/rss/journals/00006223/current.rss</t>
  </si>
  <si>
    <t>https://openathens.ovid.com/OAKeystone/deeplink?idpselect=https://idp.eng.nhs.uk/openathens&amp;entityID=https://idp.eng.nhs.uk/openathens&amp;T=JS&amp;NEWS=n&amp;CSC=Y&amp;PAGE=toc&amp;D=yrovft&amp;AN=00115550-000000000-00000</t>
  </si>
  <si>
    <t>https://ovidsp.ovid.com/rss/journals/01222929/pap.rss</t>
  </si>
  <si>
    <t>https://ovidsp.ovid.com/rss/journals/01906638/current.rss</t>
  </si>
  <si>
    <t>1445-5781</t>
  </si>
  <si>
    <t>2001-07-01</t>
  </si>
  <si>
    <t>0038-4348</t>
  </si>
  <si>
    <t>2022-04-20 - 2022-04-20</t>
  </si>
  <si>
    <t>https://openathens.ovid.com/OAKeystone/deeplink?idpselect=https://idp.eng.nhs.uk/openathens&amp;entityID=https://idp.eng.nhs.uk/openathens&amp;T=JS&amp;NEWS=n&amp;CSC=Y&amp;PAGE=toc&amp;D=yrovft&amp;AN=01445488-000000000-00000</t>
  </si>
  <si>
    <t>https://openathens.ovid.com/OAKeystone/deeplink?idpselect=https://idp.eng.nhs.uk/openathens&amp;entityID=https://idp.eng.nhs.uk/openathens&amp;T=JS&amp;NEWS=n&amp;CSC=Y&amp;PAGE=toc&amp;D=yrovft&amp;AN=00001888-000000000-00000</t>
  </si>
  <si>
    <t>1532-0987</t>
  </si>
  <si>
    <t>Handbook of Service User Involvement in Mental Health Research</t>
  </si>
  <si>
    <t>1536-7355</t>
  </si>
  <si>
    <t>Current Opinion in Urology</t>
  </si>
  <si>
    <t>https://ovidsp.ovid.com/rss/journals/00115742/current.rss</t>
  </si>
  <si>
    <t>IJS Short Reports</t>
  </si>
  <si>
    <t>https://ovidsp.ovid.com/rss/journals/00008480/pap.rss</t>
  </si>
  <si>
    <t>2001-07-01 - 2004-11-01</t>
  </si>
  <si>
    <t>2052-8817</t>
  </si>
  <si>
    <t>2009-01-01</t>
  </si>
  <si>
    <t>Pharmacogenetics and Genomics</t>
  </si>
  <si>
    <t>https://openathens.ovid.com/OAKeystone/deeplink?idpselect=https://idp.eng.nhs.uk/openathens&amp;entityID=https://idp.eng.nhs.uk/openathens&amp;T=JS&amp;NEWS=n&amp;CSC=Y&amp;PAGE=toc&amp;D=yrovft&amp;AN=01445452-000000000-00000</t>
  </si>
  <si>
    <t>0962-1067</t>
  </si>
  <si>
    <t>0732-0167</t>
  </si>
  <si>
    <t>Obstetrical &amp; Gynecological Survey</t>
  </si>
  <si>
    <t>1473-5636</t>
  </si>
  <si>
    <t>1465-3621</t>
  </si>
  <si>
    <t>https://ovidsp.ovid.com/rss/journals/00006203/current.rss</t>
  </si>
  <si>
    <t>https://openathens.ovid.com/OAKeystone/deeplink?idpselect=https://idp.eng.nhs.uk/openathens&amp;entityID=https://idp.eng.nhs.uk/openathens&amp;T=JS&amp;NEWS=n&amp;CSC=Y&amp;PAGE=toc&amp;D=yrovft&amp;AN=00130959-000000000-00000</t>
  </si>
  <si>
    <t>2472-0054</t>
  </si>
  <si>
    <t>https://ovidsp.ovid.com/rss/journals/02102031/current.rss</t>
  </si>
  <si>
    <t>2020-04-01</t>
  </si>
  <si>
    <t>Journal of Vascular &amp; Interventional Radiology</t>
  </si>
  <si>
    <t>2021-02-01 - 2022-05-06</t>
  </si>
  <si>
    <t>2001-10-10</t>
  </si>
  <si>
    <t>Journal of the Chinese Medical Association</t>
  </si>
  <si>
    <t>https://openathens.ovid.com/OAKeystone/deeplink?idpselect=https://idp.eng.nhs.uk/openathens&amp;entityID=https://idp.eng.nhs.uk/openathens&amp;T=JS&amp;NEWS=n&amp;CSC=Y&amp;PAGE=toc&amp;D=yrovft&amp;AN=00003465-000000000-00000</t>
  </si>
  <si>
    <t>https://openathens.ovid.com/OAKeystone/deeplink?idpselect=https://idp.eng.nhs.uk/openathens&amp;entityID=https://idp.eng.nhs.uk/openathens&amp;T=JS&amp;NEWS=n&amp;CSC=Y&amp;PAGE=toc&amp;D=yrovft&amp;AN=00002703-000000000-00000</t>
  </si>
  <si>
    <t>https://ovidsp.ovid.com/rss/journals/00132586/current.rss</t>
  </si>
  <si>
    <t>Human &amp; Experimental Toxicology</t>
  </si>
  <si>
    <t>Neurosurgery Open</t>
  </si>
  <si>
    <t>International Anesthesiology Clinics</t>
  </si>
  <si>
    <t>https://ovidsp.ovid.com/rss/journals/00007670/current.rss</t>
  </si>
  <si>
    <t>Evidence-Based Clinical Supervision</t>
  </si>
  <si>
    <t>1943-7676</t>
  </si>
  <si>
    <t>2013-10-01</t>
  </si>
  <si>
    <t>John Wiley &amp; Sons, Inc. (Journals)</t>
  </si>
  <si>
    <t>https://openathens.ovid.com/OAKeystone/deeplink?idpselect=https://idp.eng.nhs.uk/openathens&amp;entityID=https://idp.eng.nhs.uk/openathens&amp;T=JS&amp;NEWS=n&amp;CSC=Y&amp;PAGE=toc&amp;D=yrovft&amp;AN=00007815-000000000-00000</t>
  </si>
  <si>
    <t>https://openathens.ovid.com/OAKeystone/deeplink?idpselect=https://idp.eng.nhs.uk/openathens&amp;entityID=https://idp.eng.nhs.uk/openathens&amp;T=JS&amp;NEWS=n&amp;CSC=Y&amp;PAGE=toc&amp;D=yrovft&amp;AN=02054632-000000000-00000</t>
  </si>
  <si>
    <t>2090-7303</t>
  </si>
  <si>
    <t>https://openathens.ovid.com/OAKeystone/deeplink?idpselect=https://idp.eng.nhs.uk/openathens&amp;entityID=https://idp.eng.nhs.uk/openathens&amp;T=JS&amp;NEWS=n&amp;CSC=Y&amp;PAGE=toc&amp;D=yrovft&amp;AN=00060993-000000000-00000</t>
  </si>
  <si>
    <t>1938-8640</t>
  </si>
  <si>
    <t>1071-5754</t>
  </si>
  <si>
    <t>https://ovidsp.ovid.com/rss/journals/01429652/pap.rss</t>
  </si>
  <si>
    <t>https://ovidsp.ovid.com/rss/journals/00004703/pap.rss</t>
  </si>
  <si>
    <t>0090-0036</t>
  </si>
  <si>
    <t>https://ovidsp.ovid.com/rss/journals/00001813/current.rss</t>
  </si>
  <si>
    <t>https://ovidsp.ovid.com/rss/journals/00002060/current.rss</t>
  </si>
  <si>
    <t>Contemporary Critical Care</t>
  </si>
  <si>
    <t>https://ovidsp.ovid.com/rss/journals/00002341/pap.rss</t>
  </si>
  <si>
    <t>American Journal of Geriatric Psychiatry</t>
  </si>
  <si>
    <t>https://openathens.ovid.com/OAKeystone/deeplink?idpselect=https://idp.eng.nhs.uk/openathens&amp;entityID=https://idp.eng.nhs.uk/openathens&amp;T=JS&amp;NEWS=n&amp;CSC=Y&amp;PAGE=toc&amp;D=yrovft&amp;AN=00003012-000000000-00000</t>
  </si>
  <si>
    <t>https://ovidsp.ovid.com/rss/journals/00129689/pap.rss</t>
  </si>
  <si>
    <t>2018-03-01 - 2022-03-01</t>
  </si>
  <si>
    <t>Medline Corrections (June 2019 to August 2019)</t>
  </si>
  <si>
    <t>1542-5983</t>
  </si>
  <si>
    <t>https://openathens.ovid.com/OAKeystone/deeplink?idpselect=https://idp.eng.nhs.uk/openathens&amp;entityID=https://idp.eng.nhs.uk/openathens&amp;T=JS&amp;NEWS=n&amp;CSC=Y&amp;PAGE=toc&amp;D=yrovft&amp;AN=00000539-000000000-00000</t>
  </si>
  <si>
    <t>https://ovidsp.ovid.com/rss/journals/01337496/pap.rss</t>
  </si>
  <si>
    <t>https://openathens.ovid.com/OAKeystone/deeplink?idpselect=https://idp.eng.nhs.uk/openathens&amp;entityID=https://idp.eng.nhs.uk/openathens&amp;T=JS&amp;NEWS=n&amp;CSC=Y&amp;PAGE=toc&amp;D=yrovft&amp;AN=00001573-000000000-00000</t>
  </si>
  <si>
    <t>2001-03-01 - 2022-04-01</t>
  </si>
  <si>
    <t>https://ovidsp.ovid.com/rss/journals/00149078/current.rss</t>
  </si>
  <si>
    <t>https://openathens.ovid.com/OAKeystone/deeplink?idpselect=https://idp.eng.nhs.uk/openathens&amp;entityID=https://idp.eng.nhs.uk/openathens&amp;T=JS&amp;NEWS=n&amp;CSC=Y&amp;PAGE=toc&amp;D=yrovft&amp;AN=00061198-000000000-00000</t>
  </si>
  <si>
    <t>1999-01-01 - 2015-04-01</t>
  </si>
  <si>
    <t>0388-1350</t>
  </si>
  <si>
    <t>https://openathens.ovid.com/OAKeystone/deeplink?idpselect=https://idp.eng.nhs.uk/openathens&amp;entityID=https://idp.eng.nhs.uk/openathens&amp;T=JS&amp;NEWS=n&amp;CSC=Y&amp;PAGE=toc&amp;D=yrovft&amp;AN=00001604-000000000-00000</t>
  </si>
  <si>
    <t>Medline (2019)</t>
  </si>
  <si>
    <t>https://ovidsp.ovid.com/rss/journals/00006199/pap.rss</t>
  </si>
  <si>
    <t>0023-852X</t>
  </si>
  <si>
    <t>2013-06-01 - 2022-04-01</t>
  </si>
  <si>
    <t>2004-05-01 - 2022-03-01</t>
  </si>
  <si>
    <t>Holistic Nursing Practice</t>
  </si>
  <si>
    <t>https://ovidsp.ovid.com/rss/journals/00003439/current.rss</t>
  </si>
  <si>
    <t>https://openathens.ovid.com/OAKeystone/deeplink?idpselect=https://idp.eng.nhs.uk/openathens&amp;entityID=https://idp.eng.nhs.uk/openathens&amp;T=JS&amp;NEWS=n&amp;CSC=Y&amp;PAGE=main&amp;D=emed8</t>
  </si>
  <si>
    <t>2473-3709</t>
  </si>
  <si>
    <t>Ovid Emcare 2015 to 2020</t>
  </si>
  <si>
    <t>https://openathens.ovid.com/OAKeystone/deeplink?idpselect=https://idp.eng.nhs.uk/openathens&amp;entityID=https://idp.eng.nhs.uk/openathens&amp;T=JS&amp;NEWS=n&amp;CSC=Y&amp;PAGE=toc&amp;D=yrovft&amp;AN=01840667-000000000-00000</t>
  </si>
  <si>
    <t>https://openathens.ovid.com/OAKeystone/deeplink?idpselect=https://idp.eng.nhs.uk/openathens&amp;entityID=https://idp.eng.nhs.uk/openathens&amp;T=JS&amp;NEWS=n&amp;CSC=Y&amp;PAGE=toc&amp;D=yrovft&amp;AN=00001659-000000000-00000</t>
  </si>
  <si>
    <t>1536-481X</t>
  </si>
  <si>
    <t>EMBASE 2021</t>
  </si>
  <si>
    <t>https://ovidsp.ovid.com/rss/journals/02186170/current.rss</t>
  </si>
  <si>
    <t>2005-01-01 - 2022-05-02</t>
  </si>
  <si>
    <t>Intervention</t>
  </si>
  <si>
    <t>2007-04-01 - 2010-06-01</t>
  </si>
  <si>
    <t>https://openathens.ovid.com/OAKeystone/deeplink?idpselect=https://idp.eng.nhs.uk/openathens&amp;entityID=https://idp.eng.nhs.uk/openathens&amp;T=JS&amp;NEWS=n&amp;CSC=Y&amp;PAGE=toc&amp;D=yrovft&amp;AN=01272067-000000000-00000</t>
  </si>
  <si>
    <t>https://ovidsp.ovid.com/rss/journals/00003727/current.rss</t>
  </si>
  <si>
    <t>https://ovidsp.ovid.com/rss/journals/01436319/current.rss</t>
  </si>
  <si>
    <t>https://ovidsp.ovid.com/rss/journals/01436909/current.rss</t>
  </si>
  <si>
    <t>0899-3459</t>
  </si>
  <si>
    <t>https://ovidsp.ovid.com/rss/journals/00000346/pap.rss</t>
  </si>
  <si>
    <t>1759-4782</t>
  </si>
  <si>
    <t>Medline (2018)</t>
  </si>
  <si>
    <t>https://ovidsp.ovid.com/rss/journals/01445395/pap.rss</t>
  </si>
  <si>
    <t>https://openathens.ovid.com/OAKeystone/deeplink?idpselect=https://idp.eng.nhs.uk/openathens&amp;entityID=https://idp.eng.nhs.uk/openathens&amp;T=JS&amp;NEWS=n&amp;CSC=Y&amp;PAGE=toc&amp;D=yrovft&amp;AN=02186220-000000000-00000</t>
  </si>
  <si>
    <t>https://ovidsp.ovid.com/rss/journals/00003458/current.rss</t>
  </si>
  <si>
    <t>0275-665X</t>
  </si>
  <si>
    <t>1473-5865</t>
  </si>
  <si>
    <t>https://ovidsp.ovid.com/rss/journals/00076734/current.rss</t>
  </si>
  <si>
    <t>Current Opinion in Critical Care</t>
  </si>
  <si>
    <t>https://openathens.ovid.com/OAKeystone/deeplink?idpselect=https://idp.eng.nhs.uk/openathens&amp;entityID=https://idp.eng.nhs.uk/openathens&amp;T=JS&amp;NEWS=n&amp;CSC=Y&amp;PAGE=toc&amp;D=yrovft&amp;AN=02093599-000000000-00000</t>
  </si>
  <si>
    <t>2001-07-06 - 2015-03-27</t>
  </si>
  <si>
    <t>https://ovidsp.ovid.com/rss/journals/00005237/pap.rss</t>
  </si>
  <si>
    <t>1743-4254</t>
  </si>
  <si>
    <t>4S</t>
  </si>
  <si>
    <t>1536-5956</t>
  </si>
  <si>
    <t>https://ovidsp.ovid.com/rss/journals/00001665/current.rss</t>
  </si>
  <si>
    <t>ISBN-13</t>
  </si>
  <si>
    <t>0923-7534</t>
  </si>
  <si>
    <t>1941-7713</t>
  </si>
  <si>
    <t>https://openathens.ovid.com/OAKeystone/deeplink?idpselect=https://idp.eng.nhs.uk/openathens&amp;entityID=https://idp.eng.nhs.uk/openathens&amp;T=JS&amp;NEWS=n&amp;CSC=Y&amp;PAGE=main&amp;D=emca</t>
  </si>
  <si>
    <t>https://openathens.ovid.com/OAKeystone/deeplink?idpselect=https://idp.eng.nhs.uk/openathens&amp;entityID=https://idp.eng.nhs.uk/openathens&amp;T=JS&amp;NEWS=n&amp;CSC=Y&amp;PAGE=toc&amp;D=yrovft&amp;AN=02200497-000000000-00000</t>
  </si>
  <si>
    <t>https://ovidsp.ovid.com/rss/journals/00055735/current.rss</t>
  </si>
  <si>
    <t>1094-3412</t>
  </si>
  <si>
    <t>Clinical and Experimental Dental Research - Open Access</t>
  </si>
  <si>
    <t>Neurology Genetics</t>
  </si>
  <si>
    <t>https://openathens.ovid.com/OAKeystone/deeplink?idpselect=https://idp.eng.nhs.uk/openathens&amp;entityID=https://idp.eng.nhs.uk/openathens&amp;T=JS&amp;NEWS=n&amp;CSC=Y&amp;PAGE=main&amp;D=medp</t>
  </si>
  <si>
    <t>1749-5016</t>
  </si>
  <si>
    <t>1473-558X</t>
  </si>
  <si>
    <t>https://ovidsp.ovid.com/rss/journals/00019514/pap.rss</t>
  </si>
  <si>
    <t>0363-9762</t>
  </si>
  <si>
    <t>2004-04-06</t>
  </si>
  <si>
    <t>1472-1465</t>
  </si>
  <si>
    <t>0889-4655</t>
  </si>
  <si>
    <t>1360-9947</t>
  </si>
  <si>
    <t>Mutagenesis</t>
  </si>
  <si>
    <t>0-1992-9809-2</t>
  </si>
  <si>
    <t>2021-12-16</t>
  </si>
  <si>
    <t>https://openathens.ovid.com/OAKeystone/deeplink?idpselect=https://idp.eng.nhs.uk/openathens&amp;entityID=https://idp.eng.nhs.uk/openathens&amp;T=JS&amp;NEWS=n&amp;CSC=Y&amp;PAGE=toc&amp;D=yrovft&amp;AN=00002826-000000000-00000</t>
  </si>
  <si>
    <t>Current Sports Medicine Reports</t>
  </si>
  <si>
    <t>2001-10-01 - 2009-12-01</t>
  </si>
  <si>
    <t>0017-9078</t>
  </si>
  <si>
    <t>0148-9917</t>
  </si>
  <si>
    <t>0032-1052</t>
  </si>
  <si>
    <t>Journal of Applied Clinical Medical Physics - Open Access</t>
  </si>
  <si>
    <t>https://ovidsp.ovid.com/rss/journals/01337496/current.rss</t>
  </si>
  <si>
    <t>https://ovidsp.ovid.com/rss/journals/00000703/current.rss</t>
  </si>
  <si>
    <t>https://openathens.ovid.com/OAKeystone/deeplink?idpselect=https://idp.eng.nhs.uk/openathens&amp;entityID=https://idp.eng.nhs.uk/openathens&amp;T=JS&amp;NEWS=n&amp;CSC=Y&amp;PAGE=toc&amp;D=yrovft&amp;AN=00002423-000000000-00000</t>
  </si>
  <si>
    <t>American College of Physicians</t>
  </si>
  <si>
    <t>0160-2446</t>
  </si>
  <si>
    <t>https://openathens.ovid.com/OAKeystone/deeplink?idpselect=https://idp.eng.nhs.uk/openathens&amp;entityID=https://idp.eng.nhs.uk/openathens&amp;T=JS&amp;NEWS=n&amp;CSC=Y&amp;PAGE=toc&amp;D=yrovft&amp;AN=01223060-000000000-00000</t>
  </si>
  <si>
    <t>https://ovidsp.ovid.com/rss/journals/01223060/current.rss</t>
  </si>
  <si>
    <t>2001-10-01 - 2010-04-01</t>
  </si>
  <si>
    <t>British Journal of Psychiatry</t>
  </si>
  <si>
    <t>1040-8711</t>
  </si>
  <si>
    <t>0891-3668</t>
  </si>
  <si>
    <t>https://ovidsp.ovid.com/rss/journals/00001837/current.rss</t>
  </si>
  <si>
    <t>0363-8715</t>
  </si>
  <si>
    <t>https://ovidsp.ovid.com/rss/journals/00594858/current.rss</t>
  </si>
  <si>
    <t>https://openathens.ovid.com/OAKeystone/deeplink?idpselect=https://idp.eng.nhs.uk/openathens&amp;entityID=https://idp.eng.nhs.uk/openathens&amp;T=JS&amp;NEWS=n&amp;CSC=Y&amp;PAGE=toc&amp;D=yrovft&amp;AN=00001622-000000000-00000</t>
  </si>
  <si>
    <t>1944-6586</t>
  </si>
  <si>
    <t>Journal of Immunotherapy</t>
  </si>
  <si>
    <t>https://openathens.ovid.com/OAKeystone/deeplink?idpselect=https://idp.eng.nhs.uk/openathens&amp;entityID=https://idp.eng.nhs.uk/openathens&amp;T=JS&amp;NEWS=n&amp;CSC=Y&amp;PAGE=main&amp;D=empp</t>
  </si>
  <si>
    <t>2691-3593</t>
  </si>
  <si>
    <t>1759-4766</t>
  </si>
  <si>
    <t>https://ovidsp.ovid.com/rss/journals/02123148/current.rss</t>
  </si>
  <si>
    <t>1940-7041</t>
  </si>
  <si>
    <t>https://openathens.ovid.com/OAKeystone/deeplink?idpselect=https://idp.eng.nhs.uk/openathens&amp;entityID=https://idp.eng.nhs.uk/openathens&amp;T=JS&amp;NEWS=n&amp;CSC=Y&amp;PAGE=toc&amp;D=yrovft&amp;AN=01586154-000000000-00000</t>
  </si>
  <si>
    <t>ASA Refresher Courses in Anesthesiology</t>
  </si>
  <si>
    <t>1543-3633</t>
  </si>
  <si>
    <t>https://ovidsp.ovid.com/rss/journals/02112947/current.rss</t>
  </si>
  <si>
    <t>https://ovidsp.ovid.com/rss/journals/01445452/current.rss</t>
  </si>
  <si>
    <t>1528-4050</t>
  </si>
  <si>
    <t>1757-4676</t>
  </si>
  <si>
    <t>2006-12-31</t>
  </si>
  <si>
    <t>2003-05-01 - 2015-03-01</t>
  </si>
  <si>
    <t>2001-02-01</t>
  </si>
  <si>
    <t>1096-8954</t>
  </si>
  <si>
    <t>2004-02-01 - 2022-03-01</t>
  </si>
  <si>
    <t>1533-4066</t>
  </si>
  <si>
    <t>International Journal for Quality in Health Care</t>
  </si>
  <si>
    <t>2003-04-01 - 2015-04-01</t>
  </si>
  <si>
    <t>2003-12-01</t>
  </si>
  <si>
    <t>1558-447X</t>
  </si>
  <si>
    <t>Human Reproduction Update</t>
  </si>
  <si>
    <t>Ophthalmology Management</t>
  </si>
  <si>
    <t>https://ovidsp.ovid.com/rss/journals/00005792/current.rss</t>
  </si>
  <si>
    <t>2687-8941</t>
  </si>
  <si>
    <t>1-4963-4549-5</t>
  </si>
  <si>
    <t>https://openathens.ovid.com/OAKeystone/deeplink?idpselect=https://idp.eng.nhs.uk/openathens&amp;entityID=https://idp.eng.nhs.uk/openathens&amp;T=JS&amp;NEWS=n&amp;CSC=Y&amp;PAGE=main&amp;D=med17</t>
  </si>
  <si>
    <t>https://ovidsp.ovid.com/rss/journals/00007890/current.rss</t>
  </si>
  <si>
    <t>2008-03-01</t>
  </si>
  <si>
    <t>https://ovidsp.ovid.com/rss/journals/00044029/pap.rss</t>
  </si>
  <si>
    <t>1941-7551</t>
  </si>
  <si>
    <t>https://ovidsp.ovid.com/rss/journals/01429668/pap.rss</t>
  </si>
  <si>
    <t>2193-6358</t>
  </si>
  <si>
    <t>https://ovidsp.ovid.com/rss/journals/00132576/current.rss</t>
  </si>
  <si>
    <t>https://openathens.ovid.com/OAKeystone/deeplink?idpselect=https://idp.eng.nhs.uk/openathens&amp;entityID=https://idp.eng.nhs.uk/openathens&amp;T=JS&amp;NEWS=n&amp;CSC=Y&amp;PAGE=main&amp;D=emed13</t>
  </si>
  <si>
    <t>https://ovidsp.ovid.com/rss/journals/00042871/pap.rss</t>
  </si>
  <si>
    <t>1056-6163</t>
  </si>
  <si>
    <t>2016-09-01 - 2022-05-12</t>
  </si>
  <si>
    <t>2001-10-01</t>
  </si>
  <si>
    <t>https://openathens.ovid.com/OAKeystone/deeplink?idpselect=https://idp.eng.nhs.uk/openathens&amp;entityID=https://idp.eng.nhs.uk/openathens&amp;T=JS&amp;NEWS=n&amp;CSC=Y&amp;PAGE=toc&amp;D=yrovft&amp;AN=00029447-000000000-00000</t>
  </si>
  <si>
    <t>https://openathens.ovid.com/OAKeystone/deeplink?idpselect=https://idp.eng.nhs.uk/openathens&amp;entityID=https://idp.eng.nhs.uk/openathens&amp;T=JS&amp;NEWS=n&amp;CSC=Y&amp;PAGE=toc&amp;D=yrovft&amp;AN=00006199-000000000-00000</t>
  </si>
  <si>
    <t>0736-0258</t>
  </si>
  <si>
    <t>https://ovidsp.ovid.com/rss/journals/00005793/pap.rss</t>
  </si>
  <si>
    <t>https://ovidsp.ovid.com/rss/journals/01269241/current.rss</t>
  </si>
  <si>
    <t>Journal of Investigative Medicine</t>
  </si>
  <si>
    <t>1536-4798</t>
  </si>
  <si>
    <t>1759-5010</t>
  </si>
  <si>
    <t>Journal of the Royal College of Physicians of London</t>
  </si>
  <si>
    <t>2019-01-01 - 2022-05-17</t>
  </si>
  <si>
    <t>https://ovidsp.ovid.com/rss/journals/01586154/pap.rss</t>
  </si>
  <si>
    <t>0960-314X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</si>
</sst>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5">
    <dxf>
      <font>
        <b/>
        <sz val="11"/>
        <color theme="1"/>
        <name val="Calibri"/>
        <family val="2"/>
        <scheme val="minor"/>
      </font>
    </dxf>
    <dxf>
      <font>
        <b/>
        <sz val="11"/>
        <color theme="1"/>
        <name val="Calibri"/>
        <family val="2"/>
        <scheme val="minor"/>
      </font>
    </dxf>
    <dxf>
      <font>
        <b/>
        <sz val="11"/>
        <color theme="1"/>
        <name val="Calibri"/>
        <family val="2"/>
        <scheme val="minor"/>
      </font>
    </dxf>
    <dxf>
      <font>
        <b/>
        <sz val="11"/>
        <color theme="1"/>
        <name val="Calibri"/>
        <family val="2"/>
        <scheme val="minor"/>
      </font>
    </dxf>
    <dxf>
      <font>
        <b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37" totalsRowShown="0" headerRowDxfId="4" headerRowCellStyle="Normal">
  <autoFilter ref="A1:Q137" xr:uid="{00000000-0009-0000-0100-000001000000}"/>
  <tableColumns count="17">
    <tableColumn id="1" xr3:uid="{00000000-0010-0000-0000-000001000000}" name="Journal Title"/>
    <tableColumn id="2" xr3:uid="{00000000-0010-0000-0000-000002000000}" name="ISSN"/>
    <tableColumn id="3" xr3:uid="{00000000-0010-0000-0000-000003000000}" name="eISSN"/>
    <tableColumn id="4" xr3:uid="{00000000-0010-0000-0000-000004000000}" name="Publisher"/>
    <tableColumn id="5" xr3:uid="{00000000-0010-0000-0000-000005000000}" name="Beginning Volume"/>
    <tableColumn id="6" xr3:uid="{00000000-0010-0000-0000-000006000000}" name="Beginning Issue"/>
    <tableColumn id="7" xr3:uid="{00000000-0010-0000-0000-000007000000}" name="Latest Volume"/>
    <tableColumn id="8" xr3:uid="{00000000-0010-0000-0000-000008000000}" name="Latest Issue"/>
    <tableColumn id="9" xr3:uid="{00000000-0010-0000-0000-000009000000}" name="Year Coverage"/>
    <tableColumn id="10" xr3:uid="{00000000-0010-0000-0000-00000A000000}" name="Beginning Year Coverage"/>
    <tableColumn id="11" xr3:uid="{00000000-0010-0000-0000-00000B000000}" name="Latest Year Coverage"/>
    <tableColumn id="12" xr3:uid="{00000000-0010-0000-0000-00000C000000}" name="Jumpstart" dataCellStyle="Hyperlink" totalsRowCellStyle="Hyperlink"/>
    <tableColumn id="13" xr3:uid="{00000000-0010-0000-0000-00000D000000}" name="Athens Jumpstart"/>
    <tableColumn id="14" xr3:uid="{00000000-0010-0000-0000-00000E000000}" name="OfferedOn"/>
    <tableColumn id="15" xr3:uid="{00000000-0010-0000-0000-00000F000000}" name="RSS Feed URL"/>
    <tableColumn id="16" xr3:uid="{00000000-0010-0000-0000-000010000000}" name="PAP"/>
    <tableColumn id="17" xr3:uid="{00000000-0010-0000-0000-000011000000}" name="PAP RSS Feed UR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Q427" totalsRowShown="0" headerRowDxfId="3" headerRowCellStyle="Normal">
  <autoFilter ref="A1:Q427" xr:uid="{00000000-0009-0000-0100-000002000000}"/>
  <tableColumns count="17">
    <tableColumn id="1" xr3:uid="{00000000-0010-0000-0100-000001000000}" name="Journal Title"/>
    <tableColumn id="2" xr3:uid="{00000000-0010-0000-0100-000002000000}" name="ISSN"/>
    <tableColumn id="3" xr3:uid="{00000000-0010-0000-0100-000003000000}" name="eISSN"/>
    <tableColumn id="4" xr3:uid="{00000000-0010-0000-0100-000004000000}" name="Publisher"/>
    <tableColumn id="5" xr3:uid="{00000000-0010-0000-0100-000005000000}" name="Beginning Volume"/>
    <tableColumn id="6" xr3:uid="{00000000-0010-0000-0100-000006000000}" name="Beginning Issue"/>
    <tableColumn id="7" xr3:uid="{00000000-0010-0000-0100-000007000000}" name="Latest Volume"/>
    <tableColumn id="8" xr3:uid="{00000000-0010-0000-0100-000008000000}" name="Latest Issue"/>
    <tableColumn id="9" xr3:uid="{00000000-0010-0000-0100-000009000000}" name="Year Coverage"/>
    <tableColumn id="10" xr3:uid="{00000000-0010-0000-0100-00000A000000}" name="Beginning Year Coverage"/>
    <tableColumn id="11" xr3:uid="{00000000-0010-0000-0100-00000B000000}" name="Latest Year Coverage"/>
    <tableColumn id="12" xr3:uid="{00000000-0010-0000-0100-00000C000000}" name="Jumpstart" dataCellStyle="Hyperlink" totalsRowCellStyle="Hyperlink"/>
    <tableColumn id="13" xr3:uid="{00000000-0010-0000-0100-00000D000000}" name="Athens Jumpstart"/>
    <tableColumn id="14" xr3:uid="{00000000-0010-0000-0100-00000E000000}" name="OfferedOn"/>
    <tableColumn id="15" xr3:uid="{00000000-0010-0000-0100-00000F000000}" name="RSS Feed URL"/>
    <tableColumn id="16" xr3:uid="{00000000-0010-0000-0100-000010000000}" name="PAP"/>
    <tableColumn id="17" xr3:uid="{00000000-0010-0000-0100-000011000000}" name="PAP RSS Feed UR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H32" totalsRowShown="0" headerRowDxfId="2" headerRowCellStyle="Normal">
  <autoFilter ref="A1:H32" xr:uid="{00000000-0009-0000-0100-000003000000}"/>
  <tableColumns count="8">
    <tableColumn id="1" xr3:uid="{00000000-0010-0000-0200-000001000000}" name="Book Title"/>
    <tableColumn id="2" xr3:uid="{00000000-0010-0000-0200-000002000000}" name="ISBN-13"/>
    <tableColumn id="3" xr3:uid="{00000000-0010-0000-0200-000003000000}" name="ISBN-10"/>
    <tableColumn id="4" xr3:uid="{00000000-0010-0000-0200-000004000000}" name="Publisher"/>
    <tableColumn id="5" xr3:uid="{00000000-0010-0000-0200-000005000000}" name="Edition"/>
    <tableColumn id="6" xr3:uid="{00000000-0010-0000-0200-000006000000}" name="Jumpstart" dataCellStyle="Hyperlink" totalsRowCellStyle="Hyperlink"/>
    <tableColumn id="7" xr3:uid="{00000000-0010-0000-0200-000007000000}" name="Athens Jumpstart"/>
    <tableColumn id="8" xr3:uid="{00000000-0010-0000-0200-000008000000}" name="Offered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E83" totalsRowShown="0" headerRowDxfId="1" headerRowCellStyle="Normal">
  <autoFilter ref="A1:E83" xr:uid="{00000000-0009-0000-0100-000004000000}"/>
  <tableColumns count="5">
    <tableColumn id="1" xr3:uid="{00000000-0010-0000-0300-000001000000}" name="Database Title"/>
    <tableColumn id="2" xr3:uid="{00000000-0010-0000-0300-000002000000}" name="Publisher"/>
    <tableColumn id="3" xr3:uid="{00000000-0010-0000-0300-000003000000}" name="Edition"/>
    <tableColumn id="4" xr3:uid="{00000000-0010-0000-0300-000004000000}" name="Year"/>
    <tableColumn id="5" xr3:uid="{00000000-0010-0000-0300-000005000000}" name="Athens Jumpstar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C13" totalsRowShown="0" headerRowDxfId="0" headerRowCellStyle="Normal">
  <autoFilter ref="A1:C13" xr:uid="{00000000-0009-0000-0100-000005000000}"/>
  <tableColumns count="3">
    <tableColumn id="1" xr3:uid="{00000000-0010-0000-0400-000001000000}" name="DB List Title"/>
    <tableColumn id="2" xr3:uid="{00000000-0010-0000-0400-000002000000}" name="Jumpstart" dataCellStyle="Hyperlink" totalsRowCellStyle="Hyperlink"/>
    <tableColumn id="3" xr3:uid="{00000000-0010-0000-0400-000003000000}" name="Athens Jumpsta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137"/>
  <sheetViews>
    <sheetView tabSelected="1" topLeftCell="F1" zoomScaleNormal="100" workbookViewId="0">
      <pane ySplit="1" topLeftCell="A2" activePane="bottomLeft" state="frozen"/>
      <selection pane="bottomLeft" activeCell="D145" sqref="D145"/>
    </sheetView>
  </sheetViews>
  <sheetFormatPr defaultColWidth="9.1796875" defaultRowHeight="14.5" x14ac:dyDescent="0.35"/>
  <cols>
    <col min="1" max="1" width="54.7265625" customWidth="1"/>
    <col min="2" max="3" width="14.7265625" customWidth="1"/>
    <col min="4" max="4" width="44.7265625" customWidth="1"/>
    <col min="5" max="5" width="20.7265625" customWidth="1"/>
    <col min="6" max="6" width="19.7265625" customWidth="1"/>
    <col min="7" max="7" width="17.7265625" customWidth="1"/>
    <col min="8" max="8" width="16.7265625" customWidth="1"/>
    <col min="9" max="9" width="19.7265625" customWidth="1"/>
    <col min="10" max="10" width="27.7265625" customWidth="1"/>
    <col min="11" max="11" width="24.7265625" customWidth="1"/>
    <col min="12" max="12" width="64.7265625" customWidth="1"/>
    <col min="13" max="13" width="34.7265625" customWidth="1"/>
    <col min="14" max="14" width="19.7265625" customWidth="1"/>
    <col min="15" max="15" width="16.7265625" customWidth="1"/>
    <col min="16" max="16" width="7.7265625" customWidth="1"/>
    <col min="17" max="17" width="20.7265625" customWidth="1"/>
  </cols>
  <sheetData>
    <row r="1" spans="1:17" x14ac:dyDescent="0.35">
      <c r="A1" s="2" t="s">
        <v>3379</v>
      </c>
      <c r="B1" s="2" t="s">
        <v>2191</v>
      </c>
      <c r="C1" s="2" t="s">
        <v>1253</v>
      </c>
      <c r="D1" s="2" t="s">
        <v>2650</v>
      </c>
      <c r="E1" s="2" t="s">
        <v>2821</v>
      </c>
      <c r="F1" s="2" t="s">
        <v>779</v>
      </c>
      <c r="G1" s="2" t="s">
        <v>2818</v>
      </c>
      <c r="H1" s="2" t="s">
        <v>3498</v>
      </c>
      <c r="I1" s="2" t="s">
        <v>3391</v>
      </c>
      <c r="J1" s="2" t="s">
        <v>1874</v>
      </c>
      <c r="K1" s="2" t="s">
        <v>1224</v>
      </c>
      <c r="L1" s="2" t="s">
        <v>3251</v>
      </c>
      <c r="M1" s="2" t="s">
        <v>707</v>
      </c>
      <c r="N1" s="2" t="s">
        <v>2002</v>
      </c>
      <c r="O1" s="2" t="s">
        <v>2945</v>
      </c>
      <c r="P1" s="2" t="s">
        <v>251</v>
      </c>
      <c r="Q1" s="2" t="s">
        <v>480</v>
      </c>
    </row>
    <row r="2" spans="1:17" x14ac:dyDescent="0.35">
      <c r="A2" t="s">
        <v>1721</v>
      </c>
      <c r="B2" t="s">
        <v>742</v>
      </c>
      <c r="C2" t="s">
        <v>2424</v>
      </c>
      <c r="D2" t="s">
        <v>50</v>
      </c>
      <c r="E2">
        <v>1</v>
      </c>
      <c r="F2">
        <v>1</v>
      </c>
      <c r="G2">
        <v>9</v>
      </c>
      <c r="H2">
        <v>5</v>
      </c>
      <c r="I2" t="s">
        <v>3139</v>
      </c>
      <c r="J2" t="s">
        <v>3648</v>
      </c>
      <c r="K2" t="s">
        <v>2335</v>
      </c>
      <c r="L2" s="1" t="str">
        <f>HYPERLINK("https://ovidsp.ovid.com/ovidweb.cgi?T=JS&amp;NEWS=n&amp;CSC=Y&amp;PAGE=toc&amp;D=yrovft&amp;AN=02075970-000000000-00000","https://ovidsp.ovid.com/ovidweb.cgi?T=JS&amp;NEWS=n&amp;CSC=Y&amp;PAGE=toc&amp;D=yrovft&amp;AN=02075970-000000000-00000")</f>
        <v>https://ovidsp.ovid.com/ovidweb.cgi?T=JS&amp;NEWS=n&amp;CSC=Y&amp;PAGE=toc&amp;D=yrovft&amp;AN=02075970-000000000-00000</v>
      </c>
      <c r="M2" t="s">
        <v>1110</v>
      </c>
      <c r="N2" t="s">
        <v>2424</v>
      </c>
      <c r="O2" t="s">
        <v>2954</v>
      </c>
      <c r="P2" t="b">
        <v>0</v>
      </c>
      <c r="Q2" t="s">
        <v>2424</v>
      </c>
    </row>
    <row r="3" spans="1:17" x14ac:dyDescent="0.35">
      <c r="A3" t="s">
        <v>465</v>
      </c>
      <c r="B3" t="s">
        <v>2424</v>
      </c>
      <c r="C3" t="s">
        <v>2424</v>
      </c>
      <c r="D3" t="s">
        <v>3649</v>
      </c>
      <c r="E3">
        <v>1</v>
      </c>
      <c r="F3">
        <v>1</v>
      </c>
      <c r="G3">
        <v>4</v>
      </c>
      <c r="H3">
        <v>5</v>
      </c>
      <c r="I3" t="s">
        <v>1916</v>
      </c>
      <c r="J3" t="s">
        <v>871</v>
      </c>
      <c r="K3" t="s">
        <v>459</v>
      </c>
      <c r="L3" s="1" t="str">
        <f>HYPERLINK("https://ovidsp.ovid.com/ovidweb.cgi?T=JS&amp;NEWS=n&amp;CSC=Y&amp;PAGE=toc&amp;D=yrovft&amp;AN=02112939-000000000-00000","https://ovidsp.ovid.com/ovidweb.cgi?T=JS&amp;NEWS=n&amp;CSC=Y&amp;PAGE=toc&amp;D=yrovft&amp;AN=02112939-000000000-00000")</f>
        <v>https://ovidsp.ovid.com/ovidweb.cgi?T=JS&amp;NEWS=n&amp;CSC=Y&amp;PAGE=toc&amp;D=yrovft&amp;AN=02112939-000000000-00000</v>
      </c>
      <c r="M3" t="s">
        <v>1460</v>
      </c>
      <c r="N3" t="s">
        <v>2424</v>
      </c>
      <c r="O3" t="s">
        <v>63</v>
      </c>
      <c r="P3" t="b">
        <v>0</v>
      </c>
      <c r="Q3" t="s">
        <v>2424</v>
      </c>
    </row>
    <row r="4" spans="1:17" x14ac:dyDescent="0.35">
      <c r="A4" t="s">
        <v>2228</v>
      </c>
      <c r="B4" t="s">
        <v>2819</v>
      </c>
      <c r="C4" t="s">
        <v>2424</v>
      </c>
      <c r="D4" t="s">
        <v>3649</v>
      </c>
      <c r="E4">
        <v>75</v>
      </c>
      <c r="F4">
        <v>0</v>
      </c>
      <c r="G4">
        <v>101</v>
      </c>
      <c r="H4">
        <v>5</v>
      </c>
      <c r="I4" t="s">
        <v>1488</v>
      </c>
      <c r="J4" t="s">
        <v>2215</v>
      </c>
      <c r="K4" t="s">
        <v>459</v>
      </c>
      <c r="L4" s="1" t="str">
        <f>HYPERLINK("https://ovidsp.ovid.com/ovidweb.cgi?T=JS&amp;NEWS=n&amp;CSC=Y&amp;PAGE=toc&amp;D=yrovft&amp;AN=00000140-000000000-00000","https://ovidsp.ovid.com/ovidweb.cgi?T=JS&amp;NEWS=n&amp;CSC=Y&amp;PAGE=toc&amp;D=yrovft&amp;AN=00000140-000000000-00000")</f>
        <v>https://ovidsp.ovid.com/ovidweb.cgi?T=JS&amp;NEWS=n&amp;CSC=Y&amp;PAGE=toc&amp;D=yrovft&amp;AN=00000140-000000000-00000</v>
      </c>
      <c r="M4" t="s">
        <v>3123</v>
      </c>
      <c r="N4" t="s">
        <v>2424</v>
      </c>
      <c r="O4" t="s">
        <v>1204</v>
      </c>
      <c r="P4" t="b">
        <v>1</v>
      </c>
      <c r="Q4" t="s">
        <v>651</v>
      </c>
    </row>
    <row r="5" spans="1:17" x14ac:dyDescent="0.35">
      <c r="A5" t="s">
        <v>807</v>
      </c>
      <c r="B5" t="s">
        <v>1864</v>
      </c>
      <c r="C5" t="s">
        <v>2424</v>
      </c>
      <c r="D5" t="s">
        <v>50</v>
      </c>
      <c r="E5">
        <v>1</v>
      </c>
      <c r="F5">
        <v>1</v>
      </c>
      <c r="G5">
        <v>1</v>
      </c>
      <c r="H5">
        <v>2</v>
      </c>
      <c r="I5" t="s">
        <v>1032</v>
      </c>
      <c r="J5" t="s">
        <v>1604</v>
      </c>
      <c r="K5" t="s">
        <v>1154</v>
      </c>
      <c r="L5" s="1" t="str">
        <f>HYPERLINK("https://ovidsp.ovid.com/ovidweb.cgi?T=JS&amp;NEWS=n&amp;CSC=Y&amp;PAGE=toc&amp;D=yrovft&amp;AN=02233705-000000000-00000","https://ovidsp.ovid.com/ovidweb.cgi?T=JS&amp;NEWS=n&amp;CSC=Y&amp;PAGE=toc&amp;D=yrovft&amp;AN=02233705-000000000-00000")</f>
        <v>https://ovidsp.ovid.com/ovidweb.cgi?T=JS&amp;NEWS=n&amp;CSC=Y&amp;PAGE=toc&amp;D=yrovft&amp;AN=02233705-000000000-00000</v>
      </c>
      <c r="M5" t="s">
        <v>3587</v>
      </c>
      <c r="N5" t="s">
        <v>2424</v>
      </c>
      <c r="O5" t="s">
        <v>1404</v>
      </c>
      <c r="P5" t="b">
        <v>1</v>
      </c>
      <c r="Q5" t="s">
        <v>1856</v>
      </c>
    </row>
    <row r="6" spans="1:17" x14ac:dyDescent="0.35">
      <c r="A6" t="s">
        <v>1506</v>
      </c>
      <c r="B6" t="s">
        <v>3621</v>
      </c>
      <c r="C6" t="s">
        <v>2424</v>
      </c>
      <c r="D6" t="s">
        <v>3649</v>
      </c>
      <c r="E6">
        <v>1</v>
      </c>
      <c r="F6">
        <v>1</v>
      </c>
      <c r="G6">
        <v>8</v>
      </c>
      <c r="H6">
        <v>1</v>
      </c>
      <c r="I6" t="s">
        <v>881</v>
      </c>
      <c r="J6" t="s">
        <v>1964</v>
      </c>
      <c r="K6" t="s">
        <v>1805</v>
      </c>
      <c r="L6" s="1" t="str">
        <f>HYPERLINK("https://ovidsp.ovid.com/ovidweb.cgi?T=JS&amp;NEWS=n&amp;CSC=Y&amp;PAGE=toc&amp;D=yrovft&amp;AN=02003425-000000000-00000","https://ovidsp.ovid.com/ovidweb.cgi?T=JS&amp;NEWS=n&amp;CSC=Y&amp;PAGE=toc&amp;D=yrovft&amp;AN=02003425-000000000-00000")</f>
        <v>https://ovidsp.ovid.com/ovidweb.cgi?T=JS&amp;NEWS=n&amp;CSC=Y&amp;PAGE=toc&amp;D=yrovft&amp;AN=02003425-000000000-00000</v>
      </c>
      <c r="M6" t="s">
        <v>2569</v>
      </c>
      <c r="N6" t="s">
        <v>2424</v>
      </c>
      <c r="O6" t="s">
        <v>2993</v>
      </c>
      <c r="P6" t="b">
        <v>1</v>
      </c>
      <c r="Q6" t="s">
        <v>3051</v>
      </c>
    </row>
    <row r="7" spans="1:17" x14ac:dyDescent="0.35">
      <c r="A7" t="s">
        <v>151</v>
      </c>
      <c r="B7" t="s">
        <v>2424</v>
      </c>
      <c r="C7" t="s">
        <v>2424</v>
      </c>
      <c r="D7" t="s">
        <v>3649</v>
      </c>
      <c r="E7">
        <v>1</v>
      </c>
      <c r="F7">
        <v>1</v>
      </c>
      <c r="G7">
        <v>5</v>
      </c>
      <c r="H7">
        <v>1</v>
      </c>
      <c r="I7" t="s">
        <v>2421</v>
      </c>
      <c r="J7" t="s">
        <v>2745</v>
      </c>
      <c r="K7" t="s">
        <v>983</v>
      </c>
      <c r="L7" s="1" t="str">
        <f>HYPERLINK("https://ovidsp.ovid.com/ovidweb.cgi?T=JS&amp;NEWS=n&amp;CSC=Y&amp;PAGE=toc&amp;D=yrovft&amp;AN=02054628-000000000-00000","https://ovidsp.ovid.com/ovidweb.cgi?T=JS&amp;NEWS=n&amp;CSC=Y&amp;PAGE=toc&amp;D=yrovft&amp;AN=02054628-000000000-00000")</f>
        <v>https://ovidsp.ovid.com/ovidweb.cgi?T=JS&amp;NEWS=n&amp;CSC=Y&amp;PAGE=toc&amp;D=yrovft&amp;AN=02054628-000000000-00000</v>
      </c>
      <c r="M7" t="s">
        <v>287</v>
      </c>
      <c r="N7" t="s">
        <v>2424</v>
      </c>
      <c r="O7" t="s">
        <v>1571</v>
      </c>
      <c r="P7" t="b">
        <v>1</v>
      </c>
      <c r="Q7" t="s">
        <v>1226</v>
      </c>
    </row>
    <row r="8" spans="1:17" x14ac:dyDescent="0.35">
      <c r="A8" t="s">
        <v>3029</v>
      </c>
      <c r="B8" t="s">
        <v>2424</v>
      </c>
      <c r="C8" t="s">
        <v>2424</v>
      </c>
      <c r="D8" t="s">
        <v>3649</v>
      </c>
      <c r="E8">
        <v>1</v>
      </c>
      <c r="F8">
        <v>1</v>
      </c>
      <c r="G8">
        <v>13</v>
      </c>
      <c r="H8">
        <v>1</v>
      </c>
      <c r="I8" t="s">
        <v>3310</v>
      </c>
      <c r="J8" t="s">
        <v>2722</v>
      </c>
      <c r="K8" t="s">
        <v>1805</v>
      </c>
      <c r="L8" s="1" t="str">
        <f>HYPERLINK("https://ovidsp.ovid.com/ovidweb.cgi?T=JS&amp;NEWS=n&amp;CSC=Y&amp;PAGE=toc&amp;D=yrovft&amp;AN=01949573-000000000-00000","https://ovidsp.ovid.com/ovidweb.cgi?T=JS&amp;NEWS=n&amp;CSC=Y&amp;PAGE=toc&amp;D=yrovft&amp;AN=01949573-000000000-00000")</f>
        <v>https://ovidsp.ovid.com/ovidweb.cgi?T=JS&amp;NEWS=n&amp;CSC=Y&amp;PAGE=toc&amp;D=yrovft&amp;AN=01949573-000000000-00000</v>
      </c>
      <c r="M8" t="s">
        <v>1782</v>
      </c>
      <c r="N8" t="s">
        <v>2424</v>
      </c>
      <c r="O8" t="s">
        <v>2554</v>
      </c>
      <c r="P8" t="b">
        <v>0</v>
      </c>
      <c r="Q8" t="s">
        <v>2424</v>
      </c>
    </row>
    <row r="9" spans="1:17" x14ac:dyDescent="0.35">
      <c r="A9" t="s">
        <v>1914</v>
      </c>
      <c r="B9" t="s">
        <v>2424</v>
      </c>
      <c r="C9" t="s">
        <v>2424</v>
      </c>
      <c r="D9" t="s">
        <v>3649</v>
      </c>
      <c r="E9">
        <v>1</v>
      </c>
      <c r="F9">
        <v>1</v>
      </c>
      <c r="G9">
        <v>5</v>
      </c>
      <c r="H9">
        <v>1</v>
      </c>
      <c r="I9" t="s">
        <v>2719</v>
      </c>
      <c r="J9" t="s">
        <v>2758</v>
      </c>
      <c r="K9" t="s">
        <v>3016</v>
      </c>
      <c r="L9" s="1" t="str">
        <f>HYPERLINK("https://ovidsp.ovid.com/ovidweb.cgi?T=JS&amp;NEWS=n&amp;CSC=Y&amp;PAGE=toc&amp;D=yrovft&amp;AN=01974549-000000000-00000","https://ovidsp.ovid.com/ovidweb.cgi?T=JS&amp;NEWS=n&amp;CSC=Y&amp;PAGE=toc&amp;D=yrovft&amp;AN=01974549-000000000-00000")</f>
        <v>https://ovidsp.ovid.com/ovidweb.cgi?T=JS&amp;NEWS=n&amp;CSC=Y&amp;PAGE=toc&amp;D=yrovft&amp;AN=01974549-000000000-00000</v>
      </c>
      <c r="M9" t="s">
        <v>1756</v>
      </c>
      <c r="N9" t="s">
        <v>2424</v>
      </c>
      <c r="O9" t="s">
        <v>3013</v>
      </c>
      <c r="P9" t="b">
        <v>0</v>
      </c>
      <c r="Q9" t="s">
        <v>2424</v>
      </c>
    </row>
    <row r="10" spans="1:17" x14ac:dyDescent="0.35">
      <c r="A10" t="s">
        <v>635</v>
      </c>
      <c r="B10" t="s">
        <v>2367</v>
      </c>
      <c r="C10" t="s">
        <v>2424</v>
      </c>
      <c r="D10" t="s">
        <v>1323</v>
      </c>
      <c r="E10">
        <v>1</v>
      </c>
      <c r="F10">
        <v>1</v>
      </c>
      <c r="G10">
        <v>34</v>
      </c>
      <c r="H10" t="s">
        <v>1668</v>
      </c>
      <c r="I10" t="s">
        <v>1752</v>
      </c>
      <c r="J10" t="s">
        <v>101</v>
      </c>
      <c r="K10" t="s">
        <v>1539</v>
      </c>
      <c r="L10" s="1" t="str">
        <f>HYPERLINK("https://ovidsp.ovid.com/ovidweb.cgi?T=JS&amp;NEWS=n&amp;CSC=Y&amp;PAGE=toc&amp;D=yrovft&amp;AN=00130959-000000000-00000","https://ovidsp.ovid.com/ovidweb.cgi?T=JS&amp;NEWS=n&amp;CSC=Y&amp;PAGE=toc&amp;D=yrovft&amp;AN=00130959-000000000-00000")</f>
        <v>https://ovidsp.ovid.com/ovidweb.cgi?T=JS&amp;NEWS=n&amp;CSC=Y&amp;PAGE=toc&amp;D=yrovft&amp;AN=00130959-000000000-00000</v>
      </c>
      <c r="M10" t="s">
        <v>3631</v>
      </c>
      <c r="N10" t="s">
        <v>2424</v>
      </c>
      <c r="O10" t="s">
        <v>3159</v>
      </c>
      <c r="P10" t="b">
        <v>0</v>
      </c>
      <c r="Q10" t="s">
        <v>2424</v>
      </c>
    </row>
    <row r="11" spans="1:17" x14ac:dyDescent="0.35">
      <c r="A11" t="s">
        <v>1025</v>
      </c>
      <c r="B11" t="s">
        <v>301</v>
      </c>
      <c r="C11" t="s">
        <v>2424</v>
      </c>
      <c r="D11" t="s">
        <v>3649</v>
      </c>
      <c r="E11">
        <v>9</v>
      </c>
      <c r="F11">
        <v>1</v>
      </c>
      <c r="G11">
        <v>27</v>
      </c>
      <c r="H11">
        <v>3</v>
      </c>
      <c r="I11" t="s">
        <v>3390</v>
      </c>
      <c r="J11" t="s">
        <v>1903</v>
      </c>
      <c r="K11" t="s">
        <v>459</v>
      </c>
      <c r="L11" s="1" t="str">
        <f>HYPERLINK("https://ovidsp.ovid.com/ovidweb.cgi?T=JS&amp;NEWS=n&amp;CSC=Y&amp;PAGE=toc&amp;D=yrovft&amp;AN=00060989-000000000-00000","https://ovidsp.ovid.com/ovidweb.cgi?T=JS&amp;NEWS=n&amp;CSC=Y&amp;PAGE=toc&amp;D=yrovft&amp;AN=00060989-000000000-00000")</f>
        <v>https://ovidsp.ovid.com/ovidweb.cgi?T=JS&amp;NEWS=n&amp;CSC=Y&amp;PAGE=toc&amp;D=yrovft&amp;AN=00060989-000000000-00000</v>
      </c>
      <c r="M11" t="s">
        <v>637</v>
      </c>
      <c r="N11" t="s">
        <v>2424</v>
      </c>
      <c r="O11" t="s">
        <v>1570</v>
      </c>
      <c r="P11" t="b">
        <v>1</v>
      </c>
      <c r="Q11" t="s">
        <v>2638</v>
      </c>
    </row>
    <row r="12" spans="1:17" x14ac:dyDescent="0.35">
      <c r="A12" t="s">
        <v>962</v>
      </c>
      <c r="B12" t="s">
        <v>3764</v>
      </c>
      <c r="C12" t="s">
        <v>2424</v>
      </c>
      <c r="D12" t="s">
        <v>50</v>
      </c>
      <c r="E12">
        <v>1</v>
      </c>
      <c r="F12">
        <v>1</v>
      </c>
      <c r="G12">
        <v>3</v>
      </c>
      <c r="H12">
        <v>2</v>
      </c>
      <c r="I12" t="s">
        <v>2661</v>
      </c>
      <c r="J12" t="s">
        <v>2490</v>
      </c>
      <c r="K12" t="s">
        <v>2335</v>
      </c>
      <c r="L12" s="1" t="str">
        <f>HYPERLINK("https://ovidsp.ovid.com/ovidweb.cgi?T=JS&amp;NEWS=n&amp;CSC=Y&amp;PAGE=toc&amp;D=yrovft&amp;AN=02196409-000000000-00000","https://ovidsp.ovid.com/ovidweb.cgi?T=JS&amp;NEWS=n&amp;CSC=Y&amp;PAGE=toc&amp;D=yrovft&amp;AN=02196409-000000000-00000")</f>
        <v>https://ovidsp.ovid.com/ovidweb.cgi?T=JS&amp;NEWS=n&amp;CSC=Y&amp;PAGE=toc&amp;D=yrovft&amp;AN=02196409-000000000-00000</v>
      </c>
      <c r="M12" t="s">
        <v>3393</v>
      </c>
      <c r="N12" t="s">
        <v>2424</v>
      </c>
      <c r="O12" t="s">
        <v>2188</v>
      </c>
      <c r="P12" t="b">
        <v>0</v>
      </c>
      <c r="Q12" t="s">
        <v>2424</v>
      </c>
    </row>
    <row r="13" spans="1:17" x14ac:dyDescent="0.35">
      <c r="A13" t="s">
        <v>497</v>
      </c>
      <c r="B13" t="s">
        <v>2308</v>
      </c>
      <c r="C13" t="s">
        <v>2424</v>
      </c>
      <c r="D13" t="s">
        <v>50</v>
      </c>
      <c r="E13">
        <v>1</v>
      </c>
      <c r="F13">
        <v>1</v>
      </c>
      <c r="G13">
        <v>11</v>
      </c>
      <c r="H13">
        <v>2</v>
      </c>
      <c r="I13" t="s">
        <v>927</v>
      </c>
      <c r="J13" t="s">
        <v>2444</v>
      </c>
      <c r="K13" t="s">
        <v>983</v>
      </c>
      <c r="L13" s="1" t="str">
        <f>HYPERLINK("https://ovidsp.ovid.com/ovidweb.cgi?T=JS&amp;NEWS=n&amp;CSC=Y&amp;PAGE=toc&amp;D=yrovft&amp;AN=01599573-000000000-00000","https://ovidsp.ovid.com/ovidweb.cgi?T=JS&amp;NEWS=n&amp;CSC=Y&amp;PAGE=toc&amp;D=yrovft&amp;AN=01599573-000000000-00000")</f>
        <v>https://ovidsp.ovid.com/ovidweb.cgi?T=JS&amp;NEWS=n&amp;CSC=Y&amp;PAGE=toc&amp;D=yrovft&amp;AN=01599573-000000000-00000</v>
      </c>
      <c r="M13" t="s">
        <v>1753</v>
      </c>
      <c r="N13" t="s">
        <v>2424</v>
      </c>
      <c r="O13" t="s">
        <v>323</v>
      </c>
      <c r="P13" t="b">
        <v>1</v>
      </c>
      <c r="Q13" t="s">
        <v>3364</v>
      </c>
    </row>
    <row r="14" spans="1:17" x14ac:dyDescent="0.35">
      <c r="A14" t="s">
        <v>2618</v>
      </c>
      <c r="B14" t="s">
        <v>146</v>
      </c>
      <c r="C14" t="s">
        <v>2424</v>
      </c>
      <c r="D14" t="s">
        <v>3649</v>
      </c>
      <c r="E14">
        <v>32</v>
      </c>
      <c r="F14">
        <v>1</v>
      </c>
      <c r="G14">
        <v>46</v>
      </c>
      <c r="H14">
        <v>2</v>
      </c>
      <c r="I14" t="s">
        <v>1437</v>
      </c>
      <c r="J14" t="s">
        <v>1091</v>
      </c>
      <c r="K14" t="s">
        <v>2017</v>
      </c>
      <c r="L14" s="1" t="str">
        <f>HYPERLINK("https://ovidsp.ovid.com/ovidweb.cgi?T=JS&amp;NEWS=n&amp;CSC=Y&amp;PAGE=toc&amp;D=yrovft&amp;AN=00054832-000000000-00000","https://ovidsp.ovid.com/ovidweb.cgi?T=JS&amp;NEWS=n&amp;CSC=Y&amp;PAGE=toc&amp;D=yrovft&amp;AN=00054832-000000000-00000")</f>
        <v>https://ovidsp.ovid.com/ovidweb.cgi?T=JS&amp;NEWS=n&amp;CSC=Y&amp;PAGE=toc&amp;D=yrovft&amp;AN=00054832-000000000-00000</v>
      </c>
      <c r="M14" t="s">
        <v>1647</v>
      </c>
      <c r="N14" t="s">
        <v>2424</v>
      </c>
      <c r="O14" t="s">
        <v>743</v>
      </c>
      <c r="P14" t="b">
        <v>1</v>
      </c>
      <c r="Q14" t="s">
        <v>332</v>
      </c>
    </row>
    <row r="15" spans="1:17" x14ac:dyDescent="0.35">
      <c r="A15" t="s">
        <v>3487</v>
      </c>
      <c r="B15" t="s">
        <v>2424</v>
      </c>
      <c r="C15" t="s">
        <v>2424</v>
      </c>
      <c r="D15" t="s">
        <v>50</v>
      </c>
      <c r="E15">
        <v>1</v>
      </c>
      <c r="F15">
        <v>1</v>
      </c>
      <c r="G15">
        <v>4</v>
      </c>
      <c r="H15">
        <v>2</v>
      </c>
      <c r="I15" t="s">
        <v>2111</v>
      </c>
      <c r="J15" t="s">
        <v>704</v>
      </c>
      <c r="K15" t="s">
        <v>2017</v>
      </c>
      <c r="L15" s="1" t="str">
        <f>HYPERLINK("https://ovidsp.ovid.com/ovidweb.cgi?T=JS&amp;NEWS=n&amp;CSC=Y&amp;PAGE=toc&amp;D=yrovft&amp;AN=02118581-000000000-00000","https://ovidsp.ovid.com/ovidweb.cgi?T=JS&amp;NEWS=n&amp;CSC=Y&amp;PAGE=toc&amp;D=yrovft&amp;AN=02118581-000000000-00000")</f>
        <v>https://ovidsp.ovid.com/ovidweb.cgi?T=JS&amp;NEWS=n&amp;CSC=Y&amp;PAGE=toc&amp;D=yrovft&amp;AN=02118581-000000000-00000</v>
      </c>
      <c r="M15" t="s">
        <v>1223</v>
      </c>
      <c r="N15" t="s">
        <v>2424</v>
      </c>
      <c r="O15" t="s">
        <v>835</v>
      </c>
      <c r="P15" t="b">
        <v>0</v>
      </c>
      <c r="Q15" t="s">
        <v>2424</v>
      </c>
    </row>
    <row r="16" spans="1:17" x14ac:dyDescent="0.35">
      <c r="A16" t="s">
        <v>2871</v>
      </c>
      <c r="B16" t="s">
        <v>2373</v>
      </c>
      <c r="C16" t="s">
        <v>2424</v>
      </c>
      <c r="D16" t="s">
        <v>3649</v>
      </c>
      <c r="E16">
        <v>11</v>
      </c>
      <c r="F16">
        <v>1</v>
      </c>
      <c r="G16">
        <v>32</v>
      </c>
      <c r="H16">
        <v>3</v>
      </c>
      <c r="I16" t="s">
        <v>3403</v>
      </c>
      <c r="J16" t="s">
        <v>2909</v>
      </c>
      <c r="K16" t="s">
        <v>459</v>
      </c>
      <c r="L16" s="1" t="str">
        <f>HYPERLINK("https://ovidsp.ovid.com/ovidweb.cgi?T=JS&amp;NEWS=n&amp;CSC=Y&amp;PAGE=toc&amp;D=yrovft&amp;AN=00019614-000000000-00000","https://ovidsp.ovid.com/ovidweb.cgi?T=JS&amp;NEWS=n&amp;CSC=Y&amp;PAGE=toc&amp;D=yrovft&amp;AN=00019614-000000000-00000")</f>
        <v>https://ovidsp.ovid.com/ovidweb.cgi?T=JS&amp;NEWS=n&amp;CSC=Y&amp;PAGE=toc&amp;D=yrovft&amp;AN=00019614-000000000-00000</v>
      </c>
      <c r="M16" t="s">
        <v>1945</v>
      </c>
      <c r="N16" t="s">
        <v>2424</v>
      </c>
      <c r="O16" t="s">
        <v>1863</v>
      </c>
      <c r="P16" t="b">
        <v>1</v>
      </c>
      <c r="Q16" t="s">
        <v>1827</v>
      </c>
    </row>
    <row r="17" spans="1:17" x14ac:dyDescent="0.35">
      <c r="A17" t="s">
        <v>2927</v>
      </c>
      <c r="B17" t="s">
        <v>336</v>
      </c>
      <c r="C17" t="s">
        <v>2424</v>
      </c>
      <c r="D17" t="s">
        <v>1323</v>
      </c>
      <c r="E17">
        <v>1</v>
      </c>
      <c r="F17">
        <v>1</v>
      </c>
      <c r="G17">
        <v>7</v>
      </c>
      <c r="H17">
        <v>4</v>
      </c>
      <c r="I17" t="s">
        <v>516</v>
      </c>
      <c r="J17" t="s">
        <v>3471</v>
      </c>
      <c r="K17" t="s">
        <v>1154</v>
      </c>
      <c r="L17" s="1" t="str">
        <f>HYPERLINK("https://ovidsp.ovid.com/ovidweb.cgi?T=JS&amp;NEWS=n&amp;CSC=Y&amp;PAGE=toc&amp;D=yrovft&amp;AN=02118597-000000000-00000","https://ovidsp.ovid.com/ovidweb.cgi?T=JS&amp;NEWS=n&amp;CSC=Y&amp;PAGE=toc&amp;D=yrovft&amp;AN=02118597-000000000-00000")</f>
        <v>https://ovidsp.ovid.com/ovidweb.cgi?T=JS&amp;NEWS=n&amp;CSC=Y&amp;PAGE=toc&amp;D=yrovft&amp;AN=02118597-000000000-00000</v>
      </c>
      <c r="M17" t="s">
        <v>241</v>
      </c>
      <c r="N17" t="s">
        <v>2424</v>
      </c>
      <c r="O17" t="s">
        <v>849</v>
      </c>
      <c r="P17" t="b">
        <v>0</v>
      </c>
      <c r="Q17" t="s">
        <v>2424</v>
      </c>
    </row>
    <row r="18" spans="1:17" x14ac:dyDescent="0.35">
      <c r="A18" t="s">
        <v>1793</v>
      </c>
      <c r="B18" t="s">
        <v>2424</v>
      </c>
      <c r="C18" t="s">
        <v>2424</v>
      </c>
      <c r="D18" t="s">
        <v>50</v>
      </c>
      <c r="E18">
        <v>1</v>
      </c>
      <c r="F18">
        <v>1</v>
      </c>
      <c r="G18">
        <v>2</v>
      </c>
      <c r="H18">
        <v>2</v>
      </c>
      <c r="I18" t="s">
        <v>1381</v>
      </c>
      <c r="J18" t="s">
        <v>3141</v>
      </c>
      <c r="K18" t="s">
        <v>2038</v>
      </c>
      <c r="L18" s="1" t="str">
        <f>HYPERLINK("https://ovidsp.ovid.com/ovidweb.cgi?T=JS&amp;NEWS=n&amp;CSC=Y&amp;PAGE=toc&amp;D=yrovft&amp;AN=02200497-000000000-00000","https://ovidsp.ovid.com/ovidweb.cgi?T=JS&amp;NEWS=n&amp;CSC=Y&amp;PAGE=toc&amp;D=yrovft&amp;AN=02200497-000000000-00000")</f>
        <v>https://ovidsp.ovid.com/ovidweb.cgi?T=JS&amp;NEWS=n&amp;CSC=Y&amp;PAGE=toc&amp;D=yrovft&amp;AN=02200497-000000000-00000</v>
      </c>
      <c r="M18" t="s">
        <v>3722</v>
      </c>
      <c r="N18" t="s">
        <v>2424</v>
      </c>
      <c r="O18" t="s">
        <v>2199</v>
      </c>
      <c r="P18" t="b">
        <v>0</v>
      </c>
      <c r="Q18" t="s">
        <v>2424</v>
      </c>
    </row>
    <row r="19" spans="1:17" x14ac:dyDescent="0.35">
      <c r="A19" t="s">
        <v>2836</v>
      </c>
      <c r="B19" t="s">
        <v>676</v>
      </c>
      <c r="C19" t="s">
        <v>2424</v>
      </c>
      <c r="D19" t="s">
        <v>3649</v>
      </c>
      <c r="E19">
        <v>40</v>
      </c>
      <c r="F19">
        <v>9</v>
      </c>
      <c r="G19">
        <v>42</v>
      </c>
      <c r="H19">
        <v>4</v>
      </c>
      <c r="I19" t="s">
        <v>2123</v>
      </c>
      <c r="J19" t="s">
        <v>2760</v>
      </c>
      <c r="K19" t="s">
        <v>2017</v>
      </c>
      <c r="L19" s="1" t="str">
        <f>HYPERLINK("https://ovidsp.ovid.com/ovidweb.cgi?T=JS&amp;NEWS=n&amp;CSC=Y&amp;PAGE=toc&amp;D=yrovft&amp;AN=02081062-000000000-00000","https://ovidsp.ovid.com/ovidweb.cgi?T=JS&amp;NEWS=n&amp;CSC=Y&amp;PAGE=toc&amp;D=yrovft&amp;AN=02081062-000000000-00000")</f>
        <v>https://ovidsp.ovid.com/ovidweb.cgi?T=JS&amp;NEWS=n&amp;CSC=Y&amp;PAGE=toc&amp;D=yrovft&amp;AN=02081062-000000000-00000</v>
      </c>
      <c r="M19" t="s">
        <v>2828</v>
      </c>
      <c r="N19" t="s">
        <v>2424</v>
      </c>
      <c r="O19" t="s">
        <v>700</v>
      </c>
      <c r="P19" t="b">
        <v>0</v>
      </c>
      <c r="Q19" t="s">
        <v>2424</v>
      </c>
    </row>
    <row r="20" spans="1:17" x14ac:dyDescent="0.35">
      <c r="A20" t="s">
        <v>730</v>
      </c>
      <c r="B20" t="s">
        <v>2424</v>
      </c>
      <c r="C20" t="s">
        <v>2424</v>
      </c>
      <c r="D20" t="s">
        <v>3649</v>
      </c>
      <c r="E20">
        <v>1</v>
      </c>
      <c r="F20">
        <v>1</v>
      </c>
      <c r="G20">
        <v>5</v>
      </c>
      <c r="H20">
        <v>3</v>
      </c>
      <c r="I20" t="s">
        <v>2421</v>
      </c>
      <c r="J20" t="s">
        <v>2745</v>
      </c>
      <c r="K20" t="s">
        <v>983</v>
      </c>
      <c r="L20" s="1" t="str">
        <f>HYPERLINK("https://ovidsp.ovid.com/ovidweb.cgi?T=JS&amp;NEWS=n&amp;CSC=Y&amp;PAGE=toc&amp;D=yrovft&amp;AN=02196403-000000000-00000","https://ovidsp.ovid.com/ovidweb.cgi?T=JS&amp;NEWS=n&amp;CSC=Y&amp;PAGE=toc&amp;D=yrovft&amp;AN=02196403-000000000-00000")</f>
        <v>https://ovidsp.ovid.com/ovidweb.cgi?T=JS&amp;NEWS=n&amp;CSC=Y&amp;PAGE=toc&amp;D=yrovft&amp;AN=02196403-000000000-00000</v>
      </c>
      <c r="M20" t="s">
        <v>1581</v>
      </c>
      <c r="N20" t="s">
        <v>2424</v>
      </c>
      <c r="O20" t="s">
        <v>3446</v>
      </c>
      <c r="P20" t="b">
        <v>0</v>
      </c>
      <c r="Q20" t="s">
        <v>2424</v>
      </c>
    </row>
    <row r="21" spans="1:17" x14ac:dyDescent="0.35">
      <c r="A21" t="s">
        <v>307</v>
      </c>
      <c r="B21" t="s">
        <v>1807</v>
      </c>
      <c r="C21" t="s">
        <v>2424</v>
      </c>
      <c r="D21" t="s">
        <v>50</v>
      </c>
      <c r="E21">
        <v>1</v>
      </c>
      <c r="F21">
        <v>1</v>
      </c>
      <c r="G21">
        <v>2</v>
      </c>
      <c r="H21">
        <v>1</v>
      </c>
      <c r="I21" t="s">
        <v>1118</v>
      </c>
      <c r="J21" t="s">
        <v>1949</v>
      </c>
      <c r="K21" t="s">
        <v>983</v>
      </c>
      <c r="L21" s="1" t="str">
        <f>HYPERLINK("https://ovidsp.ovid.com/ovidweb.cgi?T=JS&amp;NEWS=n&amp;CSC=Y&amp;PAGE=toc&amp;D=yrovft&amp;AN=02211144-000000000-00000","https://ovidsp.ovid.com/ovidweb.cgi?T=JS&amp;NEWS=n&amp;CSC=Y&amp;PAGE=toc&amp;D=yrovft&amp;AN=02211144-000000000-00000")</f>
        <v>https://ovidsp.ovid.com/ovidweb.cgi?T=JS&amp;NEWS=n&amp;CSC=Y&amp;PAGE=toc&amp;D=yrovft&amp;AN=02211144-000000000-00000</v>
      </c>
      <c r="M21" t="s">
        <v>137</v>
      </c>
      <c r="N21" t="s">
        <v>2424</v>
      </c>
      <c r="O21" t="s">
        <v>3240</v>
      </c>
      <c r="P21" t="b">
        <v>1</v>
      </c>
      <c r="Q21" t="s">
        <v>1639</v>
      </c>
    </row>
    <row r="22" spans="1:17" x14ac:dyDescent="0.35">
      <c r="A22" t="s">
        <v>1623</v>
      </c>
      <c r="B22" t="s">
        <v>3218</v>
      </c>
      <c r="C22" t="s">
        <v>2424</v>
      </c>
      <c r="D22" t="s">
        <v>50</v>
      </c>
      <c r="E22">
        <v>1</v>
      </c>
      <c r="F22">
        <v>1</v>
      </c>
      <c r="G22">
        <v>6</v>
      </c>
      <c r="H22">
        <v>4</v>
      </c>
      <c r="I22" t="s">
        <v>3592</v>
      </c>
      <c r="J22" t="s">
        <v>1450</v>
      </c>
      <c r="K22" t="s">
        <v>2286</v>
      </c>
      <c r="L22" s="1" t="str">
        <f>HYPERLINK("https://ovidsp.ovid.com/ovidweb.cgi?T=JS&amp;NEWS=n&amp;CSC=Y&amp;PAGE=toc&amp;D=yrovft&amp;AN=01626549-000000000-00000","https://ovidsp.ovid.com/ovidweb.cgi?T=JS&amp;NEWS=n&amp;CSC=Y&amp;PAGE=toc&amp;D=yrovft&amp;AN=01626549-000000000-00000")</f>
        <v>https://ovidsp.ovid.com/ovidweb.cgi?T=JS&amp;NEWS=n&amp;CSC=Y&amp;PAGE=toc&amp;D=yrovft&amp;AN=01626549-000000000-00000</v>
      </c>
      <c r="M22" t="s">
        <v>1810</v>
      </c>
      <c r="N22" t="s">
        <v>2424</v>
      </c>
      <c r="O22" t="s">
        <v>915</v>
      </c>
      <c r="P22" t="b">
        <v>0</v>
      </c>
      <c r="Q22" t="s">
        <v>2424</v>
      </c>
    </row>
    <row r="23" spans="1:17" x14ac:dyDescent="0.35">
      <c r="A23" t="s">
        <v>289</v>
      </c>
      <c r="B23" t="s">
        <v>2359</v>
      </c>
      <c r="C23" t="s">
        <v>2424</v>
      </c>
      <c r="D23" t="s">
        <v>50</v>
      </c>
      <c r="E23">
        <v>7</v>
      </c>
      <c r="F23">
        <v>1</v>
      </c>
      <c r="G23">
        <v>11</v>
      </c>
      <c r="H23">
        <v>2</v>
      </c>
      <c r="I23" t="s">
        <v>612</v>
      </c>
      <c r="J23" t="s">
        <v>2295</v>
      </c>
      <c r="K23" t="s">
        <v>3581</v>
      </c>
      <c r="L23" s="1" t="str">
        <f>HYPERLINK("https://ovidsp.ovid.com/ovidweb.cgi?T=JS&amp;NEWS=n&amp;CSC=Y&amp;PAGE=toc&amp;D=yrovft&amp;AN=02045117-000000000-00000","https://ovidsp.ovid.com/ovidweb.cgi?T=JS&amp;NEWS=n&amp;CSC=Y&amp;PAGE=toc&amp;D=yrovft&amp;AN=02045117-000000000-00000")</f>
        <v>https://ovidsp.ovid.com/ovidweb.cgi?T=JS&amp;NEWS=n&amp;CSC=Y&amp;PAGE=toc&amp;D=yrovft&amp;AN=02045117-000000000-00000</v>
      </c>
      <c r="M23" t="s">
        <v>2304</v>
      </c>
      <c r="N23" t="s">
        <v>2424</v>
      </c>
      <c r="O23" t="s">
        <v>1214</v>
      </c>
      <c r="P23" t="b">
        <v>0</v>
      </c>
      <c r="Q23" t="s">
        <v>2424</v>
      </c>
    </row>
    <row r="24" spans="1:17" x14ac:dyDescent="0.35">
      <c r="A24" t="s">
        <v>2465</v>
      </c>
      <c r="B24" t="s">
        <v>3352</v>
      </c>
      <c r="C24" t="s">
        <v>2424</v>
      </c>
      <c r="D24" t="s">
        <v>3649</v>
      </c>
      <c r="E24">
        <v>37</v>
      </c>
      <c r="F24">
        <v>1</v>
      </c>
      <c r="G24">
        <v>55</v>
      </c>
      <c r="H24">
        <v>3</v>
      </c>
      <c r="I24" t="s">
        <v>3779</v>
      </c>
      <c r="J24" t="s">
        <v>3425</v>
      </c>
      <c r="K24" t="s">
        <v>983</v>
      </c>
      <c r="L24" s="1" t="str">
        <f>HYPERLINK("https://ovidsp.ovid.com/ovidweb.cgi?T=JS&amp;NEWS=n&amp;CSC=Y&amp;PAGE=toc&amp;D=yrovft&amp;AN=00001659-000000000-00000","https://ovidsp.ovid.com/ovidweb.cgi?T=JS&amp;NEWS=n&amp;CSC=Y&amp;PAGE=toc&amp;D=yrovft&amp;AN=00001659-000000000-00000")</f>
        <v>https://ovidsp.ovid.com/ovidweb.cgi?T=JS&amp;NEWS=n&amp;CSC=Y&amp;PAGE=toc&amp;D=yrovft&amp;AN=00001659-000000000-00000</v>
      </c>
      <c r="M24" t="s">
        <v>3689</v>
      </c>
      <c r="N24" t="s">
        <v>2424</v>
      </c>
      <c r="O24" t="s">
        <v>1563</v>
      </c>
      <c r="P24" t="b">
        <v>1</v>
      </c>
      <c r="Q24" t="s">
        <v>1915</v>
      </c>
    </row>
    <row r="25" spans="1:17" x14ac:dyDescent="0.35">
      <c r="A25" t="s">
        <v>245</v>
      </c>
      <c r="B25" t="s">
        <v>507</v>
      </c>
      <c r="C25" t="s">
        <v>2424</v>
      </c>
      <c r="D25" t="s">
        <v>3261</v>
      </c>
      <c r="E25">
        <v>119</v>
      </c>
      <c r="F25">
        <v>1</v>
      </c>
      <c r="G25">
        <v>135</v>
      </c>
      <c r="H25">
        <v>6</v>
      </c>
      <c r="I25" t="s">
        <v>3340</v>
      </c>
      <c r="J25" t="s">
        <v>622</v>
      </c>
      <c r="K25" t="s">
        <v>1790</v>
      </c>
      <c r="L25" s="1" t="str">
        <f>HYPERLINK("https://ovidsp.ovid.com/ovidweb.cgi?T=JS&amp;NEWS=n&amp;CSC=Y&amp;PAGE=toc&amp;D=yrovft&amp;AN=00029330-000000000-00000","https://ovidsp.ovid.com/ovidweb.cgi?T=JS&amp;NEWS=n&amp;CSC=Y&amp;PAGE=toc&amp;D=yrovft&amp;AN=00029330-000000000-00000")</f>
        <v>https://ovidsp.ovid.com/ovidweb.cgi?T=JS&amp;NEWS=n&amp;CSC=Y&amp;PAGE=toc&amp;D=yrovft&amp;AN=00029330-000000000-00000</v>
      </c>
      <c r="M25" t="s">
        <v>265</v>
      </c>
      <c r="N25" t="s">
        <v>2424</v>
      </c>
      <c r="O25" t="s">
        <v>1995</v>
      </c>
      <c r="P25" t="b">
        <v>1</v>
      </c>
      <c r="Q25" t="s">
        <v>2546</v>
      </c>
    </row>
    <row r="26" spans="1:17" x14ac:dyDescent="0.35">
      <c r="A26" t="s">
        <v>1262</v>
      </c>
      <c r="B26" t="s">
        <v>2424</v>
      </c>
      <c r="C26" t="s">
        <v>2424</v>
      </c>
      <c r="D26" t="s">
        <v>3649</v>
      </c>
      <c r="E26">
        <v>1</v>
      </c>
      <c r="F26">
        <v>11</v>
      </c>
      <c r="G26">
        <v>11</v>
      </c>
      <c r="H26">
        <v>4</v>
      </c>
      <c r="I26" t="s">
        <v>535</v>
      </c>
      <c r="J26" t="s">
        <v>436</v>
      </c>
      <c r="K26" t="s">
        <v>3301</v>
      </c>
      <c r="L26" s="1" t="str">
        <f>HYPERLINK("https://ovidsp.ovid.com/ovidweb.cgi?T=JS&amp;NEWS=n&amp;CSC=Y&amp;PAGE=toc&amp;D=yrovft&amp;AN=01747083-000000000-00000","https://ovidsp.ovid.com/ovidweb.cgi?T=JS&amp;NEWS=n&amp;CSC=Y&amp;PAGE=toc&amp;D=yrovft&amp;AN=01747083-000000000-00000")</f>
        <v>https://ovidsp.ovid.com/ovidweb.cgi?T=JS&amp;NEWS=n&amp;CSC=Y&amp;PAGE=toc&amp;D=yrovft&amp;AN=01747083-000000000-00000</v>
      </c>
      <c r="M26" t="s">
        <v>2419</v>
      </c>
      <c r="N26" t="s">
        <v>2424</v>
      </c>
      <c r="O26" t="s">
        <v>2043</v>
      </c>
      <c r="P26" t="b">
        <v>0</v>
      </c>
      <c r="Q26" t="s">
        <v>2424</v>
      </c>
    </row>
    <row r="27" spans="1:17" x14ac:dyDescent="0.35">
      <c r="A27" t="s">
        <v>3725</v>
      </c>
      <c r="B27" t="s">
        <v>2894</v>
      </c>
      <c r="C27" t="s">
        <v>2424</v>
      </c>
      <c r="D27" t="s">
        <v>3649</v>
      </c>
      <c r="E27">
        <v>1</v>
      </c>
      <c r="F27">
        <v>1</v>
      </c>
      <c r="G27">
        <v>8</v>
      </c>
      <c r="H27">
        <v>2</v>
      </c>
      <c r="I27" t="s">
        <v>2897</v>
      </c>
      <c r="J27" t="s">
        <v>2311</v>
      </c>
      <c r="K27" t="s">
        <v>2017</v>
      </c>
      <c r="L27" s="1" t="str">
        <f>HYPERLINK("https://ovidsp.ovid.com/ovidweb.cgi?T=JS&amp;NEWS=n&amp;CSC=Y&amp;PAGE=toc&amp;D=yrovft&amp;AN=02003426-000000000-00000","https://ovidsp.ovid.com/ovidweb.cgi?T=JS&amp;NEWS=n&amp;CSC=Y&amp;PAGE=toc&amp;D=yrovft&amp;AN=02003426-000000000-00000")</f>
        <v>https://ovidsp.ovid.com/ovidweb.cgi?T=JS&amp;NEWS=n&amp;CSC=Y&amp;PAGE=toc&amp;D=yrovft&amp;AN=02003426-000000000-00000</v>
      </c>
      <c r="M27" t="s">
        <v>1783</v>
      </c>
      <c r="N27" t="s">
        <v>2424</v>
      </c>
      <c r="O27" t="s">
        <v>1707</v>
      </c>
      <c r="P27" t="b">
        <v>1</v>
      </c>
      <c r="Q27" t="s">
        <v>1751</v>
      </c>
    </row>
    <row r="28" spans="1:17" x14ac:dyDescent="0.35">
      <c r="A28" t="s">
        <v>1624</v>
      </c>
      <c r="B28" t="s">
        <v>2128</v>
      </c>
      <c r="C28" t="s">
        <v>2424</v>
      </c>
      <c r="D28" t="s">
        <v>50</v>
      </c>
      <c r="E28">
        <v>1</v>
      </c>
      <c r="F28">
        <v>10</v>
      </c>
      <c r="G28">
        <v>13</v>
      </c>
      <c r="H28">
        <v>5</v>
      </c>
      <c r="I28" t="s">
        <v>3007</v>
      </c>
      <c r="J28" t="s">
        <v>1260</v>
      </c>
      <c r="K28" t="s">
        <v>2017</v>
      </c>
      <c r="L28" s="1" t="str">
        <f>HYPERLINK("https://ovidsp.ovid.com/ovidweb.cgi?T=JS&amp;NEWS=n&amp;CSC=Y&amp;PAGE=toc&amp;D=yrovft&amp;AN=01720094-000000000-00000","https://ovidsp.ovid.com/ovidweb.cgi?T=JS&amp;NEWS=n&amp;CSC=Y&amp;PAGE=toc&amp;D=yrovft&amp;AN=01720094-000000000-00000")</f>
        <v>https://ovidsp.ovid.com/ovidweb.cgi?T=JS&amp;NEWS=n&amp;CSC=Y&amp;PAGE=toc&amp;D=yrovft&amp;AN=01720094-000000000-00000</v>
      </c>
      <c r="M28" t="s">
        <v>1059</v>
      </c>
      <c r="N28" t="s">
        <v>2424</v>
      </c>
      <c r="O28" t="s">
        <v>1663</v>
      </c>
      <c r="P28" t="b">
        <v>1</v>
      </c>
      <c r="Q28" t="s">
        <v>271</v>
      </c>
    </row>
    <row r="29" spans="1:17" x14ac:dyDescent="0.35">
      <c r="A29" t="s">
        <v>1586</v>
      </c>
      <c r="B29" t="s">
        <v>1421</v>
      </c>
      <c r="C29" t="s">
        <v>2424</v>
      </c>
      <c r="D29" t="s">
        <v>946</v>
      </c>
      <c r="E29">
        <v>1</v>
      </c>
      <c r="F29">
        <v>1</v>
      </c>
      <c r="G29">
        <v>22</v>
      </c>
      <c r="H29">
        <v>2</v>
      </c>
      <c r="I29" t="s">
        <v>3532</v>
      </c>
      <c r="J29" t="s">
        <v>2909</v>
      </c>
      <c r="K29" t="s">
        <v>983</v>
      </c>
      <c r="L29" s="1" t="str">
        <f>HYPERLINK("https://ovidsp.ovid.com/ovidweb.cgi?T=JS&amp;NEWS=n&amp;CSC=Y&amp;PAGE=toc&amp;D=yrovft&amp;AN=00129491-000000000-00000","https://ovidsp.ovid.com/ovidweb.cgi?T=JS&amp;NEWS=n&amp;CSC=Y&amp;PAGE=toc&amp;D=yrovft&amp;AN=00129491-000000000-00000")</f>
        <v>https://ovidsp.ovid.com/ovidweb.cgi?T=JS&amp;NEWS=n&amp;CSC=Y&amp;PAGE=toc&amp;D=yrovft&amp;AN=00129491-000000000-00000</v>
      </c>
      <c r="M29" t="s">
        <v>2928</v>
      </c>
      <c r="N29" t="s">
        <v>2424</v>
      </c>
      <c r="O29" t="s">
        <v>2969</v>
      </c>
      <c r="P29" t="b">
        <v>0</v>
      </c>
      <c r="Q29" t="s">
        <v>2424</v>
      </c>
    </row>
    <row r="30" spans="1:17" x14ac:dyDescent="0.35">
      <c r="A30" t="s">
        <v>888</v>
      </c>
      <c r="B30" t="s">
        <v>1562</v>
      </c>
      <c r="C30" t="s">
        <v>2424</v>
      </c>
      <c r="D30" t="s">
        <v>3649</v>
      </c>
      <c r="E30">
        <v>14</v>
      </c>
      <c r="F30">
        <v>1</v>
      </c>
      <c r="G30">
        <v>28</v>
      </c>
      <c r="H30">
        <v>6</v>
      </c>
      <c r="I30" t="s">
        <v>2108</v>
      </c>
      <c r="J30" t="s">
        <v>3792</v>
      </c>
      <c r="K30" t="s">
        <v>2165</v>
      </c>
      <c r="L30" s="1" t="str">
        <f>HYPERLINK("https://ovidsp.ovid.com/ovidweb.cgi?T=JS&amp;NEWS=n&amp;CSC=Y&amp;PAGE=toc&amp;D=yrovft&amp;AN=01445395-000000000-00000","https://ovidsp.ovid.com/ovidweb.cgi?T=JS&amp;NEWS=n&amp;CSC=Y&amp;PAGE=toc&amp;D=yrovft&amp;AN=01445395-000000000-00000")</f>
        <v>https://ovidsp.ovid.com/ovidweb.cgi?T=JS&amp;NEWS=n&amp;CSC=Y&amp;PAGE=toc&amp;D=yrovft&amp;AN=01445395-000000000-00000</v>
      </c>
      <c r="M30" t="s">
        <v>277</v>
      </c>
      <c r="N30" t="s">
        <v>2424</v>
      </c>
      <c r="O30" t="s">
        <v>3400</v>
      </c>
      <c r="P30" t="b">
        <v>1</v>
      </c>
      <c r="Q30" t="s">
        <v>3704</v>
      </c>
    </row>
    <row r="31" spans="1:17" x14ac:dyDescent="0.35">
      <c r="A31" t="s">
        <v>1397</v>
      </c>
      <c r="B31" t="s">
        <v>680</v>
      </c>
      <c r="C31" t="s">
        <v>2424</v>
      </c>
      <c r="D31" t="s">
        <v>50</v>
      </c>
      <c r="E31">
        <v>1</v>
      </c>
      <c r="F31">
        <v>1</v>
      </c>
      <c r="G31">
        <v>4</v>
      </c>
      <c r="H31">
        <v>5</v>
      </c>
      <c r="I31" t="s">
        <v>3812</v>
      </c>
      <c r="J31" t="s">
        <v>3016</v>
      </c>
      <c r="K31" t="s">
        <v>1489</v>
      </c>
      <c r="L31" s="1" t="str">
        <f>HYPERLINK("https://ovidsp.ovid.com/ovidweb.cgi?T=JS&amp;NEWS=n&amp;CSC=Y&amp;PAGE=toc&amp;D=yrovft&amp;AN=02107256-000000000-00000","https://ovidsp.ovid.com/ovidweb.cgi?T=JS&amp;NEWS=n&amp;CSC=Y&amp;PAGE=toc&amp;D=yrovft&amp;AN=02107256-000000000-00000")</f>
        <v>https://ovidsp.ovid.com/ovidweb.cgi?T=JS&amp;NEWS=n&amp;CSC=Y&amp;PAGE=toc&amp;D=yrovft&amp;AN=02107256-000000000-00000</v>
      </c>
      <c r="M31" t="s">
        <v>3348</v>
      </c>
      <c r="N31" t="s">
        <v>2424</v>
      </c>
      <c r="O31" t="s">
        <v>1069</v>
      </c>
      <c r="P31" t="b">
        <v>0</v>
      </c>
      <c r="Q31" t="s">
        <v>2424</v>
      </c>
    </row>
    <row r="32" spans="1:17" x14ac:dyDescent="0.35">
      <c r="A32" t="s">
        <v>3383</v>
      </c>
      <c r="B32" t="s">
        <v>488</v>
      </c>
      <c r="C32" t="s">
        <v>2424</v>
      </c>
      <c r="D32" t="s">
        <v>50</v>
      </c>
      <c r="E32">
        <v>1</v>
      </c>
      <c r="F32">
        <v>1</v>
      </c>
      <c r="G32">
        <v>16</v>
      </c>
      <c r="H32">
        <v>1</v>
      </c>
      <c r="I32" t="s">
        <v>2476</v>
      </c>
      <c r="J32" t="s">
        <v>2677</v>
      </c>
      <c r="K32" t="s">
        <v>983</v>
      </c>
      <c r="L32" s="1" t="str">
        <f>HYPERLINK("https://ovidsp.ovid.com/ovidweb.cgi?T=JS&amp;NEWS=n&amp;CSC=Y&amp;PAGE=toc&amp;D=yrovft&amp;AN=01330296-000000000-00000","https://ovidsp.ovid.com/ovidweb.cgi?T=JS&amp;NEWS=n&amp;CSC=Y&amp;PAGE=toc&amp;D=yrovft&amp;AN=01330296-000000000-00000")</f>
        <v>https://ovidsp.ovid.com/ovidweb.cgi?T=JS&amp;NEWS=n&amp;CSC=Y&amp;PAGE=toc&amp;D=yrovft&amp;AN=01330296-000000000-00000</v>
      </c>
      <c r="M32" t="s">
        <v>2164</v>
      </c>
      <c r="N32" t="s">
        <v>2424</v>
      </c>
      <c r="O32" t="s">
        <v>3262</v>
      </c>
      <c r="P32" t="b">
        <v>1</v>
      </c>
      <c r="Q32" t="s">
        <v>3206</v>
      </c>
    </row>
    <row r="33" spans="1:17" x14ac:dyDescent="0.35">
      <c r="A33" t="s">
        <v>1736</v>
      </c>
      <c r="B33" t="s">
        <v>2355</v>
      </c>
      <c r="C33" t="s">
        <v>2424</v>
      </c>
      <c r="D33" t="s">
        <v>1323</v>
      </c>
      <c r="E33">
        <v>1</v>
      </c>
      <c r="F33">
        <v>1</v>
      </c>
      <c r="G33">
        <v>19</v>
      </c>
      <c r="H33">
        <v>2</v>
      </c>
      <c r="I33" t="s">
        <v>3682</v>
      </c>
      <c r="J33" t="s">
        <v>1842</v>
      </c>
      <c r="K33" t="s">
        <v>983</v>
      </c>
      <c r="L33" s="1" t="str">
        <f>HYPERLINK("https://ovidsp.ovid.com/ovidweb.cgi?T=JS&amp;NEWS=n&amp;CSC=Y&amp;PAGE=toc&amp;D=yrovft&amp;AN=01222905-000000000-00000","https://ovidsp.ovid.com/ovidweb.cgi?T=JS&amp;NEWS=n&amp;CSC=Y&amp;PAGE=toc&amp;D=yrovft&amp;AN=01222905-000000000-00000")</f>
        <v>https://ovidsp.ovid.com/ovidweb.cgi?T=JS&amp;NEWS=n&amp;CSC=Y&amp;PAGE=toc&amp;D=yrovft&amp;AN=01222905-000000000-00000</v>
      </c>
      <c r="M33" t="s">
        <v>3435</v>
      </c>
      <c r="N33" t="s">
        <v>2424</v>
      </c>
      <c r="O33" t="s">
        <v>1050</v>
      </c>
      <c r="P33" t="b">
        <v>0</v>
      </c>
      <c r="Q33" t="s">
        <v>2424</v>
      </c>
    </row>
    <row r="34" spans="1:17" x14ac:dyDescent="0.35">
      <c r="A34" t="s">
        <v>2959</v>
      </c>
      <c r="B34" t="s">
        <v>1293</v>
      </c>
      <c r="C34" t="s">
        <v>2424</v>
      </c>
      <c r="D34" t="s">
        <v>1323</v>
      </c>
      <c r="E34">
        <v>71</v>
      </c>
      <c r="F34">
        <v>1</v>
      </c>
      <c r="G34">
        <v>101</v>
      </c>
      <c r="H34">
        <v>3</v>
      </c>
      <c r="I34" t="s">
        <v>48</v>
      </c>
      <c r="J34" t="s">
        <v>679</v>
      </c>
      <c r="K34" t="s">
        <v>983</v>
      </c>
      <c r="L34" s="1" t="str">
        <f>HYPERLINK("https://ovidsp.ovid.com/ovidweb.cgi?T=JS&amp;NEWS=n&amp;CSC=Y&amp;PAGE=toc&amp;D=yrovft&amp;AN=00003524-000000000-00000","https://ovidsp.ovid.com/ovidweb.cgi?T=JS&amp;NEWS=n&amp;CSC=Y&amp;PAGE=toc&amp;D=yrovft&amp;AN=00003524-000000000-00000")</f>
        <v>https://ovidsp.ovid.com/ovidweb.cgi?T=JS&amp;NEWS=n&amp;CSC=Y&amp;PAGE=toc&amp;D=yrovft&amp;AN=00003524-000000000-00000</v>
      </c>
      <c r="M34" t="s">
        <v>3531</v>
      </c>
      <c r="N34" t="s">
        <v>2424</v>
      </c>
      <c r="O34" t="s">
        <v>373</v>
      </c>
      <c r="P34" t="b">
        <v>0</v>
      </c>
      <c r="Q34" t="s">
        <v>2424</v>
      </c>
    </row>
    <row r="35" spans="1:17" x14ac:dyDescent="0.35">
      <c r="A35" t="s">
        <v>1012</v>
      </c>
      <c r="B35" t="s">
        <v>1233</v>
      </c>
      <c r="C35" t="s">
        <v>2424</v>
      </c>
      <c r="D35" t="s">
        <v>3649</v>
      </c>
      <c r="E35">
        <v>25</v>
      </c>
      <c r="F35">
        <v>1</v>
      </c>
      <c r="G35">
        <v>2022</v>
      </c>
      <c r="H35">
        <v>4</v>
      </c>
      <c r="I35" t="s">
        <v>1158</v>
      </c>
      <c r="J35" t="s">
        <v>3162</v>
      </c>
      <c r="K35" t="s">
        <v>2017</v>
      </c>
      <c r="L35" s="1" t="str">
        <f>HYPERLINK("https://ovidsp.ovid.com/ovidweb.cgi?T=JS&amp;NEWS=n&amp;CSC=Y&amp;PAGE=toc&amp;D=yrovft&amp;AN=00009185-000000000-00000","https://ovidsp.ovid.com/ovidweb.cgi?T=JS&amp;NEWS=n&amp;CSC=Y&amp;PAGE=toc&amp;D=yrovft&amp;AN=00009185-000000000-00000")</f>
        <v>https://ovidsp.ovid.com/ovidweb.cgi?T=JS&amp;NEWS=n&amp;CSC=Y&amp;PAGE=toc&amp;D=yrovft&amp;AN=00009185-000000000-00000</v>
      </c>
      <c r="M35" t="s">
        <v>1095</v>
      </c>
      <c r="N35" t="s">
        <v>2424</v>
      </c>
      <c r="O35" t="s">
        <v>2217</v>
      </c>
      <c r="P35" t="b">
        <v>1</v>
      </c>
      <c r="Q35" t="s">
        <v>1551</v>
      </c>
    </row>
    <row r="36" spans="1:17" x14ac:dyDescent="0.35">
      <c r="A36" t="s">
        <v>460</v>
      </c>
      <c r="B36" t="s">
        <v>3652</v>
      </c>
      <c r="C36" t="s">
        <v>2424</v>
      </c>
      <c r="D36" t="s">
        <v>50</v>
      </c>
      <c r="E36">
        <v>1</v>
      </c>
      <c r="F36">
        <v>1</v>
      </c>
      <c r="G36">
        <v>9</v>
      </c>
      <c r="H36">
        <v>1</v>
      </c>
      <c r="I36" t="s">
        <v>3072</v>
      </c>
      <c r="J36" t="s">
        <v>2756</v>
      </c>
      <c r="K36" t="s">
        <v>2206</v>
      </c>
      <c r="L36" s="1" t="str">
        <f>HYPERLINK("https://ovidsp.ovid.com/ovidweb.cgi?T=JS&amp;NEWS=n&amp;CSC=Y&amp;PAGE=toc&amp;D=yrovft&amp;AN=02144603-000000000-00000","https://ovidsp.ovid.com/ovidweb.cgi?T=JS&amp;NEWS=n&amp;CSC=Y&amp;PAGE=toc&amp;D=yrovft&amp;AN=02144603-000000000-00000")</f>
        <v>https://ovidsp.ovid.com/ovidweb.cgi?T=JS&amp;NEWS=n&amp;CSC=Y&amp;PAGE=toc&amp;D=yrovft&amp;AN=02144603-000000000-00000</v>
      </c>
      <c r="M36" t="s">
        <v>23</v>
      </c>
      <c r="N36" t="s">
        <v>2424</v>
      </c>
      <c r="O36" t="s">
        <v>1791</v>
      </c>
      <c r="P36" t="b">
        <v>0</v>
      </c>
      <c r="Q36" t="s">
        <v>2424</v>
      </c>
    </row>
    <row r="37" spans="1:17" x14ac:dyDescent="0.35">
      <c r="A37" t="s">
        <v>1850</v>
      </c>
      <c r="B37" t="s">
        <v>2424</v>
      </c>
      <c r="C37" t="s">
        <v>2424</v>
      </c>
      <c r="D37" t="s">
        <v>3649</v>
      </c>
      <c r="E37">
        <v>1</v>
      </c>
      <c r="F37">
        <v>1</v>
      </c>
      <c r="G37">
        <v>3</v>
      </c>
      <c r="H37">
        <v>1</v>
      </c>
      <c r="I37" t="s">
        <v>1197</v>
      </c>
      <c r="J37" t="s">
        <v>292</v>
      </c>
      <c r="K37" t="s">
        <v>3567</v>
      </c>
      <c r="L37" s="1" t="str">
        <f>HYPERLINK("https://ovidsp.ovid.com/ovidweb.cgi?T=JS&amp;NEWS=n&amp;CSC=Y&amp;PAGE=toc&amp;D=yrovft&amp;AN=02186220-000000000-00000","https://ovidsp.ovid.com/ovidweb.cgi?T=JS&amp;NEWS=n&amp;CSC=Y&amp;PAGE=toc&amp;D=yrovft&amp;AN=02186220-000000000-00000")</f>
        <v>https://ovidsp.ovid.com/ovidweb.cgi?T=JS&amp;NEWS=n&amp;CSC=Y&amp;PAGE=toc&amp;D=yrovft&amp;AN=02186220-000000000-00000</v>
      </c>
      <c r="M37" t="s">
        <v>3705</v>
      </c>
      <c r="N37" t="s">
        <v>2424</v>
      </c>
      <c r="O37" t="s">
        <v>2676</v>
      </c>
      <c r="P37" t="b">
        <v>0</v>
      </c>
      <c r="Q37" t="s">
        <v>2424</v>
      </c>
    </row>
    <row r="38" spans="1:17" x14ac:dyDescent="0.35">
      <c r="A38" t="s">
        <v>3582</v>
      </c>
      <c r="B38" t="s">
        <v>3774</v>
      </c>
      <c r="C38" t="s">
        <v>2424</v>
      </c>
      <c r="D38" t="s">
        <v>3649</v>
      </c>
      <c r="E38">
        <v>1</v>
      </c>
      <c r="F38">
        <v>1</v>
      </c>
      <c r="G38">
        <v>14</v>
      </c>
      <c r="H38">
        <v>4</v>
      </c>
      <c r="I38" t="s">
        <v>2220</v>
      </c>
      <c r="J38" t="s">
        <v>3533</v>
      </c>
      <c r="K38" t="s">
        <v>1408</v>
      </c>
      <c r="L38" s="1" t="str">
        <f>HYPERLINK("https://ovidsp.ovid.com/ovidweb.cgi?T=JS&amp;NEWS=n&amp;CSC=Y&amp;PAGE=toc&amp;D=yrovft&amp;AN=01445407-000000000-00000","https://ovidsp.ovid.com/ovidweb.cgi?T=JS&amp;NEWS=n&amp;CSC=Y&amp;PAGE=toc&amp;D=yrovft&amp;AN=01445407-000000000-00000")</f>
        <v>https://ovidsp.ovid.com/ovidweb.cgi?T=JS&amp;NEWS=n&amp;CSC=Y&amp;PAGE=toc&amp;D=yrovft&amp;AN=01445407-000000000-00000</v>
      </c>
      <c r="M38" t="s">
        <v>2523</v>
      </c>
      <c r="N38" t="s">
        <v>2424</v>
      </c>
      <c r="O38" t="s">
        <v>678</v>
      </c>
      <c r="P38" t="b">
        <v>1</v>
      </c>
      <c r="Q38" t="s">
        <v>786</v>
      </c>
    </row>
    <row r="39" spans="1:17" x14ac:dyDescent="0.35">
      <c r="A39" t="s">
        <v>2432</v>
      </c>
      <c r="B39" t="s">
        <v>1101</v>
      </c>
      <c r="C39" t="s">
        <v>2424</v>
      </c>
      <c r="D39" t="s">
        <v>50</v>
      </c>
      <c r="E39">
        <v>1</v>
      </c>
      <c r="F39">
        <v>1</v>
      </c>
      <c r="G39">
        <v>2</v>
      </c>
      <c r="H39">
        <v>1</v>
      </c>
      <c r="I39" t="s">
        <v>1106</v>
      </c>
      <c r="J39" t="s">
        <v>1604</v>
      </c>
      <c r="K39" t="s">
        <v>3217</v>
      </c>
      <c r="L39" s="1" t="str">
        <f>HYPERLINK("https://ovidsp.ovid.com/ovidweb.cgi?T=JS&amp;NEWS=n&amp;CSC=Y&amp;PAGE=toc&amp;D=yrovft&amp;AN=02211145-000000000-00000","https://ovidsp.ovid.com/ovidweb.cgi?T=JS&amp;NEWS=n&amp;CSC=Y&amp;PAGE=toc&amp;D=yrovft&amp;AN=02211145-000000000-00000")</f>
        <v>https://ovidsp.ovid.com/ovidweb.cgi?T=JS&amp;NEWS=n&amp;CSC=Y&amp;PAGE=toc&amp;D=yrovft&amp;AN=02211145-000000000-00000</v>
      </c>
      <c r="M39" t="s">
        <v>157</v>
      </c>
      <c r="N39" t="s">
        <v>2424</v>
      </c>
      <c r="O39" t="s">
        <v>2256</v>
      </c>
      <c r="P39" t="b">
        <v>1</v>
      </c>
      <c r="Q39" t="s">
        <v>1508</v>
      </c>
    </row>
    <row r="40" spans="1:17" x14ac:dyDescent="0.35">
      <c r="A40" t="s">
        <v>1306</v>
      </c>
      <c r="B40" t="s">
        <v>2424</v>
      </c>
      <c r="C40" t="s">
        <v>2424</v>
      </c>
      <c r="D40" t="s">
        <v>3649</v>
      </c>
      <c r="E40">
        <v>1</v>
      </c>
      <c r="F40">
        <v>1</v>
      </c>
      <c r="G40">
        <v>5</v>
      </c>
      <c r="H40">
        <v>3</v>
      </c>
      <c r="I40" t="s">
        <v>2757</v>
      </c>
      <c r="J40" t="s">
        <v>748</v>
      </c>
      <c r="K40" t="s">
        <v>459</v>
      </c>
      <c r="L40" s="1" t="str">
        <f>HYPERLINK("https://ovidsp.ovid.com/ovidweb.cgi?T=JS&amp;NEWS=n&amp;CSC=Y&amp;PAGE=toc&amp;D=yrovft&amp;AN=02054629-000000000-00000","https://ovidsp.ovid.com/ovidweb.cgi?T=JS&amp;NEWS=n&amp;CSC=Y&amp;PAGE=toc&amp;D=yrovft&amp;AN=02054629-000000000-00000")</f>
        <v>https://ovidsp.ovid.com/ovidweb.cgi?T=JS&amp;NEWS=n&amp;CSC=Y&amp;PAGE=toc&amp;D=yrovft&amp;AN=02054629-000000000-00000</v>
      </c>
      <c r="M40" t="s">
        <v>3460</v>
      </c>
      <c r="N40" t="s">
        <v>2424</v>
      </c>
      <c r="O40" t="s">
        <v>3454</v>
      </c>
      <c r="P40" t="b">
        <v>0</v>
      </c>
      <c r="Q40" t="s">
        <v>2424</v>
      </c>
    </row>
    <row r="41" spans="1:17" x14ac:dyDescent="0.35">
      <c r="A41" t="s">
        <v>1670</v>
      </c>
      <c r="B41" t="s">
        <v>2983</v>
      </c>
      <c r="C41" t="s">
        <v>2424</v>
      </c>
      <c r="D41" t="s">
        <v>50</v>
      </c>
      <c r="E41">
        <v>1</v>
      </c>
      <c r="F41">
        <v>1</v>
      </c>
      <c r="G41">
        <v>6</v>
      </c>
      <c r="H41">
        <v>3</v>
      </c>
      <c r="I41" t="s">
        <v>3386</v>
      </c>
      <c r="J41" t="s">
        <v>3073</v>
      </c>
      <c r="K41" t="s">
        <v>2335</v>
      </c>
      <c r="L41" s="1" t="str">
        <f>HYPERLINK("https://ovidsp.ovid.com/ovidweb.cgi?T=JS&amp;NEWS=n&amp;CSC=Y&amp;PAGE=toc&amp;D=yrovft&amp;AN=01984727-000000000-00000","https://ovidsp.ovid.com/ovidweb.cgi?T=JS&amp;NEWS=n&amp;CSC=Y&amp;PAGE=toc&amp;D=yrovft&amp;AN=01984727-000000000-00000")</f>
        <v>https://ovidsp.ovid.com/ovidweb.cgi?T=JS&amp;NEWS=n&amp;CSC=Y&amp;PAGE=toc&amp;D=yrovft&amp;AN=01984727-000000000-00000</v>
      </c>
      <c r="M41" t="s">
        <v>3279</v>
      </c>
      <c r="N41" t="s">
        <v>2424</v>
      </c>
      <c r="O41" t="s">
        <v>2236</v>
      </c>
      <c r="P41" t="b">
        <v>0</v>
      </c>
      <c r="Q41" t="s">
        <v>2424</v>
      </c>
    </row>
    <row r="42" spans="1:17" x14ac:dyDescent="0.35">
      <c r="A42" t="s">
        <v>1071</v>
      </c>
      <c r="B42" t="s">
        <v>1045</v>
      </c>
      <c r="C42" t="s">
        <v>2424</v>
      </c>
      <c r="D42" t="s">
        <v>50</v>
      </c>
      <c r="E42">
        <v>1</v>
      </c>
      <c r="F42">
        <v>1</v>
      </c>
      <c r="G42">
        <v>5</v>
      </c>
      <c r="H42">
        <v>1</v>
      </c>
      <c r="I42" t="s">
        <v>548</v>
      </c>
      <c r="J42" t="s">
        <v>748</v>
      </c>
      <c r="K42" t="s">
        <v>1465</v>
      </c>
      <c r="L42" s="1" t="str">
        <f>HYPERLINK("https://ovidsp.ovid.com/ovidweb.cgi?T=JS&amp;NEWS=n&amp;CSC=Y&amp;PAGE=toc&amp;D=yrovft&amp;AN=01517119-000000000-00000","https://ovidsp.ovid.com/ovidweb.cgi?T=JS&amp;NEWS=n&amp;CSC=Y&amp;PAGE=toc&amp;D=yrovft&amp;AN=01517119-000000000-00000")</f>
        <v>https://ovidsp.ovid.com/ovidweb.cgi?T=JS&amp;NEWS=n&amp;CSC=Y&amp;PAGE=toc&amp;D=yrovft&amp;AN=01517119-000000000-00000</v>
      </c>
      <c r="M42" t="s">
        <v>1290</v>
      </c>
      <c r="N42" t="s">
        <v>2424</v>
      </c>
      <c r="O42" t="s">
        <v>1349</v>
      </c>
      <c r="P42" t="b">
        <v>0</v>
      </c>
      <c r="Q42" t="s">
        <v>2424</v>
      </c>
    </row>
    <row r="43" spans="1:17" x14ac:dyDescent="0.35">
      <c r="A43" t="s">
        <v>2942</v>
      </c>
      <c r="B43" t="s">
        <v>2899</v>
      </c>
      <c r="C43" t="s">
        <v>2424</v>
      </c>
      <c r="D43" t="s">
        <v>2855</v>
      </c>
      <c r="E43">
        <v>11</v>
      </c>
      <c r="F43">
        <v>1</v>
      </c>
      <c r="G43">
        <v>32</v>
      </c>
      <c r="H43">
        <v>2</v>
      </c>
      <c r="I43" t="s">
        <v>3672</v>
      </c>
      <c r="J43" t="s">
        <v>839</v>
      </c>
      <c r="K43" t="s">
        <v>2017</v>
      </c>
      <c r="L43" s="1" t="str">
        <f>HYPERLINK("https://ovidsp.ovid.com/ovidweb.cgi?T=JS&amp;NEWS=n&amp;CSC=Y&amp;PAGE=toc&amp;D=yrovft&amp;AN=00060993-000000000-00000","https://ovidsp.ovid.com/ovidweb.cgi?T=JS&amp;NEWS=n&amp;CSC=Y&amp;PAGE=toc&amp;D=yrovft&amp;AN=00060993-000000000-00000")</f>
        <v>https://ovidsp.ovid.com/ovidweb.cgi?T=JS&amp;NEWS=n&amp;CSC=Y&amp;PAGE=toc&amp;D=yrovft&amp;AN=00060993-000000000-00000</v>
      </c>
      <c r="M43" t="s">
        <v>3653</v>
      </c>
      <c r="N43" t="s">
        <v>2424</v>
      </c>
      <c r="O43" t="s">
        <v>2259</v>
      </c>
      <c r="P43" t="b">
        <v>1</v>
      </c>
      <c r="Q43" t="s">
        <v>2795</v>
      </c>
    </row>
    <row r="44" spans="1:17" x14ac:dyDescent="0.35">
      <c r="A44" t="s">
        <v>2208</v>
      </c>
      <c r="B44" t="s">
        <v>2558</v>
      </c>
      <c r="C44" t="s">
        <v>2424</v>
      </c>
      <c r="D44" t="s">
        <v>3649</v>
      </c>
      <c r="E44">
        <v>1</v>
      </c>
      <c r="F44">
        <v>1</v>
      </c>
      <c r="G44">
        <v>12</v>
      </c>
      <c r="H44">
        <v>3</v>
      </c>
      <c r="I44" t="s">
        <v>485</v>
      </c>
      <c r="J44" t="s">
        <v>584</v>
      </c>
      <c r="K44" t="s">
        <v>983</v>
      </c>
      <c r="L44" s="1" t="str">
        <f>HYPERLINK("https://ovidsp.ovid.com/ovidweb.cgi?T=JS&amp;NEWS=n&amp;CSC=Y&amp;PAGE=toc&amp;D=yrovft&amp;AN=02003427-000000000-00000","https://ovidsp.ovid.com/ovidweb.cgi?T=JS&amp;NEWS=n&amp;CSC=Y&amp;PAGE=toc&amp;D=yrovft&amp;AN=02003427-000000000-00000")</f>
        <v>https://ovidsp.ovid.com/ovidweb.cgi?T=JS&amp;NEWS=n&amp;CSC=Y&amp;PAGE=toc&amp;D=yrovft&amp;AN=02003427-000000000-00000</v>
      </c>
      <c r="M44" t="s">
        <v>2867</v>
      </c>
      <c r="N44" t="s">
        <v>2424</v>
      </c>
      <c r="O44" t="s">
        <v>1587</v>
      </c>
      <c r="P44" t="b">
        <v>1</v>
      </c>
      <c r="Q44" t="s">
        <v>389</v>
      </c>
    </row>
    <row r="45" spans="1:17" x14ac:dyDescent="0.35">
      <c r="A45" t="s">
        <v>815</v>
      </c>
      <c r="B45" t="s">
        <v>2462</v>
      </c>
      <c r="C45" t="s">
        <v>2424</v>
      </c>
      <c r="D45" t="s">
        <v>3649</v>
      </c>
      <c r="E45">
        <v>1</v>
      </c>
      <c r="F45">
        <v>1</v>
      </c>
      <c r="G45">
        <v>21</v>
      </c>
      <c r="H45">
        <v>4</v>
      </c>
      <c r="I45" t="s">
        <v>903</v>
      </c>
      <c r="J45" t="s">
        <v>2209</v>
      </c>
      <c r="K45" t="s">
        <v>2017</v>
      </c>
      <c r="L45" s="1" t="str">
        <f>HYPERLINK("https://ovidsp.ovid.com/ovidweb.cgi?T=JS&amp;NEWS=n&amp;CSC=Y&amp;PAGE=toc&amp;D=yrovft&amp;AN=00134380-000000000-00000","https://ovidsp.ovid.com/ovidweb.cgi?T=JS&amp;NEWS=n&amp;CSC=Y&amp;PAGE=toc&amp;D=yrovft&amp;AN=00134380-000000000-00000")</f>
        <v>https://ovidsp.ovid.com/ovidweb.cgi?T=JS&amp;NEWS=n&amp;CSC=Y&amp;PAGE=toc&amp;D=yrovft&amp;AN=00134380-000000000-00000</v>
      </c>
      <c r="M45" t="s">
        <v>1017</v>
      </c>
      <c r="N45" t="s">
        <v>2424</v>
      </c>
      <c r="O45" t="s">
        <v>34</v>
      </c>
      <c r="P45" t="b">
        <v>1</v>
      </c>
      <c r="Q45" t="s">
        <v>1836</v>
      </c>
    </row>
    <row r="46" spans="1:17" x14ac:dyDescent="0.35">
      <c r="A46" t="s">
        <v>2185</v>
      </c>
      <c r="B46" t="s">
        <v>1240</v>
      </c>
      <c r="C46" t="s">
        <v>2424</v>
      </c>
      <c r="D46" t="s">
        <v>1323</v>
      </c>
      <c r="E46">
        <v>1</v>
      </c>
      <c r="F46">
        <v>1</v>
      </c>
      <c r="G46">
        <v>11</v>
      </c>
      <c r="H46">
        <v>0</v>
      </c>
      <c r="I46" t="s">
        <v>2011</v>
      </c>
      <c r="J46" t="s">
        <v>3568</v>
      </c>
      <c r="K46" t="s">
        <v>2238</v>
      </c>
      <c r="L46" s="1" t="str">
        <f>HYPERLINK("https://ovidsp.ovid.com/ovidweb.cgi?T=JS&amp;NEWS=n&amp;CSC=Y&amp;PAGE=toc&amp;D=yrovft&amp;AN=01651676-000000000-00000","https://ovidsp.ovid.com/ovidweb.cgi?T=JS&amp;NEWS=n&amp;CSC=Y&amp;PAGE=toc&amp;D=yrovft&amp;AN=01651676-000000000-00000")</f>
        <v>https://ovidsp.ovid.com/ovidweb.cgi?T=JS&amp;NEWS=n&amp;CSC=Y&amp;PAGE=toc&amp;D=yrovft&amp;AN=01651676-000000000-00000</v>
      </c>
      <c r="M46" t="s">
        <v>3130</v>
      </c>
      <c r="N46" t="s">
        <v>2424</v>
      </c>
      <c r="O46" t="s">
        <v>2233</v>
      </c>
      <c r="P46" t="b">
        <v>0</v>
      </c>
      <c r="Q46" t="s">
        <v>2424</v>
      </c>
    </row>
    <row r="47" spans="1:17" x14ac:dyDescent="0.35">
      <c r="A47" t="s">
        <v>1754</v>
      </c>
      <c r="B47" t="s">
        <v>3686</v>
      </c>
      <c r="C47" t="s">
        <v>2424</v>
      </c>
      <c r="D47" t="s">
        <v>50</v>
      </c>
      <c r="E47">
        <v>1</v>
      </c>
      <c r="F47" t="s">
        <v>82</v>
      </c>
      <c r="G47">
        <v>7</v>
      </c>
      <c r="H47">
        <v>2</v>
      </c>
      <c r="I47" t="s">
        <v>3801</v>
      </c>
      <c r="J47" t="s">
        <v>424</v>
      </c>
      <c r="K47" t="s">
        <v>3183</v>
      </c>
      <c r="L47" s="1" t="str">
        <f>HYPERLINK("https://ovidsp.ovid.com/ovidweb.cgi?T=JS&amp;NEWS=n&amp;CSC=Y&amp;PAGE=toc&amp;D=yrovft&amp;AN=01960907-000000000-00000","https://ovidsp.ovid.com/ovidweb.cgi?T=JS&amp;NEWS=n&amp;CSC=Y&amp;PAGE=toc&amp;D=yrovft&amp;AN=01960907-000000000-00000")</f>
        <v>https://ovidsp.ovid.com/ovidweb.cgi?T=JS&amp;NEWS=n&amp;CSC=Y&amp;PAGE=toc&amp;D=yrovft&amp;AN=01960907-000000000-00000</v>
      </c>
      <c r="M47" t="s">
        <v>2095</v>
      </c>
      <c r="N47" t="s">
        <v>2424</v>
      </c>
      <c r="O47" t="s">
        <v>974</v>
      </c>
      <c r="P47" t="b">
        <v>0</v>
      </c>
      <c r="Q47" t="s">
        <v>2424</v>
      </c>
    </row>
    <row r="48" spans="1:17" x14ac:dyDescent="0.35">
      <c r="A48" t="s">
        <v>1716</v>
      </c>
      <c r="B48" t="s">
        <v>103</v>
      </c>
      <c r="C48" t="s">
        <v>2424</v>
      </c>
      <c r="D48" t="s">
        <v>3649</v>
      </c>
      <c r="E48">
        <v>4</v>
      </c>
      <c r="F48">
        <v>1</v>
      </c>
      <c r="G48">
        <v>25</v>
      </c>
      <c r="H48">
        <v>2</v>
      </c>
      <c r="I48" t="s">
        <v>3672</v>
      </c>
      <c r="J48" t="s">
        <v>839</v>
      </c>
      <c r="K48" t="s">
        <v>2017</v>
      </c>
      <c r="L48" s="1" t="str">
        <f>HYPERLINK("https://ovidsp.ovid.com/ovidweb.cgi?T=JS&amp;NEWS=n&amp;CSC=Y&amp;PAGE=toc&amp;D=yrovft&amp;AN=00126350-000000000-00000","https://ovidsp.ovid.com/ovidweb.cgi?T=JS&amp;NEWS=n&amp;CSC=Y&amp;PAGE=toc&amp;D=yrovft&amp;AN=00126350-000000000-00000")</f>
        <v>https://ovidsp.ovid.com/ovidweb.cgi?T=JS&amp;NEWS=n&amp;CSC=Y&amp;PAGE=toc&amp;D=yrovft&amp;AN=00126350-000000000-00000</v>
      </c>
      <c r="M48" t="s">
        <v>3336</v>
      </c>
      <c r="N48" t="s">
        <v>2424</v>
      </c>
      <c r="O48" t="s">
        <v>2211</v>
      </c>
      <c r="P48" t="b">
        <v>1</v>
      </c>
      <c r="Q48" t="s">
        <v>417</v>
      </c>
    </row>
    <row r="49" spans="1:17" x14ac:dyDescent="0.35">
      <c r="A49" t="s">
        <v>1193</v>
      </c>
      <c r="B49" t="s">
        <v>797</v>
      </c>
      <c r="C49" t="s">
        <v>2424</v>
      </c>
      <c r="D49" t="s">
        <v>50</v>
      </c>
      <c r="E49">
        <v>1</v>
      </c>
      <c r="F49">
        <v>1</v>
      </c>
      <c r="G49">
        <v>8</v>
      </c>
      <c r="H49">
        <v>4</v>
      </c>
      <c r="I49" t="s">
        <v>1043</v>
      </c>
      <c r="J49" t="s">
        <v>2668</v>
      </c>
      <c r="K49" t="s">
        <v>1849</v>
      </c>
      <c r="L49" s="1" t="str">
        <f>HYPERLINK("https://ovidsp.ovid.com/ovidweb.cgi?T=JS&amp;NEWS=n&amp;CSC=Y&amp;PAGE=toc&amp;D=yrovft&amp;AN=01271221-000000000-00000","https://ovidsp.ovid.com/ovidweb.cgi?T=JS&amp;NEWS=n&amp;CSC=Y&amp;PAGE=toc&amp;D=yrovft&amp;AN=01271221-000000000-00000")</f>
        <v>https://ovidsp.ovid.com/ovidweb.cgi?T=JS&amp;NEWS=n&amp;CSC=Y&amp;PAGE=toc&amp;D=yrovft&amp;AN=01271221-000000000-00000</v>
      </c>
      <c r="M49" t="s">
        <v>2379</v>
      </c>
      <c r="N49" t="s">
        <v>2424</v>
      </c>
      <c r="O49" t="s">
        <v>2877</v>
      </c>
      <c r="P49" t="b">
        <v>0</v>
      </c>
      <c r="Q49" t="s">
        <v>2424</v>
      </c>
    </row>
    <row r="50" spans="1:17" x14ac:dyDescent="0.35">
      <c r="A50" t="s">
        <v>3554</v>
      </c>
      <c r="B50" t="s">
        <v>2816</v>
      </c>
      <c r="C50" t="s">
        <v>2424</v>
      </c>
      <c r="D50" t="s">
        <v>50</v>
      </c>
      <c r="E50">
        <v>1</v>
      </c>
      <c r="F50">
        <v>1</v>
      </c>
      <c r="G50">
        <v>6</v>
      </c>
      <c r="H50">
        <v>6</v>
      </c>
      <c r="I50" t="s">
        <v>873</v>
      </c>
      <c r="J50" t="s">
        <v>2286</v>
      </c>
      <c r="K50" t="s">
        <v>2335</v>
      </c>
      <c r="L50" s="1" t="str">
        <f>HYPERLINK("https://ovidsp.ovid.com/ovidweb.cgi?T=JS&amp;NEWS=n&amp;CSC=Y&amp;PAGE=toc&amp;D=yrovft&amp;AN=02014419-000000000-00000","https://ovidsp.ovid.com/ovidweb.cgi?T=JS&amp;NEWS=n&amp;CSC=Y&amp;PAGE=toc&amp;D=yrovft&amp;AN=02014419-000000000-00000")</f>
        <v>https://ovidsp.ovid.com/ovidweb.cgi?T=JS&amp;NEWS=n&amp;CSC=Y&amp;PAGE=toc&amp;D=yrovft&amp;AN=02014419-000000000-00000</v>
      </c>
      <c r="M50" t="s">
        <v>1760</v>
      </c>
      <c r="N50" t="s">
        <v>2424</v>
      </c>
      <c r="O50" t="s">
        <v>1643</v>
      </c>
      <c r="P50" t="b">
        <v>0</v>
      </c>
      <c r="Q50" t="s">
        <v>2424</v>
      </c>
    </row>
    <row r="51" spans="1:17" x14ac:dyDescent="0.35">
      <c r="A51" t="s">
        <v>2544</v>
      </c>
      <c r="B51" t="s">
        <v>1283</v>
      </c>
      <c r="C51" t="s">
        <v>2424</v>
      </c>
      <c r="D51" t="s">
        <v>2415</v>
      </c>
      <c r="E51">
        <v>1</v>
      </c>
      <c r="F51">
        <v>1</v>
      </c>
      <c r="G51">
        <v>6</v>
      </c>
      <c r="H51">
        <v>2</v>
      </c>
      <c r="I51" t="s">
        <v>33</v>
      </c>
      <c r="J51" t="s">
        <v>130</v>
      </c>
      <c r="K51" t="s">
        <v>2842</v>
      </c>
      <c r="L51" s="1" t="str">
        <f>HYPERLINK("https://ovidsp.ovid.com/ovidweb.cgi?T=JS&amp;NEWS=n&amp;CSC=Y&amp;PAGE=toc&amp;D=yrovft&amp;AN=02233721-000000000-00000","https://ovidsp.ovid.com/ovidweb.cgi?T=JS&amp;NEWS=n&amp;CSC=Y&amp;PAGE=toc&amp;D=yrovft&amp;AN=02233721-000000000-00000")</f>
        <v>https://ovidsp.ovid.com/ovidweb.cgi?T=JS&amp;NEWS=n&amp;CSC=Y&amp;PAGE=toc&amp;D=yrovft&amp;AN=02233721-000000000-00000</v>
      </c>
      <c r="M51" t="s">
        <v>955</v>
      </c>
      <c r="N51" t="s">
        <v>2424</v>
      </c>
      <c r="O51" t="s">
        <v>3199</v>
      </c>
      <c r="P51" t="b">
        <v>0</v>
      </c>
      <c r="Q51" t="s">
        <v>2424</v>
      </c>
    </row>
    <row r="52" spans="1:17" x14ac:dyDescent="0.35">
      <c r="A52" t="s">
        <v>3642</v>
      </c>
      <c r="B52" t="s">
        <v>198</v>
      </c>
      <c r="C52" t="s">
        <v>2424</v>
      </c>
      <c r="D52" t="s">
        <v>1323</v>
      </c>
      <c r="E52">
        <v>3</v>
      </c>
      <c r="F52">
        <v>1</v>
      </c>
      <c r="G52">
        <v>40</v>
      </c>
      <c r="H52">
        <v>12</v>
      </c>
      <c r="I52" t="s">
        <v>659</v>
      </c>
      <c r="J52" t="s">
        <v>630</v>
      </c>
      <c r="K52" t="s">
        <v>1154</v>
      </c>
      <c r="L52" s="1" t="str">
        <f>HYPERLINK("https://ovidsp.ovid.com/ovidweb.cgi?T=JS&amp;NEWS=n&amp;CSC=Y&amp;PAGE=toc&amp;D=yrovft&amp;AN=00002188-000000000-00000","https://ovidsp.ovid.com/ovidweb.cgi?T=JS&amp;NEWS=n&amp;CSC=Y&amp;PAGE=toc&amp;D=yrovft&amp;AN=00002188-000000000-00000")</f>
        <v>https://ovidsp.ovid.com/ovidweb.cgi?T=JS&amp;NEWS=n&amp;CSC=Y&amp;PAGE=toc&amp;D=yrovft&amp;AN=00002188-000000000-00000</v>
      </c>
      <c r="M52" t="s">
        <v>2076</v>
      </c>
      <c r="N52" t="s">
        <v>2424</v>
      </c>
      <c r="O52" t="s">
        <v>1251</v>
      </c>
      <c r="P52" t="b">
        <v>0</v>
      </c>
      <c r="Q52" t="s">
        <v>2424</v>
      </c>
    </row>
    <row r="53" spans="1:17" x14ac:dyDescent="0.35">
      <c r="A53" t="s">
        <v>2796</v>
      </c>
      <c r="B53" t="s">
        <v>1187</v>
      </c>
      <c r="C53" t="s">
        <v>2424</v>
      </c>
      <c r="D53" t="s">
        <v>3649</v>
      </c>
      <c r="E53">
        <v>1</v>
      </c>
      <c r="F53">
        <v>1</v>
      </c>
      <c r="G53">
        <v>43</v>
      </c>
      <c r="H53">
        <v>7</v>
      </c>
      <c r="I53" t="s">
        <v>3326</v>
      </c>
      <c r="J53" t="s">
        <v>1541</v>
      </c>
      <c r="K53" t="s">
        <v>459</v>
      </c>
      <c r="L53" s="1" t="str">
        <f>HYPERLINK("https://ovidsp.ovid.com/ovidweb.cgi?T=JS&amp;NEWS=n&amp;CSC=Y&amp;PAGE=toc&amp;D=yrovft&amp;AN=01445432-000000000-00000","https://ovidsp.ovid.com/ovidweb.cgi?T=JS&amp;NEWS=n&amp;CSC=Y&amp;PAGE=toc&amp;D=yrovft&amp;AN=01445432-000000000-00000")</f>
        <v>https://ovidsp.ovid.com/ovidweb.cgi?T=JS&amp;NEWS=n&amp;CSC=Y&amp;PAGE=toc&amp;D=yrovft&amp;AN=01445432-000000000-00000</v>
      </c>
      <c r="M53" t="s">
        <v>3207</v>
      </c>
      <c r="N53" t="s">
        <v>2424</v>
      </c>
      <c r="O53" t="s">
        <v>369</v>
      </c>
      <c r="P53" t="b">
        <v>1</v>
      </c>
      <c r="Q53" t="s">
        <v>1051</v>
      </c>
    </row>
    <row r="54" spans="1:17" x14ac:dyDescent="0.35">
      <c r="A54" t="s">
        <v>3618</v>
      </c>
      <c r="B54" t="s">
        <v>11</v>
      </c>
      <c r="C54" t="s">
        <v>2424</v>
      </c>
      <c r="D54" t="s">
        <v>50</v>
      </c>
      <c r="E54">
        <v>1</v>
      </c>
      <c r="F54">
        <v>1</v>
      </c>
      <c r="G54">
        <v>7</v>
      </c>
      <c r="H54">
        <v>2</v>
      </c>
      <c r="I54" t="s">
        <v>2281</v>
      </c>
      <c r="J54" t="s">
        <v>2579</v>
      </c>
      <c r="K54" t="s">
        <v>2428</v>
      </c>
      <c r="L54" s="1" t="str">
        <f>HYPERLINK("https://ovidsp.ovid.com/ovidweb.cgi?T=JS&amp;NEWS=n&amp;CSC=Y&amp;PAGE=toc&amp;D=yrovft&amp;AN=02102031-000000000-00000","https://ovidsp.ovid.com/ovidweb.cgi?T=JS&amp;NEWS=n&amp;CSC=Y&amp;PAGE=toc&amp;D=yrovft&amp;AN=02102031-000000000-00000")</f>
        <v>https://ovidsp.ovid.com/ovidweb.cgi?T=JS&amp;NEWS=n&amp;CSC=Y&amp;PAGE=toc&amp;D=yrovft&amp;AN=02102031-000000000-00000</v>
      </c>
      <c r="M54" t="s">
        <v>1616</v>
      </c>
      <c r="N54" t="s">
        <v>2424</v>
      </c>
      <c r="O54" t="s">
        <v>3633</v>
      </c>
      <c r="P54" t="b">
        <v>0</v>
      </c>
      <c r="Q54" t="s">
        <v>2424</v>
      </c>
    </row>
    <row r="55" spans="1:17" x14ac:dyDescent="0.35">
      <c r="A55" t="s">
        <v>689</v>
      </c>
      <c r="B55" t="s">
        <v>2424</v>
      </c>
      <c r="C55" t="s">
        <v>2424</v>
      </c>
      <c r="D55" t="s">
        <v>3649</v>
      </c>
      <c r="E55">
        <v>2</v>
      </c>
      <c r="F55">
        <v>2</v>
      </c>
      <c r="G55">
        <v>5</v>
      </c>
      <c r="H55">
        <v>2</v>
      </c>
      <c r="I55" t="s">
        <v>1766</v>
      </c>
      <c r="J55" t="s">
        <v>871</v>
      </c>
      <c r="K55" t="s">
        <v>983</v>
      </c>
      <c r="L55" s="1" t="str">
        <f>HYPERLINK("https://ovidsp.ovid.com/ovidweb.cgi?T=JS&amp;NEWS=n&amp;CSC=Y&amp;PAGE=toc&amp;D=yrovft&amp;AN=02112943-000000000-00000","https://ovidsp.ovid.com/ovidweb.cgi?T=JS&amp;NEWS=n&amp;CSC=Y&amp;PAGE=toc&amp;D=yrovft&amp;AN=02112943-000000000-00000")</f>
        <v>https://ovidsp.ovid.com/ovidweb.cgi?T=JS&amp;NEWS=n&amp;CSC=Y&amp;PAGE=toc&amp;D=yrovft&amp;AN=02112943-000000000-00000</v>
      </c>
      <c r="M55" t="s">
        <v>1868</v>
      </c>
      <c r="N55" t="s">
        <v>2424</v>
      </c>
      <c r="O55" t="s">
        <v>0</v>
      </c>
      <c r="P55" t="b">
        <v>0</v>
      </c>
      <c r="Q55" t="s">
        <v>2424</v>
      </c>
    </row>
    <row r="56" spans="1:17" x14ac:dyDescent="0.35">
      <c r="A56" t="s">
        <v>2643</v>
      </c>
      <c r="B56" t="s">
        <v>2405</v>
      </c>
      <c r="C56" t="s">
        <v>2424</v>
      </c>
      <c r="D56" t="s">
        <v>50</v>
      </c>
      <c r="E56">
        <v>1</v>
      </c>
      <c r="F56">
        <v>1</v>
      </c>
      <c r="G56">
        <v>2</v>
      </c>
      <c r="H56">
        <v>2</v>
      </c>
      <c r="I56" t="s">
        <v>3477</v>
      </c>
      <c r="J56" t="s">
        <v>1997</v>
      </c>
      <c r="K56" t="s">
        <v>3083</v>
      </c>
      <c r="L56" s="1" t="str">
        <f>HYPERLINK("https://ovidsp.ovid.com/ovidweb.cgi?T=JS&amp;NEWS=n&amp;CSC=Y&amp;PAGE=toc&amp;D=yrovft&amp;AN=02211172-000000000-00000","https://ovidsp.ovid.com/ovidweb.cgi?T=JS&amp;NEWS=n&amp;CSC=Y&amp;PAGE=toc&amp;D=yrovft&amp;AN=02211172-000000000-00000")</f>
        <v>https://ovidsp.ovid.com/ovidweb.cgi?T=JS&amp;NEWS=n&amp;CSC=Y&amp;PAGE=toc&amp;D=yrovft&amp;AN=02211172-000000000-00000</v>
      </c>
      <c r="M56" t="s">
        <v>3271</v>
      </c>
      <c r="N56" t="s">
        <v>2424</v>
      </c>
      <c r="O56" t="s">
        <v>3421</v>
      </c>
      <c r="P56" t="b">
        <v>1</v>
      </c>
      <c r="Q56" t="s">
        <v>2112</v>
      </c>
    </row>
    <row r="57" spans="1:17" x14ac:dyDescent="0.35">
      <c r="A57" t="s">
        <v>2604</v>
      </c>
      <c r="B57" t="s">
        <v>1094</v>
      </c>
      <c r="C57" t="s">
        <v>2424</v>
      </c>
      <c r="D57" t="s">
        <v>50</v>
      </c>
      <c r="E57">
        <v>1</v>
      </c>
      <c r="F57">
        <v>1</v>
      </c>
      <c r="G57">
        <v>4</v>
      </c>
      <c r="H57">
        <v>1</v>
      </c>
      <c r="I57" t="s">
        <v>1318</v>
      </c>
      <c r="J57" t="s">
        <v>3154</v>
      </c>
      <c r="K57" t="s">
        <v>983</v>
      </c>
      <c r="L57" s="1" t="str">
        <f>HYPERLINK("https://ovidsp.ovid.com/ovidweb.cgi?T=JS&amp;NEWS=n&amp;CSC=Y&amp;PAGE=toc&amp;D=yrovft&amp;AN=02123149-000000000-00000","https://ovidsp.ovid.com/ovidweb.cgi?T=JS&amp;NEWS=n&amp;CSC=Y&amp;PAGE=toc&amp;D=yrovft&amp;AN=02123149-000000000-00000")</f>
        <v>https://ovidsp.ovid.com/ovidweb.cgi?T=JS&amp;NEWS=n&amp;CSC=Y&amp;PAGE=toc&amp;D=yrovft&amp;AN=02123149-000000000-00000</v>
      </c>
      <c r="M57" t="s">
        <v>1549</v>
      </c>
      <c r="N57" t="s">
        <v>2424</v>
      </c>
      <c r="O57" t="s">
        <v>2911</v>
      </c>
      <c r="P57" t="b">
        <v>1</v>
      </c>
      <c r="Q57" t="s">
        <v>930</v>
      </c>
    </row>
    <row r="58" spans="1:17" x14ac:dyDescent="0.35">
      <c r="A58" t="s">
        <v>1956</v>
      </c>
      <c r="B58" t="s">
        <v>1232</v>
      </c>
      <c r="C58" t="s">
        <v>2424</v>
      </c>
      <c r="D58" t="s">
        <v>50</v>
      </c>
      <c r="E58">
        <v>2</v>
      </c>
      <c r="F58">
        <v>1</v>
      </c>
      <c r="G58">
        <v>5</v>
      </c>
      <c r="H58">
        <v>1</v>
      </c>
      <c r="I58" t="s">
        <v>1766</v>
      </c>
      <c r="J58" t="s">
        <v>871</v>
      </c>
      <c r="K58" t="s">
        <v>983</v>
      </c>
      <c r="L58" s="1" t="str">
        <f>HYPERLINK("https://ovidsp.ovid.com/ovidweb.cgi?T=JS&amp;NEWS=n&amp;CSC=Y&amp;PAGE=toc&amp;D=yrovft&amp;AN=02123148-000000000-00000","https://ovidsp.ovid.com/ovidweb.cgi?T=JS&amp;NEWS=n&amp;CSC=Y&amp;PAGE=toc&amp;D=yrovft&amp;AN=02123148-000000000-00000")</f>
        <v>https://ovidsp.ovid.com/ovidweb.cgi?T=JS&amp;NEWS=n&amp;CSC=Y&amp;PAGE=toc&amp;D=yrovft&amp;AN=02123148-000000000-00000</v>
      </c>
      <c r="M58" t="s">
        <v>2848</v>
      </c>
      <c r="N58" t="s">
        <v>2424</v>
      </c>
      <c r="O58" t="s">
        <v>3766</v>
      </c>
      <c r="P58" t="b">
        <v>1</v>
      </c>
      <c r="Q58" t="s">
        <v>1457</v>
      </c>
    </row>
    <row r="59" spans="1:17" x14ac:dyDescent="0.35">
      <c r="A59" t="s">
        <v>2805</v>
      </c>
      <c r="B59" t="s">
        <v>303</v>
      </c>
      <c r="C59" t="s">
        <v>2424</v>
      </c>
      <c r="D59" t="s">
        <v>3649</v>
      </c>
      <c r="E59">
        <v>12</v>
      </c>
      <c r="F59">
        <v>1</v>
      </c>
      <c r="G59">
        <v>31</v>
      </c>
      <c r="H59">
        <v>1</v>
      </c>
      <c r="I59" t="s">
        <v>2324</v>
      </c>
      <c r="J59" t="s">
        <v>1145</v>
      </c>
      <c r="K59" t="s">
        <v>983</v>
      </c>
      <c r="L59" s="1" t="str">
        <f>HYPERLINK("https://ovidsp.ovid.com/ovidweb.cgi?T=JS&amp;NEWS=n&amp;CSC=Y&amp;PAGE=toc&amp;D=yrovft&amp;AN=00019441-000000000-00000","https://ovidsp.ovid.com/ovidweb.cgi?T=JS&amp;NEWS=n&amp;CSC=Y&amp;PAGE=toc&amp;D=yrovft&amp;AN=00019441-000000000-00000")</f>
        <v>https://ovidsp.ovid.com/ovidweb.cgi?T=JS&amp;NEWS=n&amp;CSC=Y&amp;PAGE=toc&amp;D=yrovft&amp;AN=00019441-000000000-00000</v>
      </c>
      <c r="M59" t="s">
        <v>3485</v>
      </c>
      <c r="N59" t="s">
        <v>2424</v>
      </c>
      <c r="O59" t="s">
        <v>3156</v>
      </c>
      <c r="P59" t="b">
        <v>1</v>
      </c>
      <c r="Q59" t="s">
        <v>2019</v>
      </c>
    </row>
    <row r="60" spans="1:17" x14ac:dyDescent="0.35">
      <c r="A60" t="s">
        <v>1373</v>
      </c>
      <c r="B60" t="s">
        <v>1627</v>
      </c>
      <c r="C60" t="s">
        <v>2424</v>
      </c>
      <c r="D60" t="s">
        <v>50</v>
      </c>
      <c r="E60">
        <v>1</v>
      </c>
      <c r="F60">
        <v>1</v>
      </c>
      <c r="G60">
        <v>5</v>
      </c>
      <c r="H60">
        <v>3</v>
      </c>
      <c r="I60" t="s">
        <v>2960</v>
      </c>
      <c r="J60" t="s">
        <v>3308</v>
      </c>
      <c r="K60" t="s">
        <v>2767</v>
      </c>
      <c r="L60" s="1" t="str">
        <f>HYPERLINK("https://ovidsp.ovid.com/ovidweb.cgi?T=JS&amp;NEWS=n&amp;CSC=Y&amp;PAGE=toc&amp;D=yrovft&amp;AN=02054256-000000000-00000","https://ovidsp.ovid.com/ovidweb.cgi?T=JS&amp;NEWS=n&amp;CSC=Y&amp;PAGE=toc&amp;D=yrovft&amp;AN=02054256-000000000-00000")</f>
        <v>https://ovidsp.ovid.com/ovidweb.cgi?T=JS&amp;NEWS=n&amp;CSC=Y&amp;PAGE=toc&amp;D=yrovft&amp;AN=02054256-000000000-00000</v>
      </c>
      <c r="M60" t="s">
        <v>331</v>
      </c>
      <c r="N60" t="s">
        <v>2424</v>
      </c>
      <c r="O60" t="s">
        <v>2522</v>
      </c>
      <c r="P60" t="b">
        <v>0</v>
      </c>
      <c r="Q60" t="s">
        <v>2424</v>
      </c>
    </row>
    <row r="61" spans="1:17" x14ac:dyDescent="0.35">
      <c r="A61" t="s">
        <v>2559</v>
      </c>
      <c r="B61" t="s">
        <v>863</v>
      </c>
      <c r="C61" t="s">
        <v>2424</v>
      </c>
      <c r="D61" t="s">
        <v>50</v>
      </c>
      <c r="E61">
        <v>7</v>
      </c>
      <c r="F61">
        <v>4</v>
      </c>
      <c r="G61">
        <v>8</v>
      </c>
      <c r="H61">
        <v>2</v>
      </c>
      <c r="I61" t="s">
        <v>3465</v>
      </c>
      <c r="J61" t="s">
        <v>1604</v>
      </c>
      <c r="K61" t="s">
        <v>2335</v>
      </c>
      <c r="L61" s="1" t="str">
        <f>HYPERLINK("https://ovidsp.ovid.com/ovidweb.cgi?T=JS&amp;NEWS=n&amp;CSC=Y&amp;PAGE=toc&amp;D=yrovft&amp;AN=02014405-000000000-00000","https://ovidsp.ovid.com/ovidweb.cgi?T=JS&amp;NEWS=n&amp;CSC=Y&amp;PAGE=toc&amp;D=yrovft&amp;AN=02014405-000000000-00000")</f>
        <v>https://ovidsp.ovid.com/ovidweb.cgi?T=JS&amp;NEWS=n&amp;CSC=Y&amp;PAGE=toc&amp;D=yrovft&amp;AN=02014405-000000000-00000</v>
      </c>
      <c r="M61" t="s">
        <v>2136</v>
      </c>
      <c r="N61" t="s">
        <v>2424</v>
      </c>
      <c r="O61" t="s">
        <v>2891</v>
      </c>
      <c r="P61" t="b">
        <v>0</v>
      </c>
      <c r="Q61" t="s">
        <v>2424</v>
      </c>
    </row>
    <row r="62" spans="1:17" x14ac:dyDescent="0.35">
      <c r="A62" t="s">
        <v>148</v>
      </c>
      <c r="B62" t="s">
        <v>1083</v>
      </c>
      <c r="C62" t="s">
        <v>2424</v>
      </c>
      <c r="D62" t="s">
        <v>3649</v>
      </c>
      <c r="E62">
        <v>1</v>
      </c>
      <c r="F62">
        <v>1</v>
      </c>
      <c r="G62">
        <v>19</v>
      </c>
      <c r="H62">
        <v>4</v>
      </c>
      <c r="I62" t="s">
        <v>3165</v>
      </c>
      <c r="J62" t="s">
        <v>2026</v>
      </c>
      <c r="K62" t="s">
        <v>459</v>
      </c>
      <c r="L62" s="1" t="str">
        <f>HYPERLINK("https://ovidsp.ovid.com/ovidweb.cgi?T=JS&amp;NEWS=n&amp;CSC=Y&amp;PAGE=toc&amp;D=yrovft&amp;AN=01238502-000000000-00000","https://ovidsp.ovid.com/ovidweb.cgi?T=JS&amp;NEWS=n&amp;CSC=Y&amp;PAGE=toc&amp;D=yrovft&amp;AN=01238502-000000000-00000")</f>
        <v>https://ovidsp.ovid.com/ovidweb.cgi?T=JS&amp;NEWS=n&amp;CSC=Y&amp;PAGE=toc&amp;D=yrovft&amp;AN=01238502-000000000-00000</v>
      </c>
      <c r="M62" t="s">
        <v>2597</v>
      </c>
      <c r="N62" t="s">
        <v>2424</v>
      </c>
      <c r="O62" t="s">
        <v>186</v>
      </c>
      <c r="P62" t="b">
        <v>1</v>
      </c>
      <c r="Q62" t="s">
        <v>2815</v>
      </c>
    </row>
    <row r="63" spans="1:17" x14ac:dyDescent="0.35">
      <c r="A63" t="s">
        <v>3411</v>
      </c>
      <c r="B63" t="s">
        <v>979</v>
      </c>
      <c r="C63" t="s">
        <v>2424</v>
      </c>
      <c r="D63" t="s">
        <v>50</v>
      </c>
      <c r="E63">
        <v>1</v>
      </c>
      <c r="F63">
        <v>1</v>
      </c>
      <c r="G63">
        <v>6</v>
      </c>
      <c r="H63">
        <v>4</v>
      </c>
      <c r="I63" t="s">
        <v>3503</v>
      </c>
      <c r="J63" t="s">
        <v>3006</v>
      </c>
      <c r="K63" t="s">
        <v>3738</v>
      </c>
      <c r="L63" s="1" t="str">
        <f>HYPERLINK("https://ovidsp.ovid.com/ovidweb.cgi?T=JS&amp;NEWS=n&amp;CSC=Y&amp;PAGE=toc&amp;D=yrovft&amp;AN=01893704-000000000-00000","https://ovidsp.ovid.com/ovidweb.cgi?T=JS&amp;NEWS=n&amp;CSC=Y&amp;PAGE=toc&amp;D=yrovft&amp;AN=01893704-000000000-00000")</f>
        <v>https://ovidsp.ovid.com/ovidweb.cgi?T=JS&amp;NEWS=n&amp;CSC=Y&amp;PAGE=toc&amp;D=yrovft&amp;AN=01893704-000000000-00000</v>
      </c>
      <c r="M63" t="s">
        <v>3079</v>
      </c>
      <c r="N63" t="s">
        <v>2424</v>
      </c>
      <c r="O63" t="s">
        <v>1054</v>
      </c>
      <c r="P63" t="b">
        <v>0</v>
      </c>
      <c r="Q63" t="s">
        <v>2424</v>
      </c>
    </row>
    <row r="64" spans="1:17" x14ac:dyDescent="0.35">
      <c r="A64" t="s">
        <v>1689</v>
      </c>
      <c r="B64" t="s">
        <v>1289</v>
      </c>
      <c r="C64" t="s">
        <v>2424</v>
      </c>
      <c r="D64" t="s">
        <v>50</v>
      </c>
      <c r="E64">
        <v>1</v>
      </c>
      <c r="F64">
        <v>1</v>
      </c>
      <c r="G64">
        <v>6</v>
      </c>
      <c r="H64">
        <v>5</v>
      </c>
      <c r="I64" t="s">
        <v>767</v>
      </c>
      <c r="J64" t="s">
        <v>130</v>
      </c>
      <c r="K64" t="s">
        <v>2529</v>
      </c>
      <c r="L64" s="1" t="str">
        <f>HYPERLINK("https://ovidsp.ovid.com/ovidweb.cgi?T=JS&amp;NEWS=n&amp;CSC=Y&amp;PAGE=toc&amp;D=yrovft&amp;AN=01979360-000000000-00000","https://ovidsp.ovid.com/ovidweb.cgi?T=JS&amp;NEWS=n&amp;CSC=Y&amp;PAGE=toc&amp;D=yrovft&amp;AN=01979360-000000000-00000")</f>
        <v>https://ovidsp.ovid.com/ovidweb.cgi?T=JS&amp;NEWS=n&amp;CSC=Y&amp;PAGE=toc&amp;D=yrovft&amp;AN=01979360-000000000-00000</v>
      </c>
      <c r="M64" t="s">
        <v>1278</v>
      </c>
      <c r="N64" t="s">
        <v>2424</v>
      </c>
      <c r="O64" t="s">
        <v>2169</v>
      </c>
      <c r="P64" t="b">
        <v>0</v>
      </c>
      <c r="Q64" t="s">
        <v>2424</v>
      </c>
    </row>
    <row r="65" spans="1:17" x14ac:dyDescent="0.35">
      <c r="A65" t="s">
        <v>1891</v>
      </c>
      <c r="B65" t="s">
        <v>2424</v>
      </c>
      <c r="C65" t="s">
        <v>2424</v>
      </c>
      <c r="D65" t="s">
        <v>2646</v>
      </c>
      <c r="E65">
        <v>2</v>
      </c>
      <c r="F65">
        <v>7</v>
      </c>
      <c r="G65">
        <v>3</v>
      </c>
      <c r="H65">
        <v>5</v>
      </c>
      <c r="I65" t="s">
        <v>2534</v>
      </c>
      <c r="J65" t="s">
        <v>963</v>
      </c>
      <c r="K65" t="s">
        <v>2529</v>
      </c>
      <c r="L65" s="1" t="str">
        <f>HYPERLINK("https://ovidsp.ovid.com/ovidweb.cgi?T=JS&amp;NEWS=n&amp;CSC=Y&amp;PAGE=toc&amp;D=yrovft&amp;AN=02238396-000000000-00000","https://ovidsp.ovid.com/ovidweb.cgi?T=JS&amp;NEWS=n&amp;CSC=Y&amp;PAGE=toc&amp;D=yrovft&amp;AN=02238396-000000000-00000")</f>
        <v>https://ovidsp.ovid.com/ovidweb.cgi?T=JS&amp;NEWS=n&amp;CSC=Y&amp;PAGE=toc&amp;D=yrovft&amp;AN=02238396-000000000-00000</v>
      </c>
      <c r="M65" t="s">
        <v>10</v>
      </c>
      <c r="N65" t="s">
        <v>2424</v>
      </c>
      <c r="O65" t="s">
        <v>2712</v>
      </c>
      <c r="P65" t="b">
        <v>0</v>
      </c>
      <c r="Q65" t="s">
        <v>2424</v>
      </c>
    </row>
    <row r="66" spans="1:17" x14ac:dyDescent="0.35">
      <c r="A66" t="s">
        <v>2539</v>
      </c>
      <c r="B66" t="s">
        <v>2424</v>
      </c>
      <c r="C66" t="s">
        <v>2424</v>
      </c>
      <c r="D66" t="s">
        <v>2646</v>
      </c>
      <c r="E66">
        <v>1</v>
      </c>
      <c r="F66">
        <v>2</v>
      </c>
      <c r="G66">
        <v>5</v>
      </c>
      <c r="H66">
        <v>5</v>
      </c>
      <c r="I66" t="s">
        <v>1536</v>
      </c>
      <c r="J66" t="s">
        <v>3409</v>
      </c>
      <c r="K66" t="s">
        <v>2529</v>
      </c>
      <c r="L66" s="1" t="str">
        <f>HYPERLINK("https://ovidsp.ovid.com/ovidweb.cgi?T=JS&amp;NEWS=n&amp;CSC=Y&amp;PAGE=toc&amp;D=yrovft&amp;AN=02093599-000000000-00000","https://ovidsp.ovid.com/ovidweb.cgi?T=JS&amp;NEWS=n&amp;CSC=Y&amp;PAGE=toc&amp;D=yrovft&amp;AN=02093599-000000000-00000")</f>
        <v>https://ovidsp.ovid.com/ovidweb.cgi?T=JS&amp;NEWS=n&amp;CSC=Y&amp;PAGE=toc&amp;D=yrovft&amp;AN=02093599-000000000-00000</v>
      </c>
      <c r="M66" t="s">
        <v>3711</v>
      </c>
      <c r="N66" t="s">
        <v>2424</v>
      </c>
      <c r="O66" t="s">
        <v>1423</v>
      </c>
      <c r="P66" t="b">
        <v>1</v>
      </c>
      <c r="Q66" t="s">
        <v>54</v>
      </c>
    </row>
    <row r="67" spans="1:17" x14ac:dyDescent="0.35">
      <c r="A67" t="s">
        <v>1748</v>
      </c>
      <c r="B67" t="s">
        <v>1631</v>
      </c>
      <c r="C67" t="s">
        <v>2424</v>
      </c>
      <c r="D67" t="s">
        <v>50</v>
      </c>
      <c r="E67">
        <v>1</v>
      </c>
      <c r="F67">
        <v>1</v>
      </c>
      <c r="G67">
        <v>7</v>
      </c>
      <c r="H67">
        <v>2</v>
      </c>
      <c r="I67" t="s">
        <v>2873</v>
      </c>
      <c r="J67" t="s">
        <v>2579</v>
      </c>
      <c r="K67" t="s">
        <v>2278</v>
      </c>
      <c r="L67" s="1" t="str">
        <f>HYPERLINK("https://ovidsp.ovid.com/ovidweb.cgi?T=JS&amp;NEWS=n&amp;CSC=Y&amp;PAGE=toc&amp;D=yrovft&amp;AN=01960901-000000000-00000","https://ovidsp.ovid.com/ovidweb.cgi?T=JS&amp;NEWS=n&amp;CSC=Y&amp;PAGE=toc&amp;D=yrovft&amp;AN=01960901-000000000-00000")</f>
        <v>https://ovidsp.ovid.com/ovidweb.cgi?T=JS&amp;NEWS=n&amp;CSC=Y&amp;PAGE=toc&amp;D=yrovft&amp;AN=01960901-000000000-00000</v>
      </c>
      <c r="M67" t="s">
        <v>1394</v>
      </c>
      <c r="N67" t="s">
        <v>2424</v>
      </c>
      <c r="O67" t="s">
        <v>817</v>
      </c>
      <c r="P67" t="b">
        <v>0</v>
      </c>
      <c r="Q67" t="s">
        <v>2424</v>
      </c>
    </row>
    <row r="68" spans="1:17" x14ac:dyDescent="0.35">
      <c r="A68" t="s">
        <v>2640</v>
      </c>
      <c r="B68" t="s">
        <v>3788</v>
      </c>
      <c r="C68" t="s">
        <v>2424</v>
      </c>
      <c r="D68" t="s">
        <v>50</v>
      </c>
      <c r="E68">
        <v>6</v>
      </c>
      <c r="F68">
        <v>0</v>
      </c>
      <c r="G68">
        <v>8</v>
      </c>
      <c r="H68">
        <v>0</v>
      </c>
      <c r="I68" t="s">
        <v>1901</v>
      </c>
      <c r="J68" t="s">
        <v>2760</v>
      </c>
      <c r="K68" t="s">
        <v>639</v>
      </c>
      <c r="L68" s="1" t="str">
        <f>HYPERLINK("https://ovidsp.ovid.com/ovidweb.cgi?T=JS&amp;NEWS=n&amp;CSC=Y&amp;PAGE=toc&amp;D=yrovft&amp;AN=02186170-000000000-00000","https://ovidsp.ovid.com/ovidweb.cgi?T=JS&amp;NEWS=n&amp;CSC=Y&amp;PAGE=toc&amp;D=yrovft&amp;AN=02186170-000000000-00000")</f>
        <v>https://ovidsp.ovid.com/ovidweb.cgi?T=JS&amp;NEWS=n&amp;CSC=Y&amp;PAGE=toc&amp;D=yrovft&amp;AN=02186170-000000000-00000</v>
      </c>
      <c r="M68" t="s">
        <v>2369</v>
      </c>
      <c r="N68" t="s">
        <v>2424</v>
      </c>
      <c r="O68" t="s">
        <v>3692</v>
      </c>
      <c r="P68" t="b">
        <v>0</v>
      </c>
      <c r="Q68" t="s">
        <v>2424</v>
      </c>
    </row>
    <row r="69" spans="1:17" x14ac:dyDescent="0.35">
      <c r="A69" t="s">
        <v>3517</v>
      </c>
      <c r="B69" t="s">
        <v>2424</v>
      </c>
      <c r="C69" t="s">
        <v>2424</v>
      </c>
      <c r="D69" t="s">
        <v>3649</v>
      </c>
      <c r="E69">
        <v>1</v>
      </c>
      <c r="F69">
        <v>1</v>
      </c>
      <c r="G69">
        <v>5</v>
      </c>
      <c r="H69">
        <v>1</v>
      </c>
      <c r="I69" t="s">
        <v>3666</v>
      </c>
      <c r="J69" t="s">
        <v>2295</v>
      </c>
      <c r="K69" t="s">
        <v>983</v>
      </c>
      <c r="L69" s="1" t="str">
        <f>HYPERLINK("https://ovidsp.ovid.com/ovidweb.cgi?T=JS&amp;NEWS=n&amp;CSC=Y&amp;PAGE=toc&amp;D=yrovft&amp;AN=02054630-000000000-00000","https://ovidsp.ovid.com/ovidweb.cgi?T=JS&amp;NEWS=n&amp;CSC=Y&amp;PAGE=toc&amp;D=yrovft&amp;AN=02054630-000000000-00000")</f>
        <v>https://ovidsp.ovid.com/ovidweb.cgi?T=JS&amp;NEWS=n&amp;CSC=Y&amp;PAGE=toc&amp;D=yrovft&amp;AN=02054630-000000000-00000</v>
      </c>
      <c r="M69" t="s">
        <v>519</v>
      </c>
      <c r="N69" t="s">
        <v>2424</v>
      </c>
      <c r="O69" t="s">
        <v>3561</v>
      </c>
      <c r="P69" t="b">
        <v>1</v>
      </c>
      <c r="Q69" t="s">
        <v>3046</v>
      </c>
    </row>
    <row r="70" spans="1:17" x14ac:dyDescent="0.35">
      <c r="A70" t="s">
        <v>3745</v>
      </c>
      <c r="B70" t="s">
        <v>1857</v>
      </c>
      <c r="C70" t="s">
        <v>2424</v>
      </c>
      <c r="D70" t="s">
        <v>3649</v>
      </c>
      <c r="E70">
        <v>1</v>
      </c>
      <c r="F70">
        <v>1</v>
      </c>
      <c r="G70">
        <v>23</v>
      </c>
      <c r="H70">
        <v>2</v>
      </c>
      <c r="I70" t="s">
        <v>1644</v>
      </c>
      <c r="J70" t="s">
        <v>382</v>
      </c>
      <c r="K70" t="s">
        <v>3567</v>
      </c>
      <c r="L70" s="1" t="str">
        <f>HYPERLINK("https://ovidsp.ovid.com/ovidweb.cgi?T=JS&amp;NEWS=n&amp;CSC=Y&amp;PAGE=toc&amp;D=yrovft&amp;AN=02003428-000000000-00000","https://ovidsp.ovid.com/ovidweb.cgi?T=JS&amp;NEWS=n&amp;CSC=Y&amp;PAGE=toc&amp;D=yrovft&amp;AN=02003428-000000000-00000")</f>
        <v>https://ovidsp.ovid.com/ovidweb.cgi?T=JS&amp;NEWS=n&amp;CSC=Y&amp;PAGE=toc&amp;D=yrovft&amp;AN=02003428-000000000-00000</v>
      </c>
      <c r="M70" t="s">
        <v>390</v>
      </c>
      <c r="N70" t="s">
        <v>2424</v>
      </c>
      <c r="O70" t="s">
        <v>2042</v>
      </c>
      <c r="P70" t="b">
        <v>1</v>
      </c>
      <c r="Q70" t="s">
        <v>2148</v>
      </c>
    </row>
    <row r="71" spans="1:17" x14ac:dyDescent="0.35">
      <c r="A71" t="s">
        <v>2192</v>
      </c>
      <c r="B71" t="s">
        <v>911</v>
      </c>
      <c r="C71" t="s">
        <v>2424</v>
      </c>
      <c r="D71" t="s">
        <v>3649</v>
      </c>
      <c r="E71">
        <v>21</v>
      </c>
      <c r="F71">
        <v>3</v>
      </c>
      <c r="G71">
        <v>38</v>
      </c>
      <c r="H71">
        <v>2</v>
      </c>
      <c r="I71" t="s">
        <v>1897</v>
      </c>
      <c r="J71" t="s">
        <v>2170</v>
      </c>
      <c r="K71" t="s">
        <v>2017</v>
      </c>
      <c r="L71" s="1" t="str">
        <f>HYPERLINK("https://ovidsp.ovid.com/ovidweb.cgi?T=JS&amp;NEWS=n&amp;CSC=Y&amp;PAGE=toc&amp;D=yrovft&amp;AN=01256879-000000000-00000","https://ovidsp.ovid.com/ovidweb.cgi?T=JS&amp;NEWS=n&amp;CSC=Y&amp;PAGE=toc&amp;D=yrovft&amp;AN=01256879-000000000-00000")</f>
        <v>https://ovidsp.ovid.com/ovidweb.cgi?T=JS&amp;NEWS=n&amp;CSC=Y&amp;PAGE=toc&amp;D=yrovft&amp;AN=01256879-000000000-00000</v>
      </c>
      <c r="M71" t="s">
        <v>104</v>
      </c>
      <c r="N71" t="s">
        <v>2424</v>
      </c>
      <c r="O71" t="s">
        <v>3015</v>
      </c>
      <c r="P71" t="b">
        <v>0</v>
      </c>
      <c r="Q71" t="s">
        <v>2424</v>
      </c>
    </row>
    <row r="72" spans="1:17" x14ac:dyDescent="0.35">
      <c r="A72" t="s">
        <v>1307</v>
      </c>
      <c r="B72" t="s">
        <v>2664</v>
      </c>
      <c r="C72" t="s">
        <v>2424</v>
      </c>
      <c r="D72" t="s">
        <v>50</v>
      </c>
      <c r="E72">
        <v>1</v>
      </c>
      <c r="F72">
        <v>1</v>
      </c>
      <c r="G72">
        <v>5</v>
      </c>
      <c r="H72">
        <v>1</v>
      </c>
      <c r="I72" t="s">
        <v>3152</v>
      </c>
      <c r="J72" t="s">
        <v>2745</v>
      </c>
      <c r="K72" t="s">
        <v>2440</v>
      </c>
      <c r="L72" s="1" t="str">
        <f>HYPERLINK("https://ovidsp.ovid.com/ovidweb.cgi?T=JS&amp;NEWS=n&amp;CSC=Y&amp;PAGE=toc&amp;D=yrovft&amp;AN=02070904-000000000-00000","https://ovidsp.ovid.com/ovidweb.cgi?T=JS&amp;NEWS=n&amp;CSC=Y&amp;PAGE=toc&amp;D=yrovft&amp;AN=02070904-000000000-00000")</f>
        <v>https://ovidsp.ovid.com/ovidweb.cgi?T=JS&amp;NEWS=n&amp;CSC=Y&amp;PAGE=toc&amp;D=yrovft&amp;AN=02070904-000000000-00000</v>
      </c>
      <c r="M72" t="s">
        <v>1217</v>
      </c>
      <c r="N72" t="s">
        <v>2424</v>
      </c>
      <c r="O72" t="s">
        <v>3445</v>
      </c>
      <c r="P72" t="b">
        <v>1</v>
      </c>
      <c r="Q72" t="s">
        <v>3125</v>
      </c>
    </row>
    <row r="73" spans="1:17" x14ac:dyDescent="0.35">
      <c r="A73" t="s">
        <v>1331</v>
      </c>
      <c r="B73" t="s">
        <v>2468</v>
      </c>
      <c r="C73" t="s">
        <v>2424</v>
      </c>
      <c r="D73" t="s">
        <v>3649</v>
      </c>
      <c r="E73">
        <v>1</v>
      </c>
      <c r="F73">
        <v>1</v>
      </c>
      <c r="G73">
        <v>13</v>
      </c>
      <c r="H73">
        <v>2</v>
      </c>
      <c r="I73" t="s">
        <v>110</v>
      </c>
      <c r="J73" t="s">
        <v>3568</v>
      </c>
      <c r="K73" t="s">
        <v>2017</v>
      </c>
      <c r="L73" s="1" t="str">
        <f>HYPERLINK("https://ovidsp.ovid.com/ovidweb.cgi?T=JS&amp;NEWS=n&amp;CSC=Y&amp;PAGE=toc&amp;D=yrovft&amp;AN=02003429-000000000-00000","https://ovidsp.ovid.com/ovidweb.cgi?T=JS&amp;NEWS=n&amp;CSC=Y&amp;PAGE=toc&amp;D=yrovft&amp;AN=02003429-000000000-00000")</f>
        <v>https://ovidsp.ovid.com/ovidweb.cgi?T=JS&amp;NEWS=n&amp;CSC=Y&amp;PAGE=toc&amp;D=yrovft&amp;AN=02003429-000000000-00000</v>
      </c>
      <c r="M73" t="s">
        <v>2182</v>
      </c>
      <c r="N73" t="s">
        <v>2424</v>
      </c>
      <c r="O73" t="s">
        <v>1871</v>
      </c>
      <c r="P73" t="b">
        <v>0</v>
      </c>
      <c r="Q73" t="s">
        <v>2424</v>
      </c>
    </row>
    <row r="74" spans="1:17" x14ac:dyDescent="0.35">
      <c r="A74" t="s">
        <v>1980</v>
      </c>
      <c r="B74" t="s">
        <v>124</v>
      </c>
      <c r="C74" t="s">
        <v>2424</v>
      </c>
      <c r="D74" t="s">
        <v>1323</v>
      </c>
      <c r="E74">
        <v>1</v>
      </c>
      <c r="F74">
        <v>1</v>
      </c>
      <c r="G74">
        <v>26</v>
      </c>
      <c r="H74">
        <v>6</v>
      </c>
      <c r="I74" t="s">
        <v>2140</v>
      </c>
      <c r="J74" t="s">
        <v>2215</v>
      </c>
      <c r="K74" t="s">
        <v>3325</v>
      </c>
      <c r="L74" s="1" t="str">
        <f>HYPERLINK("https://ovidsp.ovid.com/ovidweb.cgi?T=JS&amp;NEWS=n&amp;CSC=Y&amp;PAGE=toc&amp;D=yrovft&amp;AN=00127825-000000000-00000","https://ovidsp.ovid.com/ovidweb.cgi?T=JS&amp;NEWS=n&amp;CSC=Y&amp;PAGE=toc&amp;D=yrovft&amp;AN=00127825-000000000-00000")</f>
        <v>https://ovidsp.ovid.com/ovidweb.cgi?T=JS&amp;NEWS=n&amp;CSC=Y&amp;PAGE=toc&amp;D=yrovft&amp;AN=00127825-000000000-00000</v>
      </c>
      <c r="M74" t="s">
        <v>1759</v>
      </c>
      <c r="N74" t="s">
        <v>2424</v>
      </c>
      <c r="O74" t="s">
        <v>2337</v>
      </c>
      <c r="P74" t="b">
        <v>0</v>
      </c>
      <c r="Q74" t="s">
        <v>2424</v>
      </c>
    </row>
    <row r="75" spans="1:17" x14ac:dyDescent="0.35">
      <c r="A75" t="s">
        <v>2702</v>
      </c>
      <c r="B75" t="s">
        <v>683</v>
      </c>
      <c r="C75" t="s">
        <v>2424</v>
      </c>
      <c r="D75" t="s">
        <v>50</v>
      </c>
      <c r="E75">
        <v>1</v>
      </c>
      <c r="F75">
        <v>1</v>
      </c>
      <c r="G75">
        <v>10</v>
      </c>
      <c r="H75">
        <v>3</v>
      </c>
      <c r="I75" t="s">
        <v>3263</v>
      </c>
      <c r="J75" t="s">
        <v>1116</v>
      </c>
      <c r="K75" t="s">
        <v>2335</v>
      </c>
      <c r="L75" s="1" t="str">
        <f>HYPERLINK("https://ovidsp.ovid.com/ovidweb.cgi?T=JS&amp;NEWS=n&amp;CSC=Y&amp;PAGE=toc&amp;D=yrovft&amp;AN=02158035-000000000-00000","https://ovidsp.ovid.com/ovidweb.cgi?T=JS&amp;NEWS=n&amp;CSC=Y&amp;PAGE=toc&amp;D=yrovft&amp;AN=02158035-000000000-00000")</f>
        <v>https://ovidsp.ovid.com/ovidweb.cgi?T=JS&amp;NEWS=n&amp;CSC=Y&amp;PAGE=toc&amp;D=yrovft&amp;AN=02158035-000000000-00000</v>
      </c>
      <c r="M75" t="s">
        <v>629</v>
      </c>
      <c r="N75" t="s">
        <v>2424</v>
      </c>
      <c r="O75" t="s">
        <v>472</v>
      </c>
      <c r="P75" t="b">
        <v>0</v>
      </c>
      <c r="Q75" t="s">
        <v>2424</v>
      </c>
    </row>
    <row r="76" spans="1:17" x14ac:dyDescent="0.35">
      <c r="A76" t="s">
        <v>901</v>
      </c>
      <c r="B76" t="s">
        <v>3588</v>
      </c>
      <c r="C76" t="s">
        <v>2424</v>
      </c>
      <c r="D76" t="s">
        <v>3649</v>
      </c>
      <c r="E76">
        <v>4</v>
      </c>
      <c r="F76">
        <v>3</v>
      </c>
      <c r="G76">
        <v>26</v>
      </c>
      <c r="H76">
        <v>10</v>
      </c>
      <c r="I76" t="s">
        <v>3164</v>
      </c>
      <c r="J76" t="s">
        <v>3068</v>
      </c>
      <c r="K76" t="s">
        <v>459</v>
      </c>
      <c r="L76" s="1" t="str">
        <f>HYPERLINK("https://ovidsp.ovid.com/ovidweb.cgi?T=JS&amp;NEWS=n&amp;CSC=Y&amp;PAGE=toc&amp;D=yrovft&amp;AN=00133587-000000000-00000","https://ovidsp.ovid.com/ovidweb.cgi?T=JS&amp;NEWS=n&amp;CSC=Y&amp;PAGE=toc&amp;D=yrovft&amp;AN=00133587-000000000-00000")</f>
        <v>https://ovidsp.ovid.com/ovidweb.cgi?T=JS&amp;NEWS=n&amp;CSC=Y&amp;PAGE=toc&amp;D=yrovft&amp;AN=00133587-000000000-00000</v>
      </c>
      <c r="M76" t="s">
        <v>764</v>
      </c>
      <c r="N76" t="s">
        <v>2424</v>
      </c>
      <c r="O76" t="s">
        <v>1487</v>
      </c>
      <c r="P76" t="b">
        <v>0</v>
      </c>
      <c r="Q76" t="s">
        <v>2424</v>
      </c>
    </row>
    <row r="77" spans="1:17" x14ac:dyDescent="0.35">
      <c r="A77" t="s">
        <v>443</v>
      </c>
      <c r="B77" t="s">
        <v>322</v>
      </c>
      <c r="C77" t="s">
        <v>2424</v>
      </c>
      <c r="D77" t="s">
        <v>3649</v>
      </c>
      <c r="E77">
        <v>19</v>
      </c>
      <c r="F77">
        <v>1</v>
      </c>
      <c r="G77">
        <v>36</v>
      </c>
      <c r="H77">
        <v>5</v>
      </c>
      <c r="I77" t="s">
        <v>1557</v>
      </c>
      <c r="J77" t="s">
        <v>2406</v>
      </c>
      <c r="K77" t="s">
        <v>459</v>
      </c>
      <c r="L77" s="1" t="str">
        <f>HYPERLINK("https://ovidsp.ovid.com/ovidweb.cgi?T=JS&amp;NEWS=n&amp;CSC=Y&amp;PAGE=toc&amp;D=yrovft&amp;AN=01445447-000000000-00000","https://ovidsp.ovid.com/ovidweb.cgi?T=JS&amp;NEWS=n&amp;CSC=Y&amp;PAGE=toc&amp;D=yrovft&amp;AN=01445447-000000000-00000")</f>
        <v>https://ovidsp.ovid.com/ovidweb.cgi?T=JS&amp;NEWS=n&amp;CSC=Y&amp;PAGE=toc&amp;D=yrovft&amp;AN=01445447-000000000-00000</v>
      </c>
      <c r="M77" t="s">
        <v>1820</v>
      </c>
      <c r="N77" t="s">
        <v>2424</v>
      </c>
      <c r="O77" t="s">
        <v>688</v>
      </c>
      <c r="P77" t="b">
        <v>1</v>
      </c>
      <c r="Q77" t="s">
        <v>2578</v>
      </c>
    </row>
    <row r="78" spans="1:17" x14ac:dyDescent="0.35">
      <c r="A78" t="s">
        <v>3456</v>
      </c>
      <c r="B78" t="s">
        <v>2424</v>
      </c>
      <c r="C78" t="s">
        <v>2424</v>
      </c>
      <c r="D78" t="s">
        <v>3649</v>
      </c>
      <c r="E78">
        <v>1</v>
      </c>
      <c r="F78">
        <v>1</v>
      </c>
      <c r="G78">
        <v>5</v>
      </c>
      <c r="H78">
        <v>2</v>
      </c>
      <c r="I78" t="s">
        <v>2003</v>
      </c>
      <c r="J78" t="s">
        <v>1082</v>
      </c>
      <c r="K78" t="s">
        <v>2017</v>
      </c>
      <c r="L78" s="1" t="str">
        <f>HYPERLINK("https://ovidsp.ovid.com/ovidweb.cgi?T=JS&amp;NEWS=n&amp;CSC=Y&amp;PAGE=toc&amp;D=yrovft&amp;AN=02054631-000000000-00000","https://ovidsp.ovid.com/ovidweb.cgi?T=JS&amp;NEWS=n&amp;CSC=Y&amp;PAGE=toc&amp;D=yrovft&amp;AN=02054631-000000000-00000")</f>
        <v>https://ovidsp.ovid.com/ovidweb.cgi?T=JS&amp;NEWS=n&amp;CSC=Y&amp;PAGE=toc&amp;D=yrovft&amp;AN=02054631-000000000-00000</v>
      </c>
      <c r="M78" t="s">
        <v>3148</v>
      </c>
      <c r="N78" t="s">
        <v>2424</v>
      </c>
      <c r="O78" t="s">
        <v>2261</v>
      </c>
      <c r="P78" t="b">
        <v>1</v>
      </c>
      <c r="Q78" t="s">
        <v>718</v>
      </c>
    </row>
    <row r="79" spans="1:17" x14ac:dyDescent="0.35">
      <c r="A79" t="s">
        <v>2150</v>
      </c>
      <c r="B79" t="s">
        <v>2196</v>
      </c>
      <c r="C79" t="s">
        <v>2424</v>
      </c>
      <c r="D79" t="s">
        <v>3649</v>
      </c>
      <c r="E79">
        <v>1</v>
      </c>
      <c r="F79">
        <v>1</v>
      </c>
      <c r="G79">
        <v>14</v>
      </c>
      <c r="H79">
        <v>4</v>
      </c>
      <c r="I79" t="s">
        <v>1122</v>
      </c>
      <c r="J79" t="s">
        <v>2671</v>
      </c>
      <c r="K79" t="s">
        <v>2017</v>
      </c>
      <c r="L79" s="1" t="str">
        <f>HYPERLINK("https://ovidsp.ovid.com/ovidweb.cgi?T=JS&amp;NEWS=n&amp;CSC=Y&amp;PAGE=toc&amp;D=yrovft&amp;AN=01437872-000000000-00000","https://ovidsp.ovid.com/ovidweb.cgi?T=JS&amp;NEWS=n&amp;CSC=Y&amp;PAGE=toc&amp;D=yrovft&amp;AN=01437872-000000000-00000")</f>
        <v>https://ovidsp.ovid.com/ovidweb.cgi?T=JS&amp;NEWS=n&amp;CSC=Y&amp;PAGE=toc&amp;D=yrovft&amp;AN=01437872-000000000-00000</v>
      </c>
      <c r="M79" t="s">
        <v>2094</v>
      </c>
      <c r="N79" t="s">
        <v>2424</v>
      </c>
      <c r="O79" t="s">
        <v>2158</v>
      </c>
      <c r="P79" t="b">
        <v>1</v>
      </c>
      <c r="Q79" t="s">
        <v>484</v>
      </c>
    </row>
    <row r="80" spans="1:17" x14ac:dyDescent="0.35">
      <c r="A80" t="s">
        <v>818</v>
      </c>
      <c r="B80" t="s">
        <v>1194</v>
      </c>
      <c r="C80" t="s">
        <v>2424</v>
      </c>
      <c r="D80" t="s">
        <v>3649</v>
      </c>
      <c r="E80">
        <v>1</v>
      </c>
      <c r="F80">
        <v>1</v>
      </c>
      <c r="G80">
        <v>15</v>
      </c>
      <c r="H80">
        <v>1</v>
      </c>
      <c r="I80" t="s">
        <v>1480</v>
      </c>
      <c r="J80" t="s">
        <v>1084</v>
      </c>
      <c r="K80" t="s">
        <v>983</v>
      </c>
      <c r="L80" s="1" t="str">
        <f>HYPERLINK("https://ovidsp.ovid.com/ovidweb.cgi?T=JS&amp;NEWS=n&amp;CSC=Y&amp;PAGE=toc&amp;D=yrovft&amp;AN=01445452-000000000-00000","https://ovidsp.ovid.com/ovidweb.cgi?T=JS&amp;NEWS=n&amp;CSC=Y&amp;PAGE=toc&amp;D=yrovft&amp;AN=01445452-000000000-00000")</f>
        <v>https://ovidsp.ovid.com/ovidweb.cgi?T=JS&amp;NEWS=n&amp;CSC=Y&amp;PAGE=toc&amp;D=yrovft&amp;AN=01445452-000000000-00000</v>
      </c>
      <c r="M80" t="s">
        <v>3624</v>
      </c>
      <c r="N80" t="s">
        <v>2424</v>
      </c>
      <c r="O80" t="s">
        <v>3772</v>
      </c>
      <c r="P80" t="b">
        <v>1</v>
      </c>
      <c r="Q80" t="s">
        <v>1395</v>
      </c>
    </row>
    <row r="81" spans="1:17" x14ac:dyDescent="0.35">
      <c r="A81" t="s">
        <v>2306</v>
      </c>
      <c r="B81" t="s">
        <v>1913</v>
      </c>
      <c r="C81" t="s">
        <v>2424</v>
      </c>
      <c r="D81" t="s">
        <v>50</v>
      </c>
      <c r="E81">
        <v>1</v>
      </c>
      <c r="F81">
        <v>1</v>
      </c>
      <c r="G81">
        <v>5</v>
      </c>
      <c r="H81">
        <v>0</v>
      </c>
      <c r="I81" t="s">
        <v>3188</v>
      </c>
      <c r="J81" t="s">
        <v>2311</v>
      </c>
      <c r="K81" t="s">
        <v>441</v>
      </c>
      <c r="L81" s="1" t="str">
        <f>HYPERLINK("https://ovidsp.ovid.com/ovidweb.cgi?T=JS&amp;NEWS=n&amp;CSC=Y&amp;PAGE=toc&amp;D=yrovft&amp;AN=01940646-000000000-00000","https://ovidsp.ovid.com/ovidweb.cgi?T=JS&amp;NEWS=n&amp;CSC=Y&amp;PAGE=toc&amp;D=yrovft&amp;AN=01940646-000000000-00000")</f>
        <v>https://ovidsp.ovid.com/ovidweb.cgi?T=JS&amp;NEWS=n&amp;CSC=Y&amp;PAGE=toc&amp;D=yrovft&amp;AN=01940646-000000000-00000</v>
      </c>
      <c r="M81" t="s">
        <v>2274</v>
      </c>
      <c r="N81" t="s">
        <v>2424</v>
      </c>
      <c r="O81" t="s">
        <v>2291</v>
      </c>
      <c r="P81" t="b">
        <v>0</v>
      </c>
      <c r="Q81" t="s">
        <v>2424</v>
      </c>
    </row>
    <row r="82" spans="1:17" x14ac:dyDescent="0.35">
      <c r="A82" t="s">
        <v>3291</v>
      </c>
      <c r="B82" t="s">
        <v>1572</v>
      </c>
      <c r="C82" t="s">
        <v>2424</v>
      </c>
      <c r="D82" t="s">
        <v>50</v>
      </c>
      <c r="E82">
        <v>1</v>
      </c>
      <c r="F82">
        <v>1</v>
      </c>
      <c r="G82">
        <v>6</v>
      </c>
      <c r="H82">
        <v>1</v>
      </c>
      <c r="I82" t="s">
        <v>1414</v>
      </c>
      <c r="J82" t="s">
        <v>424</v>
      </c>
      <c r="K82" t="s">
        <v>867</v>
      </c>
      <c r="L82" s="1" t="str">
        <f>HYPERLINK("https://ovidsp.ovid.com/ovidweb.cgi?T=JS&amp;NEWS=n&amp;CSC=Y&amp;PAGE=toc&amp;D=yrovft&amp;AN=02087401-000000000-00000","https://ovidsp.ovid.com/ovidweb.cgi?T=JS&amp;NEWS=n&amp;CSC=Y&amp;PAGE=toc&amp;D=yrovft&amp;AN=02087401-000000000-00000")</f>
        <v>https://ovidsp.ovid.com/ovidweb.cgi?T=JS&amp;NEWS=n&amp;CSC=Y&amp;PAGE=toc&amp;D=yrovft&amp;AN=02087401-000000000-00000</v>
      </c>
      <c r="M82" t="s">
        <v>1037</v>
      </c>
      <c r="N82" t="s">
        <v>2424</v>
      </c>
      <c r="O82" t="s">
        <v>1176</v>
      </c>
      <c r="P82" t="b">
        <v>0</v>
      </c>
      <c r="Q82" t="s">
        <v>2424</v>
      </c>
    </row>
    <row r="83" spans="1:17" x14ac:dyDescent="0.35">
      <c r="A83" t="s">
        <v>379</v>
      </c>
      <c r="B83" t="s">
        <v>3451</v>
      </c>
      <c r="C83" t="s">
        <v>2424</v>
      </c>
      <c r="D83" t="s">
        <v>3649</v>
      </c>
      <c r="E83">
        <v>51</v>
      </c>
      <c r="F83">
        <v>1</v>
      </c>
      <c r="G83">
        <v>63</v>
      </c>
      <c r="H83">
        <v>1</v>
      </c>
      <c r="I83" t="s">
        <v>3395</v>
      </c>
      <c r="J83" t="s">
        <v>2238</v>
      </c>
      <c r="K83" t="s">
        <v>3301</v>
      </c>
      <c r="L83" s="1" t="str">
        <f>HYPERLINK("https://ovidsp.ovid.com/ovidweb.cgi?T=JS&amp;NEWS=n&amp;CSC=Y&amp;PAGE=toc&amp;D=yrovft&amp;AN=02112946-000000000-00000","https://ovidsp.ovid.com/ovidweb.cgi?T=JS&amp;NEWS=n&amp;CSC=Y&amp;PAGE=toc&amp;D=yrovft&amp;AN=02112946-000000000-00000")</f>
        <v>https://ovidsp.ovid.com/ovidweb.cgi?T=JS&amp;NEWS=n&amp;CSC=Y&amp;PAGE=toc&amp;D=yrovft&amp;AN=02112946-000000000-00000</v>
      </c>
      <c r="M83" t="s">
        <v>2460</v>
      </c>
      <c r="N83" t="s">
        <v>2424</v>
      </c>
      <c r="O83" t="s">
        <v>1320</v>
      </c>
      <c r="P83" t="b">
        <v>0</v>
      </c>
      <c r="Q83" t="s">
        <v>2424</v>
      </c>
    </row>
    <row r="84" spans="1:17" x14ac:dyDescent="0.35">
      <c r="A84" t="s">
        <v>822</v>
      </c>
      <c r="B84" t="s">
        <v>2541</v>
      </c>
      <c r="C84" t="s">
        <v>2424</v>
      </c>
      <c r="D84" t="s">
        <v>2855</v>
      </c>
      <c r="E84">
        <v>1</v>
      </c>
      <c r="F84">
        <v>1</v>
      </c>
      <c r="G84">
        <v>14</v>
      </c>
      <c r="H84">
        <v>1</v>
      </c>
      <c r="I84" t="s">
        <v>117</v>
      </c>
      <c r="J84" t="s">
        <v>458</v>
      </c>
      <c r="K84" t="s">
        <v>3301</v>
      </c>
      <c r="L84" s="1" t="str">
        <f>HYPERLINK("https://ovidsp.ovid.com/ovidweb.cgi?T=JS&amp;NEWS=n&amp;CSC=Y&amp;PAGE=toc&amp;D=yrovft&amp;AN=01436909-000000000-00000","https://ovidsp.ovid.com/ovidweb.cgi?T=JS&amp;NEWS=n&amp;CSC=Y&amp;PAGE=toc&amp;D=yrovft&amp;AN=01436909-000000000-00000")</f>
        <v>https://ovidsp.ovid.com/ovidweb.cgi?T=JS&amp;NEWS=n&amp;CSC=Y&amp;PAGE=toc&amp;D=yrovft&amp;AN=01436909-000000000-00000</v>
      </c>
      <c r="M84" t="s">
        <v>3547</v>
      </c>
      <c r="N84" t="s">
        <v>2424</v>
      </c>
      <c r="O84" t="s">
        <v>3699</v>
      </c>
      <c r="P84" t="b">
        <v>1</v>
      </c>
      <c r="Q84" t="s">
        <v>1654</v>
      </c>
    </row>
    <row r="85" spans="1:17" x14ac:dyDescent="0.35">
      <c r="A85" t="s">
        <v>1186</v>
      </c>
      <c r="B85" t="s">
        <v>3796</v>
      </c>
      <c r="C85" t="s">
        <v>2424</v>
      </c>
      <c r="D85" t="s">
        <v>3560</v>
      </c>
      <c r="E85">
        <v>74</v>
      </c>
      <c r="F85">
        <v>1</v>
      </c>
      <c r="G85">
        <v>83</v>
      </c>
      <c r="H85">
        <v>2</v>
      </c>
      <c r="I85" t="s">
        <v>3681</v>
      </c>
      <c r="J85" t="s">
        <v>1116</v>
      </c>
      <c r="K85" t="s">
        <v>2017</v>
      </c>
      <c r="L85" s="1" t="str">
        <f>HYPERLINK("https://ovidsp.ovid.com/ovidweb.cgi?T=JS&amp;NEWS=n&amp;CSC=Y&amp;PAGE=toc&amp;D=yrovft&amp;AN=01722470-000000000-00000","https://ovidsp.ovid.com/ovidweb.cgi?T=JS&amp;NEWS=n&amp;CSC=Y&amp;PAGE=toc&amp;D=yrovft&amp;AN=01722470-000000000-00000")</f>
        <v>https://ovidsp.ovid.com/ovidweb.cgi?T=JS&amp;NEWS=n&amp;CSC=Y&amp;PAGE=toc&amp;D=yrovft&amp;AN=01722470-000000000-00000</v>
      </c>
      <c r="M85" t="s">
        <v>1093</v>
      </c>
      <c r="N85" t="s">
        <v>2424</v>
      </c>
      <c r="O85" t="s">
        <v>300</v>
      </c>
      <c r="P85" t="b">
        <v>0</v>
      </c>
      <c r="Q85" t="s">
        <v>2424</v>
      </c>
    </row>
    <row r="86" spans="1:17" x14ac:dyDescent="0.35">
      <c r="A86" t="s">
        <v>371</v>
      </c>
      <c r="B86" t="s">
        <v>999</v>
      </c>
      <c r="C86" t="s">
        <v>2424</v>
      </c>
      <c r="D86" t="s">
        <v>50</v>
      </c>
      <c r="E86">
        <v>9</v>
      </c>
      <c r="F86">
        <v>3</v>
      </c>
      <c r="G86">
        <v>30</v>
      </c>
      <c r="H86">
        <v>3</v>
      </c>
      <c r="I86" t="s">
        <v>1594</v>
      </c>
      <c r="J86" t="s">
        <v>3481</v>
      </c>
      <c r="K86" t="s">
        <v>2165</v>
      </c>
      <c r="L86" s="1" t="str">
        <f>HYPERLINK("https://ovidsp.ovid.com/ovidweb.cgi?T=JS&amp;NEWS=n&amp;CSC=Y&amp;PAGE=toc&amp;D=yrovft&amp;AN=00134372-000000000-00000","https://ovidsp.ovid.com/ovidweb.cgi?T=JS&amp;NEWS=n&amp;CSC=Y&amp;PAGE=toc&amp;D=yrovft&amp;AN=00134372-000000000-00000")</f>
        <v>https://ovidsp.ovid.com/ovidweb.cgi?T=JS&amp;NEWS=n&amp;CSC=Y&amp;PAGE=toc&amp;D=yrovft&amp;AN=00134372-000000000-00000</v>
      </c>
      <c r="M86" t="s">
        <v>275</v>
      </c>
      <c r="N86" t="s">
        <v>2424</v>
      </c>
      <c r="O86" t="s">
        <v>1064</v>
      </c>
      <c r="P86" t="b">
        <v>1</v>
      </c>
      <c r="Q86" t="s">
        <v>434</v>
      </c>
    </row>
    <row r="87" spans="1:17" x14ac:dyDescent="0.35">
      <c r="A87" t="s">
        <v>429</v>
      </c>
      <c r="B87" t="s">
        <v>3470</v>
      </c>
      <c r="C87" t="s">
        <v>2424</v>
      </c>
      <c r="D87" t="s">
        <v>3649</v>
      </c>
      <c r="E87">
        <v>38</v>
      </c>
      <c r="F87">
        <v>1</v>
      </c>
      <c r="G87">
        <v>62</v>
      </c>
      <c r="H87">
        <v>1</v>
      </c>
      <c r="I87" t="s">
        <v>1008</v>
      </c>
      <c r="J87" t="s">
        <v>2215</v>
      </c>
      <c r="K87" t="s">
        <v>2238</v>
      </c>
      <c r="L87" s="1" t="str">
        <f>HYPERLINK("https://ovidsp.ovid.com/ovidweb.cgi?T=JS&amp;NEWS=n&amp;CSC=Y&amp;PAGE=toc&amp;D=yrovft&amp;AN=02112947-000000000-00000","https://ovidsp.ovid.com/ovidweb.cgi?T=JS&amp;NEWS=n&amp;CSC=Y&amp;PAGE=toc&amp;D=yrovft&amp;AN=02112947-000000000-00000")</f>
        <v>https://ovidsp.ovid.com/ovidweb.cgi?T=JS&amp;NEWS=n&amp;CSC=Y&amp;PAGE=toc&amp;D=yrovft&amp;AN=02112947-000000000-00000</v>
      </c>
      <c r="M87" t="s">
        <v>859</v>
      </c>
      <c r="N87" t="s">
        <v>2424</v>
      </c>
      <c r="O87" t="s">
        <v>3771</v>
      </c>
      <c r="P87" t="b">
        <v>0</v>
      </c>
      <c r="Q87" t="s">
        <v>2424</v>
      </c>
    </row>
    <row r="88" spans="1:17" x14ac:dyDescent="0.35">
      <c r="A88" t="s">
        <v>556</v>
      </c>
      <c r="B88" t="s">
        <v>502</v>
      </c>
      <c r="C88" t="s">
        <v>2424</v>
      </c>
      <c r="D88" t="s">
        <v>50</v>
      </c>
      <c r="E88">
        <v>1</v>
      </c>
      <c r="F88">
        <v>1</v>
      </c>
      <c r="G88">
        <v>4</v>
      </c>
      <c r="H88">
        <v>4</v>
      </c>
      <c r="I88" t="s">
        <v>1477</v>
      </c>
      <c r="J88" t="s">
        <v>1495</v>
      </c>
      <c r="K88" t="s">
        <v>1463</v>
      </c>
      <c r="L88" s="1" t="str">
        <f>HYPERLINK("https://ovidsp.ovid.com/ovidweb.cgi?T=JS&amp;NEWS=n&amp;CSC=Y&amp;PAGE=toc&amp;D=yrovft&amp;AN=02070903-000000000-00000","https://ovidsp.ovid.com/ovidweb.cgi?T=JS&amp;NEWS=n&amp;CSC=Y&amp;PAGE=toc&amp;D=yrovft&amp;AN=02070903-000000000-00000")</f>
        <v>https://ovidsp.ovid.com/ovidweb.cgi?T=JS&amp;NEWS=n&amp;CSC=Y&amp;PAGE=toc&amp;D=yrovft&amp;AN=02070903-000000000-00000</v>
      </c>
      <c r="M88" t="s">
        <v>3417</v>
      </c>
      <c r="N88" t="s">
        <v>2424</v>
      </c>
      <c r="O88" t="s">
        <v>1879</v>
      </c>
      <c r="P88" t="b">
        <v>1</v>
      </c>
      <c r="Q88" t="s">
        <v>2901</v>
      </c>
    </row>
    <row r="89" spans="1:17" x14ac:dyDescent="0.35">
      <c r="A89" t="s">
        <v>2122</v>
      </c>
      <c r="B89" t="s">
        <v>1247</v>
      </c>
      <c r="C89" t="s">
        <v>2424</v>
      </c>
      <c r="D89" t="s">
        <v>50</v>
      </c>
      <c r="E89">
        <v>1</v>
      </c>
      <c r="F89">
        <v>1</v>
      </c>
      <c r="G89">
        <v>4</v>
      </c>
      <c r="H89">
        <v>2</v>
      </c>
      <c r="I89" t="s">
        <v>2916</v>
      </c>
      <c r="J89" t="s">
        <v>1161</v>
      </c>
      <c r="K89" t="s">
        <v>407</v>
      </c>
      <c r="L89" s="1" t="str">
        <f>HYPERLINK("https://ovidsp.ovid.com/ovidweb.cgi?T=JS&amp;NEWS=n&amp;CSC=Y&amp;PAGE=toc&amp;D=yrovft&amp;AN=02091979-000000000-00000","https://ovidsp.ovid.com/ovidweb.cgi?T=JS&amp;NEWS=n&amp;CSC=Y&amp;PAGE=toc&amp;D=yrovft&amp;AN=02091979-000000000-00000")</f>
        <v>https://ovidsp.ovid.com/ovidweb.cgi?T=JS&amp;NEWS=n&amp;CSC=Y&amp;PAGE=toc&amp;D=yrovft&amp;AN=02091979-000000000-00000</v>
      </c>
      <c r="M89" t="s">
        <v>3464</v>
      </c>
      <c r="N89" t="s">
        <v>2424</v>
      </c>
      <c r="O89" t="s">
        <v>3124</v>
      </c>
      <c r="P89" t="b">
        <v>0</v>
      </c>
      <c r="Q89" t="s">
        <v>2424</v>
      </c>
    </row>
    <row r="90" spans="1:17" x14ac:dyDescent="0.35">
      <c r="A90" t="s">
        <v>1493</v>
      </c>
      <c r="B90" t="s">
        <v>2424</v>
      </c>
      <c r="C90" t="s">
        <v>2424</v>
      </c>
      <c r="D90" t="s">
        <v>2415</v>
      </c>
      <c r="E90">
        <v>1</v>
      </c>
      <c r="F90">
        <v>1</v>
      </c>
      <c r="G90">
        <v>2</v>
      </c>
      <c r="H90">
        <v>2</v>
      </c>
      <c r="I90" t="s">
        <v>2673</v>
      </c>
      <c r="J90" t="s">
        <v>3424</v>
      </c>
      <c r="K90" t="s">
        <v>2017</v>
      </c>
      <c r="L90" s="1" t="str">
        <f>HYPERLINK("https://ovidsp.ovid.com/ovidweb.cgi?T=JS&amp;NEWS=n&amp;CSC=Y&amp;PAGE=toc&amp;D=yrovft&amp;AN=02260722-000000000-00000","https://ovidsp.ovid.com/ovidweb.cgi?T=JS&amp;NEWS=n&amp;CSC=Y&amp;PAGE=toc&amp;D=yrovft&amp;AN=02260722-000000000-00000")</f>
        <v>https://ovidsp.ovid.com/ovidweb.cgi?T=JS&amp;NEWS=n&amp;CSC=Y&amp;PAGE=toc&amp;D=yrovft&amp;AN=02260722-000000000-00000</v>
      </c>
      <c r="M90" t="s">
        <v>756</v>
      </c>
      <c r="N90" t="s">
        <v>2424</v>
      </c>
      <c r="O90" t="s">
        <v>3368</v>
      </c>
      <c r="P90" t="b">
        <v>0</v>
      </c>
      <c r="Q90" t="s">
        <v>2424</v>
      </c>
    </row>
    <row r="91" spans="1:17" x14ac:dyDescent="0.35">
      <c r="A91" t="s">
        <v>861</v>
      </c>
      <c r="B91" t="s">
        <v>3049</v>
      </c>
      <c r="C91" t="s">
        <v>2424</v>
      </c>
      <c r="D91" t="s">
        <v>2608</v>
      </c>
      <c r="E91">
        <v>19</v>
      </c>
      <c r="F91">
        <v>1</v>
      </c>
      <c r="G91">
        <v>35</v>
      </c>
      <c r="H91">
        <v>2</v>
      </c>
      <c r="I91" t="s">
        <v>3463</v>
      </c>
      <c r="J91" t="s">
        <v>622</v>
      </c>
      <c r="K91" t="s">
        <v>983</v>
      </c>
      <c r="L91" s="1" t="str">
        <f>HYPERLINK("https://ovidsp.ovid.com/ovidweb.cgi?T=JS&amp;NEWS=n&amp;CSC=Y&amp;PAGE=toc&amp;D=yrovft&amp;AN=01253108-000000000-00000","https://ovidsp.ovid.com/ovidweb.cgi?T=JS&amp;NEWS=n&amp;CSC=Y&amp;PAGE=toc&amp;D=yrovft&amp;AN=01253108-000000000-00000")</f>
        <v>https://ovidsp.ovid.com/ovidweb.cgi?T=JS&amp;NEWS=n&amp;CSC=Y&amp;PAGE=toc&amp;D=yrovft&amp;AN=01253108-000000000-00000</v>
      </c>
      <c r="M91" t="s">
        <v>3008</v>
      </c>
      <c r="N91" t="s">
        <v>2424</v>
      </c>
      <c r="O91" t="s">
        <v>2338</v>
      </c>
      <c r="P91" t="b">
        <v>0</v>
      </c>
      <c r="Q91" t="s">
        <v>2424</v>
      </c>
    </row>
    <row r="92" spans="1:17" x14ac:dyDescent="0.35">
      <c r="A92" t="s">
        <v>2057</v>
      </c>
      <c r="B92" t="s">
        <v>2224</v>
      </c>
      <c r="C92" t="s">
        <v>2424</v>
      </c>
      <c r="D92" t="s">
        <v>2124</v>
      </c>
      <c r="E92">
        <v>8</v>
      </c>
      <c r="F92">
        <v>1</v>
      </c>
      <c r="G92">
        <v>18</v>
      </c>
      <c r="H92">
        <v>6</v>
      </c>
      <c r="I92" t="s">
        <v>1957</v>
      </c>
      <c r="J92" t="s">
        <v>1609</v>
      </c>
      <c r="K92" t="s">
        <v>1954</v>
      </c>
      <c r="L92" s="1" t="str">
        <f>HYPERLINK("https://ovidsp.ovid.com/ovidweb.cgi?T=JS&amp;NEWS=n&amp;CSC=Y&amp;PAGE=toc&amp;D=yrovft&amp;AN=00000101-000000000-00000","https://ovidsp.ovid.com/ovidweb.cgi?T=JS&amp;NEWS=n&amp;CSC=Y&amp;PAGE=toc&amp;D=yrovft&amp;AN=00000101-000000000-00000")</f>
        <v>https://ovidsp.ovid.com/ovidweb.cgi?T=JS&amp;NEWS=n&amp;CSC=Y&amp;PAGE=toc&amp;D=yrovft&amp;AN=00000101-000000000-00000</v>
      </c>
      <c r="M92" t="s">
        <v>2436</v>
      </c>
      <c r="N92" t="s">
        <v>2424</v>
      </c>
      <c r="O92" t="s">
        <v>2459</v>
      </c>
      <c r="P92" t="b">
        <v>0</v>
      </c>
      <c r="Q92" t="s">
        <v>2424</v>
      </c>
    </row>
    <row r="93" spans="1:17" x14ac:dyDescent="0.35">
      <c r="A93" t="s">
        <v>348</v>
      </c>
      <c r="B93" t="s">
        <v>2424</v>
      </c>
      <c r="C93" t="s">
        <v>2424</v>
      </c>
      <c r="D93" t="s">
        <v>3649</v>
      </c>
      <c r="E93">
        <v>1</v>
      </c>
      <c r="F93">
        <v>1</v>
      </c>
      <c r="G93">
        <v>3</v>
      </c>
      <c r="H93">
        <v>2</v>
      </c>
      <c r="I93" t="s">
        <v>1077</v>
      </c>
      <c r="J93" t="s">
        <v>618</v>
      </c>
      <c r="K93" t="s">
        <v>2017</v>
      </c>
      <c r="L93" s="1" t="str">
        <f>HYPERLINK("https://ovidsp.ovid.com/ovidweb.cgi?T=JS&amp;NEWS=n&amp;CSC=Y&amp;PAGE=toc&amp;D=yrovft&amp;AN=02186222-000000000-00000","https://ovidsp.ovid.com/ovidweb.cgi?T=JS&amp;NEWS=n&amp;CSC=Y&amp;PAGE=toc&amp;D=yrovft&amp;AN=02186222-000000000-00000")</f>
        <v>https://ovidsp.ovid.com/ovidweb.cgi?T=JS&amp;NEWS=n&amp;CSC=Y&amp;PAGE=toc&amp;D=yrovft&amp;AN=02186222-000000000-00000</v>
      </c>
      <c r="M93" t="s">
        <v>2580</v>
      </c>
      <c r="N93" t="s">
        <v>2424</v>
      </c>
      <c r="O93" t="s">
        <v>2058</v>
      </c>
      <c r="P93" t="b">
        <v>0</v>
      </c>
      <c r="Q93" t="s">
        <v>2424</v>
      </c>
    </row>
    <row r="94" spans="1:17" x14ac:dyDescent="0.35">
      <c r="A94" t="s">
        <v>3638</v>
      </c>
      <c r="B94" t="s">
        <v>2250</v>
      </c>
      <c r="C94" t="s">
        <v>2424</v>
      </c>
      <c r="D94" t="s">
        <v>50</v>
      </c>
      <c r="E94">
        <v>68</v>
      </c>
      <c r="F94">
        <v>1</v>
      </c>
      <c r="G94">
        <v>85</v>
      </c>
      <c r="H94">
        <v>5</v>
      </c>
      <c r="I94" t="s">
        <v>3693</v>
      </c>
      <c r="J94" t="s">
        <v>2406</v>
      </c>
      <c r="K94" t="s">
        <v>1374</v>
      </c>
      <c r="L94" s="1" t="str">
        <f>HYPERLINK("https://ovidsp.ovid.com/ovidweb.cgi?T=JS&amp;NEWS=n&amp;CSC=Y&amp;PAGE=toc&amp;D=yrovft&amp;AN=02118582-000000000-00000","https://ovidsp.ovid.com/ovidweb.cgi?T=JS&amp;NEWS=n&amp;CSC=Y&amp;PAGE=toc&amp;D=yrovft&amp;AN=02118582-000000000-00000")</f>
        <v>https://ovidsp.ovid.com/ovidweb.cgi?T=JS&amp;NEWS=n&amp;CSC=Y&amp;PAGE=toc&amp;D=yrovft&amp;AN=02118582-000000000-00000</v>
      </c>
      <c r="M94" t="s">
        <v>1243</v>
      </c>
      <c r="N94" t="s">
        <v>2424</v>
      </c>
      <c r="O94" t="s">
        <v>1662</v>
      </c>
      <c r="P94" t="b">
        <v>1</v>
      </c>
      <c r="Q94" t="s">
        <v>57</v>
      </c>
    </row>
    <row r="95" spans="1:17" x14ac:dyDescent="0.35">
      <c r="A95" t="s">
        <v>1831</v>
      </c>
      <c r="B95" t="s">
        <v>2424</v>
      </c>
      <c r="C95" t="s">
        <v>2424</v>
      </c>
      <c r="D95" t="s">
        <v>3649</v>
      </c>
      <c r="E95">
        <v>6</v>
      </c>
      <c r="F95">
        <v>1</v>
      </c>
      <c r="G95">
        <v>25</v>
      </c>
      <c r="H95">
        <v>4</v>
      </c>
      <c r="I95" t="s">
        <v>1740</v>
      </c>
      <c r="J95" t="s">
        <v>2318</v>
      </c>
      <c r="K95" t="s">
        <v>2017</v>
      </c>
      <c r="L95" s="1" t="str">
        <f>HYPERLINK("https://ovidsp.ovid.com/ovidweb.cgi?T=JS&amp;NEWS=n&amp;CSC=Y&amp;PAGE=toc&amp;D=yrovft&amp;AN=01412507-000000000-00000","https://ovidsp.ovid.com/ovidweb.cgi?T=JS&amp;NEWS=n&amp;CSC=Y&amp;PAGE=toc&amp;D=yrovft&amp;AN=01412507-000000000-00000")</f>
        <v>https://ovidsp.ovid.com/ovidweb.cgi?T=JS&amp;NEWS=n&amp;CSC=Y&amp;PAGE=toc&amp;D=yrovft&amp;AN=01412507-000000000-00000</v>
      </c>
      <c r="M95" t="s">
        <v>2659</v>
      </c>
      <c r="N95" t="s">
        <v>2424</v>
      </c>
      <c r="O95" t="s">
        <v>2374</v>
      </c>
      <c r="P95" t="b">
        <v>0</v>
      </c>
      <c r="Q95" t="s">
        <v>2424</v>
      </c>
    </row>
    <row r="96" spans="1:17" x14ac:dyDescent="0.35">
      <c r="A96" t="s">
        <v>3811</v>
      </c>
      <c r="B96" t="s">
        <v>2424</v>
      </c>
      <c r="C96" t="s">
        <v>2424</v>
      </c>
      <c r="D96" t="s">
        <v>946</v>
      </c>
      <c r="E96">
        <v>34</v>
      </c>
      <c r="F96">
        <v>1</v>
      </c>
      <c r="G96">
        <v>34</v>
      </c>
      <c r="H96">
        <v>6</v>
      </c>
      <c r="I96" t="s">
        <v>1735</v>
      </c>
      <c r="J96" t="s">
        <v>382</v>
      </c>
      <c r="K96" t="s">
        <v>923</v>
      </c>
      <c r="L96" s="1" t="str">
        <f>HYPERLINK("https://ovidsp.ovid.com/ovidweb.cgi?T=JS&amp;NEWS=n&amp;CSC=Y&amp;PAGE=toc&amp;D=yrovft&amp;AN=00005283-000000000-00000","https://ovidsp.ovid.com/ovidweb.cgi?T=JS&amp;NEWS=n&amp;CSC=Y&amp;PAGE=toc&amp;D=yrovft&amp;AN=00005283-000000000-00000")</f>
        <v>https://ovidsp.ovid.com/ovidweb.cgi?T=JS&amp;NEWS=n&amp;CSC=Y&amp;PAGE=toc&amp;D=yrovft&amp;AN=00005283-000000000-00000</v>
      </c>
      <c r="M96" t="s">
        <v>3508</v>
      </c>
      <c r="N96" t="s">
        <v>2424</v>
      </c>
      <c r="O96" t="s">
        <v>3038</v>
      </c>
      <c r="P96" t="b">
        <v>0</v>
      </c>
      <c r="Q96" t="s">
        <v>2424</v>
      </c>
    </row>
    <row r="97" spans="1:17" x14ac:dyDescent="0.35">
      <c r="A97" t="s">
        <v>192</v>
      </c>
      <c r="B97" t="s">
        <v>1453</v>
      </c>
      <c r="C97" t="s">
        <v>2424</v>
      </c>
      <c r="D97" t="s">
        <v>50</v>
      </c>
      <c r="E97">
        <v>1</v>
      </c>
      <c r="F97">
        <v>1</v>
      </c>
      <c r="G97">
        <v>3</v>
      </c>
      <c r="H97">
        <v>2</v>
      </c>
      <c r="I97" t="s">
        <v>269</v>
      </c>
      <c r="J97" t="s">
        <v>1080</v>
      </c>
      <c r="K97" t="s">
        <v>2767</v>
      </c>
      <c r="L97" s="1" t="str">
        <f>HYPERLINK("https://ovidsp.ovid.com/ovidweb.cgi?T=JS&amp;NEWS=n&amp;CSC=Y&amp;PAGE=toc&amp;D=yrovft&amp;AN=02186187-000000000-00000","https://ovidsp.ovid.com/ovidweb.cgi?T=JS&amp;NEWS=n&amp;CSC=Y&amp;PAGE=toc&amp;D=yrovft&amp;AN=02186187-000000000-00000")</f>
        <v>https://ovidsp.ovid.com/ovidweb.cgi?T=JS&amp;NEWS=n&amp;CSC=Y&amp;PAGE=toc&amp;D=yrovft&amp;AN=02186187-000000000-00000</v>
      </c>
      <c r="M97" t="s">
        <v>1826</v>
      </c>
      <c r="N97" t="s">
        <v>2424</v>
      </c>
      <c r="O97" t="s">
        <v>2804</v>
      </c>
      <c r="P97" t="b">
        <v>0</v>
      </c>
      <c r="Q97" t="s">
        <v>2424</v>
      </c>
    </row>
    <row r="98" spans="1:17" x14ac:dyDescent="0.35">
      <c r="A98" t="s">
        <v>56</v>
      </c>
      <c r="B98" t="s">
        <v>3655</v>
      </c>
      <c r="C98" t="s">
        <v>2424</v>
      </c>
      <c r="D98" t="s">
        <v>50</v>
      </c>
      <c r="E98">
        <v>27</v>
      </c>
      <c r="F98">
        <v>1</v>
      </c>
      <c r="G98">
        <v>49</v>
      </c>
      <c r="H98">
        <v>3</v>
      </c>
      <c r="I98" t="s">
        <v>2314</v>
      </c>
      <c r="J98" t="s">
        <v>382</v>
      </c>
      <c r="K98" t="s">
        <v>459</v>
      </c>
      <c r="L98" s="1" t="str">
        <f>HYPERLINK("https://ovidsp.ovid.com/ovidweb.cgi?T=JS&amp;NEWS=n&amp;CSC=Y&amp;PAGE=toc&amp;D=yrovft&amp;AN=00152192-000000000-00000","https://ovidsp.ovid.com/ovidweb.cgi?T=JS&amp;NEWS=n&amp;CSC=Y&amp;PAGE=toc&amp;D=yrovft&amp;AN=00152192-000000000-00000")</f>
        <v>https://ovidsp.ovid.com/ovidweb.cgi?T=JS&amp;NEWS=n&amp;CSC=Y&amp;PAGE=toc&amp;D=yrovft&amp;AN=00152192-000000000-00000</v>
      </c>
      <c r="M98" t="s">
        <v>520</v>
      </c>
      <c r="N98" t="s">
        <v>2424</v>
      </c>
      <c r="O98" t="s">
        <v>2330</v>
      </c>
      <c r="P98" t="b">
        <v>1</v>
      </c>
      <c r="Q98" t="s">
        <v>611</v>
      </c>
    </row>
    <row r="99" spans="1:17" x14ac:dyDescent="0.35">
      <c r="A99" t="s">
        <v>598</v>
      </c>
      <c r="B99" t="s">
        <v>2445</v>
      </c>
      <c r="C99" t="s">
        <v>2424</v>
      </c>
      <c r="D99" t="s">
        <v>50</v>
      </c>
      <c r="E99">
        <v>1</v>
      </c>
      <c r="F99">
        <v>1</v>
      </c>
      <c r="G99">
        <v>3</v>
      </c>
      <c r="H99">
        <v>2</v>
      </c>
      <c r="I99" t="s">
        <v>1665</v>
      </c>
      <c r="J99" t="s">
        <v>2490</v>
      </c>
      <c r="K99" t="s">
        <v>3476</v>
      </c>
      <c r="L99" s="1" t="str">
        <f>HYPERLINK("https://ovidsp.ovid.com/ovidweb.cgi?T=JS&amp;NEWS=n&amp;CSC=Y&amp;PAGE=toc&amp;D=yrovft&amp;AN=02196183-000000000-00000","https://ovidsp.ovid.com/ovidweb.cgi?T=JS&amp;NEWS=n&amp;CSC=Y&amp;PAGE=toc&amp;D=yrovft&amp;AN=02196183-000000000-00000")</f>
        <v>https://ovidsp.ovid.com/ovidweb.cgi?T=JS&amp;NEWS=n&amp;CSC=Y&amp;PAGE=toc&amp;D=yrovft&amp;AN=02196183-000000000-00000</v>
      </c>
      <c r="M99" t="s">
        <v>2810</v>
      </c>
      <c r="N99" t="s">
        <v>2424</v>
      </c>
      <c r="O99" t="s">
        <v>3110</v>
      </c>
      <c r="P99" t="b">
        <v>0</v>
      </c>
      <c r="Q99" t="s">
        <v>2424</v>
      </c>
    </row>
    <row r="100" spans="1:17" x14ac:dyDescent="0.35">
      <c r="A100" t="s">
        <v>865</v>
      </c>
      <c r="B100" t="s">
        <v>2424</v>
      </c>
      <c r="C100" t="s">
        <v>2424</v>
      </c>
      <c r="D100" t="s">
        <v>3649</v>
      </c>
      <c r="E100">
        <v>1</v>
      </c>
      <c r="F100">
        <v>1</v>
      </c>
      <c r="G100">
        <v>1</v>
      </c>
      <c r="H100">
        <v>1</v>
      </c>
      <c r="I100" t="s">
        <v>52</v>
      </c>
      <c r="J100" t="s">
        <v>292</v>
      </c>
      <c r="K100" t="s">
        <v>292</v>
      </c>
      <c r="L100" s="1" t="str">
        <f>HYPERLINK("https://ovidsp.ovid.com/ovidweb.cgi?T=JS&amp;NEWS=n&amp;CSC=Y&amp;PAGE=toc&amp;D=yrovft&amp;AN=02186223-000000000-00000","https://ovidsp.ovid.com/ovidweb.cgi?T=JS&amp;NEWS=n&amp;CSC=Y&amp;PAGE=toc&amp;D=yrovft&amp;AN=02186223-000000000-00000")</f>
        <v>https://ovidsp.ovid.com/ovidweb.cgi?T=JS&amp;NEWS=n&amp;CSC=Y&amp;PAGE=toc&amp;D=yrovft&amp;AN=02186223-000000000-00000</v>
      </c>
      <c r="M100" t="s">
        <v>1904</v>
      </c>
      <c r="N100" t="s">
        <v>2424</v>
      </c>
      <c r="O100" t="s">
        <v>1742</v>
      </c>
      <c r="P100" t="b">
        <v>0</v>
      </c>
      <c r="Q100" t="s">
        <v>2424</v>
      </c>
    </row>
    <row r="101" spans="1:17" x14ac:dyDescent="0.35">
      <c r="A101" t="s">
        <v>2679</v>
      </c>
      <c r="B101" t="s">
        <v>2950</v>
      </c>
      <c r="C101" t="s">
        <v>2424</v>
      </c>
      <c r="D101" t="s">
        <v>3649</v>
      </c>
      <c r="E101">
        <v>7</v>
      </c>
      <c r="F101">
        <v>1</v>
      </c>
      <c r="G101">
        <v>18</v>
      </c>
      <c r="H101">
        <v>2</v>
      </c>
      <c r="I101" t="s">
        <v>455</v>
      </c>
      <c r="J101" t="s">
        <v>3151</v>
      </c>
      <c r="K101" t="s">
        <v>2017</v>
      </c>
      <c r="L101" s="1" t="str">
        <f>HYPERLINK("https://ovidsp.ovid.com/ovidweb.cgi?T=JS&amp;NEWS=n&amp;CSC=Y&amp;PAGE=toc&amp;D=yrovft&amp;AN=01445477-000000000-00000","https://ovidsp.ovid.com/ovidweb.cgi?T=JS&amp;NEWS=n&amp;CSC=Y&amp;PAGE=toc&amp;D=yrovft&amp;AN=01445477-000000000-00000")</f>
        <v>https://ovidsp.ovid.com/ovidweb.cgi?T=JS&amp;NEWS=n&amp;CSC=Y&amp;PAGE=toc&amp;D=yrovft&amp;AN=01445477-000000000-00000</v>
      </c>
      <c r="M101" t="s">
        <v>1540</v>
      </c>
      <c r="N101" t="s">
        <v>2424</v>
      </c>
      <c r="O101" t="s">
        <v>311</v>
      </c>
      <c r="P101" t="b">
        <v>1</v>
      </c>
      <c r="Q101" t="s">
        <v>3161</v>
      </c>
    </row>
    <row r="102" spans="1:17" x14ac:dyDescent="0.35">
      <c r="A102" t="s">
        <v>1501</v>
      </c>
      <c r="B102" t="s">
        <v>695</v>
      </c>
      <c r="C102" t="s">
        <v>2424</v>
      </c>
      <c r="D102" t="s">
        <v>50</v>
      </c>
      <c r="E102">
        <v>1</v>
      </c>
      <c r="F102">
        <v>1</v>
      </c>
      <c r="G102">
        <v>4</v>
      </c>
      <c r="H102">
        <v>2</v>
      </c>
      <c r="I102" t="s">
        <v>2317</v>
      </c>
      <c r="J102" t="s">
        <v>1161</v>
      </c>
      <c r="K102" t="s">
        <v>3083</v>
      </c>
      <c r="L102" s="1" t="str">
        <f>HYPERLINK("https://ovidsp.ovid.com/ovidweb.cgi?T=JS&amp;NEWS=n&amp;CSC=Y&amp;PAGE=toc&amp;D=yrovft&amp;AN=02123147-000000000-00000","https://ovidsp.ovid.com/ovidweb.cgi?T=JS&amp;NEWS=n&amp;CSC=Y&amp;PAGE=toc&amp;D=yrovft&amp;AN=02123147-000000000-00000")</f>
        <v>https://ovidsp.ovid.com/ovidweb.cgi?T=JS&amp;NEWS=n&amp;CSC=Y&amp;PAGE=toc&amp;D=yrovft&amp;AN=02123147-000000000-00000</v>
      </c>
      <c r="M102" t="s">
        <v>250</v>
      </c>
      <c r="N102" t="s">
        <v>2424</v>
      </c>
      <c r="O102" t="s">
        <v>3127</v>
      </c>
      <c r="P102" t="b">
        <v>1</v>
      </c>
      <c r="Q102" t="s">
        <v>431</v>
      </c>
    </row>
    <row r="103" spans="1:17" x14ac:dyDescent="0.35">
      <c r="A103" t="s">
        <v>2844</v>
      </c>
      <c r="B103" t="s">
        <v>1569</v>
      </c>
      <c r="C103" t="s">
        <v>2424</v>
      </c>
      <c r="D103" t="s">
        <v>50</v>
      </c>
      <c r="E103">
        <v>1</v>
      </c>
      <c r="F103">
        <v>1</v>
      </c>
      <c r="G103">
        <v>101</v>
      </c>
      <c r="H103">
        <v>20</v>
      </c>
      <c r="I103" t="s">
        <v>1456</v>
      </c>
      <c r="J103" t="s">
        <v>358</v>
      </c>
      <c r="K103" t="s">
        <v>561</v>
      </c>
      <c r="L103" s="1" t="str">
        <f>HYPERLINK("https://ovidsp.ovid.com/ovidweb.cgi?T=JS&amp;NEWS=n&amp;CSC=Y&amp;PAGE=toc&amp;D=yrovft&amp;AN=00005792-000000000-00000","https://ovidsp.ovid.com/ovidweb.cgi?T=JS&amp;NEWS=n&amp;CSC=Y&amp;PAGE=toc&amp;D=yrovft&amp;AN=00005792-000000000-00000")</f>
        <v>https://ovidsp.ovid.com/ovidweb.cgi?T=JS&amp;NEWS=n&amp;CSC=Y&amp;PAGE=toc&amp;D=yrovft&amp;AN=00005792-000000000-00000</v>
      </c>
      <c r="M103" t="s">
        <v>6</v>
      </c>
      <c r="N103" t="s">
        <v>2424</v>
      </c>
      <c r="O103" t="s">
        <v>3787</v>
      </c>
      <c r="P103" t="b">
        <v>0</v>
      </c>
      <c r="Q103" t="s">
        <v>2424</v>
      </c>
    </row>
    <row r="104" spans="1:17" x14ac:dyDescent="0.35">
      <c r="A104" t="s">
        <v>2177</v>
      </c>
      <c r="B104" t="s">
        <v>2711</v>
      </c>
      <c r="C104" t="s">
        <v>2424</v>
      </c>
      <c r="D104" t="s">
        <v>50</v>
      </c>
      <c r="E104">
        <v>1</v>
      </c>
      <c r="F104">
        <v>1</v>
      </c>
      <c r="G104">
        <v>3</v>
      </c>
      <c r="H104">
        <v>5</v>
      </c>
      <c r="I104" t="s">
        <v>2755</v>
      </c>
      <c r="J104" t="s">
        <v>646</v>
      </c>
      <c r="K104" t="s">
        <v>2335</v>
      </c>
      <c r="L104" s="1" t="str">
        <f>HYPERLINK("https://ovidsp.ovid.com/ovidweb.cgi?T=JS&amp;NEWS=n&amp;CSC=Y&amp;PAGE=toc&amp;D=yrovft&amp;AN=02200519-000000000-00000","https://ovidsp.ovid.com/ovidweb.cgi?T=JS&amp;NEWS=n&amp;CSC=Y&amp;PAGE=toc&amp;D=yrovft&amp;AN=02200519-000000000-00000")</f>
        <v>https://ovidsp.ovid.com/ovidweb.cgi?T=JS&amp;NEWS=n&amp;CSC=Y&amp;PAGE=toc&amp;D=yrovft&amp;AN=02200519-000000000-00000</v>
      </c>
      <c r="M104" t="s">
        <v>432</v>
      </c>
      <c r="N104" t="s">
        <v>2424</v>
      </c>
      <c r="O104" t="s">
        <v>602</v>
      </c>
      <c r="P104" t="b">
        <v>0</v>
      </c>
      <c r="Q104" t="s">
        <v>2424</v>
      </c>
    </row>
    <row r="105" spans="1:17" x14ac:dyDescent="0.35">
      <c r="A105" t="s">
        <v>1762</v>
      </c>
      <c r="B105" t="s">
        <v>1152</v>
      </c>
      <c r="C105" t="s">
        <v>2424</v>
      </c>
      <c r="D105" t="s">
        <v>3649</v>
      </c>
      <c r="E105">
        <v>1</v>
      </c>
      <c r="F105">
        <v>1</v>
      </c>
      <c r="G105">
        <v>15</v>
      </c>
      <c r="H105">
        <v>5</v>
      </c>
      <c r="I105" t="s">
        <v>1327</v>
      </c>
      <c r="J105" t="s">
        <v>1657</v>
      </c>
      <c r="K105" t="s">
        <v>459</v>
      </c>
      <c r="L105" s="1" t="str">
        <f>HYPERLINK("https://ovidsp.ovid.com/ovidweb.cgi?T=JS&amp;NEWS=n&amp;CSC=Y&amp;PAGE=toc&amp;D=yrovft&amp;AN=01445478-000000000-00000","https://ovidsp.ovid.com/ovidweb.cgi?T=JS&amp;NEWS=n&amp;CSC=Y&amp;PAGE=toc&amp;D=yrovft&amp;AN=01445478-000000000-00000")</f>
        <v>https://ovidsp.ovid.com/ovidweb.cgi?T=JS&amp;NEWS=n&amp;CSC=Y&amp;PAGE=toc&amp;D=yrovft&amp;AN=01445478-000000000-00000</v>
      </c>
      <c r="M105" t="s">
        <v>2404</v>
      </c>
      <c r="N105" t="s">
        <v>2424</v>
      </c>
      <c r="O105" t="s">
        <v>22</v>
      </c>
      <c r="P105" t="b">
        <v>0</v>
      </c>
      <c r="Q105" t="s">
        <v>2424</v>
      </c>
    </row>
    <row r="106" spans="1:17" x14ac:dyDescent="0.35">
      <c r="A106" t="s">
        <v>171</v>
      </c>
      <c r="B106" t="s">
        <v>3307</v>
      </c>
      <c r="C106" t="s">
        <v>2424</v>
      </c>
      <c r="D106" t="s">
        <v>79</v>
      </c>
      <c r="E106">
        <v>1</v>
      </c>
      <c r="F106">
        <v>1</v>
      </c>
      <c r="G106">
        <v>16</v>
      </c>
      <c r="H106">
        <v>9</v>
      </c>
      <c r="I106" t="s">
        <v>1090</v>
      </c>
      <c r="J106" t="s">
        <v>1003</v>
      </c>
      <c r="K106" t="s">
        <v>459</v>
      </c>
      <c r="L106" s="1" t="str">
        <f>HYPERLINK("https://ovidsp.ovid.com/ovidweb.cgi?T=JS&amp;NEWS=n&amp;CSC=Y&amp;PAGE=toc&amp;D=yrovft&amp;AN=01300515-000000000-00000","https://ovidsp.ovid.com/ovidweb.cgi?T=JS&amp;NEWS=n&amp;CSC=Y&amp;PAGE=toc&amp;D=yrovft&amp;AN=01300515-000000000-00000")</f>
        <v>https://ovidsp.ovid.com/ovidweb.cgi?T=JS&amp;NEWS=n&amp;CSC=Y&amp;PAGE=toc&amp;D=yrovft&amp;AN=01300515-000000000-00000</v>
      </c>
      <c r="M106" t="s">
        <v>1780</v>
      </c>
      <c r="N106" t="s">
        <v>2424</v>
      </c>
      <c r="O106" t="s">
        <v>1602</v>
      </c>
      <c r="P106" t="b">
        <v>0</v>
      </c>
      <c r="Q106" t="s">
        <v>2424</v>
      </c>
    </row>
    <row r="107" spans="1:17" x14ac:dyDescent="0.35">
      <c r="A107" t="s">
        <v>3726</v>
      </c>
      <c r="B107" t="s">
        <v>1352</v>
      </c>
      <c r="C107" t="s">
        <v>2424</v>
      </c>
      <c r="D107" t="s">
        <v>50</v>
      </c>
      <c r="E107">
        <v>1</v>
      </c>
      <c r="F107">
        <v>1</v>
      </c>
      <c r="G107">
        <v>8</v>
      </c>
      <c r="H107">
        <v>2</v>
      </c>
      <c r="I107" t="s">
        <v>2000</v>
      </c>
      <c r="J107" t="s">
        <v>2758</v>
      </c>
      <c r="K107" t="s">
        <v>2586</v>
      </c>
      <c r="L107" s="1" t="str">
        <f>HYPERLINK("https://ovidsp.ovid.com/ovidweb.cgi?T=JS&amp;NEWS=n&amp;CSC=Y&amp;PAGE=toc&amp;D=yrovft&amp;AN=01861735-000000000-00000","https://ovidsp.ovid.com/ovidweb.cgi?T=JS&amp;NEWS=n&amp;CSC=Y&amp;PAGE=toc&amp;D=yrovft&amp;AN=01861735-000000000-00000")</f>
        <v>https://ovidsp.ovid.com/ovidweb.cgi?T=JS&amp;NEWS=n&amp;CSC=Y&amp;PAGE=toc&amp;D=yrovft&amp;AN=01861735-000000000-00000</v>
      </c>
      <c r="M107" t="s">
        <v>2535</v>
      </c>
      <c r="N107" t="s">
        <v>2424</v>
      </c>
      <c r="O107" t="s">
        <v>1425</v>
      </c>
      <c r="P107" t="b">
        <v>0</v>
      </c>
      <c r="Q107" t="s">
        <v>2424</v>
      </c>
    </row>
    <row r="108" spans="1:17" x14ac:dyDescent="0.35">
      <c r="A108" t="s">
        <v>3509</v>
      </c>
      <c r="B108" t="s">
        <v>2976</v>
      </c>
      <c r="C108" t="s">
        <v>2424</v>
      </c>
      <c r="D108" t="s">
        <v>50</v>
      </c>
      <c r="E108">
        <v>1</v>
      </c>
      <c r="F108">
        <v>1</v>
      </c>
      <c r="G108">
        <v>9</v>
      </c>
      <c r="H108">
        <v>3</v>
      </c>
      <c r="I108" t="s">
        <v>2393</v>
      </c>
      <c r="J108" t="s">
        <v>545</v>
      </c>
      <c r="K108" t="s">
        <v>2533</v>
      </c>
      <c r="L108" s="1" t="str">
        <f>HYPERLINK("https://ovidsp.ovid.com/ovidweb.cgi?T=JS&amp;NEWS=n&amp;CSC=Y&amp;PAGE=toc&amp;D=yrovft&amp;AN=01787401-000000000-00000","https://ovidsp.ovid.com/ovidweb.cgi?T=JS&amp;NEWS=n&amp;CSC=Y&amp;PAGE=toc&amp;D=yrovft&amp;AN=01787401-000000000-00000")</f>
        <v>https://ovidsp.ovid.com/ovidweb.cgi?T=JS&amp;NEWS=n&amp;CSC=Y&amp;PAGE=toc&amp;D=yrovft&amp;AN=01787401-000000000-00000</v>
      </c>
      <c r="M108" t="s">
        <v>109</v>
      </c>
      <c r="N108" t="s">
        <v>2424</v>
      </c>
      <c r="O108" t="s">
        <v>1588</v>
      </c>
      <c r="P108" t="b">
        <v>0</v>
      </c>
      <c r="Q108" t="s">
        <v>2424</v>
      </c>
    </row>
    <row r="109" spans="1:17" x14ac:dyDescent="0.35">
      <c r="A109" t="s">
        <v>1577</v>
      </c>
      <c r="B109" t="s">
        <v>2424</v>
      </c>
      <c r="C109" t="s">
        <v>2424</v>
      </c>
      <c r="D109" t="s">
        <v>3649</v>
      </c>
      <c r="E109">
        <v>38</v>
      </c>
      <c r="F109">
        <v>1</v>
      </c>
      <c r="G109">
        <v>42</v>
      </c>
      <c r="H109">
        <v>1</v>
      </c>
      <c r="I109" t="s">
        <v>3666</v>
      </c>
      <c r="J109" t="s">
        <v>2295</v>
      </c>
      <c r="K109" t="s">
        <v>983</v>
      </c>
      <c r="L109" s="1" t="str">
        <f>HYPERLINK("https://ovidsp.ovid.com/ovidweb.cgi?T=JS&amp;NEWS=n&amp;CSC=Y&amp;PAGE=toc&amp;D=yrovft&amp;AN=02054632-000000000-00000","https://ovidsp.ovid.com/ovidweb.cgi?T=JS&amp;NEWS=n&amp;CSC=Y&amp;PAGE=toc&amp;D=yrovft&amp;AN=02054632-000000000-00000")</f>
        <v>https://ovidsp.ovid.com/ovidweb.cgi?T=JS&amp;NEWS=n&amp;CSC=Y&amp;PAGE=toc&amp;D=yrovft&amp;AN=02054632-000000000-00000</v>
      </c>
      <c r="M109" t="s">
        <v>3651</v>
      </c>
      <c r="N109" t="s">
        <v>2424</v>
      </c>
      <c r="O109" t="s">
        <v>1705</v>
      </c>
      <c r="P109" t="b">
        <v>0</v>
      </c>
      <c r="Q109" t="s">
        <v>2424</v>
      </c>
    </row>
    <row r="110" spans="1:17" x14ac:dyDescent="0.35">
      <c r="A110" t="s">
        <v>3643</v>
      </c>
      <c r="B110" t="s">
        <v>1824</v>
      </c>
      <c r="C110" t="s">
        <v>2424</v>
      </c>
      <c r="D110" t="s">
        <v>50</v>
      </c>
      <c r="E110">
        <v>2</v>
      </c>
      <c r="F110">
        <v>1</v>
      </c>
      <c r="G110">
        <v>3</v>
      </c>
      <c r="H110">
        <v>2</v>
      </c>
      <c r="I110" t="s">
        <v>2320</v>
      </c>
      <c r="J110" t="s">
        <v>361</v>
      </c>
      <c r="K110" t="s">
        <v>2767</v>
      </c>
      <c r="L110" s="1" t="str">
        <f>HYPERLINK("https://ovidsp.ovid.com/ovidweb.cgi?T=JS&amp;NEWS=n&amp;CSC=Y&amp;PAGE=toc&amp;D=yrovft&amp;AN=02224449-000000000-00000","https://ovidsp.ovid.com/ovidweb.cgi?T=JS&amp;NEWS=n&amp;CSC=Y&amp;PAGE=toc&amp;D=yrovft&amp;AN=02224449-000000000-00000")</f>
        <v>https://ovidsp.ovid.com/ovidweb.cgi?T=JS&amp;NEWS=n&amp;CSC=Y&amp;PAGE=toc&amp;D=yrovft&amp;AN=02224449-000000000-00000</v>
      </c>
      <c r="M110" t="s">
        <v>2979</v>
      </c>
      <c r="N110" t="s">
        <v>2424</v>
      </c>
      <c r="O110" t="s">
        <v>3372</v>
      </c>
      <c r="P110" t="b">
        <v>0</v>
      </c>
      <c r="Q110" t="s">
        <v>2424</v>
      </c>
    </row>
    <row r="111" spans="1:17" x14ac:dyDescent="0.35">
      <c r="A111" t="s">
        <v>2364</v>
      </c>
      <c r="B111" t="s">
        <v>2424</v>
      </c>
      <c r="C111" t="s">
        <v>2424</v>
      </c>
      <c r="D111" t="s">
        <v>2855</v>
      </c>
      <c r="E111">
        <v>1</v>
      </c>
      <c r="F111">
        <v>1</v>
      </c>
      <c r="G111">
        <v>9</v>
      </c>
      <c r="H111">
        <v>5</v>
      </c>
      <c r="I111" t="s">
        <v>2596</v>
      </c>
      <c r="J111" t="s">
        <v>2938</v>
      </c>
      <c r="K111" t="s">
        <v>459</v>
      </c>
      <c r="L111" s="1" t="str">
        <f>HYPERLINK("https://ovidsp.ovid.com/ovidweb.cgi?T=JS&amp;NEWS=n&amp;CSC=Y&amp;PAGE=toc&amp;D=yrovft&amp;AN=01840667-000000000-00000","https://ovidsp.ovid.com/ovidweb.cgi?T=JS&amp;NEWS=n&amp;CSC=Y&amp;PAGE=toc&amp;D=yrovft&amp;AN=01840667-000000000-00000")</f>
        <v>https://ovidsp.ovid.com/ovidweb.cgi?T=JS&amp;NEWS=n&amp;CSC=Y&amp;PAGE=toc&amp;D=yrovft&amp;AN=01840667-000000000-00000</v>
      </c>
      <c r="M111" t="s">
        <v>3688</v>
      </c>
      <c r="N111" t="s">
        <v>2424</v>
      </c>
      <c r="O111" t="s">
        <v>3573</v>
      </c>
      <c r="P111" t="b">
        <v>1</v>
      </c>
      <c r="Q111" t="s">
        <v>3069</v>
      </c>
    </row>
    <row r="112" spans="1:17" x14ac:dyDescent="0.35">
      <c r="A112" t="s">
        <v>694</v>
      </c>
      <c r="B112" t="s">
        <v>214</v>
      </c>
      <c r="C112" t="s">
        <v>2424</v>
      </c>
      <c r="D112" t="s">
        <v>3649</v>
      </c>
      <c r="E112">
        <v>1</v>
      </c>
      <c r="F112">
        <v>1</v>
      </c>
      <c r="G112">
        <v>14</v>
      </c>
      <c r="H112">
        <v>5</v>
      </c>
      <c r="I112" t="s">
        <v>791</v>
      </c>
      <c r="J112" t="s">
        <v>2568</v>
      </c>
      <c r="K112" t="s">
        <v>459</v>
      </c>
      <c r="L112" s="1" t="str">
        <f>HYPERLINK("https://ovidsp.ovid.com/ovidweb.cgi?T=JS&amp;NEWS=n&amp;CSC=Y&amp;PAGE=toc&amp;D=yrovft&amp;AN=01445488-000000000-00000","https://ovidsp.ovid.com/ovidweb.cgi?T=JS&amp;NEWS=n&amp;CSC=Y&amp;PAGE=toc&amp;D=yrovft&amp;AN=01445488-000000000-00000")</f>
        <v>https://ovidsp.ovid.com/ovidweb.cgi?T=JS&amp;NEWS=n&amp;CSC=Y&amp;PAGE=toc&amp;D=yrovft&amp;AN=01445488-000000000-00000</v>
      </c>
      <c r="M112" t="s">
        <v>3611</v>
      </c>
      <c r="N112" t="s">
        <v>2424</v>
      </c>
      <c r="O112" t="s">
        <v>3542</v>
      </c>
      <c r="P112" t="b">
        <v>1</v>
      </c>
      <c r="Q112" t="s">
        <v>1967</v>
      </c>
    </row>
    <row r="113" spans="1:17" x14ac:dyDescent="0.35">
      <c r="A113" t="s">
        <v>2856</v>
      </c>
      <c r="B113" t="s">
        <v>562</v>
      </c>
      <c r="C113" t="s">
        <v>2424</v>
      </c>
      <c r="D113" t="s">
        <v>50</v>
      </c>
      <c r="E113">
        <v>1</v>
      </c>
      <c r="F113">
        <v>1</v>
      </c>
      <c r="G113">
        <v>5</v>
      </c>
      <c r="H113">
        <v>2</v>
      </c>
      <c r="I113" t="s">
        <v>81</v>
      </c>
      <c r="J113" t="s">
        <v>2783</v>
      </c>
      <c r="K113" t="s">
        <v>234</v>
      </c>
      <c r="L113" s="1" t="str">
        <f>HYPERLINK("https://ovidsp.ovid.com/ovidweb.cgi?T=JS&amp;NEWS=n&amp;CSC=Y&amp;PAGE=toc&amp;D=yrovft&amp;AN=02039743-000000000-00000","https://ovidsp.ovid.com/ovidweb.cgi?T=JS&amp;NEWS=n&amp;CSC=Y&amp;PAGE=toc&amp;D=yrovft&amp;AN=02039743-000000000-00000")</f>
        <v>https://ovidsp.ovid.com/ovidweb.cgi?T=JS&amp;NEWS=n&amp;CSC=Y&amp;PAGE=toc&amp;D=yrovft&amp;AN=02039743-000000000-00000</v>
      </c>
      <c r="M113" t="s">
        <v>2603</v>
      </c>
      <c r="N113" t="s">
        <v>2424</v>
      </c>
      <c r="O113" t="s">
        <v>2563</v>
      </c>
      <c r="P113" t="b">
        <v>0</v>
      </c>
      <c r="Q113" t="s">
        <v>2424</v>
      </c>
    </row>
    <row r="114" spans="1:17" x14ac:dyDescent="0.35">
      <c r="A114" t="s">
        <v>3584</v>
      </c>
      <c r="B114" t="s">
        <v>2550</v>
      </c>
      <c r="C114" t="s">
        <v>2424</v>
      </c>
      <c r="D114" t="s">
        <v>50</v>
      </c>
      <c r="E114">
        <v>1</v>
      </c>
      <c r="F114">
        <v>1</v>
      </c>
      <c r="G114">
        <v>2</v>
      </c>
      <c r="H114">
        <v>1</v>
      </c>
      <c r="I114" t="s">
        <v>1107</v>
      </c>
      <c r="J114" t="s">
        <v>2207</v>
      </c>
      <c r="K114" t="s">
        <v>2423</v>
      </c>
      <c r="L114" s="1" t="str">
        <f>HYPERLINK("https://ovidsp.ovid.com/ovidweb.cgi?T=JS&amp;NEWS=n&amp;CSC=Y&amp;PAGE=toc&amp;D=yrovft&amp;AN=02249956-000000000-00000","https://ovidsp.ovid.com/ovidweb.cgi?T=JS&amp;NEWS=n&amp;CSC=Y&amp;PAGE=toc&amp;D=yrovft&amp;AN=02249956-000000000-00000")</f>
        <v>https://ovidsp.ovid.com/ovidweb.cgi?T=JS&amp;NEWS=n&amp;CSC=Y&amp;PAGE=toc&amp;D=yrovft&amp;AN=02249956-000000000-00000</v>
      </c>
      <c r="M114" t="s">
        <v>645</v>
      </c>
      <c r="N114" t="s">
        <v>2424</v>
      </c>
      <c r="O114" t="s">
        <v>2750</v>
      </c>
      <c r="P114" t="b">
        <v>0</v>
      </c>
      <c r="Q114" t="s">
        <v>2424</v>
      </c>
    </row>
    <row r="115" spans="1:17" x14ac:dyDescent="0.35">
      <c r="A115" t="s">
        <v>3035</v>
      </c>
      <c r="B115" t="s">
        <v>2424</v>
      </c>
      <c r="C115" t="s">
        <v>2424</v>
      </c>
      <c r="D115" t="s">
        <v>3649</v>
      </c>
      <c r="E115">
        <v>1</v>
      </c>
      <c r="F115">
        <v>1</v>
      </c>
      <c r="G115">
        <v>4</v>
      </c>
      <c r="H115">
        <v>1</v>
      </c>
      <c r="I115" t="s">
        <v>1318</v>
      </c>
      <c r="J115" t="s">
        <v>3154</v>
      </c>
      <c r="K115" t="s">
        <v>983</v>
      </c>
      <c r="L115" s="1" t="str">
        <f>HYPERLINK("https://ovidsp.ovid.com/ovidweb.cgi?T=JS&amp;NEWS=n&amp;CSC=Y&amp;PAGE=toc&amp;D=yrovft&amp;AN=02112950-000000000-00000","https://ovidsp.ovid.com/ovidweb.cgi?T=JS&amp;NEWS=n&amp;CSC=Y&amp;PAGE=toc&amp;D=yrovft&amp;AN=02112950-000000000-00000")</f>
        <v>https://ovidsp.ovid.com/ovidweb.cgi?T=JS&amp;NEWS=n&amp;CSC=Y&amp;PAGE=toc&amp;D=yrovft&amp;AN=02112950-000000000-00000</v>
      </c>
      <c r="M115" t="s">
        <v>641</v>
      </c>
      <c r="N115" t="s">
        <v>2424</v>
      </c>
      <c r="O115" t="s">
        <v>1087</v>
      </c>
      <c r="P115" t="b">
        <v>0</v>
      </c>
      <c r="Q115" t="s">
        <v>2424</v>
      </c>
    </row>
    <row r="116" spans="1:17" x14ac:dyDescent="0.35">
      <c r="A116" t="s">
        <v>2944</v>
      </c>
      <c r="B116" t="s">
        <v>2424</v>
      </c>
      <c r="C116" t="s">
        <v>2424</v>
      </c>
      <c r="D116" t="s">
        <v>50</v>
      </c>
      <c r="E116">
        <v>1</v>
      </c>
      <c r="F116">
        <v>1</v>
      </c>
      <c r="G116">
        <v>7</v>
      </c>
      <c r="H116">
        <v>3</v>
      </c>
      <c r="I116" t="s">
        <v>686</v>
      </c>
      <c r="J116" t="s">
        <v>100</v>
      </c>
      <c r="K116" t="s">
        <v>1489</v>
      </c>
      <c r="L116" s="1" t="str">
        <f>HYPERLINK("https://ovidsp.ovid.com/ovidweb.cgi?T=JS&amp;NEWS=n&amp;CSC=Y&amp;PAGE=toc&amp;D=yrovft&amp;AN=01938936-000000000-00000","https://ovidsp.ovid.com/ovidweb.cgi?T=JS&amp;NEWS=n&amp;CSC=Y&amp;PAGE=toc&amp;D=yrovft&amp;AN=01938936-000000000-00000")</f>
        <v>https://ovidsp.ovid.com/ovidweb.cgi?T=JS&amp;NEWS=n&amp;CSC=Y&amp;PAGE=toc&amp;D=yrovft&amp;AN=01938936-000000000-00000</v>
      </c>
      <c r="M116" t="s">
        <v>3055</v>
      </c>
      <c r="N116" t="s">
        <v>2424</v>
      </c>
      <c r="O116" t="s">
        <v>1010</v>
      </c>
      <c r="P116" t="b">
        <v>0</v>
      </c>
      <c r="Q116" t="s">
        <v>2424</v>
      </c>
    </row>
    <row r="117" spans="1:17" x14ac:dyDescent="0.35">
      <c r="A117" t="s">
        <v>1458</v>
      </c>
      <c r="B117" t="s">
        <v>2644</v>
      </c>
      <c r="C117" t="s">
        <v>2424</v>
      </c>
      <c r="D117" t="s">
        <v>3649</v>
      </c>
      <c r="E117">
        <v>1</v>
      </c>
      <c r="F117">
        <v>1</v>
      </c>
      <c r="G117">
        <v>6</v>
      </c>
      <c r="H117">
        <v>1</v>
      </c>
      <c r="I117" t="s">
        <v>657</v>
      </c>
      <c r="J117" t="s">
        <v>2286</v>
      </c>
      <c r="K117" t="s">
        <v>983</v>
      </c>
      <c r="L117" s="1" t="str">
        <f>HYPERLINK("https://ovidsp.ovid.com/ovidweb.cgi?T=JS&amp;NEWS=n&amp;CSC=Y&amp;PAGE=toc&amp;D=yrovft&amp;AN=02054633-000000000-00000","https://ovidsp.ovid.com/ovidweb.cgi?T=JS&amp;NEWS=n&amp;CSC=Y&amp;PAGE=toc&amp;D=yrovft&amp;AN=02054633-000000000-00000")</f>
        <v>https://ovidsp.ovid.com/ovidweb.cgi?T=JS&amp;NEWS=n&amp;CSC=Y&amp;PAGE=toc&amp;D=yrovft&amp;AN=02054633-000000000-00000</v>
      </c>
      <c r="M117" t="s">
        <v>2721</v>
      </c>
      <c r="N117" t="s">
        <v>2424</v>
      </c>
      <c r="O117" t="s">
        <v>412</v>
      </c>
      <c r="P117" t="b">
        <v>0</v>
      </c>
      <c r="Q117" t="s">
        <v>2424</v>
      </c>
    </row>
    <row r="118" spans="1:17" x14ac:dyDescent="0.35">
      <c r="A118" t="s">
        <v>2343</v>
      </c>
      <c r="B118" t="s">
        <v>3632</v>
      </c>
      <c r="C118" t="s">
        <v>2424</v>
      </c>
      <c r="D118" t="s">
        <v>50</v>
      </c>
      <c r="E118">
        <v>1</v>
      </c>
      <c r="F118">
        <v>1</v>
      </c>
      <c r="G118">
        <v>7</v>
      </c>
      <c r="H118">
        <v>2</v>
      </c>
      <c r="I118" t="s">
        <v>1151</v>
      </c>
      <c r="J118" t="s">
        <v>424</v>
      </c>
      <c r="K118" t="s">
        <v>2586</v>
      </c>
      <c r="L118" s="1" t="str">
        <f>HYPERLINK("https://ovidsp.ovid.com/ovidweb.cgi?T=JS&amp;NEWS=n&amp;CSC=Y&amp;PAGE=toc&amp;D=yrovft&amp;AN=01949578-000000000-00000","https://ovidsp.ovid.com/ovidweb.cgi?T=JS&amp;NEWS=n&amp;CSC=Y&amp;PAGE=toc&amp;D=yrovft&amp;AN=01949578-000000000-00000")</f>
        <v>https://ovidsp.ovid.com/ovidweb.cgi?T=JS&amp;NEWS=n&amp;CSC=Y&amp;PAGE=toc&amp;D=yrovft&amp;AN=01949578-000000000-00000</v>
      </c>
      <c r="M118" t="s">
        <v>897</v>
      </c>
      <c r="N118" t="s">
        <v>2424</v>
      </c>
      <c r="O118" t="s">
        <v>2742</v>
      </c>
      <c r="P118" t="b">
        <v>0</v>
      </c>
      <c r="Q118" t="s">
        <v>2424</v>
      </c>
    </row>
    <row r="119" spans="1:17" x14ac:dyDescent="0.35">
      <c r="A119" t="s">
        <v>2403</v>
      </c>
      <c r="B119" t="s">
        <v>3250</v>
      </c>
      <c r="C119" t="s">
        <v>2424</v>
      </c>
      <c r="D119" t="s">
        <v>50</v>
      </c>
      <c r="E119">
        <v>1</v>
      </c>
      <c r="F119">
        <v>1</v>
      </c>
      <c r="G119">
        <v>10</v>
      </c>
      <c r="H119">
        <v>5</v>
      </c>
      <c r="I119" t="s">
        <v>2978</v>
      </c>
      <c r="J119" t="s">
        <v>882</v>
      </c>
      <c r="K119" t="s">
        <v>1889</v>
      </c>
      <c r="L119" s="1" t="str">
        <f>HYPERLINK("https://ovidsp.ovid.com/ovidweb.cgi?T=JS&amp;NEWS=n&amp;CSC=Y&amp;PAGE=toc&amp;D=yrovft&amp;AN=01720096-000000000-00000","https://ovidsp.ovid.com/ovidweb.cgi?T=JS&amp;NEWS=n&amp;CSC=Y&amp;PAGE=toc&amp;D=yrovft&amp;AN=01720096-000000000-00000")</f>
        <v>https://ovidsp.ovid.com/ovidweb.cgi?T=JS&amp;NEWS=n&amp;CSC=Y&amp;PAGE=toc&amp;D=yrovft&amp;AN=01720096-000000000-00000</v>
      </c>
      <c r="M119" t="s">
        <v>724</v>
      </c>
      <c r="N119" t="s">
        <v>2424</v>
      </c>
      <c r="O119" t="s">
        <v>771</v>
      </c>
      <c r="P119" t="b">
        <v>0</v>
      </c>
      <c r="Q119" t="s">
        <v>2424</v>
      </c>
    </row>
    <row r="120" spans="1:17" x14ac:dyDescent="0.35">
      <c r="A120" t="s">
        <v>573</v>
      </c>
      <c r="B120" t="s">
        <v>2070</v>
      </c>
      <c r="C120" t="s">
        <v>2424</v>
      </c>
      <c r="D120" t="s">
        <v>50</v>
      </c>
      <c r="E120">
        <v>1</v>
      </c>
      <c r="F120">
        <v>1</v>
      </c>
      <c r="G120">
        <v>7</v>
      </c>
      <c r="H120">
        <v>2</v>
      </c>
      <c r="I120" t="s">
        <v>2245</v>
      </c>
      <c r="J120" t="s">
        <v>221</v>
      </c>
      <c r="K120" t="s">
        <v>2428</v>
      </c>
      <c r="L120" s="1" t="str">
        <f>HYPERLINK("https://ovidsp.ovid.com/ovidweb.cgi?T=JS&amp;NEWS=n&amp;CSC=Y&amp;PAGE=toc&amp;D=yrovft&amp;AN=02054639-000000000-00000","https://ovidsp.ovid.com/ovidweb.cgi?T=JS&amp;NEWS=n&amp;CSC=Y&amp;PAGE=toc&amp;D=yrovft&amp;AN=02054639-000000000-00000")</f>
        <v>https://ovidsp.ovid.com/ovidweb.cgi?T=JS&amp;NEWS=n&amp;CSC=Y&amp;PAGE=toc&amp;D=yrovft&amp;AN=02054639-000000000-00000</v>
      </c>
      <c r="M120" t="s">
        <v>2107</v>
      </c>
      <c r="N120" t="s">
        <v>2424</v>
      </c>
      <c r="O120" t="s">
        <v>1292</v>
      </c>
      <c r="P120" t="b">
        <v>0</v>
      </c>
      <c r="Q120" t="s">
        <v>2424</v>
      </c>
    </row>
    <row r="121" spans="1:17" x14ac:dyDescent="0.35">
      <c r="A121" t="s">
        <v>3031</v>
      </c>
      <c r="B121" t="s">
        <v>2424</v>
      </c>
      <c r="C121" t="s">
        <v>2424</v>
      </c>
      <c r="D121" t="s">
        <v>3649</v>
      </c>
      <c r="E121">
        <v>9</v>
      </c>
      <c r="F121">
        <v>1</v>
      </c>
      <c r="G121">
        <v>10</v>
      </c>
      <c r="H121">
        <v>3</v>
      </c>
      <c r="I121" t="s">
        <v>3331</v>
      </c>
      <c r="J121" t="s">
        <v>1894</v>
      </c>
      <c r="K121" t="s">
        <v>1604</v>
      </c>
      <c r="L121" s="1" t="str">
        <f>HYPERLINK("https://ovidsp.ovid.com/ovidweb.cgi?T=JS&amp;NEWS=n&amp;CSC=Y&amp;PAGE=toc&amp;D=yrovft&amp;AN=02186224-000000000-00000","https://ovidsp.ovid.com/ovidweb.cgi?T=JS&amp;NEWS=n&amp;CSC=Y&amp;PAGE=toc&amp;D=yrovft&amp;AN=02186224-000000000-00000")</f>
        <v>https://ovidsp.ovid.com/ovidweb.cgi?T=JS&amp;NEWS=n&amp;CSC=Y&amp;PAGE=toc&amp;D=yrovft&amp;AN=02186224-000000000-00000</v>
      </c>
      <c r="M121" t="s">
        <v>49</v>
      </c>
      <c r="N121" t="s">
        <v>2424</v>
      </c>
      <c r="O121" t="s">
        <v>423</v>
      </c>
      <c r="P121" t="b">
        <v>0</v>
      </c>
      <c r="Q121" t="s">
        <v>2424</v>
      </c>
    </row>
    <row r="122" spans="1:17" x14ac:dyDescent="0.35">
      <c r="A122" t="s">
        <v>986</v>
      </c>
      <c r="B122" t="s">
        <v>140</v>
      </c>
      <c r="C122" t="s">
        <v>2424</v>
      </c>
      <c r="D122" t="s">
        <v>50</v>
      </c>
      <c r="E122">
        <v>1</v>
      </c>
      <c r="F122">
        <v>1</v>
      </c>
      <c r="G122">
        <v>1</v>
      </c>
      <c r="H122">
        <v>1</v>
      </c>
      <c r="I122" t="s">
        <v>3610</v>
      </c>
      <c r="J122" t="s">
        <v>2132</v>
      </c>
      <c r="K122" t="s">
        <v>2132</v>
      </c>
      <c r="L122" s="1" t="str">
        <f>HYPERLINK("https://ovidsp.ovid.com/ovidweb.cgi?T=JS&amp;NEWS=n&amp;CSC=Y&amp;PAGE=toc&amp;D=yrovft&amp;AN=02272506-000000000-00000","https://ovidsp.ovid.com/ovidweb.cgi?T=JS&amp;NEWS=n&amp;CSC=Y&amp;PAGE=toc&amp;D=yrovft&amp;AN=02272506-000000000-00000")</f>
        <v>https://ovidsp.ovid.com/ovidweb.cgi?T=JS&amp;NEWS=n&amp;CSC=Y&amp;PAGE=toc&amp;D=yrovft&amp;AN=02272506-000000000-00000</v>
      </c>
      <c r="M122" t="s">
        <v>3484</v>
      </c>
      <c r="N122" t="s">
        <v>2424</v>
      </c>
      <c r="O122" t="s">
        <v>312</v>
      </c>
      <c r="P122" t="b">
        <v>0</v>
      </c>
      <c r="Q122" t="s">
        <v>2424</v>
      </c>
    </row>
    <row r="123" spans="1:17" x14ac:dyDescent="0.35">
      <c r="A123" t="s">
        <v>644</v>
      </c>
      <c r="B123" t="s">
        <v>2307</v>
      </c>
      <c r="C123" t="s">
        <v>2424</v>
      </c>
      <c r="D123" t="s">
        <v>50</v>
      </c>
      <c r="E123">
        <v>1</v>
      </c>
      <c r="F123">
        <v>1</v>
      </c>
      <c r="G123">
        <v>5</v>
      </c>
      <c r="H123">
        <v>0</v>
      </c>
      <c r="I123" t="s">
        <v>3230</v>
      </c>
      <c r="J123" t="s">
        <v>2363</v>
      </c>
      <c r="K123" t="s">
        <v>2416</v>
      </c>
      <c r="L123" s="1" t="str">
        <f>HYPERLINK("https://ovidsp.ovid.com/ovidweb.cgi?T=JS&amp;NEWS=n&amp;CSC=Y&amp;PAGE=toc&amp;D=yrovft&amp;AN=01960908-000000000-00000","https://ovidsp.ovid.com/ovidweb.cgi?T=JS&amp;NEWS=n&amp;CSC=Y&amp;PAGE=toc&amp;D=yrovft&amp;AN=01960908-000000000-00000")</f>
        <v>https://ovidsp.ovid.com/ovidweb.cgi?T=JS&amp;NEWS=n&amp;CSC=Y&amp;PAGE=toc&amp;D=yrovft&amp;AN=01960908-000000000-00000</v>
      </c>
      <c r="M123" t="s">
        <v>1428</v>
      </c>
      <c r="N123" t="s">
        <v>2424</v>
      </c>
      <c r="O123" t="s">
        <v>2202</v>
      </c>
      <c r="P123" t="b">
        <v>0</v>
      </c>
      <c r="Q123" t="s">
        <v>2424</v>
      </c>
    </row>
    <row r="124" spans="1:17" x14ac:dyDescent="0.35">
      <c r="A124" t="s">
        <v>2832</v>
      </c>
      <c r="B124" t="s">
        <v>2013</v>
      </c>
      <c r="C124" t="s">
        <v>3479</v>
      </c>
      <c r="D124" t="s">
        <v>50</v>
      </c>
      <c r="E124">
        <v>39</v>
      </c>
      <c r="F124">
        <v>1</v>
      </c>
      <c r="G124">
        <v>46</v>
      </c>
      <c r="H124">
        <v>2</v>
      </c>
      <c r="I124" t="s">
        <v>122</v>
      </c>
      <c r="J124" t="s">
        <v>1786</v>
      </c>
      <c r="K124" t="s">
        <v>2093</v>
      </c>
      <c r="L124" s="1" t="str">
        <f>HYPERLINK("https://ovidsp.ovid.com/ovidweb.cgi?T=JS&amp;NEWS=n&amp;CSC=Y&amp;PAGE=toc&amp;D=yrovft&amp;AN=00006479-000000000-00000","https://ovidsp.ovid.com/ovidweb.cgi?T=JS&amp;NEWS=n&amp;CSC=Y&amp;PAGE=toc&amp;D=yrovft&amp;AN=00006479-000000000-00000")</f>
        <v>https://ovidsp.ovid.com/ovidweb.cgi?T=JS&amp;NEWS=n&amp;CSC=Y&amp;PAGE=toc&amp;D=yrovft&amp;AN=00006479-000000000-00000</v>
      </c>
      <c r="M124" t="s">
        <v>3422</v>
      </c>
      <c r="N124" t="s">
        <v>2424</v>
      </c>
      <c r="O124" t="s">
        <v>3333</v>
      </c>
      <c r="P124" t="b">
        <v>1</v>
      </c>
      <c r="Q124" t="s">
        <v>1266</v>
      </c>
    </row>
    <row r="125" spans="1:17" x14ac:dyDescent="0.35">
      <c r="A125" t="s">
        <v>3522</v>
      </c>
      <c r="B125" t="s">
        <v>2424</v>
      </c>
      <c r="C125" t="s">
        <v>2424</v>
      </c>
      <c r="D125" t="s">
        <v>3649</v>
      </c>
      <c r="E125">
        <v>1</v>
      </c>
      <c r="F125">
        <v>1</v>
      </c>
      <c r="G125">
        <v>4</v>
      </c>
      <c r="H125">
        <v>1</v>
      </c>
      <c r="I125" t="s">
        <v>2060</v>
      </c>
      <c r="J125" t="s">
        <v>3150</v>
      </c>
      <c r="K125" t="s">
        <v>2017</v>
      </c>
      <c r="L125" s="1" t="str">
        <f>HYPERLINK("https://ovidsp.ovid.com/ovidweb.cgi?T=JS&amp;NEWS=n&amp;CSC=Y&amp;PAGE=toc&amp;D=yrovft&amp;AN=02145553-000000000-00000","https://ovidsp.ovid.com/ovidweb.cgi?T=JS&amp;NEWS=n&amp;CSC=Y&amp;PAGE=toc&amp;D=yrovft&amp;AN=02145553-000000000-00000")</f>
        <v>https://ovidsp.ovid.com/ovidweb.cgi?T=JS&amp;NEWS=n&amp;CSC=Y&amp;PAGE=toc&amp;D=yrovft&amp;AN=02145553-000000000-00000</v>
      </c>
      <c r="M125" t="s">
        <v>610</v>
      </c>
      <c r="N125" t="s">
        <v>2424</v>
      </c>
      <c r="O125" t="s">
        <v>1143</v>
      </c>
      <c r="P125" t="b">
        <v>0</v>
      </c>
      <c r="Q125" t="s">
        <v>2424</v>
      </c>
    </row>
    <row r="126" spans="1:17" x14ac:dyDescent="0.35">
      <c r="A126" t="s">
        <v>3103</v>
      </c>
      <c r="B126" t="s">
        <v>3607</v>
      </c>
      <c r="C126" t="s">
        <v>2424</v>
      </c>
      <c r="D126" t="s">
        <v>654</v>
      </c>
      <c r="E126">
        <v>1</v>
      </c>
      <c r="F126">
        <v>1</v>
      </c>
      <c r="G126">
        <v>17</v>
      </c>
      <c r="H126">
        <v>4</v>
      </c>
      <c r="I126" t="s">
        <v>916</v>
      </c>
      <c r="J126" t="s">
        <v>2249</v>
      </c>
      <c r="K126" t="s">
        <v>816</v>
      </c>
      <c r="L126" s="1" t="str">
        <f>HYPERLINK("https://ovidsp.ovid.com/ovidweb.cgi?T=JS&amp;NEWS=n&amp;CSC=Y&amp;PAGE=toc&amp;D=yrovft&amp;AN=00134459-000000000-00000","https://ovidsp.ovid.com/ovidweb.cgi?T=JS&amp;NEWS=n&amp;CSC=Y&amp;PAGE=toc&amp;D=yrovft&amp;AN=00134459-000000000-00000")</f>
        <v>https://ovidsp.ovid.com/ovidweb.cgi?T=JS&amp;NEWS=n&amp;CSC=Y&amp;PAGE=toc&amp;D=yrovft&amp;AN=00134459-000000000-00000</v>
      </c>
      <c r="M126" t="s">
        <v>952</v>
      </c>
      <c r="N126" t="s">
        <v>2424</v>
      </c>
      <c r="O126" t="s">
        <v>1526</v>
      </c>
      <c r="P126" t="b">
        <v>1</v>
      </c>
      <c r="Q126" t="s">
        <v>7</v>
      </c>
    </row>
    <row r="127" spans="1:17" x14ac:dyDescent="0.35">
      <c r="A127" t="s">
        <v>1638</v>
      </c>
      <c r="B127" t="s">
        <v>2424</v>
      </c>
      <c r="C127" t="s">
        <v>2424</v>
      </c>
      <c r="D127" t="s">
        <v>3369</v>
      </c>
      <c r="E127">
        <v>7</v>
      </c>
      <c r="F127">
        <v>6</v>
      </c>
      <c r="G127">
        <v>8</v>
      </c>
      <c r="H127">
        <v>18</v>
      </c>
      <c r="I127" t="s">
        <v>3636</v>
      </c>
      <c r="J127" t="s">
        <v>1875</v>
      </c>
      <c r="K127" t="s">
        <v>145</v>
      </c>
      <c r="L127" s="1" t="str">
        <f>HYPERLINK("https://ovidsp.ovid.com/ovidweb.cgi?T=JS&amp;NEWS=n&amp;CSC=Y&amp;PAGE=toc&amp;D=yrovft&amp;AN=01906638-000000000-00000","https://ovidsp.ovid.com/ovidweb.cgi?T=JS&amp;NEWS=n&amp;CSC=Y&amp;PAGE=toc&amp;D=yrovft&amp;AN=01906638-000000000-00000")</f>
        <v>https://ovidsp.ovid.com/ovidweb.cgi?T=JS&amp;NEWS=n&amp;CSC=Y&amp;PAGE=toc&amp;D=yrovft&amp;AN=01906638-000000000-00000</v>
      </c>
      <c r="M127" t="s">
        <v>1451</v>
      </c>
      <c r="N127" t="s">
        <v>2424</v>
      </c>
      <c r="O127" t="s">
        <v>3606</v>
      </c>
      <c r="P127" t="b">
        <v>0</v>
      </c>
      <c r="Q127" t="s">
        <v>2424</v>
      </c>
    </row>
    <row r="128" spans="1:17" x14ac:dyDescent="0.35">
      <c r="A128" t="s">
        <v>3313</v>
      </c>
      <c r="B128" t="s">
        <v>156</v>
      </c>
      <c r="C128" t="s">
        <v>2424</v>
      </c>
      <c r="D128" t="s">
        <v>3649</v>
      </c>
      <c r="E128">
        <v>2</v>
      </c>
      <c r="F128">
        <v>1</v>
      </c>
      <c r="G128">
        <v>28</v>
      </c>
      <c r="H128">
        <v>2</v>
      </c>
      <c r="I128" t="s">
        <v>2734</v>
      </c>
      <c r="J128" t="s">
        <v>3296</v>
      </c>
      <c r="K128" t="s">
        <v>983</v>
      </c>
      <c r="L128" s="1" t="str">
        <f>HYPERLINK("https://ovidsp.ovid.com/ovidweb.cgi?T=JS&amp;NEWS=n&amp;CSC=Y&amp;PAGE=toc&amp;D=yrovft&amp;AN=00061349-000000000-00000","https://ovidsp.ovid.com/ovidweb.cgi?T=JS&amp;NEWS=n&amp;CSC=Y&amp;PAGE=toc&amp;D=yrovft&amp;AN=00061349-000000000-00000")</f>
        <v>https://ovidsp.ovid.com/ovidweb.cgi?T=JS&amp;NEWS=n&amp;CSC=Y&amp;PAGE=toc&amp;D=yrovft&amp;AN=00061349-000000000-00000</v>
      </c>
      <c r="M128" t="s">
        <v>3048</v>
      </c>
      <c r="N128" t="s">
        <v>2424</v>
      </c>
      <c r="O128" t="s">
        <v>1531</v>
      </c>
      <c r="P128" t="b">
        <v>1</v>
      </c>
      <c r="Q128" t="s">
        <v>2439</v>
      </c>
    </row>
    <row r="129" spans="1:17" x14ac:dyDescent="0.35">
      <c r="A129" t="s">
        <v>2411</v>
      </c>
      <c r="B129" t="s">
        <v>3728</v>
      </c>
      <c r="C129" t="s">
        <v>2424</v>
      </c>
      <c r="D129" t="s">
        <v>2855</v>
      </c>
      <c r="E129">
        <v>4</v>
      </c>
      <c r="F129">
        <v>1</v>
      </c>
      <c r="G129">
        <v>17</v>
      </c>
      <c r="H129">
        <v>5</v>
      </c>
      <c r="I129" t="s">
        <v>3235</v>
      </c>
      <c r="J129" t="s">
        <v>2671</v>
      </c>
      <c r="K129" t="s">
        <v>459</v>
      </c>
      <c r="L129" s="1" t="str">
        <f>HYPERLINK("https://ovidsp.ovid.com/ovidweb.cgi?T=JS&amp;NEWS=n&amp;CSC=Y&amp;PAGE=toc&amp;D=yrovft&amp;AN=01272067-000000000-00000","https://ovidsp.ovid.com/ovidweb.cgi?T=JS&amp;NEWS=n&amp;CSC=Y&amp;PAGE=toc&amp;D=yrovft&amp;AN=01272067-000000000-00000")</f>
        <v>https://ovidsp.ovid.com/ovidweb.cgi?T=JS&amp;NEWS=n&amp;CSC=Y&amp;PAGE=toc&amp;D=yrovft&amp;AN=01272067-000000000-00000</v>
      </c>
      <c r="M129" t="s">
        <v>3696</v>
      </c>
      <c r="N129" t="s">
        <v>2424</v>
      </c>
      <c r="O129" t="s">
        <v>2195</v>
      </c>
      <c r="P129" t="b">
        <v>1</v>
      </c>
      <c r="Q129" t="s">
        <v>2328</v>
      </c>
    </row>
    <row r="130" spans="1:17" x14ac:dyDescent="0.35">
      <c r="A130" t="s">
        <v>2827</v>
      </c>
      <c r="B130" t="s">
        <v>2888</v>
      </c>
      <c r="C130" t="s">
        <v>2424</v>
      </c>
      <c r="D130" t="s">
        <v>3649</v>
      </c>
      <c r="E130">
        <v>4</v>
      </c>
      <c r="F130">
        <v>1</v>
      </c>
      <c r="G130">
        <v>10</v>
      </c>
      <c r="H130">
        <v>12</v>
      </c>
      <c r="I130" t="s">
        <v>1686</v>
      </c>
      <c r="J130" t="s">
        <v>2340</v>
      </c>
      <c r="K130" t="s">
        <v>1154</v>
      </c>
      <c r="L130" s="1" t="str">
        <f>HYPERLINK("https://ovidsp.ovid.com/ovidweb.cgi?T=JS&amp;NEWS=n&amp;CSC=Y&amp;PAGE=toc&amp;D=yrovft&amp;AN=02003505-000000000-00000","https://ovidsp.ovid.com/ovidweb.cgi?T=JS&amp;NEWS=n&amp;CSC=Y&amp;PAGE=toc&amp;D=yrovft&amp;AN=02003505-000000000-00000")</f>
        <v>https://ovidsp.ovid.com/ovidweb.cgi?T=JS&amp;NEWS=n&amp;CSC=Y&amp;PAGE=toc&amp;D=yrovft&amp;AN=02003505-000000000-00000</v>
      </c>
      <c r="M130" t="s">
        <v>2118</v>
      </c>
      <c r="N130" t="s">
        <v>2424</v>
      </c>
      <c r="O130" t="s">
        <v>884</v>
      </c>
      <c r="P130" t="b">
        <v>1</v>
      </c>
      <c r="Q130" t="s">
        <v>1367</v>
      </c>
    </row>
    <row r="131" spans="1:17" x14ac:dyDescent="0.35">
      <c r="A131" t="s">
        <v>1743</v>
      </c>
      <c r="B131" t="s">
        <v>1937</v>
      </c>
      <c r="C131" t="s">
        <v>2424</v>
      </c>
      <c r="D131" t="s">
        <v>1323</v>
      </c>
      <c r="E131">
        <v>1</v>
      </c>
      <c r="F131">
        <v>1</v>
      </c>
      <c r="G131">
        <v>18</v>
      </c>
      <c r="H131">
        <v>0</v>
      </c>
      <c r="I131" t="s">
        <v>2347</v>
      </c>
      <c r="J131" t="s">
        <v>3162</v>
      </c>
      <c r="K131" t="s">
        <v>3016</v>
      </c>
      <c r="L131" s="1" t="str">
        <f>HYPERLINK("https://ovidsp.ovid.com/ovidweb.cgi?T=JS&amp;NEWS=n&amp;CSC=Y&amp;PAGE=toc&amp;D=yrovft&amp;AN=00147124-000000000-00000","https://ovidsp.ovid.com/ovidweb.cgi?T=JS&amp;NEWS=n&amp;CSC=Y&amp;PAGE=toc&amp;D=yrovft&amp;AN=00147124-000000000-00000")</f>
        <v>https://ovidsp.ovid.com/ovidweb.cgi?T=JS&amp;NEWS=n&amp;CSC=Y&amp;PAGE=toc&amp;D=yrovft&amp;AN=00147124-000000000-00000</v>
      </c>
      <c r="M131" t="s">
        <v>2425</v>
      </c>
      <c r="N131" t="s">
        <v>2424</v>
      </c>
      <c r="O131" t="s">
        <v>898</v>
      </c>
      <c r="P131" t="b">
        <v>0</v>
      </c>
      <c r="Q131" t="s">
        <v>2424</v>
      </c>
    </row>
    <row r="132" spans="1:17" x14ac:dyDescent="0.35">
      <c r="A132" t="s">
        <v>196</v>
      </c>
      <c r="B132" t="s">
        <v>3241</v>
      </c>
      <c r="C132" t="s">
        <v>2424</v>
      </c>
      <c r="D132" t="s">
        <v>3649</v>
      </c>
      <c r="E132">
        <v>1</v>
      </c>
      <c r="F132">
        <v>1</v>
      </c>
      <c r="G132">
        <v>16</v>
      </c>
      <c r="H132">
        <v>4</v>
      </c>
      <c r="I132" t="s">
        <v>2587</v>
      </c>
      <c r="J132" t="s">
        <v>1516</v>
      </c>
      <c r="K132" t="s">
        <v>2017</v>
      </c>
      <c r="L132" s="1" t="str">
        <f>HYPERLINK("https://ovidsp.ovid.com/ovidweb.cgi?T=JS&amp;NEWS=n&amp;CSC=Y&amp;PAGE=toc&amp;D=yrovft&amp;AN=01300413-000000000-00000","https://ovidsp.ovid.com/ovidweb.cgi?T=JS&amp;NEWS=n&amp;CSC=Y&amp;PAGE=toc&amp;D=yrovft&amp;AN=01300413-000000000-00000")</f>
        <v>https://ovidsp.ovid.com/ovidweb.cgi?T=JS&amp;NEWS=n&amp;CSC=Y&amp;PAGE=toc&amp;D=yrovft&amp;AN=01300413-000000000-00000</v>
      </c>
      <c r="M132" t="s">
        <v>3376</v>
      </c>
      <c r="N132" t="s">
        <v>2424</v>
      </c>
      <c r="O132" t="s">
        <v>720</v>
      </c>
      <c r="P132" t="b">
        <v>1</v>
      </c>
      <c r="Q132" t="s">
        <v>551</v>
      </c>
    </row>
    <row r="133" spans="1:17" x14ac:dyDescent="0.35">
      <c r="A133" t="s">
        <v>3213</v>
      </c>
      <c r="B133" t="s">
        <v>1585</v>
      </c>
      <c r="C133" t="s">
        <v>2424</v>
      </c>
      <c r="D133" t="s">
        <v>3649</v>
      </c>
      <c r="E133">
        <v>35</v>
      </c>
      <c r="F133">
        <v>1</v>
      </c>
      <c r="G133">
        <v>38</v>
      </c>
      <c r="H133">
        <v>5</v>
      </c>
      <c r="I133" t="s">
        <v>844</v>
      </c>
      <c r="J133" t="s">
        <v>3016</v>
      </c>
      <c r="K133" t="s">
        <v>459</v>
      </c>
      <c r="L133" s="1" t="str">
        <f>HYPERLINK("https://ovidsp.ovid.com/ovidweb.cgi?T=JS&amp;NEWS=n&amp;CSC=Y&amp;PAGE=toc&amp;D=yrovft&amp;AN=02112952-000000000-00000","https://ovidsp.ovid.com/ovidweb.cgi?T=JS&amp;NEWS=n&amp;CSC=Y&amp;PAGE=toc&amp;D=yrovft&amp;AN=02112952-000000000-00000")</f>
        <v>https://ovidsp.ovid.com/ovidweb.cgi?T=JS&amp;NEWS=n&amp;CSC=Y&amp;PAGE=toc&amp;D=yrovft&amp;AN=02112952-000000000-00000</v>
      </c>
      <c r="M133" t="s">
        <v>1104</v>
      </c>
      <c r="N133" t="s">
        <v>2424</v>
      </c>
      <c r="O133" t="s">
        <v>1147</v>
      </c>
      <c r="P133" t="b">
        <v>0</v>
      </c>
      <c r="Q133" t="s">
        <v>2424</v>
      </c>
    </row>
    <row r="134" spans="1:17" x14ac:dyDescent="0.35">
      <c r="A134" t="s">
        <v>2008</v>
      </c>
      <c r="B134" t="s">
        <v>3700</v>
      </c>
      <c r="C134" t="s">
        <v>2424</v>
      </c>
      <c r="D134" t="s">
        <v>50</v>
      </c>
      <c r="E134">
        <v>11</v>
      </c>
      <c r="F134">
        <v>1</v>
      </c>
      <c r="G134">
        <v>31</v>
      </c>
      <c r="H134">
        <v>1</v>
      </c>
      <c r="I134" t="s">
        <v>841</v>
      </c>
      <c r="J134" t="s">
        <v>913</v>
      </c>
      <c r="K134" t="s">
        <v>3567</v>
      </c>
      <c r="L134" s="1" t="str">
        <f>HYPERLINK("https://ovidsp.ovid.com/ovidweb.cgi?T=JS&amp;NEWS=n&amp;CSC=Y&amp;PAGE=toc&amp;D=yrovft&amp;AN=00002142-000000000-00000","https://ovidsp.ovid.com/ovidweb.cgi?T=JS&amp;NEWS=n&amp;CSC=Y&amp;PAGE=toc&amp;D=yrovft&amp;AN=00002142-000000000-00000")</f>
        <v>https://ovidsp.ovid.com/ovidweb.cgi?T=JS&amp;NEWS=n&amp;CSC=Y&amp;PAGE=toc&amp;D=yrovft&amp;AN=00002142-000000000-00000</v>
      </c>
      <c r="M134" t="s">
        <v>714</v>
      </c>
      <c r="N134" t="s">
        <v>2424</v>
      </c>
      <c r="O134" t="s">
        <v>1424</v>
      </c>
      <c r="P134" t="b">
        <v>0</v>
      </c>
      <c r="Q134" t="s">
        <v>2424</v>
      </c>
    </row>
    <row r="135" spans="1:17" x14ac:dyDescent="0.35">
      <c r="A135" t="s">
        <v>215</v>
      </c>
      <c r="B135" t="s">
        <v>320</v>
      </c>
      <c r="C135" t="s">
        <v>2424</v>
      </c>
      <c r="D135" t="s">
        <v>50</v>
      </c>
      <c r="E135">
        <v>1</v>
      </c>
      <c r="F135">
        <v>1</v>
      </c>
      <c r="G135">
        <v>8</v>
      </c>
      <c r="H135">
        <v>6</v>
      </c>
      <c r="I135" t="s">
        <v>1917</v>
      </c>
      <c r="J135" t="s">
        <v>1786</v>
      </c>
      <c r="K135" t="s">
        <v>639</v>
      </c>
      <c r="L135" s="1" t="str">
        <f>HYPERLINK("https://ovidsp.ovid.com/ovidweb.cgi?T=JS&amp;NEWS=n&amp;CSC=Y&amp;PAGE=toc&amp;D=yrovft&amp;AN=01845228-000000000-00000","https://ovidsp.ovid.com/ovidweb.cgi?T=JS&amp;NEWS=n&amp;CSC=Y&amp;PAGE=toc&amp;D=yrovft&amp;AN=01845228-000000000-00000")</f>
        <v>https://ovidsp.ovid.com/ovidweb.cgi?T=JS&amp;NEWS=n&amp;CSC=Y&amp;PAGE=toc&amp;D=yrovft&amp;AN=01845228-000000000-00000</v>
      </c>
      <c r="M135" t="s">
        <v>2806</v>
      </c>
      <c r="N135" t="s">
        <v>2424</v>
      </c>
      <c r="O135" t="s">
        <v>1409</v>
      </c>
      <c r="P135" t="b">
        <v>0</v>
      </c>
      <c r="Q135" t="s">
        <v>2424</v>
      </c>
    </row>
    <row r="136" spans="1:17" x14ac:dyDescent="0.35">
      <c r="A136" t="s">
        <v>2517</v>
      </c>
      <c r="B136" t="s">
        <v>402</v>
      </c>
      <c r="C136" t="s">
        <v>2424</v>
      </c>
      <c r="D136" t="s">
        <v>3649</v>
      </c>
      <c r="E136">
        <v>1</v>
      </c>
      <c r="F136">
        <v>1</v>
      </c>
      <c r="G136">
        <v>10</v>
      </c>
      <c r="H136">
        <v>4</v>
      </c>
      <c r="I136" t="s">
        <v>353</v>
      </c>
      <c r="J136" t="s">
        <v>2851</v>
      </c>
      <c r="K136" t="s">
        <v>459</v>
      </c>
      <c r="L136" s="1" t="str">
        <f>HYPERLINK("https://ovidsp.ovid.com/ovidweb.cgi?T=JS&amp;NEWS=n&amp;CSC=Y&amp;PAGE=toc&amp;D=yrovft&amp;AN=01752260-000000000-00000","https://ovidsp.ovid.com/ovidweb.cgi?T=JS&amp;NEWS=n&amp;CSC=Y&amp;PAGE=toc&amp;D=yrovft&amp;AN=01752260-000000000-00000")</f>
        <v>https://ovidsp.ovid.com/ovidweb.cgi?T=JS&amp;NEWS=n&amp;CSC=Y&amp;PAGE=toc&amp;D=yrovft&amp;AN=01752260-000000000-00000</v>
      </c>
      <c r="M136" t="s">
        <v>1935</v>
      </c>
      <c r="N136" t="s">
        <v>2424</v>
      </c>
      <c r="O136" t="s">
        <v>2089</v>
      </c>
      <c r="P136" t="b">
        <v>0</v>
      </c>
      <c r="Q136" t="s">
        <v>2424</v>
      </c>
    </row>
    <row r="137" spans="1:17" x14ac:dyDescent="0.35">
      <c r="A137" t="s">
        <v>2709</v>
      </c>
      <c r="B137" t="s">
        <v>2424</v>
      </c>
      <c r="C137" t="s">
        <v>2424</v>
      </c>
      <c r="D137" t="s">
        <v>3649</v>
      </c>
      <c r="E137">
        <v>1</v>
      </c>
      <c r="F137">
        <v>1</v>
      </c>
      <c r="G137">
        <v>8</v>
      </c>
      <c r="H137">
        <v>1</v>
      </c>
      <c r="I137" t="s">
        <v>3414</v>
      </c>
      <c r="J137" t="s">
        <v>1447</v>
      </c>
      <c r="K137" t="s">
        <v>1154</v>
      </c>
      <c r="L137" s="1" t="str">
        <f>HYPERLINK("https://ovidsp.ovid.com/ovidweb.cgi?T=JS&amp;NEWS=n&amp;CSC=Y&amp;PAGE=toc&amp;D=yrovft&amp;AN=01802875-000000000-00000","https://ovidsp.ovid.com/ovidweb.cgi?T=JS&amp;NEWS=n&amp;CSC=Y&amp;PAGE=toc&amp;D=yrovft&amp;AN=01802875-000000000-00000")</f>
        <v>https://ovidsp.ovid.com/ovidweb.cgi?T=JS&amp;NEWS=n&amp;CSC=Y&amp;PAGE=toc&amp;D=yrovft&amp;AN=01802875-000000000-00000</v>
      </c>
      <c r="M137" t="s">
        <v>1867</v>
      </c>
      <c r="N137" t="s">
        <v>2424</v>
      </c>
      <c r="O137" t="s">
        <v>3145</v>
      </c>
      <c r="P137" t="b">
        <v>0</v>
      </c>
      <c r="Q137" t="s">
        <v>2424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Q427"/>
  <sheetViews>
    <sheetView zoomScaleNormal="100" workbookViewId="0">
      <pane ySplit="1" topLeftCell="A2" activePane="bottomLeft" state="frozen"/>
      <selection pane="bottomLeft"/>
    </sheetView>
  </sheetViews>
  <sheetFormatPr defaultColWidth="9.1796875" defaultRowHeight="14.5" x14ac:dyDescent="0.35"/>
  <cols>
    <col min="1" max="1" width="54.7265625" customWidth="1"/>
    <col min="2" max="3" width="14.7265625" customWidth="1"/>
    <col min="4" max="4" width="44.7265625" customWidth="1"/>
    <col min="5" max="5" width="20.7265625" customWidth="1"/>
    <col min="6" max="6" width="19.7265625" customWidth="1"/>
    <col min="7" max="7" width="17.7265625" customWidth="1"/>
    <col min="8" max="8" width="16.7265625" customWidth="1"/>
    <col min="9" max="9" width="19.7265625" customWidth="1"/>
    <col min="10" max="10" width="27.7265625" customWidth="1"/>
    <col min="11" max="11" width="24.7265625" customWidth="1"/>
    <col min="12" max="12" width="64.7265625" customWidth="1"/>
    <col min="13" max="13" width="34.7265625" customWidth="1"/>
    <col min="14" max="14" width="19.7265625" customWidth="1"/>
    <col min="15" max="15" width="44.7265625" customWidth="1"/>
    <col min="16" max="16" width="7.7265625" customWidth="1"/>
    <col min="17" max="17" width="20.7265625" customWidth="1"/>
  </cols>
  <sheetData>
    <row r="1" spans="1:17" x14ac:dyDescent="0.35">
      <c r="A1" s="2" t="s">
        <v>3379</v>
      </c>
      <c r="B1" s="2" t="s">
        <v>2191</v>
      </c>
      <c r="C1" s="2" t="s">
        <v>1253</v>
      </c>
      <c r="D1" s="2" t="s">
        <v>2650</v>
      </c>
      <c r="E1" s="2" t="s">
        <v>2821</v>
      </c>
      <c r="F1" s="2" t="s">
        <v>779</v>
      </c>
      <c r="G1" s="2" t="s">
        <v>2818</v>
      </c>
      <c r="H1" s="2" t="s">
        <v>3498</v>
      </c>
      <c r="I1" s="2" t="s">
        <v>3391</v>
      </c>
      <c r="J1" s="2" t="s">
        <v>1874</v>
      </c>
      <c r="K1" s="2" t="s">
        <v>1224</v>
      </c>
      <c r="L1" s="2" t="s">
        <v>3251</v>
      </c>
      <c r="M1" s="2" t="s">
        <v>707</v>
      </c>
      <c r="N1" s="2" t="s">
        <v>2002</v>
      </c>
      <c r="O1" s="2" t="s">
        <v>2945</v>
      </c>
      <c r="P1" s="2" t="s">
        <v>251</v>
      </c>
      <c r="Q1" s="2" t="s">
        <v>480</v>
      </c>
    </row>
    <row r="2" spans="1:17" x14ac:dyDescent="0.35">
      <c r="A2" t="s">
        <v>2004</v>
      </c>
      <c r="B2" t="s">
        <v>2424</v>
      </c>
      <c r="C2" t="s">
        <v>3427</v>
      </c>
      <c r="D2" t="s">
        <v>50</v>
      </c>
      <c r="E2">
        <v>1</v>
      </c>
      <c r="F2">
        <v>1</v>
      </c>
      <c r="G2">
        <v>4</v>
      </c>
      <c r="H2">
        <v>7</v>
      </c>
      <c r="I2" t="s">
        <v>2129</v>
      </c>
      <c r="J2" t="s">
        <v>3648</v>
      </c>
      <c r="K2" t="s">
        <v>1640</v>
      </c>
      <c r="L2" s="1" t="str">
        <f>HYPERLINK("https://ovidsp.ovid.com/ovidweb.cgi?T=JS&amp;NEWS=n&amp;CSC=Y&amp;PAGE=toc&amp;D=yrovft&amp;AN=01720097-000000000-00000","https://ovidsp.ovid.com/ovidweb.cgi?T=JS&amp;NEWS=n&amp;CSC=Y&amp;PAGE=toc&amp;D=yrovft&amp;AN=01720097-000000000-00000")</f>
        <v>https://ovidsp.ovid.com/ovidweb.cgi?T=JS&amp;NEWS=n&amp;CSC=Y&amp;PAGE=toc&amp;D=yrovft&amp;AN=01720097-000000000-00000</v>
      </c>
      <c r="M2" t="s">
        <v>2305</v>
      </c>
      <c r="N2" t="s">
        <v>2424</v>
      </c>
      <c r="O2" t="s">
        <v>2493</v>
      </c>
      <c r="P2" t="b">
        <v>0</v>
      </c>
      <c r="Q2" t="s">
        <v>2424</v>
      </c>
    </row>
    <row r="3" spans="1:17" x14ac:dyDescent="0.35">
      <c r="A3" t="s">
        <v>1582</v>
      </c>
      <c r="B3" t="s">
        <v>2852</v>
      </c>
      <c r="C3" t="s">
        <v>3172</v>
      </c>
      <c r="D3" t="s">
        <v>50</v>
      </c>
      <c r="E3">
        <v>17</v>
      </c>
      <c r="F3">
        <v>2</v>
      </c>
      <c r="G3">
        <v>21</v>
      </c>
      <c r="H3">
        <v>2</v>
      </c>
      <c r="I3" t="s">
        <v>590</v>
      </c>
      <c r="J3" t="s">
        <v>1314</v>
      </c>
      <c r="K3" t="s">
        <v>2461</v>
      </c>
      <c r="L3" s="1" t="str">
        <f>HYPERLINK("https://ovidsp.ovid.com/ovidweb.cgi?T=JS&amp;NEWS=n&amp;CSC=Y&amp;PAGE=toc&amp;D=yrovft&amp;AN=01256961-000000000-00000","https://ovidsp.ovid.com/ovidweb.cgi?T=JS&amp;NEWS=n&amp;CSC=Y&amp;PAGE=toc&amp;D=yrovft&amp;AN=01256961-000000000-00000")</f>
        <v>https://ovidsp.ovid.com/ovidweb.cgi?T=JS&amp;NEWS=n&amp;CSC=Y&amp;PAGE=toc&amp;D=yrovft&amp;AN=01256961-000000000-00000</v>
      </c>
      <c r="M3" t="s">
        <v>1344</v>
      </c>
      <c r="N3" t="s">
        <v>2424</v>
      </c>
      <c r="O3" t="s">
        <v>2200</v>
      </c>
      <c r="P3" t="b">
        <v>1</v>
      </c>
      <c r="Q3" t="s">
        <v>3406</v>
      </c>
    </row>
    <row r="4" spans="1:17" x14ac:dyDescent="0.35">
      <c r="A4" t="s">
        <v>296</v>
      </c>
      <c r="B4" t="s">
        <v>3341</v>
      </c>
      <c r="C4" t="s">
        <v>3172</v>
      </c>
      <c r="D4" t="s">
        <v>50</v>
      </c>
      <c r="E4">
        <v>12</v>
      </c>
      <c r="F4">
        <v>3</v>
      </c>
      <c r="G4">
        <v>17</v>
      </c>
      <c r="H4">
        <v>1</v>
      </c>
      <c r="I4" t="s">
        <v>2141</v>
      </c>
      <c r="J4" t="s">
        <v>374</v>
      </c>
      <c r="K4" t="s">
        <v>622</v>
      </c>
      <c r="L4" s="1" t="str">
        <f>HYPERLINK("https://ovidsp.ovid.com/ovidweb.cgi?T=JS&amp;NEWS=n&amp;CSC=Y&amp;PAGE=toc&amp;D=yrovft&amp;AN=00044067-000000000-00000","https://ovidsp.ovid.com/ovidweb.cgi?T=JS&amp;NEWS=n&amp;CSC=Y&amp;PAGE=toc&amp;D=yrovft&amp;AN=00044067-000000000-00000")</f>
        <v>https://ovidsp.ovid.com/ovidweb.cgi?T=JS&amp;NEWS=n&amp;CSC=Y&amp;PAGE=toc&amp;D=yrovft&amp;AN=00044067-000000000-00000</v>
      </c>
      <c r="M4" t="s">
        <v>345</v>
      </c>
      <c r="N4" t="s">
        <v>2424</v>
      </c>
      <c r="O4" t="s">
        <v>2774</v>
      </c>
      <c r="P4" t="b">
        <v>0</v>
      </c>
      <c r="Q4" t="s">
        <v>2424</v>
      </c>
    </row>
    <row r="5" spans="1:17" x14ac:dyDescent="0.35">
      <c r="A5" t="s">
        <v>1523</v>
      </c>
      <c r="B5" t="s">
        <v>3236</v>
      </c>
      <c r="C5" t="s">
        <v>2424</v>
      </c>
      <c r="D5" t="s">
        <v>50</v>
      </c>
      <c r="E5">
        <v>75</v>
      </c>
      <c r="F5">
        <v>1</v>
      </c>
      <c r="G5">
        <v>90</v>
      </c>
      <c r="H5">
        <v>4</v>
      </c>
      <c r="I5" t="s">
        <v>413</v>
      </c>
      <c r="J5" t="s">
        <v>382</v>
      </c>
      <c r="K5" t="s">
        <v>1640</v>
      </c>
      <c r="L5" s="1" t="str">
        <f>HYPERLINK("https://ovidsp.ovid.com/ovidweb.cgi?T=JS&amp;NEWS=n&amp;CSC=Y&amp;PAGE=toc&amp;D=yrovft&amp;AN=00001888-000000000-00000","https://ovidsp.ovid.com/ovidweb.cgi?T=JS&amp;NEWS=n&amp;CSC=Y&amp;PAGE=toc&amp;D=yrovft&amp;AN=00001888-000000000-00000")</f>
        <v>https://ovidsp.ovid.com/ovidweb.cgi?T=JS&amp;NEWS=n&amp;CSC=Y&amp;PAGE=toc&amp;D=yrovft&amp;AN=00001888-000000000-00000</v>
      </c>
      <c r="M5" t="s">
        <v>3612</v>
      </c>
      <c r="N5" t="s">
        <v>2424</v>
      </c>
      <c r="O5" t="s">
        <v>2631</v>
      </c>
      <c r="P5" t="b">
        <v>1</v>
      </c>
      <c r="Q5" t="s">
        <v>418</v>
      </c>
    </row>
    <row r="6" spans="1:17" x14ac:dyDescent="0.35">
      <c r="A6" t="s">
        <v>1139</v>
      </c>
      <c r="B6" t="s">
        <v>1377</v>
      </c>
      <c r="C6" t="s">
        <v>2424</v>
      </c>
      <c r="D6" t="s">
        <v>50</v>
      </c>
      <c r="E6">
        <v>0</v>
      </c>
      <c r="F6">
        <v>0</v>
      </c>
      <c r="G6">
        <v>0</v>
      </c>
      <c r="H6">
        <v>0</v>
      </c>
      <c r="I6" t="s">
        <v>1727</v>
      </c>
      <c r="J6" t="s">
        <v>2909</v>
      </c>
      <c r="K6" t="s">
        <v>2837</v>
      </c>
      <c r="L6" s="1" t="str">
        <f>HYPERLINK("https://ovidsp.ovid.com/ovidweb.cgi?T=JS&amp;NEWS=n&amp;CSC=Y&amp;PAGE=toc&amp;D=yrovft&amp;AN=00754481-000000000-00000","https://ovidsp.ovid.com/ovidweb.cgi?T=JS&amp;NEWS=n&amp;CSC=Y&amp;PAGE=toc&amp;D=yrovft&amp;AN=00754481-000000000-00000")</f>
        <v>https://ovidsp.ovid.com/ovidweb.cgi?T=JS&amp;NEWS=n&amp;CSC=Y&amp;PAGE=toc&amp;D=yrovft&amp;AN=00754481-000000000-00000</v>
      </c>
      <c r="M6" t="s">
        <v>2052</v>
      </c>
      <c r="N6" t="s">
        <v>2424</v>
      </c>
      <c r="O6" t="s">
        <v>1928</v>
      </c>
      <c r="P6" t="b">
        <v>0</v>
      </c>
      <c r="Q6" t="s">
        <v>2424</v>
      </c>
    </row>
    <row r="7" spans="1:17" x14ac:dyDescent="0.35">
      <c r="A7" t="s">
        <v>2079</v>
      </c>
      <c r="B7" t="s">
        <v>2044</v>
      </c>
      <c r="C7" t="s">
        <v>2014</v>
      </c>
      <c r="D7" t="s">
        <v>50</v>
      </c>
      <c r="E7">
        <v>8</v>
      </c>
      <c r="F7">
        <v>1</v>
      </c>
      <c r="G7">
        <v>19</v>
      </c>
      <c r="H7">
        <v>1</v>
      </c>
      <c r="I7" t="s">
        <v>3089</v>
      </c>
      <c r="J7" t="s">
        <v>1903</v>
      </c>
      <c r="K7" t="s">
        <v>2340</v>
      </c>
      <c r="L7" s="1" t="str">
        <f>HYPERLINK("https://ovidsp.ovid.com/ovidweb.cgi?T=JS&amp;NEWS=n&amp;CSC=Y&amp;PAGE=toc&amp;D=yrovft&amp;AN=00135124-000000000-00000","https://ovidsp.ovid.com/ovidweb.cgi?T=JS&amp;NEWS=n&amp;CSC=Y&amp;PAGE=toc&amp;D=yrovft&amp;AN=00135124-000000000-00000")</f>
        <v>https://ovidsp.ovid.com/ovidweb.cgi?T=JS&amp;NEWS=n&amp;CSC=Y&amp;PAGE=toc&amp;D=yrovft&amp;AN=00135124-000000000-00000</v>
      </c>
      <c r="M7" t="s">
        <v>2167</v>
      </c>
      <c r="N7" t="s">
        <v>2424</v>
      </c>
      <c r="O7" t="s">
        <v>2253</v>
      </c>
      <c r="P7" t="b">
        <v>0</v>
      </c>
      <c r="Q7" t="s">
        <v>2424</v>
      </c>
    </row>
    <row r="8" spans="1:17" x14ac:dyDescent="0.35">
      <c r="A8" t="s">
        <v>1869</v>
      </c>
      <c r="B8" t="s">
        <v>2974</v>
      </c>
      <c r="C8" t="s">
        <v>3534</v>
      </c>
      <c r="D8" t="s">
        <v>3649</v>
      </c>
      <c r="E8">
        <v>104</v>
      </c>
      <c r="F8">
        <v>2</v>
      </c>
      <c r="G8">
        <v>109</v>
      </c>
      <c r="H8">
        <v>5</v>
      </c>
      <c r="I8" t="s">
        <v>164</v>
      </c>
      <c r="J8" t="s">
        <v>374</v>
      </c>
      <c r="K8" t="s">
        <v>1842</v>
      </c>
      <c r="L8" s="1" t="str">
        <f>HYPERLINK("https://ovidsp.ovid.com/ovidweb.cgi?T=JS&amp;NEWS=n&amp;CSC=Y&amp;PAGE=toc&amp;D=yrovft&amp;AN=00000196-000000000-00000","https://ovidsp.ovid.com/ovidweb.cgi?T=JS&amp;NEWS=n&amp;CSC=Y&amp;PAGE=toc&amp;D=yrovft&amp;AN=00000196-000000000-00000")</f>
        <v>https://ovidsp.ovid.com/ovidweb.cgi?T=JS&amp;NEWS=n&amp;CSC=Y&amp;PAGE=toc&amp;D=yrovft&amp;AN=00000196-000000000-00000</v>
      </c>
      <c r="M8" t="s">
        <v>1056</v>
      </c>
      <c r="N8" t="s">
        <v>2424</v>
      </c>
      <c r="O8" t="s">
        <v>2398</v>
      </c>
      <c r="P8" t="b">
        <v>1</v>
      </c>
      <c r="Q8" t="s">
        <v>892</v>
      </c>
    </row>
    <row r="9" spans="1:17" x14ac:dyDescent="0.35">
      <c r="A9" t="s">
        <v>2694</v>
      </c>
      <c r="B9" t="s">
        <v>395</v>
      </c>
      <c r="C9" t="s">
        <v>2779</v>
      </c>
      <c r="D9" t="s">
        <v>50</v>
      </c>
      <c r="E9">
        <v>2</v>
      </c>
      <c r="F9">
        <v>1</v>
      </c>
      <c r="G9">
        <v>9</v>
      </c>
      <c r="H9">
        <v>1</v>
      </c>
      <c r="I9" t="s">
        <v>1714</v>
      </c>
      <c r="J9" t="s">
        <v>2581</v>
      </c>
      <c r="K9" t="s">
        <v>2939</v>
      </c>
      <c r="L9" s="1" t="str">
        <f>HYPERLINK("https://ovidsp.ovid.com/ovidweb.cgi?T=JS&amp;NEWS=n&amp;CSC=Y&amp;PAGE=toc&amp;D=yrovft&amp;AN=00132576-000000000-00000","https://ovidsp.ovid.com/ovidweb.cgi?T=JS&amp;NEWS=n&amp;CSC=Y&amp;PAGE=toc&amp;D=yrovft&amp;AN=00132576-000000000-00000")</f>
        <v>https://ovidsp.ovid.com/ovidweb.cgi?T=JS&amp;NEWS=n&amp;CSC=Y&amp;PAGE=toc&amp;D=yrovft&amp;AN=00132576-000000000-00000</v>
      </c>
      <c r="M9" t="s">
        <v>3593</v>
      </c>
      <c r="N9" t="s">
        <v>2424</v>
      </c>
      <c r="O9" t="s">
        <v>3797</v>
      </c>
      <c r="P9" t="b">
        <v>0</v>
      </c>
      <c r="Q9" t="s">
        <v>2424</v>
      </c>
    </row>
    <row r="10" spans="1:17" x14ac:dyDescent="0.35">
      <c r="A10" t="s">
        <v>199</v>
      </c>
      <c r="B10" t="s">
        <v>1579</v>
      </c>
      <c r="C10" t="s">
        <v>2424</v>
      </c>
      <c r="D10" t="s">
        <v>50</v>
      </c>
      <c r="E10">
        <v>28</v>
      </c>
      <c r="F10">
        <v>4</v>
      </c>
      <c r="G10">
        <v>32</v>
      </c>
      <c r="H10">
        <v>1</v>
      </c>
      <c r="I10" t="s">
        <v>3428</v>
      </c>
      <c r="J10" t="s">
        <v>575</v>
      </c>
      <c r="K10" t="s">
        <v>840</v>
      </c>
      <c r="L10" s="1" t="str">
        <f>HYPERLINK("https://ovidsp.ovid.com/ovidweb.cgi?T=JS&amp;NEWS=n&amp;CSC=Y&amp;PAGE=toc&amp;D=yrovft&amp;AN=01261775-000000000-00000","https://ovidsp.ovid.com/ovidweb.cgi?T=JS&amp;NEWS=n&amp;CSC=Y&amp;PAGE=toc&amp;D=yrovft&amp;AN=01261775-000000000-00000")</f>
        <v>https://ovidsp.ovid.com/ovidweb.cgi?T=JS&amp;NEWS=n&amp;CSC=Y&amp;PAGE=toc&amp;D=yrovft&amp;AN=01261775-000000000-00000</v>
      </c>
      <c r="M10" t="s">
        <v>224</v>
      </c>
      <c r="N10" t="s">
        <v>2424</v>
      </c>
      <c r="O10" t="s">
        <v>315</v>
      </c>
      <c r="P10" t="b">
        <v>0</v>
      </c>
      <c r="Q10" t="s">
        <v>2424</v>
      </c>
    </row>
    <row r="11" spans="1:17" x14ac:dyDescent="0.35">
      <c r="A11" t="s">
        <v>2427</v>
      </c>
      <c r="B11" t="s">
        <v>448</v>
      </c>
      <c r="C11" t="s">
        <v>733</v>
      </c>
      <c r="D11" t="s">
        <v>50</v>
      </c>
      <c r="E11">
        <v>10</v>
      </c>
      <c r="F11">
        <v>3</v>
      </c>
      <c r="G11">
        <v>22</v>
      </c>
      <c r="H11">
        <v>2</v>
      </c>
      <c r="I11" t="s">
        <v>3776</v>
      </c>
      <c r="J11" t="s">
        <v>1034</v>
      </c>
      <c r="K11" t="s">
        <v>2722</v>
      </c>
      <c r="L11" s="1" t="str">
        <f>HYPERLINK("https://ovidsp.ovid.com/ovidweb.cgi?T=JS&amp;NEWS=n&amp;CSC=Y&amp;PAGE=toc&amp;D=yrovft&amp;AN=00125480-000000000-00000","https://ovidsp.ovid.com/ovidweb.cgi?T=JS&amp;NEWS=n&amp;CSC=Y&amp;PAGE=toc&amp;D=yrovft&amp;AN=00125480-000000000-00000")</f>
        <v>https://ovidsp.ovid.com/ovidweb.cgi?T=JS&amp;NEWS=n&amp;CSC=Y&amp;PAGE=toc&amp;D=yrovft&amp;AN=00125480-000000000-00000</v>
      </c>
      <c r="M11" t="s">
        <v>673</v>
      </c>
      <c r="N11" t="s">
        <v>2424</v>
      </c>
      <c r="O11" t="s">
        <v>473</v>
      </c>
      <c r="P11" t="b">
        <v>1</v>
      </c>
      <c r="Q11" t="s">
        <v>975</v>
      </c>
    </row>
    <row r="12" spans="1:17" x14ac:dyDescent="0.35">
      <c r="A12" t="s">
        <v>2</v>
      </c>
      <c r="B12" t="s">
        <v>1499</v>
      </c>
      <c r="C12" t="s">
        <v>179</v>
      </c>
      <c r="D12" t="s">
        <v>50</v>
      </c>
      <c r="E12">
        <v>6</v>
      </c>
      <c r="F12">
        <v>6</v>
      </c>
      <c r="G12">
        <v>10</v>
      </c>
      <c r="H12">
        <v>2</v>
      </c>
      <c r="I12" t="s">
        <v>3461</v>
      </c>
      <c r="J12" t="s">
        <v>1308</v>
      </c>
      <c r="K12" t="s">
        <v>2461</v>
      </c>
      <c r="L12" s="1" t="str">
        <f>HYPERLINK("https://ovidsp.ovid.com/ovidweb.cgi?T=JS&amp;NEWS=n&amp;CSC=Y&amp;PAGE=toc&amp;D=yrovft&amp;AN=00149525-000000000-00000","https://ovidsp.ovid.com/ovidweb.cgi?T=JS&amp;NEWS=n&amp;CSC=Y&amp;PAGE=toc&amp;D=yrovft&amp;AN=00149525-000000000-00000")</f>
        <v>https://ovidsp.ovid.com/ovidweb.cgi?T=JS&amp;NEWS=n&amp;CSC=Y&amp;PAGE=toc&amp;D=yrovft&amp;AN=00149525-000000000-00000</v>
      </c>
      <c r="M12" t="s">
        <v>1942</v>
      </c>
      <c r="N12" t="s">
        <v>2424</v>
      </c>
      <c r="O12" t="s">
        <v>217</v>
      </c>
      <c r="P12" t="b">
        <v>1</v>
      </c>
      <c r="Q12" t="s">
        <v>294</v>
      </c>
    </row>
    <row r="13" spans="1:17" x14ac:dyDescent="0.35">
      <c r="A13" t="s">
        <v>113</v>
      </c>
      <c r="B13" t="s">
        <v>1829</v>
      </c>
      <c r="C13" t="s">
        <v>2424</v>
      </c>
      <c r="D13" t="s">
        <v>50</v>
      </c>
      <c r="E13">
        <v>24</v>
      </c>
      <c r="F13">
        <v>4</v>
      </c>
      <c r="G13">
        <v>33</v>
      </c>
      <c r="H13">
        <v>1</v>
      </c>
      <c r="I13" t="s">
        <v>3260</v>
      </c>
      <c r="J13" t="s">
        <v>517</v>
      </c>
      <c r="K13" t="s">
        <v>840</v>
      </c>
      <c r="L13" s="1" t="str">
        <f>HYPERLINK("https://ovidsp.ovid.com/ovidweb.cgi?T=JS&amp;NEWS=n&amp;CSC=Y&amp;PAGE=toc&amp;D=yrovft&amp;AN=00012272-000000000-00000","https://ovidsp.ovid.com/ovidweb.cgi?T=JS&amp;NEWS=n&amp;CSC=Y&amp;PAGE=toc&amp;D=yrovft&amp;AN=00012272-000000000-00000")</f>
        <v>https://ovidsp.ovid.com/ovidweb.cgi?T=JS&amp;NEWS=n&amp;CSC=Y&amp;PAGE=toc&amp;D=yrovft&amp;AN=00012272-000000000-00000</v>
      </c>
      <c r="M13" t="s">
        <v>3065</v>
      </c>
      <c r="N13" t="s">
        <v>2424</v>
      </c>
      <c r="O13" t="s">
        <v>819</v>
      </c>
      <c r="P13" t="b">
        <v>1</v>
      </c>
      <c r="Q13" t="s">
        <v>3555</v>
      </c>
    </row>
    <row r="14" spans="1:17" x14ac:dyDescent="0.35">
      <c r="A14" t="s">
        <v>3169</v>
      </c>
      <c r="B14" t="s">
        <v>1222</v>
      </c>
      <c r="C14" t="s">
        <v>2424</v>
      </c>
      <c r="D14" t="s">
        <v>50</v>
      </c>
      <c r="E14">
        <v>16</v>
      </c>
      <c r="F14">
        <v>2</v>
      </c>
      <c r="G14">
        <v>23</v>
      </c>
      <c r="H14">
        <v>5</v>
      </c>
      <c r="I14" t="s">
        <v>1464</v>
      </c>
      <c r="J14" t="s">
        <v>2581</v>
      </c>
      <c r="K14" t="s">
        <v>3523</v>
      </c>
      <c r="L14" s="1" t="str">
        <f>HYPERLINK("https://ovidsp.ovid.com/ovidweb.cgi?T=JS&amp;NEWS=n&amp;CSC=Y&amp;PAGE=toc&amp;D=yrovft&amp;AN=00129334-000000000-00000","https://ovidsp.ovid.com/ovidweb.cgi?T=JS&amp;NEWS=n&amp;CSC=Y&amp;PAGE=toc&amp;D=yrovft&amp;AN=00129334-000000000-00000")</f>
        <v>https://ovidsp.ovid.com/ovidweb.cgi?T=JS&amp;NEWS=n&amp;CSC=Y&amp;PAGE=toc&amp;D=yrovft&amp;AN=00129334-000000000-00000</v>
      </c>
      <c r="M14" t="s">
        <v>2790</v>
      </c>
      <c r="N14" t="s">
        <v>2424</v>
      </c>
      <c r="O14" t="s">
        <v>383</v>
      </c>
      <c r="P14" t="b">
        <v>1</v>
      </c>
      <c r="Q14" t="s">
        <v>1097</v>
      </c>
    </row>
    <row r="15" spans="1:17" x14ac:dyDescent="0.35">
      <c r="A15" t="s">
        <v>1133</v>
      </c>
      <c r="B15" t="s">
        <v>1573</v>
      </c>
      <c r="C15" t="s">
        <v>2424</v>
      </c>
      <c r="D15" t="s">
        <v>50</v>
      </c>
      <c r="E15">
        <v>0</v>
      </c>
      <c r="F15">
        <v>239</v>
      </c>
      <c r="G15">
        <v>0</v>
      </c>
      <c r="H15">
        <v>261</v>
      </c>
      <c r="I15" t="s">
        <v>2895</v>
      </c>
      <c r="J15" t="s">
        <v>324</v>
      </c>
      <c r="K15" t="s">
        <v>2461</v>
      </c>
      <c r="L15" s="1" t="str">
        <f>HYPERLINK("https://ovidsp.ovid.com/ovidweb.cgi?T=JS&amp;NEWS=n&amp;CSC=Y&amp;PAGE=toc&amp;D=yrovft&amp;AN=00012995-000000000-00000","https://ovidsp.ovid.com/ovidweb.cgi?T=JS&amp;NEWS=n&amp;CSC=Y&amp;PAGE=toc&amp;D=yrovft&amp;AN=00012995-000000000-00000")</f>
        <v>https://ovidsp.ovid.com/ovidweb.cgi?T=JS&amp;NEWS=n&amp;CSC=Y&amp;PAGE=toc&amp;D=yrovft&amp;AN=00012995-000000000-00000</v>
      </c>
      <c r="M15" t="s">
        <v>182</v>
      </c>
      <c r="N15" t="s">
        <v>2424</v>
      </c>
      <c r="O15" t="s">
        <v>2918</v>
      </c>
      <c r="P15" t="b">
        <v>0</v>
      </c>
      <c r="Q15" t="s">
        <v>2424</v>
      </c>
    </row>
    <row r="16" spans="1:17" x14ac:dyDescent="0.35">
      <c r="A16" t="s">
        <v>529</v>
      </c>
      <c r="B16" t="s">
        <v>3122</v>
      </c>
      <c r="C16" t="s">
        <v>1127</v>
      </c>
      <c r="D16" t="s">
        <v>2855</v>
      </c>
      <c r="E16">
        <v>38</v>
      </c>
      <c r="F16">
        <v>1</v>
      </c>
      <c r="G16">
        <v>38</v>
      </c>
      <c r="H16">
        <v>6</v>
      </c>
      <c r="I16" t="s">
        <v>2251</v>
      </c>
      <c r="J16" t="s">
        <v>3622</v>
      </c>
      <c r="K16" t="s">
        <v>2837</v>
      </c>
      <c r="L16" s="1" t="str">
        <f>HYPERLINK("https://ovidsp.ovid.com/ovidweb.cgi?T=JS&amp;NEWS=n&amp;CSC=Y&amp;PAGE=toc&amp;D=yrovft&amp;AN=00000346-000000000-00000","https://ovidsp.ovid.com/ovidweb.cgi?T=JS&amp;NEWS=n&amp;CSC=Y&amp;PAGE=toc&amp;D=yrovft&amp;AN=00000346-000000000-00000")</f>
        <v>https://ovidsp.ovid.com/ovidweb.cgi?T=JS&amp;NEWS=n&amp;CSC=Y&amp;PAGE=toc&amp;D=yrovft&amp;AN=00000346-000000000-00000</v>
      </c>
      <c r="M16" t="s">
        <v>1067</v>
      </c>
      <c r="N16" t="s">
        <v>2424</v>
      </c>
      <c r="O16" t="s">
        <v>1044</v>
      </c>
      <c r="P16" t="b">
        <v>1</v>
      </c>
      <c r="Q16" t="s">
        <v>3701</v>
      </c>
    </row>
    <row r="17" spans="1:17" x14ac:dyDescent="0.35">
      <c r="A17" t="s">
        <v>1767</v>
      </c>
      <c r="B17" t="s">
        <v>41</v>
      </c>
      <c r="C17" t="s">
        <v>1605</v>
      </c>
      <c r="D17" t="s">
        <v>50</v>
      </c>
      <c r="E17">
        <v>15</v>
      </c>
      <c r="F17">
        <v>11</v>
      </c>
      <c r="G17">
        <v>29</v>
      </c>
      <c r="H17">
        <v>7</v>
      </c>
      <c r="I17" t="s">
        <v>2266</v>
      </c>
      <c r="J17" t="s">
        <v>1715</v>
      </c>
      <c r="K17" t="s">
        <v>546</v>
      </c>
      <c r="L17" s="1" t="str">
        <f>HYPERLINK("https://ovidsp.ovid.com/ovidweb.cgi?T=JS&amp;NEWS=n&amp;CSC=Y&amp;PAGE=toc&amp;D=yrovft&amp;AN=00002030-000000000-00000","https://ovidsp.ovid.com/ovidweb.cgi?T=JS&amp;NEWS=n&amp;CSC=Y&amp;PAGE=toc&amp;D=yrovft&amp;AN=00002030-000000000-00000")</f>
        <v>https://ovidsp.ovid.com/ovidweb.cgi?T=JS&amp;NEWS=n&amp;CSC=Y&amp;PAGE=toc&amp;D=yrovft&amp;AN=00002030-000000000-00000</v>
      </c>
      <c r="M17" t="s">
        <v>2175</v>
      </c>
      <c r="N17" t="s">
        <v>2424</v>
      </c>
      <c r="O17" t="s">
        <v>2598</v>
      </c>
      <c r="P17" t="b">
        <v>1</v>
      </c>
      <c r="Q17" t="s">
        <v>937</v>
      </c>
    </row>
    <row r="18" spans="1:17" x14ac:dyDescent="0.35">
      <c r="A18" t="s">
        <v>1729</v>
      </c>
      <c r="B18" t="s">
        <v>2947</v>
      </c>
      <c r="C18" t="s">
        <v>2424</v>
      </c>
      <c r="D18" t="s">
        <v>50</v>
      </c>
      <c r="E18">
        <v>101</v>
      </c>
      <c r="F18">
        <v>7</v>
      </c>
      <c r="G18">
        <v>115</v>
      </c>
      <c r="H18">
        <v>4</v>
      </c>
      <c r="I18" t="s">
        <v>530</v>
      </c>
      <c r="J18" t="s">
        <v>3608</v>
      </c>
      <c r="K18" t="s">
        <v>1640</v>
      </c>
      <c r="L18" s="1" t="str">
        <f>HYPERLINK("https://ovidsp.ovid.com/ovidweb.cgi?T=JS&amp;NEWS=n&amp;CSC=Y&amp;PAGE=toc&amp;D=yrovft&amp;AN=00000446-000000000-00000","https://ovidsp.ovid.com/ovidweb.cgi?T=JS&amp;NEWS=n&amp;CSC=Y&amp;PAGE=toc&amp;D=yrovft&amp;AN=00000446-000000000-00000")</f>
        <v>https://ovidsp.ovid.com/ovidweb.cgi?T=JS&amp;NEWS=n&amp;CSC=Y&amp;PAGE=toc&amp;D=yrovft&amp;AN=00000446-000000000-00000</v>
      </c>
      <c r="M18" t="s">
        <v>2557</v>
      </c>
      <c r="N18" t="s">
        <v>2424</v>
      </c>
      <c r="O18" t="s">
        <v>1763</v>
      </c>
      <c r="P18" t="b">
        <v>0</v>
      </c>
      <c r="Q18" t="s">
        <v>2424</v>
      </c>
    </row>
    <row r="19" spans="1:17" x14ac:dyDescent="0.35">
      <c r="A19" t="s">
        <v>3415</v>
      </c>
      <c r="B19" t="s">
        <v>1368</v>
      </c>
      <c r="C19" t="s">
        <v>1601</v>
      </c>
      <c r="D19" t="s">
        <v>2855</v>
      </c>
      <c r="E19">
        <v>44</v>
      </c>
      <c r="F19">
        <v>1</v>
      </c>
      <c r="G19">
        <v>44</v>
      </c>
      <c r="H19">
        <v>6</v>
      </c>
      <c r="I19" t="s">
        <v>2251</v>
      </c>
      <c r="J19" t="s">
        <v>3622</v>
      </c>
      <c r="K19" t="s">
        <v>2837</v>
      </c>
      <c r="L19" s="1" t="str">
        <f>HYPERLINK("https://ovidsp.ovid.com/ovidweb.cgi?T=JS&amp;NEWS=n&amp;CSC=Y&amp;PAGE=toc&amp;D=yrovft&amp;AN=00001837-000000000-00000","https://ovidsp.ovid.com/ovidweb.cgi?T=JS&amp;NEWS=n&amp;CSC=Y&amp;PAGE=toc&amp;D=yrovft&amp;AN=00001837-000000000-00000")</f>
        <v>https://ovidsp.ovid.com/ovidweb.cgi?T=JS&amp;NEWS=n&amp;CSC=Y&amp;PAGE=toc&amp;D=yrovft&amp;AN=00001837-000000000-00000</v>
      </c>
      <c r="M19" t="s">
        <v>3375</v>
      </c>
      <c r="N19" t="s">
        <v>2424</v>
      </c>
      <c r="O19" t="s">
        <v>3757</v>
      </c>
      <c r="P19" t="b">
        <v>1</v>
      </c>
      <c r="Q19" t="s">
        <v>2524</v>
      </c>
    </row>
    <row r="20" spans="1:17" x14ac:dyDescent="0.35">
      <c r="A20" t="s">
        <v>476</v>
      </c>
      <c r="B20" t="s">
        <v>3070</v>
      </c>
      <c r="C20" t="s">
        <v>833</v>
      </c>
      <c r="D20" t="s">
        <v>3649</v>
      </c>
      <c r="E20">
        <v>25</v>
      </c>
      <c r="F20">
        <v>7</v>
      </c>
      <c r="G20">
        <v>29</v>
      </c>
      <c r="H20">
        <v>12</v>
      </c>
      <c r="I20" t="s">
        <v>3337</v>
      </c>
      <c r="J20" t="s">
        <v>3608</v>
      </c>
      <c r="K20" t="s">
        <v>2743</v>
      </c>
      <c r="L20" s="1" t="str">
        <f>HYPERLINK("https://ovidsp.ovid.com/ovidweb.cgi?T=JS&amp;NEWS=n&amp;CSC=Y&amp;PAGE=toc&amp;D=yrovft&amp;AN=00000374-000000000-00000","https://ovidsp.ovid.com/ovidweb.cgi?T=JS&amp;NEWS=n&amp;CSC=Y&amp;PAGE=toc&amp;D=yrovft&amp;AN=00000374-000000000-00000")</f>
        <v>https://ovidsp.ovid.com/ovidweb.cgi?T=JS&amp;NEWS=n&amp;CSC=Y&amp;PAGE=toc&amp;D=yrovft&amp;AN=00000374-000000000-00000</v>
      </c>
      <c r="M20" t="s">
        <v>2344</v>
      </c>
      <c r="N20" t="s">
        <v>2424</v>
      </c>
      <c r="O20" t="s">
        <v>474</v>
      </c>
      <c r="P20" t="b">
        <v>0</v>
      </c>
      <c r="Q20" t="s">
        <v>2424</v>
      </c>
    </row>
    <row r="21" spans="1:17" x14ac:dyDescent="0.35">
      <c r="A21" t="s">
        <v>592</v>
      </c>
      <c r="B21" t="s">
        <v>341</v>
      </c>
      <c r="C21" t="s">
        <v>2424</v>
      </c>
      <c r="D21" t="s">
        <v>50</v>
      </c>
      <c r="E21">
        <v>15</v>
      </c>
      <c r="F21">
        <v>3</v>
      </c>
      <c r="G21">
        <v>24</v>
      </c>
      <c r="H21">
        <v>1</v>
      </c>
      <c r="I21" t="s">
        <v>2005</v>
      </c>
      <c r="J21" t="s">
        <v>3608</v>
      </c>
      <c r="K21" t="s">
        <v>840</v>
      </c>
      <c r="L21" s="1" t="str">
        <f>HYPERLINK("https://ovidsp.ovid.com/ovidweb.cgi?T=JS&amp;NEWS=n&amp;CSC=Y&amp;PAGE=toc&amp;D=yrovft&amp;AN=00002093-000000000-00000","https://ovidsp.ovid.com/ovidweb.cgi?T=JS&amp;NEWS=n&amp;CSC=Y&amp;PAGE=toc&amp;D=yrovft&amp;AN=00002093-000000000-00000")</f>
        <v>https://ovidsp.ovid.com/ovidweb.cgi?T=JS&amp;NEWS=n&amp;CSC=Y&amp;PAGE=toc&amp;D=yrovft&amp;AN=00002093-000000000-00000</v>
      </c>
      <c r="M21" t="s">
        <v>1024</v>
      </c>
      <c r="N21" t="s">
        <v>2424</v>
      </c>
      <c r="O21" t="s">
        <v>1514</v>
      </c>
      <c r="P21" t="b">
        <v>1</v>
      </c>
      <c r="Q21" t="s">
        <v>1906</v>
      </c>
    </row>
    <row r="22" spans="1:17" x14ac:dyDescent="0.35">
      <c r="A22" t="s">
        <v>3053</v>
      </c>
      <c r="B22" t="s">
        <v>1389</v>
      </c>
      <c r="C22" t="s">
        <v>2424</v>
      </c>
      <c r="D22" t="s">
        <v>50</v>
      </c>
      <c r="E22">
        <v>4</v>
      </c>
      <c r="F22">
        <v>2</v>
      </c>
      <c r="G22">
        <v>8</v>
      </c>
      <c r="H22">
        <v>2</v>
      </c>
      <c r="I22" t="s">
        <v>2961</v>
      </c>
      <c r="J22" t="s">
        <v>2069</v>
      </c>
      <c r="K22" t="s">
        <v>1773</v>
      </c>
      <c r="L22" s="1" t="str">
        <f>HYPERLINK("https://ovidsp.ovid.com/ovidweb.cgi?T=JS&amp;NEWS=n&amp;CSC=Y&amp;PAGE=toc&amp;D=yrovft&amp;AN=00130990-000000000-00000","https://ovidsp.ovid.com/ovidweb.cgi?T=JS&amp;NEWS=n&amp;CSC=Y&amp;PAGE=toc&amp;D=yrovft&amp;AN=00130990-000000000-00000")</f>
        <v>https://ovidsp.ovid.com/ovidweb.cgi?T=JS&amp;NEWS=n&amp;CSC=Y&amp;PAGE=toc&amp;D=yrovft&amp;AN=00130990-000000000-00000</v>
      </c>
      <c r="M22" t="s">
        <v>3086</v>
      </c>
      <c r="N22" t="s">
        <v>2424</v>
      </c>
      <c r="O22" t="s">
        <v>316</v>
      </c>
      <c r="P22" t="b">
        <v>0</v>
      </c>
      <c r="Q22" t="s">
        <v>2424</v>
      </c>
    </row>
    <row r="23" spans="1:17" x14ac:dyDescent="0.35">
      <c r="A23" t="s">
        <v>2920</v>
      </c>
      <c r="B23" t="s">
        <v>1620</v>
      </c>
      <c r="C23" t="s">
        <v>2424</v>
      </c>
      <c r="D23" t="s">
        <v>50</v>
      </c>
      <c r="E23">
        <v>8</v>
      </c>
      <c r="F23">
        <v>3</v>
      </c>
      <c r="G23">
        <v>11</v>
      </c>
      <c r="H23">
        <v>2</v>
      </c>
      <c r="I23" t="s">
        <v>308</v>
      </c>
      <c r="J23" t="s">
        <v>1516</v>
      </c>
      <c r="K23" t="s">
        <v>2461</v>
      </c>
      <c r="L23" s="1" t="str">
        <f>HYPERLINK("https://ovidsp.ovid.com/ovidweb.cgi?T=JS&amp;NEWS=n&amp;CSC=Y&amp;PAGE=toc&amp;D=yrovft&amp;AN=01300407-000000000-00000","https://ovidsp.ovid.com/ovidweb.cgi?T=JS&amp;NEWS=n&amp;CSC=Y&amp;PAGE=toc&amp;D=yrovft&amp;AN=01300407-000000000-00000")</f>
        <v>https://ovidsp.ovid.com/ovidweb.cgi?T=JS&amp;NEWS=n&amp;CSC=Y&amp;PAGE=toc&amp;D=yrovft&amp;AN=01300407-000000000-00000</v>
      </c>
      <c r="M23" t="s">
        <v>761</v>
      </c>
      <c r="N23" t="s">
        <v>2424</v>
      </c>
      <c r="O23" t="s">
        <v>1733</v>
      </c>
      <c r="P23" t="b">
        <v>0</v>
      </c>
      <c r="Q23" t="s">
        <v>2424</v>
      </c>
    </row>
    <row r="24" spans="1:17" x14ac:dyDescent="0.35">
      <c r="A24" t="s">
        <v>1696</v>
      </c>
      <c r="B24" t="s">
        <v>1356</v>
      </c>
      <c r="C24" t="s">
        <v>585</v>
      </c>
      <c r="D24" t="s">
        <v>50</v>
      </c>
      <c r="E24">
        <v>24</v>
      </c>
      <c r="F24">
        <v>3</v>
      </c>
      <c r="G24">
        <v>33</v>
      </c>
      <c r="H24">
        <v>2</v>
      </c>
      <c r="I24" t="s">
        <v>1687</v>
      </c>
      <c r="J24" t="s">
        <v>3481</v>
      </c>
      <c r="K24" t="s">
        <v>2461</v>
      </c>
      <c r="L24" s="1" t="str">
        <f>HYPERLINK("https://ovidsp.ovid.com/ovidweb.cgi?T=JS&amp;NEWS=n&amp;CSC=Y&amp;PAGE=toc&amp;D=yrovft&amp;AN=00000421-000000000-00000","https://ovidsp.ovid.com/ovidweb.cgi?T=JS&amp;NEWS=n&amp;CSC=Y&amp;PAGE=toc&amp;D=yrovft&amp;AN=00000421-000000000-00000")</f>
        <v>https://ovidsp.ovid.com/ovidweb.cgi?T=JS&amp;NEWS=n&amp;CSC=Y&amp;PAGE=toc&amp;D=yrovft&amp;AN=00000421-000000000-00000</v>
      </c>
      <c r="M24" t="s">
        <v>2674</v>
      </c>
      <c r="N24" t="s">
        <v>2424</v>
      </c>
      <c r="O24" t="s">
        <v>3019</v>
      </c>
      <c r="P24" t="b">
        <v>1</v>
      </c>
      <c r="Q24" t="s">
        <v>2375</v>
      </c>
    </row>
    <row r="25" spans="1:17" x14ac:dyDescent="0.35">
      <c r="A25" t="s">
        <v>3052</v>
      </c>
      <c r="B25" t="s">
        <v>1312</v>
      </c>
      <c r="C25" t="s">
        <v>3142</v>
      </c>
      <c r="D25" t="s">
        <v>2855</v>
      </c>
      <c r="E25">
        <v>155</v>
      </c>
      <c r="F25">
        <v>6</v>
      </c>
      <c r="G25">
        <v>171</v>
      </c>
      <c r="H25">
        <v>1</v>
      </c>
      <c r="I25" t="s">
        <v>2647</v>
      </c>
      <c r="J25" t="s">
        <v>2798</v>
      </c>
      <c r="K25" t="s">
        <v>840</v>
      </c>
      <c r="L25" s="1" t="str">
        <f>HYPERLINK("https://ovidsp.ovid.com/ovidweb.cgi?T=JS&amp;NEWS=n&amp;CSC=Y&amp;PAGE=toc&amp;D=yrovft&amp;AN=00000429-000000000-00000","https://ovidsp.ovid.com/ovidweb.cgi?T=JS&amp;NEWS=n&amp;CSC=Y&amp;PAGE=toc&amp;D=yrovft&amp;AN=00000429-000000000-00000")</f>
        <v>https://ovidsp.ovid.com/ovidweb.cgi?T=JS&amp;NEWS=n&amp;CSC=Y&amp;PAGE=toc&amp;D=yrovft&amp;AN=00000429-000000000-00000</v>
      </c>
      <c r="M25" t="s">
        <v>489</v>
      </c>
      <c r="N25" t="s">
        <v>2424</v>
      </c>
      <c r="O25" t="s">
        <v>17</v>
      </c>
      <c r="P25" t="b">
        <v>1</v>
      </c>
      <c r="Q25" t="s">
        <v>1702</v>
      </c>
    </row>
    <row r="26" spans="1:17" x14ac:dyDescent="0.35">
      <c r="A26" t="s">
        <v>1073</v>
      </c>
      <c r="B26" t="s">
        <v>118</v>
      </c>
      <c r="C26" t="s">
        <v>3466</v>
      </c>
      <c r="D26" t="s">
        <v>50</v>
      </c>
      <c r="E26">
        <v>22</v>
      </c>
      <c r="F26">
        <v>3</v>
      </c>
      <c r="G26">
        <v>31</v>
      </c>
      <c r="H26">
        <v>1</v>
      </c>
      <c r="I26" t="s">
        <v>1528</v>
      </c>
      <c r="J26" t="s">
        <v>1281</v>
      </c>
      <c r="K26" t="s">
        <v>2939</v>
      </c>
      <c r="L26" s="1" t="str">
        <f>HYPERLINK("https://ovidsp.ovid.com/ovidweb.cgi?T=JS&amp;NEWS=n&amp;CSC=Y&amp;PAGE=toc&amp;D=yrovft&amp;AN=00000433-000000000-00000","https://ovidsp.ovid.com/ovidweb.cgi?T=JS&amp;NEWS=n&amp;CSC=Y&amp;PAGE=toc&amp;D=yrovft&amp;AN=00000433-000000000-00000")</f>
        <v>https://ovidsp.ovid.com/ovidweb.cgi?T=JS&amp;NEWS=n&amp;CSC=Y&amp;PAGE=toc&amp;D=yrovft&amp;AN=00000433-000000000-00000</v>
      </c>
      <c r="M26" t="s">
        <v>1693</v>
      </c>
      <c r="N26" t="s">
        <v>2424</v>
      </c>
      <c r="O26" t="s">
        <v>321</v>
      </c>
      <c r="P26" t="b">
        <v>1</v>
      </c>
      <c r="Q26" t="s">
        <v>3198</v>
      </c>
    </row>
    <row r="27" spans="1:17" x14ac:dyDescent="0.35">
      <c r="A27" t="s">
        <v>3663</v>
      </c>
      <c r="B27" t="s">
        <v>794</v>
      </c>
      <c r="C27" t="s">
        <v>1212</v>
      </c>
      <c r="D27" t="s">
        <v>50</v>
      </c>
      <c r="E27">
        <v>15</v>
      </c>
      <c r="F27">
        <v>2</v>
      </c>
      <c r="G27">
        <v>18</v>
      </c>
      <c r="H27">
        <v>5</v>
      </c>
      <c r="I27" t="s">
        <v>440</v>
      </c>
      <c r="J27" t="s">
        <v>2668</v>
      </c>
      <c r="K27" t="s">
        <v>3523</v>
      </c>
      <c r="L27" s="1" t="str">
        <f>HYPERLINK("https://ovidsp.ovid.com/ovidweb.cgi?T=JS&amp;NEWS=n&amp;CSC=Y&amp;PAGE=toc&amp;D=yrovft&amp;AN=00019442-000000000-00000","https://ovidsp.ovid.com/ovidweb.cgi?T=JS&amp;NEWS=n&amp;CSC=Y&amp;PAGE=toc&amp;D=yrovft&amp;AN=00019442-000000000-00000")</f>
        <v>https://ovidsp.ovid.com/ovidweb.cgi?T=JS&amp;NEWS=n&amp;CSC=Y&amp;PAGE=toc&amp;D=yrovft&amp;AN=00019442-000000000-00000</v>
      </c>
      <c r="M27" t="s">
        <v>1645</v>
      </c>
      <c r="N27" t="s">
        <v>2424</v>
      </c>
      <c r="O27" t="s">
        <v>636</v>
      </c>
      <c r="P27" t="b">
        <v>1</v>
      </c>
      <c r="Q27" t="s">
        <v>2271</v>
      </c>
    </row>
    <row r="28" spans="1:17" x14ac:dyDescent="0.35">
      <c r="A28" t="s">
        <v>384</v>
      </c>
      <c r="B28" t="s">
        <v>131</v>
      </c>
      <c r="C28" t="s">
        <v>3647</v>
      </c>
      <c r="D28" t="s">
        <v>1817</v>
      </c>
      <c r="E28">
        <v>66</v>
      </c>
      <c r="F28">
        <v>3</v>
      </c>
      <c r="G28">
        <v>69</v>
      </c>
      <c r="H28">
        <v>2</v>
      </c>
      <c r="I28" t="s">
        <v>563</v>
      </c>
      <c r="J28" t="s">
        <v>272</v>
      </c>
      <c r="K28" t="s">
        <v>2722</v>
      </c>
      <c r="L28" s="1" t="str">
        <f>HYPERLINK("https://ovidsp.ovid.com/ovidweb.cgi?T=JS&amp;NEWS=n&amp;CSC=Y&amp;PAGE=toc&amp;D=yrovft&amp;AN=00000448-000000000-00000","https://ovidsp.ovid.com/ovidweb.cgi?T=JS&amp;NEWS=n&amp;CSC=Y&amp;PAGE=toc&amp;D=yrovft&amp;AN=00000448-000000000-00000")</f>
        <v>https://ovidsp.ovid.com/ovidweb.cgi?T=JS&amp;NEWS=n&amp;CSC=Y&amp;PAGE=toc&amp;D=yrovft&amp;AN=00000448-000000000-00000</v>
      </c>
      <c r="M28" t="s">
        <v>1963</v>
      </c>
      <c r="N28" t="s">
        <v>2424</v>
      </c>
      <c r="O28" t="s">
        <v>616</v>
      </c>
      <c r="P28" t="b">
        <v>0</v>
      </c>
      <c r="Q28" t="s">
        <v>2424</v>
      </c>
    </row>
    <row r="29" spans="1:17" x14ac:dyDescent="0.35">
      <c r="A29" t="s">
        <v>3196</v>
      </c>
      <c r="B29" t="s">
        <v>521</v>
      </c>
      <c r="C29" t="s">
        <v>1263</v>
      </c>
      <c r="D29" t="s">
        <v>50</v>
      </c>
      <c r="E29">
        <v>80</v>
      </c>
      <c r="F29">
        <v>8</v>
      </c>
      <c r="G29">
        <v>94</v>
      </c>
      <c r="H29">
        <v>4</v>
      </c>
      <c r="I29" t="s">
        <v>696</v>
      </c>
      <c r="J29" t="s">
        <v>374</v>
      </c>
      <c r="K29" t="s">
        <v>1640</v>
      </c>
      <c r="L29" s="1" t="str">
        <f>HYPERLINK("https://ovidsp.ovid.com/ovidweb.cgi?T=JS&amp;NEWS=n&amp;CSC=Y&amp;PAGE=toc&amp;D=yrovft&amp;AN=00002060-000000000-00000","https://ovidsp.ovid.com/ovidweb.cgi?T=JS&amp;NEWS=n&amp;CSC=Y&amp;PAGE=toc&amp;D=yrovft&amp;AN=00002060-000000000-00000")</f>
        <v>https://ovidsp.ovid.com/ovidweb.cgi?T=JS&amp;NEWS=n&amp;CSC=Y&amp;PAGE=toc&amp;D=yrovft&amp;AN=00002060-000000000-00000</v>
      </c>
      <c r="M29" t="s">
        <v>1244</v>
      </c>
      <c r="N29" t="s">
        <v>2424</v>
      </c>
      <c r="O29" t="s">
        <v>3660</v>
      </c>
      <c r="P29" t="b">
        <v>1</v>
      </c>
      <c r="Q29" t="s">
        <v>1227</v>
      </c>
    </row>
    <row r="30" spans="1:17" x14ac:dyDescent="0.35">
      <c r="A30" t="s">
        <v>1337</v>
      </c>
      <c r="B30" t="s">
        <v>609</v>
      </c>
      <c r="C30" t="s">
        <v>1347</v>
      </c>
      <c r="D30" t="s">
        <v>1713</v>
      </c>
      <c r="E30">
        <v>158</v>
      </c>
      <c r="F30">
        <v>1</v>
      </c>
      <c r="G30">
        <v>161</v>
      </c>
      <c r="H30">
        <v>3</v>
      </c>
      <c r="I30" t="s">
        <v>2288</v>
      </c>
      <c r="J30" t="s">
        <v>2909</v>
      </c>
      <c r="K30" t="s">
        <v>1992</v>
      </c>
      <c r="L30" s="1" t="str">
        <f>HYPERLINK("https://ovidsp.ovid.com/ovidweb.cgi?T=JS&amp;NEWS=n&amp;CSC=Y&amp;PAGE=toc&amp;D=yrovft&amp;AN=00000465-000000000-00000","https://ovidsp.ovid.com/ovidweb.cgi?T=JS&amp;NEWS=n&amp;CSC=Y&amp;PAGE=toc&amp;D=yrovft&amp;AN=00000465-000000000-00000")</f>
        <v>https://ovidsp.ovid.com/ovidweb.cgi?T=JS&amp;NEWS=n&amp;CSC=Y&amp;PAGE=toc&amp;D=yrovft&amp;AN=00000465-000000000-00000</v>
      </c>
      <c r="M30" t="s">
        <v>2874</v>
      </c>
      <c r="N30" t="s">
        <v>2424</v>
      </c>
      <c r="O30" t="s">
        <v>2735</v>
      </c>
      <c r="P30" t="b">
        <v>0</v>
      </c>
      <c r="Q30" t="s">
        <v>2424</v>
      </c>
    </row>
    <row r="31" spans="1:17" x14ac:dyDescent="0.35">
      <c r="A31" t="s">
        <v>1343</v>
      </c>
      <c r="B31" t="s">
        <v>3658</v>
      </c>
      <c r="C31" t="s">
        <v>1907</v>
      </c>
      <c r="D31" t="s">
        <v>2065</v>
      </c>
      <c r="E31">
        <v>92</v>
      </c>
      <c r="F31">
        <v>2</v>
      </c>
      <c r="G31">
        <v>94</v>
      </c>
      <c r="H31">
        <v>3</v>
      </c>
      <c r="I31" t="s">
        <v>968</v>
      </c>
      <c r="J31" t="s">
        <v>3162</v>
      </c>
      <c r="K31" t="s">
        <v>1992</v>
      </c>
      <c r="L31" s="1" t="str">
        <f>HYPERLINK("https://ovidsp.ovid.com/ovidweb.cgi?T=JS&amp;NEWS=n&amp;CSC=Y&amp;PAGE=toc&amp;D=yrovft&amp;AN=00000469-000000000-00000","https://ovidsp.ovid.com/ovidweb.cgi?T=JS&amp;NEWS=n&amp;CSC=Y&amp;PAGE=toc&amp;D=yrovft&amp;AN=00000469-000000000-00000")</f>
        <v>https://ovidsp.ovid.com/ovidweb.cgi?T=JS&amp;NEWS=n&amp;CSC=Y&amp;PAGE=toc&amp;D=yrovft&amp;AN=00000469-000000000-00000</v>
      </c>
      <c r="M31" t="s">
        <v>2279</v>
      </c>
      <c r="N31" t="s">
        <v>2424</v>
      </c>
      <c r="O31" t="s">
        <v>1496</v>
      </c>
      <c r="P31" t="b">
        <v>0</v>
      </c>
      <c r="Q31" t="s">
        <v>2424</v>
      </c>
    </row>
    <row r="32" spans="1:17" x14ac:dyDescent="0.35">
      <c r="A32" t="s">
        <v>847</v>
      </c>
      <c r="B32" t="s">
        <v>142</v>
      </c>
      <c r="C32" t="s">
        <v>690</v>
      </c>
      <c r="D32" t="s">
        <v>50</v>
      </c>
      <c r="E32">
        <v>25</v>
      </c>
      <c r="F32">
        <v>7</v>
      </c>
      <c r="G32">
        <v>39</v>
      </c>
      <c r="H32">
        <v>4</v>
      </c>
      <c r="I32" t="s">
        <v>530</v>
      </c>
      <c r="J32" t="s">
        <v>3608</v>
      </c>
      <c r="K32" t="s">
        <v>1640</v>
      </c>
      <c r="L32" s="1" t="str">
        <f>HYPERLINK("https://ovidsp.ovid.com/ovidweb.cgi?T=JS&amp;NEWS=n&amp;CSC=Y&amp;PAGE=toc&amp;D=yrovft&amp;AN=00000478-000000000-00000","https://ovidsp.ovid.com/ovidweb.cgi?T=JS&amp;NEWS=n&amp;CSC=Y&amp;PAGE=toc&amp;D=yrovft&amp;AN=00000478-000000000-00000")</f>
        <v>https://ovidsp.ovid.com/ovidweb.cgi?T=JS&amp;NEWS=n&amp;CSC=Y&amp;PAGE=toc&amp;D=yrovft&amp;AN=00000478-000000000-00000</v>
      </c>
      <c r="M32" t="s">
        <v>1778</v>
      </c>
      <c r="N32" t="s">
        <v>2424</v>
      </c>
      <c r="O32" t="s">
        <v>906</v>
      </c>
      <c r="P32" t="b">
        <v>1</v>
      </c>
      <c r="Q32" t="s">
        <v>461</v>
      </c>
    </row>
    <row r="33" spans="1:17" x14ac:dyDescent="0.35">
      <c r="A33" t="s">
        <v>808</v>
      </c>
      <c r="B33" t="s">
        <v>1649</v>
      </c>
      <c r="C33" t="s">
        <v>2667</v>
      </c>
      <c r="D33" t="s">
        <v>50</v>
      </c>
      <c r="E33">
        <v>322</v>
      </c>
      <c r="F33">
        <v>1</v>
      </c>
      <c r="G33">
        <v>339</v>
      </c>
      <c r="H33">
        <v>4</v>
      </c>
      <c r="I33" t="s">
        <v>1794</v>
      </c>
      <c r="J33" t="s">
        <v>3608</v>
      </c>
      <c r="K33" t="s">
        <v>2461</v>
      </c>
      <c r="L33" s="1" t="str">
        <f>HYPERLINK("https://ovidsp.ovid.com/ovidweb.cgi?T=JS&amp;NEWS=n&amp;CSC=Y&amp;PAGE=toc&amp;D=yrovft&amp;AN=00000441-000000000-00000","https://ovidsp.ovid.com/ovidweb.cgi?T=JS&amp;NEWS=n&amp;CSC=Y&amp;PAGE=toc&amp;D=yrovft&amp;AN=00000441-000000000-00000")</f>
        <v>https://ovidsp.ovid.com/ovidweb.cgi?T=JS&amp;NEWS=n&amp;CSC=Y&amp;PAGE=toc&amp;D=yrovft&amp;AN=00000441-000000000-00000</v>
      </c>
      <c r="M33" t="s">
        <v>258</v>
      </c>
      <c r="N33" t="s">
        <v>2424</v>
      </c>
      <c r="O33" t="s">
        <v>2327</v>
      </c>
      <c r="P33" t="b">
        <v>0</v>
      </c>
      <c r="Q33" t="s">
        <v>2424</v>
      </c>
    </row>
    <row r="34" spans="1:17" x14ac:dyDescent="0.35">
      <c r="A34" t="s">
        <v>1847</v>
      </c>
      <c r="B34" t="s">
        <v>1769</v>
      </c>
      <c r="C34" t="s">
        <v>552</v>
      </c>
      <c r="D34" t="s">
        <v>50</v>
      </c>
      <c r="E34">
        <v>8</v>
      </c>
      <c r="F34">
        <v>1</v>
      </c>
      <c r="G34">
        <v>17</v>
      </c>
      <c r="H34">
        <v>2</v>
      </c>
      <c r="I34" t="s">
        <v>1795</v>
      </c>
      <c r="J34" t="s">
        <v>2909</v>
      </c>
      <c r="K34" t="s">
        <v>2939</v>
      </c>
      <c r="L34" s="1" t="str">
        <f>HYPERLINK("https://ovidsp.ovid.com/ovidweb.cgi?T=JS&amp;NEWS=n&amp;CSC=Y&amp;PAGE=toc&amp;D=yrovft&amp;AN=00045391-000000000-00000","https://ovidsp.ovid.com/ovidweb.cgi?T=JS&amp;NEWS=n&amp;CSC=Y&amp;PAGE=toc&amp;D=yrovft&amp;AN=00045391-000000000-00000")</f>
        <v>https://ovidsp.ovid.com/ovidweb.cgi?T=JS&amp;NEWS=n&amp;CSC=Y&amp;PAGE=toc&amp;D=yrovft&amp;AN=00045391-000000000-00000</v>
      </c>
      <c r="M34" t="s">
        <v>3392</v>
      </c>
      <c r="N34" t="s">
        <v>2424</v>
      </c>
      <c r="O34" t="s">
        <v>2504</v>
      </c>
      <c r="P34" t="b">
        <v>1</v>
      </c>
      <c r="Q34" t="s">
        <v>1203</v>
      </c>
    </row>
    <row r="35" spans="1:17" x14ac:dyDescent="0.35">
      <c r="A35" t="s">
        <v>232</v>
      </c>
      <c r="B35" t="s">
        <v>3410</v>
      </c>
      <c r="C35" t="s">
        <v>2858</v>
      </c>
      <c r="D35" t="s">
        <v>50</v>
      </c>
      <c r="E35">
        <v>93</v>
      </c>
      <c r="F35">
        <v>2</v>
      </c>
      <c r="G35">
        <v>120</v>
      </c>
      <c r="H35">
        <v>4</v>
      </c>
      <c r="I35" t="s">
        <v>696</v>
      </c>
      <c r="J35" t="s">
        <v>374</v>
      </c>
      <c r="K35" t="s">
        <v>1640</v>
      </c>
      <c r="L35" s="1" t="str">
        <f>HYPERLINK("https://ovidsp.ovid.com/ovidweb.cgi?T=JS&amp;NEWS=n&amp;CSC=Y&amp;PAGE=toc&amp;D=yrovft&amp;AN=00000539-000000000-00000","https://ovidsp.ovid.com/ovidweb.cgi?T=JS&amp;NEWS=n&amp;CSC=Y&amp;PAGE=toc&amp;D=yrovft&amp;AN=00000539-000000000-00000")</f>
        <v>https://ovidsp.ovid.com/ovidweb.cgi?T=JS&amp;NEWS=n&amp;CSC=Y&amp;PAGE=toc&amp;D=yrovft&amp;AN=00000539-000000000-00000</v>
      </c>
      <c r="M35" t="s">
        <v>3669</v>
      </c>
      <c r="N35" t="s">
        <v>2424</v>
      </c>
      <c r="O35" t="s">
        <v>2299</v>
      </c>
      <c r="P35" t="b">
        <v>1</v>
      </c>
      <c r="Q35" t="s">
        <v>3494</v>
      </c>
    </row>
    <row r="36" spans="1:17" x14ac:dyDescent="0.35">
      <c r="A36" t="s">
        <v>2083</v>
      </c>
      <c r="B36" t="s">
        <v>1802</v>
      </c>
      <c r="C36" t="s">
        <v>2857</v>
      </c>
      <c r="D36" t="s">
        <v>50</v>
      </c>
      <c r="E36">
        <v>95</v>
      </c>
      <c r="F36">
        <v>2</v>
      </c>
      <c r="G36">
        <v>122</v>
      </c>
      <c r="H36">
        <v>4</v>
      </c>
      <c r="I36" t="s">
        <v>696</v>
      </c>
      <c r="J36" t="s">
        <v>374</v>
      </c>
      <c r="K36" t="s">
        <v>1640</v>
      </c>
      <c r="L36" s="1" t="str">
        <f>HYPERLINK("https://ovidsp.ovid.com/ovidweb.cgi?T=JS&amp;NEWS=n&amp;CSC=Y&amp;PAGE=toc&amp;D=yrovft&amp;AN=00000542-000000000-00000","https://ovidsp.ovid.com/ovidweb.cgi?T=JS&amp;NEWS=n&amp;CSC=Y&amp;PAGE=toc&amp;D=yrovft&amp;AN=00000542-000000000-00000")</f>
        <v>https://ovidsp.ovid.com/ovidweb.cgi?T=JS&amp;NEWS=n&amp;CSC=Y&amp;PAGE=toc&amp;D=yrovft&amp;AN=00000542-000000000-00000</v>
      </c>
      <c r="M36" t="s">
        <v>2119</v>
      </c>
      <c r="N36" t="s">
        <v>2424</v>
      </c>
      <c r="O36" t="s">
        <v>1950</v>
      </c>
      <c r="P36" t="b">
        <v>1</v>
      </c>
      <c r="Q36" t="s">
        <v>1386</v>
      </c>
    </row>
    <row r="37" spans="1:17" x14ac:dyDescent="0.35">
      <c r="A37" t="s">
        <v>1324</v>
      </c>
      <c r="B37" t="s">
        <v>3407</v>
      </c>
      <c r="C37" t="s">
        <v>2082</v>
      </c>
      <c r="D37" t="s">
        <v>79</v>
      </c>
      <c r="E37">
        <v>59</v>
      </c>
      <c r="F37">
        <v>5</v>
      </c>
      <c r="G37">
        <v>65</v>
      </c>
      <c r="H37">
        <v>4</v>
      </c>
      <c r="I37" t="s">
        <v>2817</v>
      </c>
      <c r="J37" t="s">
        <v>272</v>
      </c>
      <c r="K37" t="s">
        <v>1640</v>
      </c>
      <c r="L37" s="1" t="str">
        <f>HYPERLINK("https://ovidsp.ovid.com/ovidweb.cgi?T=JS&amp;NEWS=n&amp;CSC=Y&amp;PAGE=toc&amp;D=yrovft&amp;AN=00000566-000000000-00000","https://ovidsp.ovid.com/ovidweb.cgi?T=JS&amp;NEWS=n&amp;CSC=Y&amp;PAGE=toc&amp;D=yrovft&amp;AN=00000566-000000000-00000")</f>
        <v>https://ovidsp.ovid.com/ovidweb.cgi?T=JS&amp;NEWS=n&amp;CSC=Y&amp;PAGE=toc&amp;D=yrovft&amp;AN=00000566-000000000-00000</v>
      </c>
      <c r="M37" t="s">
        <v>2225</v>
      </c>
      <c r="N37" t="s">
        <v>2424</v>
      </c>
      <c r="O37" t="s">
        <v>2849</v>
      </c>
      <c r="P37" t="b">
        <v>0</v>
      </c>
      <c r="Q37" t="s">
        <v>2424</v>
      </c>
    </row>
    <row r="38" spans="1:17" x14ac:dyDescent="0.35">
      <c r="A38" t="s">
        <v>879</v>
      </c>
      <c r="B38" t="s">
        <v>727</v>
      </c>
      <c r="C38" t="s">
        <v>2705</v>
      </c>
      <c r="D38" t="s">
        <v>3749</v>
      </c>
      <c r="E38">
        <v>135</v>
      </c>
      <c r="F38">
        <v>4</v>
      </c>
      <c r="G38">
        <v>140</v>
      </c>
      <c r="H38">
        <v>7</v>
      </c>
      <c r="I38" t="s">
        <v>2143</v>
      </c>
      <c r="J38" t="s">
        <v>2437</v>
      </c>
      <c r="K38" t="s">
        <v>3732</v>
      </c>
      <c r="L38" s="1" t="str">
        <f>HYPERLINK("https://ovidsp.ovid.com/ovidweb.cgi?T=JS&amp;NEWS=n&amp;CSC=Y&amp;PAGE=toc&amp;D=yrovft&amp;AN=00000605-000000000-00000","https://ovidsp.ovid.com/ovidweb.cgi?T=JS&amp;NEWS=n&amp;CSC=Y&amp;PAGE=toc&amp;D=yrovft&amp;AN=00000605-000000000-00000")</f>
        <v>https://ovidsp.ovid.com/ovidweb.cgi?T=JS&amp;NEWS=n&amp;CSC=Y&amp;PAGE=toc&amp;D=yrovft&amp;AN=00000605-000000000-00000</v>
      </c>
      <c r="M38" t="s">
        <v>3565</v>
      </c>
      <c r="N38" t="s">
        <v>2424</v>
      </c>
      <c r="O38" t="s">
        <v>538</v>
      </c>
      <c r="P38" t="b">
        <v>0</v>
      </c>
      <c r="Q38" t="s">
        <v>2424</v>
      </c>
    </row>
    <row r="39" spans="1:17" x14ac:dyDescent="0.35">
      <c r="A39" t="s">
        <v>3219</v>
      </c>
      <c r="B39" t="s">
        <v>237</v>
      </c>
      <c r="C39" t="s">
        <v>1179</v>
      </c>
      <c r="D39" t="s">
        <v>2855</v>
      </c>
      <c r="E39">
        <v>53</v>
      </c>
      <c r="F39">
        <v>1</v>
      </c>
      <c r="G39">
        <v>53</v>
      </c>
      <c r="H39">
        <v>8</v>
      </c>
      <c r="I39" t="s">
        <v>2251</v>
      </c>
      <c r="J39" t="s">
        <v>3622</v>
      </c>
      <c r="K39" t="s">
        <v>2837</v>
      </c>
      <c r="L39" s="1" t="str">
        <f>HYPERLINK("https://ovidsp.ovid.com/ovidweb.cgi?T=JS&amp;NEWS=n&amp;CSC=Y&amp;PAGE=toc&amp;D=yrovft&amp;AN=00000621-000000000-00000","https://ovidsp.ovid.com/ovidweb.cgi?T=JS&amp;NEWS=n&amp;CSC=Y&amp;PAGE=toc&amp;D=yrovft&amp;AN=00000621-000000000-00000")</f>
        <v>https://ovidsp.ovid.com/ovidweb.cgi?T=JS&amp;NEWS=n&amp;CSC=Y&amp;PAGE=toc&amp;D=yrovft&amp;AN=00000621-000000000-00000</v>
      </c>
      <c r="M39" t="s">
        <v>1332</v>
      </c>
      <c r="N39" t="s">
        <v>2424</v>
      </c>
      <c r="O39" t="s">
        <v>425</v>
      </c>
      <c r="P39" t="b">
        <v>0</v>
      </c>
      <c r="Q39" t="s">
        <v>2424</v>
      </c>
    </row>
    <row r="40" spans="1:17" x14ac:dyDescent="0.35">
      <c r="A40" t="s">
        <v>1564</v>
      </c>
      <c r="B40" t="s">
        <v>3719</v>
      </c>
      <c r="C40" t="s">
        <v>1165</v>
      </c>
      <c r="D40" t="s">
        <v>79</v>
      </c>
      <c r="E40">
        <v>20</v>
      </c>
      <c r="F40">
        <v>1</v>
      </c>
      <c r="G40">
        <v>20</v>
      </c>
      <c r="H40">
        <v>12</v>
      </c>
      <c r="I40" t="s">
        <v>1517</v>
      </c>
      <c r="J40" t="s">
        <v>3622</v>
      </c>
      <c r="K40" t="s">
        <v>2957</v>
      </c>
      <c r="L40" s="1" t="str">
        <f>HYPERLINK("https://ovidsp.ovid.com/ovidweb.cgi?T=JS&amp;NEWS=n&amp;CSC=Y&amp;PAGE=toc&amp;D=yrovft&amp;AN=00002352-000000000-00000","https://ovidsp.ovid.com/ovidweb.cgi?T=JS&amp;NEWS=n&amp;CSC=Y&amp;PAGE=toc&amp;D=yrovft&amp;AN=00002352-000000000-00000")</f>
        <v>https://ovidsp.ovid.com/ovidweb.cgi?T=JS&amp;NEWS=n&amp;CSC=Y&amp;PAGE=toc&amp;D=yrovft&amp;AN=00002352-000000000-00000</v>
      </c>
      <c r="M40" t="s">
        <v>1745</v>
      </c>
      <c r="N40" t="s">
        <v>2424</v>
      </c>
      <c r="O40" t="s">
        <v>235</v>
      </c>
      <c r="P40" t="b">
        <v>1</v>
      </c>
      <c r="Q40" t="s">
        <v>1000</v>
      </c>
    </row>
    <row r="41" spans="1:17" x14ac:dyDescent="0.35">
      <c r="A41" t="s">
        <v>750</v>
      </c>
      <c r="B41" t="s">
        <v>1137</v>
      </c>
      <c r="C41" t="s">
        <v>2293</v>
      </c>
      <c r="D41" t="s">
        <v>50</v>
      </c>
      <c r="E41">
        <v>50</v>
      </c>
      <c r="F41">
        <v>4</v>
      </c>
      <c r="G41">
        <v>74</v>
      </c>
      <c r="H41">
        <v>4</v>
      </c>
      <c r="I41" t="s">
        <v>3782</v>
      </c>
      <c r="J41" t="s">
        <v>2069</v>
      </c>
      <c r="K41" t="s">
        <v>1640</v>
      </c>
      <c r="L41" s="1" t="str">
        <f>HYPERLINK("https://ovidsp.ovid.com/ovidweb.cgi?T=JS&amp;NEWS=n&amp;CSC=Y&amp;PAGE=toc&amp;D=yrovft&amp;AN=00000637-000000000-00000","https://ovidsp.ovid.com/ovidweb.cgi?T=JS&amp;NEWS=n&amp;CSC=Y&amp;PAGE=toc&amp;D=yrovft&amp;AN=00000637-000000000-00000")</f>
        <v>https://ovidsp.ovid.com/ovidweb.cgi?T=JS&amp;NEWS=n&amp;CSC=Y&amp;PAGE=toc&amp;D=yrovft&amp;AN=00000637-000000000-00000</v>
      </c>
      <c r="M41" t="s">
        <v>370</v>
      </c>
      <c r="N41" t="s">
        <v>2424</v>
      </c>
      <c r="O41" t="s">
        <v>1518</v>
      </c>
      <c r="P41" t="b">
        <v>1</v>
      </c>
      <c r="Q41" t="s">
        <v>42</v>
      </c>
    </row>
    <row r="42" spans="1:17" x14ac:dyDescent="0.35">
      <c r="A42" t="s">
        <v>1121</v>
      </c>
      <c r="B42" t="s">
        <v>2555</v>
      </c>
      <c r="C42" t="s">
        <v>1565</v>
      </c>
      <c r="D42" t="s">
        <v>50</v>
      </c>
      <c r="E42">
        <v>233</v>
      </c>
      <c r="F42">
        <v>6</v>
      </c>
      <c r="G42">
        <v>261</v>
      </c>
      <c r="H42">
        <v>4</v>
      </c>
      <c r="I42" t="s">
        <v>3014</v>
      </c>
      <c r="J42" t="s">
        <v>3481</v>
      </c>
      <c r="K42" t="s">
        <v>1640</v>
      </c>
      <c r="L42" s="1" t="str">
        <f>HYPERLINK("https://ovidsp.ovid.com/ovidweb.cgi?T=JS&amp;NEWS=n&amp;CSC=Y&amp;PAGE=toc&amp;D=yrovft&amp;AN=00000658-000000000-00000","https://ovidsp.ovid.com/ovidweb.cgi?T=JS&amp;NEWS=n&amp;CSC=Y&amp;PAGE=toc&amp;D=yrovft&amp;AN=00000658-000000000-00000")</f>
        <v>https://ovidsp.ovid.com/ovidweb.cgi?T=JS&amp;NEWS=n&amp;CSC=Y&amp;PAGE=toc&amp;D=yrovft&amp;AN=00000658-000000000-00000</v>
      </c>
      <c r="M42" t="s">
        <v>1049</v>
      </c>
      <c r="N42" t="s">
        <v>2424</v>
      </c>
      <c r="O42" t="s">
        <v>2875</v>
      </c>
      <c r="P42" t="b">
        <v>1</v>
      </c>
      <c r="Q42" t="s">
        <v>208</v>
      </c>
    </row>
    <row r="43" spans="1:17" x14ac:dyDescent="0.35">
      <c r="A43" t="s">
        <v>1632</v>
      </c>
      <c r="B43" t="s">
        <v>866</v>
      </c>
      <c r="C43" t="s">
        <v>2913</v>
      </c>
      <c r="D43" t="s">
        <v>50</v>
      </c>
      <c r="E43">
        <v>12</v>
      </c>
      <c r="F43">
        <v>6</v>
      </c>
      <c r="G43">
        <v>21</v>
      </c>
      <c r="H43">
        <v>5</v>
      </c>
      <c r="I43" t="s">
        <v>2988</v>
      </c>
      <c r="J43" t="s">
        <v>3608</v>
      </c>
      <c r="K43" t="s">
        <v>2972</v>
      </c>
      <c r="L43" s="1" t="str">
        <f>HYPERLINK("https://ovidsp.ovid.com/ovidweb.cgi?T=JS&amp;NEWS=n&amp;CSC=Y&amp;PAGE=toc&amp;D=yrovft&amp;AN=00001813-000000000-00000","https://ovidsp.ovid.com/ovidweb.cgi?T=JS&amp;NEWS=n&amp;CSC=Y&amp;PAGE=toc&amp;D=yrovft&amp;AN=00001813-000000000-00000")</f>
        <v>https://ovidsp.ovid.com/ovidweb.cgi?T=JS&amp;NEWS=n&amp;CSC=Y&amp;PAGE=toc&amp;D=yrovft&amp;AN=00001813-000000000-00000</v>
      </c>
      <c r="M43" t="s">
        <v>2407</v>
      </c>
      <c r="N43" t="s">
        <v>2424</v>
      </c>
      <c r="O43" t="s">
        <v>3659</v>
      </c>
      <c r="P43" t="b">
        <v>1</v>
      </c>
      <c r="Q43" t="s">
        <v>3285</v>
      </c>
    </row>
    <row r="44" spans="1:17" x14ac:dyDescent="0.35">
      <c r="A44" t="s">
        <v>1648</v>
      </c>
      <c r="B44" t="s">
        <v>2787</v>
      </c>
      <c r="C44" t="s">
        <v>3317</v>
      </c>
      <c r="D44" t="s">
        <v>3649</v>
      </c>
      <c r="E44">
        <v>74</v>
      </c>
      <c r="F44">
        <v>4</v>
      </c>
      <c r="G44">
        <v>79</v>
      </c>
      <c r="H44">
        <v>3</v>
      </c>
      <c r="I44" t="s">
        <v>2241</v>
      </c>
      <c r="J44" t="s">
        <v>3802</v>
      </c>
      <c r="K44" t="s">
        <v>1992</v>
      </c>
      <c r="L44" s="1" t="str">
        <f>HYPERLINK("https://ovidsp.ovid.com/ovidweb.cgi?T=JS&amp;NEWS=n&amp;CSC=Y&amp;PAGE=toc&amp;D=yrovft&amp;AN=00000703-000000000-00000","https://ovidsp.ovid.com/ovidweb.cgi?T=JS&amp;NEWS=n&amp;CSC=Y&amp;PAGE=toc&amp;D=yrovft&amp;AN=00000703-000000000-00000")</f>
        <v>https://ovidsp.ovid.com/ovidweb.cgi?T=JS&amp;NEWS=n&amp;CSC=Y&amp;PAGE=toc&amp;D=yrovft&amp;AN=00000703-000000000-00000</v>
      </c>
      <c r="M44" t="s">
        <v>1191</v>
      </c>
      <c r="N44" t="s">
        <v>2424</v>
      </c>
      <c r="O44" t="s">
        <v>3747</v>
      </c>
      <c r="P44" t="b">
        <v>0</v>
      </c>
      <c r="Q44" t="s">
        <v>2424</v>
      </c>
    </row>
    <row r="45" spans="1:17" x14ac:dyDescent="0.35">
      <c r="A45" t="s">
        <v>933</v>
      </c>
      <c r="B45" t="s">
        <v>1676</v>
      </c>
      <c r="C45" t="s">
        <v>2450</v>
      </c>
      <c r="D45" t="s">
        <v>50</v>
      </c>
      <c r="E45">
        <v>7</v>
      </c>
      <c r="F45">
        <v>1</v>
      </c>
      <c r="G45">
        <v>18</v>
      </c>
      <c r="H45">
        <v>3</v>
      </c>
      <c r="I45" t="s">
        <v>1111</v>
      </c>
      <c r="J45" t="s">
        <v>1943</v>
      </c>
      <c r="K45" t="s">
        <v>3523</v>
      </c>
      <c r="L45" s="1" t="str">
        <f>HYPERLINK("https://ovidsp.ovid.com/ovidweb.cgi?T=JS&amp;NEWS=n&amp;CSC=Y&amp;PAGE=toc&amp;D=yrovft&amp;AN=00129039-000000000-00000","https://ovidsp.ovid.com/ovidweb.cgi?T=JS&amp;NEWS=n&amp;CSC=Y&amp;PAGE=toc&amp;D=yrovft&amp;AN=00129039-000000000-00000")</f>
        <v>https://ovidsp.ovid.com/ovidweb.cgi?T=JS&amp;NEWS=n&amp;CSC=Y&amp;PAGE=toc&amp;D=yrovft&amp;AN=00129039-000000000-00000</v>
      </c>
      <c r="M45" t="s">
        <v>1775</v>
      </c>
      <c r="N45" t="s">
        <v>2424</v>
      </c>
      <c r="O45" t="s">
        <v>3268</v>
      </c>
      <c r="P45" t="b">
        <v>1</v>
      </c>
      <c r="Q45" t="s">
        <v>2098</v>
      </c>
    </row>
    <row r="46" spans="1:17" x14ac:dyDescent="0.35">
      <c r="A46" t="s">
        <v>685</v>
      </c>
      <c r="B46" t="s">
        <v>2878</v>
      </c>
      <c r="C46" t="s">
        <v>483</v>
      </c>
      <c r="D46" t="s">
        <v>158</v>
      </c>
      <c r="E46">
        <v>83</v>
      </c>
      <c r="F46">
        <v>5</v>
      </c>
      <c r="G46">
        <v>89</v>
      </c>
      <c r="H46">
        <v>0</v>
      </c>
      <c r="I46" t="s">
        <v>414</v>
      </c>
      <c r="J46" t="s">
        <v>923</v>
      </c>
      <c r="K46" t="s">
        <v>2026</v>
      </c>
      <c r="L46" s="1" t="str">
        <f>HYPERLINK("https://ovidsp.ovid.com/ovidweb.cgi?T=JS&amp;NEWS=n&amp;CSC=Y&amp;PAGE=toc&amp;D=yrovft&amp;AN=00000740-000000000-00000","https://ovidsp.ovid.com/ovidweb.cgi?T=JS&amp;NEWS=n&amp;CSC=Y&amp;PAGE=toc&amp;D=yrovft&amp;AN=00000740-000000000-00000")</f>
        <v>https://ovidsp.ovid.com/ovidweb.cgi?T=JS&amp;NEWS=n&amp;CSC=Y&amp;PAGE=toc&amp;D=yrovft&amp;AN=00000740-000000000-00000</v>
      </c>
      <c r="M46" t="s">
        <v>114</v>
      </c>
      <c r="N46" t="s">
        <v>2424</v>
      </c>
      <c r="O46" t="s">
        <v>228</v>
      </c>
      <c r="P46" t="b">
        <v>1</v>
      </c>
      <c r="Q46" t="s">
        <v>2056</v>
      </c>
    </row>
    <row r="47" spans="1:17" x14ac:dyDescent="0.35">
      <c r="A47" t="s">
        <v>1022</v>
      </c>
      <c r="B47" t="s">
        <v>1880</v>
      </c>
      <c r="C47" t="s">
        <v>483</v>
      </c>
      <c r="D47" t="s">
        <v>158</v>
      </c>
      <c r="E47">
        <v>83</v>
      </c>
      <c r="F47">
        <v>3</v>
      </c>
      <c r="G47">
        <v>89</v>
      </c>
      <c r="H47">
        <v>2</v>
      </c>
      <c r="I47" t="s">
        <v>589</v>
      </c>
      <c r="J47" t="s">
        <v>923</v>
      </c>
      <c r="K47" t="s">
        <v>1992</v>
      </c>
      <c r="L47" s="1" t="str">
        <f>HYPERLINK("https://ovidsp.ovid.com/ovidweb.cgi?T=JS&amp;NEWS=n&amp;CSC=Y&amp;PAGE=toc&amp;D=yrovft&amp;AN=00042223-000000000-00000","https://ovidsp.ovid.com/ovidweb.cgi?T=JS&amp;NEWS=n&amp;CSC=Y&amp;PAGE=toc&amp;D=yrovft&amp;AN=00042223-000000000-00000")</f>
        <v>https://ovidsp.ovid.com/ovidweb.cgi?T=JS&amp;NEWS=n&amp;CSC=Y&amp;PAGE=toc&amp;D=yrovft&amp;AN=00042223-000000000-00000</v>
      </c>
      <c r="M47" t="s">
        <v>956</v>
      </c>
      <c r="N47" t="s">
        <v>2424</v>
      </c>
      <c r="O47" t="s">
        <v>28</v>
      </c>
      <c r="P47" t="b">
        <v>1</v>
      </c>
      <c r="Q47" t="s">
        <v>1188</v>
      </c>
    </row>
    <row r="48" spans="1:17" x14ac:dyDescent="0.35">
      <c r="A48" t="s">
        <v>268</v>
      </c>
      <c r="B48" t="s">
        <v>376</v>
      </c>
      <c r="C48" t="s">
        <v>1677</v>
      </c>
      <c r="D48" t="s">
        <v>50</v>
      </c>
      <c r="E48">
        <v>21</v>
      </c>
      <c r="F48">
        <v>7</v>
      </c>
      <c r="G48">
        <v>35</v>
      </c>
      <c r="H48">
        <v>4</v>
      </c>
      <c r="I48" t="s">
        <v>530</v>
      </c>
      <c r="J48" t="s">
        <v>3608</v>
      </c>
      <c r="K48" t="s">
        <v>1640</v>
      </c>
      <c r="L48" s="1" t="str">
        <f>HYPERLINK("https://ovidsp.ovid.com/ovidweb.cgi?T=JS&amp;NEWS=n&amp;CSC=Y&amp;PAGE=toc&amp;D=yrovft&amp;AN=00043605-000000000-00000","https://ovidsp.ovid.com/ovidweb.cgi?T=JS&amp;NEWS=n&amp;CSC=Y&amp;PAGE=toc&amp;D=yrovft&amp;AN=00043605-000000000-00000")</f>
        <v>https://ovidsp.ovid.com/ovidweb.cgi?T=JS&amp;NEWS=n&amp;CSC=Y&amp;PAGE=toc&amp;D=yrovft&amp;AN=00043605-000000000-00000</v>
      </c>
      <c r="M48" t="s">
        <v>3273</v>
      </c>
      <c r="N48" t="s">
        <v>2424</v>
      </c>
      <c r="O48" t="s">
        <v>2496</v>
      </c>
      <c r="P48" t="b">
        <v>1</v>
      </c>
      <c r="Q48" t="s">
        <v>2548</v>
      </c>
    </row>
    <row r="49" spans="1:17" x14ac:dyDescent="0.35">
      <c r="A49" t="s">
        <v>3769</v>
      </c>
      <c r="B49" t="s">
        <v>242</v>
      </c>
      <c r="C49" t="s">
        <v>2446</v>
      </c>
      <c r="D49" t="s">
        <v>50</v>
      </c>
      <c r="E49">
        <v>35</v>
      </c>
      <c r="F49">
        <v>1</v>
      </c>
      <c r="G49">
        <v>37</v>
      </c>
      <c r="H49">
        <v>1</v>
      </c>
      <c r="I49" t="s">
        <v>919</v>
      </c>
      <c r="J49" t="s">
        <v>666</v>
      </c>
      <c r="K49" t="s">
        <v>3622</v>
      </c>
      <c r="L49" s="1" t="str">
        <f>HYPERLINK("https://ovidsp.ovid.com/ovidweb.cgi?T=JS&amp;NEWS=n&amp;CSC=Y&amp;PAGE=toc&amp;D=yrovft&amp;AN=00126869-000000000-00000","https://ovidsp.ovid.com/ovidweb.cgi?T=JS&amp;NEWS=n&amp;CSC=Y&amp;PAGE=toc&amp;D=yrovft&amp;AN=00126869-000000000-00000")</f>
        <v>https://ovidsp.ovid.com/ovidweb.cgi?T=JS&amp;NEWS=n&amp;CSC=Y&amp;PAGE=toc&amp;D=yrovft&amp;AN=00126869-000000000-00000</v>
      </c>
      <c r="M49" t="s">
        <v>772</v>
      </c>
      <c r="N49" t="s">
        <v>2424</v>
      </c>
      <c r="O49" t="s">
        <v>2390</v>
      </c>
      <c r="P49" t="b">
        <v>0</v>
      </c>
      <c r="Q49" t="s">
        <v>2424</v>
      </c>
    </row>
    <row r="50" spans="1:17" x14ac:dyDescent="0.35">
      <c r="A50" t="s">
        <v>355</v>
      </c>
      <c r="B50" t="s">
        <v>2348</v>
      </c>
      <c r="C50" t="s">
        <v>205</v>
      </c>
      <c r="D50" t="s">
        <v>50</v>
      </c>
      <c r="E50">
        <v>47</v>
      </c>
      <c r="F50">
        <v>5</v>
      </c>
      <c r="G50">
        <v>56</v>
      </c>
      <c r="H50">
        <v>3</v>
      </c>
      <c r="I50" t="s">
        <v>1102</v>
      </c>
      <c r="J50" t="s">
        <v>1281</v>
      </c>
      <c r="K50" t="s">
        <v>3523</v>
      </c>
      <c r="L50" s="1" t="str">
        <f>HYPERLINK("https://ovidsp.ovid.com/ovidweb.cgi?T=JS&amp;NEWS=n&amp;CSC=Y&amp;PAGE=toc&amp;D=yrovft&amp;AN=00002480-000000000-00000","https://ovidsp.ovid.com/ovidweb.cgi?T=JS&amp;NEWS=n&amp;CSC=Y&amp;PAGE=toc&amp;D=yrovft&amp;AN=00002480-000000000-00000")</f>
        <v>https://ovidsp.ovid.com/ovidweb.cgi?T=JS&amp;NEWS=n&amp;CSC=Y&amp;PAGE=toc&amp;D=yrovft&amp;AN=00002480-000000000-00000</v>
      </c>
      <c r="M50" t="s">
        <v>3513</v>
      </c>
      <c r="N50" t="s">
        <v>2424</v>
      </c>
      <c r="O50" t="s">
        <v>2986</v>
      </c>
      <c r="P50" t="b">
        <v>1</v>
      </c>
      <c r="Q50" t="s">
        <v>403</v>
      </c>
    </row>
    <row r="51" spans="1:17" x14ac:dyDescent="0.35">
      <c r="A51" t="s">
        <v>1558</v>
      </c>
      <c r="B51" t="s">
        <v>510</v>
      </c>
      <c r="C51" t="s">
        <v>2784</v>
      </c>
      <c r="D51" t="s">
        <v>2855</v>
      </c>
      <c r="E51">
        <v>20</v>
      </c>
      <c r="F51">
        <v>1</v>
      </c>
      <c r="G51">
        <v>20</v>
      </c>
      <c r="H51">
        <v>6</v>
      </c>
      <c r="I51" t="s">
        <v>2251</v>
      </c>
      <c r="J51" t="s">
        <v>3622</v>
      </c>
      <c r="K51" t="s">
        <v>2837</v>
      </c>
      <c r="L51" s="1" t="str">
        <f>HYPERLINK("https://ovidsp.ovid.com/ovidweb.cgi?T=JS&amp;NEWS=n&amp;CSC=Y&amp;PAGE=toc&amp;D=yrovft&amp;AN=00008874-000000000-00000","https://ovidsp.ovid.com/ovidweb.cgi?T=JS&amp;NEWS=n&amp;CSC=Y&amp;PAGE=toc&amp;D=yrovft&amp;AN=00008874-000000000-00000")</f>
        <v>https://ovidsp.ovid.com/ovidweb.cgi?T=JS&amp;NEWS=n&amp;CSC=Y&amp;PAGE=toc&amp;D=yrovft&amp;AN=00008874-000000000-00000</v>
      </c>
      <c r="M51" t="s">
        <v>2380</v>
      </c>
      <c r="N51" t="s">
        <v>2424</v>
      </c>
      <c r="O51" t="s">
        <v>53</v>
      </c>
      <c r="P51" t="b">
        <v>1</v>
      </c>
      <c r="Q51" t="s">
        <v>3011</v>
      </c>
    </row>
    <row r="52" spans="1:17" x14ac:dyDescent="0.35">
      <c r="A52" t="s">
        <v>1168</v>
      </c>
      <c r="B52" t="s">
        <v>1746</v>
      </c>
      <c r="C52" t="s">
        <v>828</v>
      </c>
      <c r="D52" t="s">
        <v>50</v>
      </c>
      <c r="E52">
        <v>12</v>
      </c>
      <c r="F52">
        <v>2</v>
      </c>
      <c r="G52">
        <v>21</v>
      </c>
      <c r="H52">
        <v>2</v>
      </c>
      <c r="I52" t="s">
        <v>1189</v>
      </c>
      <c r="J52" t="s">
        <v>620</v>
      </c>
      <c r="K52" t="s">
        <v>2939</v>
      </c>
      <c r="L52" s="1" t="str">
        <f>HYPERLINK("https://ovidsp.ovid.com/ovidweb.cgi?T=JS&amp;NEWS=n&amp;CSC=Y&amp;PAGE=toc&amp;D=yrovft&amp;AN=00008877-000000000-00000","https://ovidsp.ovid.com/ovidweb.cgi?T=JS&amp;NEWS=n&amp;CSC=Y&amp;PAGE=toc&amp;D=yrovft&amp;AN=00008877-000000000-00000")</f>
        <v>https://ovidsp.ovid.com/ovidweb.cgi?T=JS&amp;NEWS=n&amp;CSC=Y&amp;PAGE=toc&amp;D=yrovft&amp;AN=00008877-000000000-00000</v>
      </c>
      <c r="M52" t="s">
        <v>2868</v>
      </c>
      <c r="N52" t="s">
        <v>2424</v>
      </c>
      <c r="O52" t="s">
        <v>1529</v>
      </c>
      <c r="P52" t="b">
        <v>1</v>
      </c>
      <c r="Q52" t="s">
        <v>187</v>
      </c>
    </row>
    <row r="53" spans="1:17" x14ac:dyDescent="0.35">
      <c r="A53" t="s">
        <v>2686</v>
      </c>
      <c r="B53" t="s">
        <v>725</v>
      </c>
      <c r="C53" t="s">
        <v>1062</v>
      </c>
      <c r="D53" t="s">
        <v>50</v>
      </c>
      <c r="E53">
        <v>32</v>
      </c>
      <c r="F53">
        <v>1</v>
      </c>
      <c r="G53">
        <v>40</v>
      </c>
      <c r="H53">
        <v>9</v>
      </c>
      <c r="I53" t="s">
        <v>2315</v>
      </c>
      <c r="J53" t="s">
        <v>1304</v>
      </c>
      <c r="K53" t="s">
        <v>209</v>
      </c>
      <c r="L53" s="1" t="str">
        <f>HYPERLINK("https://ovidsp.ovid.com/ovidweb.cgi?T=JS&amp;NEWS=n&amp;CSC=Y&amp;PAGE=toc&amp;D=yrovft&amp;AN=00149078-000000000-00000","https://ovidsp.ovid.com/ovidweb.cgi?T=JS&amp;NEWS=n&amp;CSC=Y&amp;PAGE=toc&amp;D=yrovft&amp;AN=00149078-000000000-00000")</f>
        <v>https://ovidsp.ovid.com/ovidweb.cgi?T=JS&amp;NEWS=n&amp;CSC=Y&amp;PAGE=toc&amp;D=yrovft&amp;AN=00149078-000000000-00000</v>
      </c>
      <c r="M53" t="s">
        <v>2669</v>
      </c>
      <c r="N53" t="s">
        <v>2424</v>
      </c>
      <c r="O53" t="s">
        <v>3673</v>
      </c>
      <c r="P53" t="b">
        <v>0</v>
      </c>
      <c r="Q53" t="s">
        <v>2424</v>
      </c>
    </row>
    <row r="54" spans="1:17" x14ac:dyDescent="0.35">
      <c r="A54" t="s">
        <v>1542</v>
      </c>
      <c r="B54" t="s">
        <v>2772</v>
      </c>
      <c r="C54" t="s">
        <v>938</v>
      </c>
      <c r="D54" t="s">
        <v>2855</v>
      </c>
      <c r="E54">
        <v>10</v>
      </c>
      <c r="F54">
        <v>1</v>
      </c>
      <c r="G54">
        <v>11</v>
      </c>
      <c r="H54">
        <v>1</v>
      </c>
      <c r="I54" t="s">
        <v>3092</v>
      </c>
      <c r="J54" t="s">
        <v>3622</v>
      </c>
      <c r="K54" t="s">
        <v>840</v>
      </c>
      <c r="L54" s="1" t="str">
        <f>HYPERLINK("https://ovidsp.ovid.com/ovidweb.cgi?T=JS&amp;NEWS=n&amp;CSC=Y&amp;PAGE=toc&amp;D=yrovft&amp;AN=00134745-000000000-00000","https://ovidsp.ovid.com/ovidweb.cgi?T=JS&amp;NEWS=n&amp;CSC=Y&amp;PAGE=toc&amp;D=yrovft&amp;AN=00134745-000000000-00000")</f>
        <v>https://ovidsp.ovid.com/ovidweb.cgi?T=JS&amp;NEWS=n&amp;CSC=Y&amp;PAGE=toc&amp;D=yrovft&amp;AN=00134745-000000000-00000</v>
      </c>
      <c r="M54" t="s">
        <v>3396</v>
      </c>
      <c r="N54" t="s">
        <v>2424</v>
      </c>
      <c r="O54" t="s">
        <v>2303</v>
      </c>
      <c r="P54" t="b">
        <v>1</v>
      </c>
      <c r="Q54" t="s">
        <v>2588</v>
      </c>
    </row>
    <row r="55" spans="1:17" x14ac:dyDescent="0.35">
      <c r="A55" t="s">
        <v>850</v>
      </c>
      <c r="B55" t="s">
        <v>133</v>
      </c>
      <c r="C55" t="s">
        <v>2371</v>
      </c>
      <c r="D55" t="s">
        <v>3649</v>
      </c>
      <c r="E55">
        <v>29</v>
      </c>
      <c r="F55">
        <v>1</v>
      </c>
      <c r="G55">
        <v>31</v>
      </c>
      <c r="H55">
        <v>1</v>
      </c>
      <c r="I55" t="s">
        <v>943</v>
      </c>
      <c r="J55" t="s">
        <v>2249</v>
      </c>
      <c r="K55" t="s">
        <v>1992</v>
      </c>
      <c r="L55" s="1" t="str">
        <f>HYPERLINK("https://ovidsp.ovid.com/ovidweb.cgi?T=JS&amp;NEWS=n&amp;CSC=Y&amp;PAGE=toc&amp;D=yrovft&amp;AN=00001857-000000000-00000","https://ovidsp.ovid.com/ovidweb.cgi?T=JS&amp;NEWS=n&amp;CSC=Y&amp;PAGE=toc&amp;D=yrovft&amp;AN=00001857-000000000-00000")</f>
        <v>https://ovidsp.ovid.com/ovidweb.cgi?T=JS&amp;NEWS=n&amp;CSC=Y&amp;PAGE=toc&amp;D=yrovft&amp;AN=00001857-000000000-00000</v>
      </c>
      <c r="M55" t="s">
        <v>2171</v>
      </c>
      <c r="N55" t="s">
        <v>2424</v>
      </c>
      <c r="O55" t="s">
        <v>2651</v>
      </c>
      <c r="P55" t="b">
        <v>1</v>
      </c>
      <c r="Q55" t="s">
        <v>776</v>
      </c>
    </row>
    <row r="56" spans="1:17" x14ac:dyDescent="0.35">
      <c r="A56" t="s">
        <v>1412</v>
      </c>
      <c r="B56" t="s">
        <v>3208</v>
      </c>
      <c r="C56" t="s">
        <v>2356</v>
      </c>
      <c r="D56" t="s">
        <v>2855</v>
      </c>
      <c r="E56">
        <v>102</v>
      </c>
      <c r="F56">
        <v>2</v>
      </c>
      <c r="G56">
        <v>104</v>
      </c>
      <c r="H56">
        <v>1</v>
      </c>
      <c r="I56" t="s">
        <v>2485</v>
      </c>
      <c r="J56" t="s">
        <v>2568</v>
      </c>
      <c r="K56" t="s">
        <v>840</v>
      </c>
      <c r="L56" s="1" t="str">
        <f>HYPERLINK("https://ovidsp.ovid.com/ovidweb.cgi?T=JS&amp;NEWS=n&amp;CSC=Y&amp;PAGE=toc&amp;D=yrovft&amp;AN=00002264-000000000-00000","https://ovidsp.ovid.com/ovidweb.cgi?T=JS&amp;NEWS=n&amp;CSC=Y&amp;PAGE=toc&amp;D=yrovft&amp;AN=00002264-000000000-00000")</f>
        <v>https://ovidsp.ovid.com/ovidweb.cgi?T=JS&amp;NEWS=n&amp;CSC=Y&amp;PAGE=toc&amp;D=yrovft&amp;AN=00002264-000000000-00000</v>
      </c>
      <c r="M56" t="s">
        <v>526</v>
      </c>
      <c r="N56" t="s">
        <v>2424</v>
      </c>
      <c r="O56" t="s">
        <v>868</v>
      </c>
      <c r="P56" t="b">
        <v>0</v>
      </c>
      <c r="Q56" t="s">
        <v>2424</v>
      </c>
    </row>
    <row r="57" spans="1:17" x14ac:dyDescent="0.35">
      <c r="A57" t="s">
        <v>3426</v>
      </c>
      <c r="B57" t="s">
        <v>2525</v>
      </c>
      <c r="C57" t="s">
        <v>1264</v>
      </c>
      <c r="D57" t="s">
        <v>50</v>
      </c>
      <c r="E57">
        <v>12</v>
      </c>
      <c r="F57">
        <v>5</v>
      </c>
      <c r="G57">
        <v>21</v>
      </c>
      <c r="H57">
        <v>4</v>
      </c>
      <c r="I57" t="s">
        <v>2988</v>
      </c>
      <c r="J57" t="s">
        <v>3608</v>
      </c>
      <c r="K57" t="s">
        <v>2972</v>
      </c>
      <c r="L57" s="1" t="str">
        <f>HYPERLINK("https://ovidsp.ovid.com/ovidweb.cgi?T=JS&amp;NEWS=n&amp;CSC=Y&amp;PAGE=toc&amp;D=yrovft&amp;AN=00001721-000000000-00000","https://ovidsp.ovid.com/ovidweb.cgi?T=JS&amp;NEWS=n&amp;CSC=Y&amp;PAGE=toc&amp;D=yrovft&amp;AN=00001721-000000000-00000")</f>
        <v>https://ovidsp.ovid.com/ovidweb.cgi?T=JS&amp;NEWS=n&amp;CSC=Y&amp;PAGE=toc&amp;D=yrovft&amp;AN=00001721-000000000-00000</v>
      </c>
      <c r="M57" t="s">
        <v>2560</v>
      </c>
      <c r="N57" t="s">
        <v>2424</v>
      </c>
      <c r="O57" t="s">
        <v>2860</v>
      </c>
      <c r="P57" t="b">
        <v>1</v>
      </c>
      <c r="Q57" t="s">
        <v>736</v>
      </c>
    </row>
    <row r="58" spans="1:17" x14ac:dyDescent="0.35">
      <c r="A58" t="s">
        <v>2687</v>
      </c>
      <c r="B58" t="s">
        <v>2451</v>
      </c>
      <c r="C58" t="s">
        <v>574</v>
      </c>
      <c r="D58" t="s">
        <v>50</v>
      </c>
      <c r="E58">
        <v>5</v>
      </c>
      <c r="F58">
        <v>4</v>
      </c>
      <c r="G58">
        <v>15</v>
      </c>
      <c r="H58">
        <v>2</v>
      </c>
      <c r="I58" t="s">
        <v>765</v>
      </c>
      <c r="J58" t="s">
        <v>2384</v>
      </c>
      <c r="K58" t="s">
        <v>2461</v>
      </c>
      <c r="L58" s="1" t="str">
        <f>HYPERLINK("https://ovidsp.ovid.com/ovidweb.cgi?T=JS&amp;NEWS=n&amp;CSC=Y&amp;PAGE=toc&amp;D=yrovft&amp;AN=00126097-000000000-00000","https://ovidsp.ovid.com/ovidweb.cgi?T=JS&amp;NEWS=n&amp;CSC=Y&amp;PAGE=toc&amp;D=yrovft&amp;AN=00126097-000000000-00000")</f>
        <v>https://ovidsp.ovid.com/ovidweb.cgi?T=JS&amp;NEWS=n&amp;CSC=Y&amp;PAGE=toc&amp;D=yrovft&amp;AN=00126097-000000000-00000</v>
      </c>
      <c r="M58" t="s">
        <v>2823</v>
      </c>
      <c r="N58" t="s">
        <v>2424</v>
      </c>
      <c r="O58" t="s">
        <v>1108</v>
      </c>
      <c r="P58" t="b">
        <v>1</v>
      </c>
      <c r="Q58" t="s">
        <v>3597</v>
      </c>
    </row>
    <row r="59" spans="1:17" x14ac:dyDescent="0.35">
      <c r="A59" t="s">
        <v>2332</v>
      </c>
      <c r="B59" t="s">
        <v>1053</v>
      </c>
      <c r="C59" t="s">
        <v>1019</v>
      </c>
      <c r="D59" t="s">
        <v>158</v>
      </c>
      <c r="E59">
        <v>324</v>
      </c>
      <c r="F59">
        <v>7335</v>
      </c>
      <c r="G59">
        <v>328</v>
      </c>
      <c r="H59">
        <v>7442</v>
      </c>
      <c r="I59" t="s">
        <v>920</v>
      </c>
      <c r="J59" t="s">
        <v>1589</v>
      </c>
      <c r="K59" t="s">
        <v>655</v>
      </c>
      <c r="L59" s="1" t="str">
        <f>HYPERLINK("https://ovidsp.ovid.com/ovidweb.cgi?T=JS&amp;NEWS=n&amp;CSC=Y&amp;PAGE=toc&amp;D=yrovft&amp;AN=00002591-000000000-00000","https://ovidsp.ovid.com/ovidweb.cgi?T=JS&amp;NEWS=n&amp;CSC=Y&amp;PAGE=toc&amp;D=yrovft&amp;AN=00002591-000000000-00000")</f>
        <v>https://ovidsp.ovid.com/ovidweb.cgi?T=JS&amp;NEWS=n&amp;CSC=Y&amp;PAGE=toc&amp;D=yrovft&amp;AN=00002591-000000000-00000</v>
      </c>
      <c r="M59" t="s">
        <v>3166</v>
      </c>
      <c r="N59" t="s">
        <v>2424</v>
      </c>
      <c r="O59" t="s">
        <v>1432</v>
      </c>
      <c r="P59" t="b">
        <v>0</v>
      </c>
      <c r="Q59" t="s">
        <v>2424</v>
      </c>
    </row>
    <row r="60" spans="1:17" x14ac:dyDescent="0.35">
      <c r="A60" t="s">
        <v>3318</v>
      </c>
      <c r="B60" t="s">
        <v>426</v>
      </c>
      <c r="C60" t="s">
        <v>3462</v>
      </c>
      <c r="D60" t="s">
        <v>2855</v>
      </c>
      <c r="E60">
        <v>131</v>
      </c>
      <c r="F60">
        <v>12</v>
      </c>
      <c r="G60">
        <v>132</v>
      </c>
      <c r="H60">
        <v>12</v>
      </c>
      <c r="I60" t="s">
        <v>2296</v>
      </c>
      <c r="J60" t="s">
        <v>2923</v>
      </c>
      <c r="K60" t="s">
        <v>2957</v>
      </c>
      <c r="L60" s="1" t="str">
        <f>HYPERLINK("https://ovidsp.ovid.com/ovidweb.cgi?T=JS&amp;NEWS=n&amp;CSC=Y&amp;PAGE=toc&amp;D=yrovft&amp;AN=00002423-000000000-00000","https://ovidsp.ovid.com/ovidweb.cgi?T=JS&amp;NEWS=n&amp;CSC=Y&amp;PAGE=toc&amp;D=yrovft&amp;AN=00002423-000000000-00000")</f>
        <v>https://ovidsp.ovid.com/ovidweb.cgi?T=JS&amp;NEWS=n&amp;CSC=Y&amp;PAGE=toc&amp;D=yrovft&amp;AN=00002423-000000000-00000</v>
      </c>
      <c r="M60" t="s">
        <v>3748</v>
      </c>
      <c r="N60" t="s">
        <v>2424</v>
      </c>
      <c r="O60" t="s">
        <v>2518</v>
      </c>
      <c r="P60" t="b">
        <v>1</v>
      </c>
      <c r="Q60" t="s">
        <v>2811</v>
      </c>
    </row>
    <row r="61" spans="1:17" x14ac:dyDescent="0.35">
      <c r="A61" t="s">
        <v>2933</v>
      </c>
      <c r="B61" t="s">
        <v>116</v>
      </c>
      <c r="C61" t="s">
        <v>2788</v>
      </c>
      <c r="D61" t="s">
        <v>3214</v>
      </c>
      <c r="E61">
        <v>71</v>
      </c>
      <c r="F61">
        <v>3</v>
      </c>
      <c r="G61">
        <v>78</v>
      </c>
      <c r="H61">
        <v>1</v>
      </c>
      <c r="I61" t="s">
        <v>326</v>
      </c>
      <c r="J61" t="s">
        <v>3162</v>
      </c>
      <c r="K61" t="s">
        <v>2581</v>
      </c>
      <c r="L61" s="1" t="str">
        <f>HYPERLINK("https://ovidsp.ovid.com/ovidweb.cgi?T=JS&amp;NEWS=n&amp;CSC=Y&amp;PAGE=toc&amp;D=yrovft&amp;AN=00001803-000000000-00000","https://ovidsp.ovid.com/ovidweb.cgi?T=JS&amp;NEWS=n&amp;CSC=Y&amp;PAGE=toc&amp;D=yrovft&amp;AN=00001803-000000000-00000")</f>
        <v>https://ovidsp.ovid.com/ovidweb.cgi?T=JS&amp;NEWS=n&amp;CSC=Y&amp;PAGE=toc&amp;D=yrovft&amp;AN=00001803-000000000-00000</v>
      </c>
      <c r="M61" t="s">
        <v>3194</v>
      </c>
      <c r="N61" t="s">
        <v>2424</v>
      </c>
      <c r="O61" t="s">
        <v>1429</v>
      </c>
      <c r="P61" t="b">
        <v>0</v>
      </c>
      <c r="Q61" t="s">
        <v>2424</v>
      </c>
    </row>
    <row r="62" spans="1:17" x14ac:dyDescent="0.35">
      <c r="A62" t="s">
        <v>2797</v>
      </c>
      <c r="B62" t="s">
        <v>893</v>
      </c>
      <c r="C62" t="s">
        <v>2511</v>
      </c>
      <c r="D62" t="s">
        <v>2855</v>
      </c>
      <c r="E62">
        <v>8</v>
      </c>
      <c r="F62">
        <v>4</v>
      </c>
      <c r="G62">
        <v>8</v>
      </c>
      <c r="H62">
        <v>4</v>
      </c>
      <c r="I62" t="s">
        <v>327</v>
      </c>
      <c r="J62" t="s">
        <v>2357</v>
      </c>
      <c r="K62" t="s">
        <v>2357</v>
      </c>
      <c r="L62" s="1" t="str">
        <f>HYPERLINK("https://ovidsp.ovid.com/ovidweb.cgi?T=JS&amp;NEWS=n&amp;CSC=Y&amp;PAGE=toc&amp;D=yrovft&amp;AN=00134747-000000000-00000","https://ovidsp.ovid.com/ovidweb.cgi?T=JS&amp;NEWS=n&amp;CSC=Y&amp;PAGE=toc&amp;D=yrovft&amp;AN=00134747-000000000-00000")</f>
        <v>https://ovidsp.ovid.com/ovidweb.cgi?T=JS&amp;NEWS=n&amp;CSC=Y&amp;PAGE=toc&amp;D=yrovft&amp;AN=00134747-000000000-00000</v>
      </c>
      <c r="M62" t="s">
        <v>3000</v>
      </c>
      <c r="N62" t="s">
        <v>2424</v>
      </c>
      <c r="O62" t="s">
        <v>2838</v>
      </c>
      <c r="P62" t="b">
        <v>0</v>
      </c>
      <c r="Q62" t="s">
        <v>2424</v>
      </c>
    </row>
    <row r="63" spans="1:17" x14ac:dyDescent="0.35">
      <c r="A63" t="s">
        <v>3754</v>
      </c>
      <c r="B63" t="s">
        <v>691</v>
      </c>
      <c r="C63" t="s">
        <v>3733</v>
      </c>
      <c r="D63" t="s">
        <v>894</v>
      </c>
      <c r="E63">
        <v>180</v>
      </c>
      <c r="F63">
        <v>0</v>
      </c>
      <c r="G63">
        <v>196</v>
      </c>
      <c r="H63">
        <v>6</v>
      </c>
      <c r="I63" t="s">
        <v>115</v>
      </c>
      <c r="J63" t="s">
        <v>2249</v>
      </c>
      <c r="K63" t="s">
        <v>2972</v>
      </c>
      <c r="L63" s="1" t="str">
        <f>HYPERLINK("https://ovidsp.ovid.com/ovidweb.cgi?T=JS&amp;NEWS=n&amp;CSC=Y&amp;PAGE=toc&amp;D=yrovft&amp;AN=00002405-000000000-00000","https://ovidsp.ovid.com/ovidweb.cgi?T=JS&amp;NEWS=n&amp;CSC=Y&amp;PAGE=toc&amp;D=yrovft&amp;AN=00002405-000000000-00000")</f>
        <v>https://ovidsp.ovid.com/ovidweb.cgi?T=JS&amp;NEWS=n&amp;CSC=Y&amp;PAGE=toc&amp;D=yrovft&amp;AN=00002405-000000000-00000</v>
      </c>
      <c r="M63" t="s">
        <v>532</v>
      </c>
      <c r="N63" t="s">
        <v>2424</v>
      </c>
      <c r="O63" t="s">
        <v>2737</v>
      </c>
      <c r="P63" t="b">
        <v>0</v>
      </c>
      <c r="Q63" t="s">
        <v>2424</v>
      </c>
    </row>
    <row r="64" spans="1:17" x14ac:dyDescent="0.35">
      <c r="A64" t="s">
        <v>991</v>
      </c>
      <c r="B64" t="s">
        <v>2653</v>
      </c>
      <c r="C64" t="s">
        <v>309</v>
      </c>
      <c r="D64" t="s">
        <v>2855</v>
      </c>
      <c r="E64">
        <v>89</v>
      </c>
      <c r="F64">
        <v>1</v>
      </c>
      <c r="G64">
        <v>92</v>
      </c>
      <c r="H64">
        <v>1</v>
      </c>
      <c r="I64" t="s">
        <v>342</v>
      </c>
      <c r="J64" t="s">
        <v>2671</v>
      </c>
      <c r="K64" t="s">
        <v>2957</v>
      </c>
      <c r="L64" s="1" t="str">
        <f>HYPERLINK("https://ovidsp.ovid.com/ovidweb.cgi?T=JS&amp;NEWS=n&amp;CSC=Y&amp;PAGE=toc&amp;D=yrovft&amp;AN=00002417-000000000-00000","https://ovidsp.ovid.com/ovidweb.cgi?T=JS&amp;NEWS=n&amp;CSC=Y&amp;PAGE=toc&amp;D=yrovft&amp;AN=00002417-000000000-00000")</f>
        <v>https://ovidsp.ovid.com/ovidweb.cgi?T=JS&amp;NEWS=n&amp;CSC=Y&amp;PAGE=toc&amp;D=yrovft&amp;AN=00002417-000000000-00000</v>
      </c>
      <c r="M64" t="s">
        <v>2365</v>
      </c>
      <c r="N64" t="s">
        <v>2424</v>
      </c>
      <c r="O64" t="s">
        <v>2294</v>
      </c>
      <c r="P64" t="b">
        <v>1</v>
      </c>
      <c r="Q64" t="s">
        <v>614</v>
      </c>
    </row>
    <row r="65" spans="1:17" x14ac:dyDescent="0.35">
      <c r="A65" t="s">
        <v>1633</v>
      </c>
      <c r="B65" t="s">
        <v>1922</v>
      </c>
      <c r="C65" t="s">
        <v>3215</v>
      </c>
      <c r="D65" t="s">
        <v>50</v>
      </c>
      <c r="E65">
        <v>24</v>
      </c>
      <c r="F65">
        <v>4</v>
      </c>
      <c r="G65">
        <v>38</v>
      </c>
      <c r="H65">
        <v>2</v>
      </c>
      <c r="I65" t="s">
        <v>2130</v>
      </c>
      <c r="J65" t="s">
        <v>374</v>
      </c>
      <c r="K65" t="s">
        <v>2722</v>
      </c>
      <c r="L65" s="1" t="str">
        <f>HYPERLINK("https://ovidsp.ovid.com/ovidweb.cgi?T=JS&amp;NEWS=n&amp;CSC=Y&amp;PAGE=toc&amp;D=yrovft&amp;AN=00002820-000000000-00000","https://ovidsp.ovid.com/ovidweb.cgi?T=JS&amp;NEWS=n&amp;CSC=Y&amp;PAGE=toc&amp;D=yrovft&amp;AN=00002820-000000000-00000")</f>
        <v>https://ovidsp.ovid.com/ovidweb.cgi?T=JS&amp;NEWS=n&amp;CSC=Y&amp;PAGE=toc&amp;D=yrovft&amp;AN=00002820-000000000-00000</v>
      </c>
      <c r="M65" t="s">
        <v>2714</v>
      </c>
      <c r="N65" t="s">
        <v>2424</v>
      </c>
      <c r="O65" t="s">
        <v>1473</v>
      </c>
      <c r="P65" t="b">
        <v>1</v>
      </c>
      <c r="Q65" t="s">
        <v>3276</v>
      </c>
    </row>
    <row r="66" spans="1:17" x14ac:dyDescent="0.35">
      <c r="A66" t="s">
        <v>3394</v>
      </c>
      <c r="B66" t="s">
        <v>2309</v>
      </c>
      <c r="C66" t="s">
        <v>1172</v>
      </c>
      <c r="D66" t="s">
        <v>2855</v>
      </c>
      <c r="E66">
        <v>30</v>
      </c>
      <c r="F66">
        <v>1</v>
      </c>
      <c r="G66">
        <v>30</v>
      </c>
      <c r="H66">
        <v>12</v>
      </c>
      <c r="I66" t="s">
        <v>1517</v>
      </c>
      <c r="J66" t="s">
        <v>3622</v>
      </c>
      <c r="K66" t="s">
        <v>2957</v>
      </c>
      <c r="L66" s="1" t="str">
        <f>HYPERLINK("https://ovidsp.ovid.com/ovidweb.cgi?T=JS&amp;NEWS=n&amp;CSC=Y&amp;PAGE=toc&amp;D=yrovft&amp;AN=00002700-000000000-00000","https://ovidsp.ovid.com/ovidweb.cgi?T=JS&amp;NEWS=n&amp;CSC=Y&amp;PAGE=toc&amp;D=yrovft&amp;AN=00002700-000000000-00000")</f>
        <v>https://ovidsp.ovid.com/ovidweb.cgi?T=JS&amp;NEWS=n&amp;CSC=Y&amp;PAGE=toc&amp;D=yrovft&amp;AN=00002700-000000000-00000</v>
      </c>
      <c r="M66" t="s">
        <v>790</v>
      </c>
      <c r="N66" t="s">
        <v>2424</v>
      </c>
      <c r="O66" t="s">
        <v>778</v>
      </c>
      <c r="P66" t="b">
        <v>1</v>
      </c>
      <c r="Q66" t="s">
        <v>3377</v>
      </c>
    </row>
    <row r="67" spans="1:17" x14ac:dyDescent="0.35">
      <c r="A67" t="s">
        <v>2912</v>
      </c>
      <c r="B67" t="s">
        <v>2453</v>
      </c>
      <c r="C67" t="s">
        <v>889</v>
      </c>
      <c r="D67" t="s">
        <v>50</v>
      </c>
      <c r="E67">
        <v>11</v>
      </c>
      <c r="F67">
        <v>2</v>
      </c>
      <c r="G67">
        <v>18</v>
      </c>
      <c r="H67">
        <v>3</v>
      </c>
      <c r="I67" t="s">
        <v>1464</v>
      </c>
      <c r="J67" t="s">
        <v>2581</v>
      </c>
      <c r="K67" t="s">
        <v>3523</v>
      </c>
      <c r="L67" s="1" t="str">
        <f>HYPERLINK("https://ovidsp.ovid.com/ovidweb.cgi?T=JS&amp;NEWS=n&amp;CSC=Y&amp;PAGE=toc&amp;D=yrovft&amp;AN=00045415-000000000-00000","https://ovidsp.ovid.com/ovidweb.cgi?T=JS&amp;NEWS=n&amp;CSC=Y&amp;PAGE=toc&amp;D=yrovft&amp;AN=00045415-000000000-00000")</f>
        <v>https://ovidsp.ovid.com/ovidweb.cgi?T=JS&amp;NEWS=n&amp;CSC=Y&amp;PAGE=toc&amp;D=yrovft&amp;AN=00045415-000000000-00000</v>
      </c>
      <c r="M67" t="s">
        <v>486</v>
      </c>
      <c r="N67" t="s">
        <v>2424</v>
      </c>
      <c r="O67" t="s">
        <v>1284</v>
      </c>
      <c r="P67" t="b">
        <v>1</v>
      </c>
      <c r="Q67" t="s">
        <v>408</v>
      </c>
    </row>
    <row r="68" spans="1:17" x14ac:dyDescent="0.35">
      <c r="A68" t="s">
        <v>1701</v>
      </c>
      <c r="B68" t="s">
        <v>2768</v>
      </c>
      <c r="C68" t="s">
        <v>2424</v>
      </c>
      <c r="D68" t="s">
        <v>2429</v>
      </c>
      <c r="E68">
        <v>121</v>
      </c>
      <c r="F68">
        <v>3</v>
      </c>
      <c r="G68">
        <v>125</v>
      </c>
      <c r="H68">
        <v>3</v>
      </c>
      <c r="I68" t="s">
        <v>943</v>
      </c>
      <c r="J68" t="s">
        <v>2249</v>
      </c>
      <c r="K68" t="s">
        <v>1992</v>
      </c>
      <c r="L68" s="1" t="str">
        <f>HYPERLINK("https://ovidsp.ovid.com/ovidweb.cgi?T=JS&amp;NEWS=n&amp;CSC=Y&amp;PAGE=toc&amp;D=yrovft&amp;AN=00002953-000000000-00000","https://ovidsp.ovid.com/ovidweb.cgi?T=JS&amp;NEWS=n&amp;CSC=Y&amp;PAGE=toc&amp;D=yrovft&amp;AN=00002953-000000000-00000")</f>
        <v>https://ovidsp.ovid.com/ovidweb.cgi?T=JS&amp;NEWS=n&amp;CSC=Y&amp;PAGE=toc&amp;D=yrovft&amp;AN=00002953-000000000-00000</v>
      </c>
      <c r="M68" t="s">
        <v>2776</v>
      </c>
      <c r="N68" t="s">
        <v>2424</v>
      </c>
      <c r="O68" t="s">
        <v>1838</v>
      </c>
      <c r="P68" t="b">
        <v>0</v>
      </c>
      <c r="Q68" t="s">
        <v>2424</v>
      </c>
    </row>
    <row r="69" spans="1:17" x14ac:dyDescent="0.35">
      <c r="A69" t="s">
        <v>1607</v>
      </c>
      <c r="B69" t="s">
        <v>1734</v>
      </c>
      <c r="C69" t="s">
        <v>1286</v>
      </c>
      <c r="D69" t="s">
        <v>3649</v>
      </c>
      <c r="E69">
        <v>28</v>
      </c>
      <c r="F69">
        <v>1</v>
      </c>
      <c r="G69">
        <v>30</v>
      </c>
      <c r="H69">
        <v>2</v>
      </c>
      <c r="I69" t="s">
        <v>259</v>
      </c>
      <c r="J69" t="s">
        <v>2209</v>
      </c>
      <c r="K69" t="s">
        <v>1992</v>
      </c>
      <c r="L69" s="1" t="str">
        <f>HYPERLINK("https://ovidsp.ovid.com/ovidweb.cgi?T=JS&amp;NEWS=n&amp;CSC=Y&amp;PAGE=toc&amp;D=yrovft&amp;AN=00002703-000000000-00000","https://ovidsp.ovid.com/ovidweb.cgi?T=JS&amp;NEWS=n&amp;CSC=Y&amp;PAGE=toc&amp;D=yrovft&amp;AN=00002703-000000000-00000")</f>
        <v>https://ovidsp.ovid.com/ovidweb.cgi?T=JS&amp;NEWS=n&amp;CSC=Y&amp;PAGE=toc&amp;D=yrovft&amp;AN=00002703-000000000-00000</v>
      </c>
      <c r="M69" t="s">
        <v>3640</v>
      </c>
      <c r="N69" t="s">
        <v>2424</v>
      </c>
      <c r="O69" t="s">
        <v>46</v>
      </c>
      <c r="P69" t="b">
        <v>1</v>
      </c>
      <c r="Q69" t="s">
        <v>1998</v>
      </c>
    </row>
    <row r="70" spans="1:17" x14ac:dyDescent="0.35">
      <c r="A70" t="s">
        <v>3233</v>
      </c>
      <c r="B70" t="s">
        <v>513</v>
      </c>
      <c r="C70" t="s">
        <v>1286</v>
      </c>
      <c r="D70" t="s">
        <v>3649</v>
      </c>
      <c r="E70">
        <v>28</v>
      </c>
      <c r="F70">
        <v>0</v>
      </c>
      <c r="G70">
        <v>28</v>
      </c>
      <c r="H70">
        <v>0</v>
      </c>
      <c r="I70" t="s">
        <v>183</v>
      </c>
      <c r="J70" t="s">
        <v>222</v>
      </c>
      <c r="K70" t="s">
        <v>222</v>
      </c>
      <c r="L70" s="1" t="str">
        <f>HYPERLINK("https://ovidsp.ovid.com/ovidweb.cgi?T=JS&amp;NEWS=n&amp;CSC=Y&amp;PAGE=toc&amp;D=yrovft&amp;AN=00137754-000000000-00000","https://ovidsp.ovid.com/ovidweb.cgi?T=JS&amp;NEWS=n&amp;CSC=Y&amp;PAGE=toc&amp;D=yrovft&amp;AN=00137754-000000000-00000")</f>
        <v>https://ovidsp.ovid.com/ovidweb.cgi?T=JS&amp;NEWS=n&amp;CSC=Y&amp;PAGE=toc&amp;D=yrovft&amp;AN=00137754-000000000-00000</v>
      </c>
      <c r="M70" t="s">
        <v>3247</v>
      </c>
      <c r="N70" t="s">
        <v>2424</v>
      </c>
      <c r="O70" t="s">
        <v>663</v>
      </c>
      <c r="P70" t="b">
        <v>0</v>
      </c>
      <c r="Q70" t="s">
        <v>2424</v>
      </c>
    </row>
    <row r="71" spans="1:17" x14ac:dyDescent="0.35">
      <c r="A71" t="s">
        <v>3574</v>
      </c>
      <c r="B71" t="s">
        <v>3570</v>
      </c>
      <c r="C71" t="s">
        <v>1910</v>
      </c>
      <c r="D71" t="s">
        <v>50</v>
      </c>
      <c r="E71">
        <v>4</v>
      </c>
      <c r="F71">
        <v>1</v>
      </c>
      <c r="G71">
        <v>5</v>
      </c>
      <c r="H71">
        <v>3</v>
      </c>
      <c r="I71" t="s">
        <v>929</v>
      </c>
      <c r="J71" t="s">
        <v>2909</v>
      </c>
      <c r="K71" t="s">
        <v>222</v>
      </c>
      <c r="L71" s="1" t="str">
        <f>HYPERLINK("https://ovidsp.ovid.com/ovidweb.cgi?T=JS&amp;NEWS=n&amp;CSC=Y&amp;PAGE=toc&amp;D=yrovft&amp;AN=00128682-000000000-00000","https://ovidsp.ovid.com/ovidweb.cgi?T=JS&amp;NEWS=n&amp;CSC=Y&amp;PAGE=toc&amp;D=yrovft&amp;AN=00128682-000000000-00000")</f>
        <v>https://ovidsp.ovid.com/ovidweb.cgi?T=JS&amp;NEWS=n&amp;CSC=Y&amp;PAGE=toc&amp;D=yrovft&amp;AN=00128682-000000000-00000</v>
      </c>
      <c r="M71" t="s">
        <v>1109</v>
      </c>
      <c r="N71" t="s">
        <v>2424</v>
      </c>
      <c r="O71" t="s">
        <v>3209</v>
      </c>
      <c r="P71" t="b">
        <v>0</v>
      </c>
      <c r="Q71" t="s">
        <v>2424</v>
      </c>
    </row>
    <row r="72" spans="1:17" x14ac:dyDescent="0.35">
      <c r="A72" t="s">
        <v>3274</v>
      </c>
      <c r="B72" t="s">
        <v>490</v>
      </c>
      <c r="C72" t="s">
        <v>1910</v>
      </c>
      <c r="D72" t="s">
        <v>50</v>
      </c>
      <c r="E72">
        <v>20</v>
      </c>
      <c r="F72">
        <v>2</v>
      </c>
      <c r="G72">
        <v>28</v>
      </c>
      <c r="H72">
        <v>3</v>
      </c>
      <c r="I72" t="s">
        <v>2152</v>
      </c>
      <c r="J72" t="s">
        <v>2249</v>
      </c>
      <c r="K72" t="s">
        <v>3523</v>
      </c>
      <c r="L72" s="1" t="str">
        <f>HYPERLINK("https://ovidsp.ovid.com/ovidweb.cgi?T=JS&amp;NEWS=n&amp;CSC=Y&amp;PAGE=toc&amp;D=yrovft&amp;AN=00024665-000000000-00000","https://ovidsp.ovid.com/ovidweb.cgi?T=JS&amp;NEWS=n&amp;CSC=Y&amp;PAGE=toc&amp;D=yrovft&amp;AN=00024665-000000000-00000")</f>
        <v>https://ovidsp.ovid.com/ovidweb.cgi?T=JS&amp;NEWS=n&amp;CSC=Y&amp;PAGE=toc&amp;D=yrovft&amp;AN=00024665-000000000-00000</v>
      </c>
      <c r="M72" t="s">
        <v>706</v>
      </c>
      <c r="N72" t="s">
        <v>2424</v>
      </c>
      <c r="O72" t="s">
        <v>1808</v>
      </c>
      <c r="P72" t="b">
        <v>1</v>
      </c>
      <c r="Q72" t="s">
        <v>1996</v>
      </c>
    </row>
    <row r="73" spans="1:17" x14ac:dyDescent="0.35">
      <c r="A73" t="s">
        <v>3551</v>
      </c>
      <c r="B73" t="s">
        <v>1164</v>
      </c>
      <c r="C73" t="s">
        <v>2153</v>
      </c>
      <c r="D73" t="s">
        <v>50</v>
      </c>
      <c r="E73">
        <v>104</v>
      </c>
      <c r="F73">
        <v>2</v>
      </c>
      <c r="G73">
        <v>131</v>
      </c>
      <c r="H73">
        <v>13</v>
      </c>
      <c r="I73" t="s">
        <v>1466</v>
      </c>
      <c r="J73" t="s">
        <v>3277</v>
      </c>
      <c r="K73" t="s">
        <v>2802</v>
      </c>
      <c r="L73" s="1" t="str">
        <f>HYPERLINK("https://ovidsp.ovid.com/ovidweb.cgi?T=JS&amp;NEWS=n&amp;CSC=Y&amp;PAGE=toc&amp;D=yrovft&amp;AN=00003017-000000000-00000","https://ovidsp.ovid.com/ovidweb.cgi?T=JS&amp;NEWS=n&amp;CSC=Y&amp;PAGE=toc&amp;D=yrovft&amp;AN=00003017-000000000-00000")</f>
        <v>https://ovidsp.ovid.com/ovidweb.cgi?T=JS&amp;NEWS=n&amp;CSC=Y&amp;PAGE=toc&amp;D=yrovft&amp;AN=00003017-000000000-00000</v>
      </c>
      <c r="M73" t="s">
        <v>1023</v>
      </c>
      <c r="N73" t="s">
        <v>2424</v>
      </c>
      <c r="O73" t="s">
        <v>2497</v>
      </c>
      <c r="P73" t="b">
        <v>1</v>
      </c>
      <c r="Q73" t="s">
        <v>766</v>
      </c>
    </row>
    <row r="74" spans="1:17" x14ac:dyDescent="0.35">
      <c r="A74" t="s">
        <v>2104</v>
      </c>
      <c r="B74" t="s">
        <v>1074</v>
      </c>
      <c r="C74" t="s">
        <v>2681</v>
      </c>
      <c r="D74" t="s">
        <v>50</v>
      </c>
      <c r="E74">
        <v>89</v>
      </c>
      <c r="F74">
        <v>1</v>
      </c>
      <c r="G74">
        <v>116</v>
      </c>
      <c r="H74">
        <v>7</v>
      </c>
      <c r="I74" t="s">
        <v>3712</v>
      </c>
      <c r="J74" t="s">
        <v>2553</v>
      </c>
      <c r="K74" t="s">
        <v>492</v>
      </c>
      <c r="L74" s="1" t="str">
        <f>HYPERLINK("https://ovidsp.ovid.com/ovidweb.cgi?T=JS&amp;NEWS=n&amp;CSC=Y&amp;PAGE=toc&amp;D=yrovft&amp;AN=00003012-000000000-00000","https://ovidsp.ovid.com/ovidweb.cgi?T=JS&amp;NEWS=n&amp;CSC=Y&amp;PAGE=toc&amp;D=yrovft&amp;AN=00003012-000000000-00000")</f>
        <v>https://ovidsp.ovid.com/ovidweb.cgi?T=JS&amp;NEWS=n&amp;CSC=Y&amp;PAGE=toc&amp;D=yrovft&amp;AN=00003012-000000000-00000</v>
      </c>
      <c r="M74" t="s">
        <v>3664</v>
      </c>
      <c r="N74" t="s">
        <v>2424</v>
      </c>
      <c r="O74" t="s">
        <v>721</v>
      </c>
      <c r="P74" t="b">
        <v>1</v>
      </c>
      <c r="Q74" t="s">
        <v>2556</v>
      </c>
    </row>
    <row r="75" spans="1:17" x14ac:dyDescent="0.35">
      <c r="A75" t="s">
        <v>3319</v>
      </c>
      <c r="B75" t="s">
        <v>2352</v>
      </c>
      <c r="C75" t="s">
        <v>1321</v>
      </c>
      <c r="D75" t="s">
        <v>50</v>
      </c>
      <c r="E75">
        <v>2</v>
      </c>
      <c r="F75">
        <v>1</v>
      </c>
      <c r="G75">
        <v>2</v>
      </c>
      <c r="H75">
        <v>6</v>
      </c>
      <c r="I75" t="s">
        <v>2251</v>
      </c>
      <c r="J75" t="s">
        <v>3622</v>
      </c>
      <c r="K75" t="s">
        <v>2837</v>
      </c>
      <c r="L75" s="1" t="str">
        <f>HYPERLINK("https://ovidsp.ovid.com/ovidweb.cgi?T=JS&amp;NEWS=n&amp;CSC=Y&amp;PAGE=toc&amp;D=yrovft&amp;AN=01337498-000000000-00000","https://ovidsp.ovid.com/ovidweb.cgi?T=JS&amp;NEWS=n&amp;CSC=Y&amp;PAGE=toc&amp;D=yrovft&amp;AN=01337498-000000000-00000")</f>
        <v>https://ovidsp.ovid.com/ovidweb.cgi?T=JS&amp;NEWS=n&amp;CSC=Y&amp;PAGE=toc&amp;D=yrovft&amp;AN=01337498-000000000-00000</v>
      </c>
      <c r="M75" t="s">
        <v>1430</v>
      </c>
      <c r="N75" t="s">
        <v>2424</v>
      </c>
      <c r="O75" t="s">
        <v>246</v>
      </c>
      <c r="P75" t="b">
        <v>0</v>
      </c>
      <c r="Q75" t="s">
        <v>2424</v>
      </c>
    </row>
    <row r="76" spans="1:17" x14ac:dyDescent="0.35">
      <c r="A76" t="s">
        <v>3237</v>
      </c>
      <c r="B76" t="s">
        <v>3720</v>
      </c>
      <c r="C76" t="s">
        <v>3720</v>
      </c>
      <c r="D76" t="s">
        <v>50</v>
      </c>
      <c r="E76">
        <v>2</v>
      </c>
      <c r="F76">
        <v>1</v>
      </c>
      <c r="G76">
        <v>2</v>
      </c>
      <c r="H76">
        <v>6</v>
      </c>
      <c r="I76" t="s">
        <v>2251</v>
      </c>
      <c r="J76" t="s">
        <v>3622</v>
      </c>
      <c r="K76" t="s">
        <v>2837</v>
      </c>
      <c r="L76" s="1" t="str">
        <f>HYPERLINK("https://ovidsp.ovid.com/ovidweb.cgi?T=JS&amp;NEWS=n&amp;CSC=Y&amp;PAGE=toc&amp;D=yrovft&amp;AN=01337496-000000000-00000","https://ovidsp.ovid.com/ovidweb.cgi?T=JS&amp;NEWS=n&amp;CSC=Y&amp;PAGE=toc&amp;D=yrovft&amp;AN=01337496-000000000-00000")</f>
        <v>https://ovidsp.ovid.com/ovidweb.cgi?T=JS&amp;NEWS=n&amp;CSC=Y&amp;PAGE=toc&amp;D=yrovft&amp;AN=01337496-000000000-00000</v>
      </c>
      <c r="M76" t="s">
        <v>3200</v>
      </c>
      <c r="N76" t="s">
        <v>2424</v>
      </c>
      <c r="O76" t="s">
        <v>3746</v>
      </c>
      <c r="P76" t="b">
        <v>1</v>
      </c>
      <c r="Q76" t="s">
        <v>3670</v>
      </c>
    </row>
    <row r="77" spans="1:17" x14ac:dyDescent="0.35">
      <c r="A77" t="s">
        <v>2564</v>
      </c>
      <c r="B77" t="s">
        <v>2203</v>
      </c>
      <c r="C77" t="s">
        <v>2424</v>
      </c>
      <c r="D77" t="s">
        <v>2751</v>
      </c>
      <c r="E77">
        <v>20</v>
      </c>
      <c r="F77">
        <v>2</v>
      </c>
      <c r="G77">
        <v>21</v>
      </c>
      <c r="H77">
        <v>1</v>
      </c>
      <c r="I77" t="s">
        <v>2210</v>
      </c>
      <c r="J77" t="s">
        <v>2863</v>
      </c>
      <c r="K77" t="s">
        <v>1145</v>
      </c>
      <c r="L77" s="1" t="str">
        <f>HYPERLINK("https://ovidsp.ovid.com/ovidweb.cgi?T=JS&amp;NEWS=n&amp;CSC=Y&amp;PAGE=toc&amp;D=yrovft&amp;AN=00029447-000000000-00000","https://ovidsp.ovid.com/ovidweb.cgi?T=JS&amp;NEWS=n&amp;CSC=Y&amp;PAGE=toc&amp;D=yrovft&amp;AN=00029447-000000000-00000")</f>
        <v>https://ovidsp.ovid.com/ovidweb.cgi?T=JS&amp;NEWS=n&amp;CSC=Y&amp;PAGE=toc&amp;D=yrovft&amp;AN=00029447-000000000-00000</v>
      </c>
      <c r="M77" t="s">
        <v>3803</v>
      </c>
      <c r="N77" t="s">
        <v>2424</v>
      </c>
      <c r="O77" t="s">
        <v>2688</v>
      </c>
      <c r="P77" t="b">
        <v>0</v>
      </c>
      <c r="Q77" t="s">
        <v>2424</v>
      </c>
    </row>
    <row r="78" spans="1:17" x14ac:dyDescent="0.35">
      <c r="A78" t="s">
        <v>2845</v>
      </c>
      <c r="B78" t="s">
        <v>2030</v>
      </c>
      <c r="C78" t="s">
        <v>200</v>
      </c>
      <c r="D78" t="s">
        <v>50</v>
      </c>
      <c r="E78">
        <v>12</v>
      </c>
      <c r="F78">
        <v>2</v>
      </c>
      <c r="G78">
        <v>19</v>
      </c>
      <c r="H78">
        <v>2</v>
      </c>
      <c r="I78" t="s">
        <v>3594</v>
      </c>
      <c r="J78" t="s">
        <v>2069</v>
      </c>
      <c r="K78" t="s">
        <v>2461</v>
      </c>
      <c r="L78" s="1" t="str">
        <f>HYPERLINK("https://ovidsp.ovid.com/ovidweb.cgi?T=JS&amp;NEWS=n&amp;CSC=Y&amp;PAGE=toc&amp;D=yrovft&amp;AN=00019605-000000000-00000","https://ovidsp.ovid.com/ovidweb.cgi?T=JS&amp;NEWS=n&amp;CSC=Y&amp;PAGE=toc&amp;D=yrovft&amp;AN=00019605-000000000-00000")</f>
        <v>https://ovidsp.ovid.com/ovidweb.cgi?T=JS&amp;NEWS=n&amp;CSC=Y&amp;PAGE=toc&amp;D=yrovft&amp;AN=00019605-000000000-00000</v>
      </c>
      <c r="M78" t="s">
        <v>1136</v>
      </c>
      <c r="N78" t="s">
        <v>2424</v>
      </c>
      <c r="O78" t="s">
        <v>3075</v>
      </c>
      <c r="P78" t="b">
        <v>1</v>
      </c>
      <c r="Q78" t="s">
        <v>1770</v>
      </c>
    </row>
    <row r="79" spans="1:17" x14ac:dyDescent="0.35">
      <c r="A79" t="s">
        <v>802</v>
      </c>
      <c r="B79" t="s">
        <v>1129</v>
      </c>
      <c r="C79" t="s">
        <v>1417</v>
      </c>
      <c r="D79" t="s">
        <v>50</v>
      </c>
      <c r="E79">
        <v>11</v>
      </c>
      <c r="F79">
        <v>3</v>
      </c>
      <c r="G79">
        <v>25</v>
      </c>
      <c r="H79">
        <v>2</v>
      </c>
      <c r="I79" t="s">
        <v>886</v>
      </c>
      <c r="J79" t="s">
        <v>3608</v>
      </c>
      <c r="K79" t="s">
        <v>2722</v>
      </c>
      <c r="L79" s="1" t="str">
        <f>HYPERLINK("https://ovidsp.ovid.com/ovidweb.cgi?T=JS&amp;NEWS=n&amp;CSC=Y&amp;PAGE=toc&amp;D=yrovft&amp;AN=00042752-000000000-00000","https://ovidsp.ovid.com/ovidweb.cgi?T=JS&amp;NEWS=n&amp;CSC=Y&amp;PAGE=toc&amp;D=yrovft&amp;AN=00042752-000000000-00000")</f>
        <v>https://ovidsp.ovid.com/ovidweb.cgi?T=JS&amp;NEWS=n&amp;CSC=Y&amp;PAGE=toc&amp;D=yrovft&amp;AN=00042752-000000000-00000</v>
      </c>
      <c r="M79" t="s">
        <v>1207</v>
      </c>
      <c r="N79" t="s">
        <v>2424</v>
      </c>
      <c r="O79" t="s">
        <v>2047</v>
      </c>
      <c r="P79" t="b">
        <v>1</v>
      </c>
      <c r="Q79" t="s">
        <v>2678</v>
      </c>
    </row>
    <row r="80" spans="1:17" x14ac:dyDescent="0.35">
      <c r="A80" t="s">
        <v>3365</v>
      </c>
      <c r="B80" t="s">
        <v>947</v>
      </c>
      <c r="C80" t="s">
        <v>2948</v>
      </c>
      <c r="D80" t="s">
        <v>50</v>
      </c>
      <c r="E80">
        <v>24</v>
      </c>
      <c r="F80">
        <v>4</v>
      </c>
      <c r="G80">
        <v>33</v>
      </c>
      <c r="H80">
        <v>2</v>
      </c>
      <c r="I80" t="s">
        <v>2599</v>
      </c>
      <c r="J80" t="s">
        <v>3608</v>
      </c>
      <c r="K80" t="s">
        <v>2939</v>
      </c>
      <c r="L80" s="1" t="str">
        <f>HYPERLINK("https://ovidsp.ovid.com/ovidweb.cgi?T=JS&amp;NEWS=n&amp;CSC=Y&amp;PAGE=toc&amp;D=yrovft&amp;AN=00002826-000000000-00000","https://ovidsp.ovid.com/ovidweb.cgi?T=JS&amp;NEWS=n&amp;CSC=Y&amp;PAGE=toc&amp;D=yrovft&amp;AN=00002826-000000000-00000")</f>
        <v>https://ovidsp.ovid.com/ovidweb.cgi?T=JS&amp;NEWS=n&amp;CSC=Y&amp;PAGE=toc&amp;D=yrovft&amp;AN=00002826-000000000-00000</v>
      </c>
      <c r="M80" t="s">
        <v>3739</v>
      </c>
      <c r="N80" t="s">
        <v>2424</v>
      </c>
      <c r="O80" t="s">
        <v>3131</v>
      </c>
      <c r="P80" t="b">
        <v>0</v>
      </c>
      <c r="Q80" t="s">
        <v>2424</v>
      </c>
    </row>
    <row r="81" spans="1:17" x14ac:dyDescent="0.35">
      <c r="A81" t="s">
        <v>2752</v>
      </c>
      <c r="B81" t="s">
        <v>3731</v>
      </c>
      <c r="C81" t="s">
        <v>1370</v>
      </c>
      <c r="D81" t="s">
        <v>50</v>
      </c>
      <c r="E81">
        <v>26</v>
      </c>
      <c r="F81">
        <v>8</v>
      </c>
      <c r="G81">
        <v>35</v>
      </c>
      <c r="H81">
        <v>5</v>
      </c>
      <c r="I81" t="s">
        <v>96</v>
      </c>
      <c r="J81" t="s">
        <v>374</v>
      </c>
      <c r="K81" t="s">
        <v>3523</v>
      </c>
      <c r="L81" s="1" t="str">
        <f>HYPERLINK("https://ovidsp.ovid.com/ovidweb.cgi?T=JS&amp;NEWS=n&amp;CSC=Y&amp;PAGE=toc&amp;D=yrovft&amp;AN=00003072-000000000-00000","https://ovidsp.ovid.com/ovidweb.cgi?T=JS&amp;NEWS=n&amp;CSC=Y&amp;PAGE=toc&amp;D=yrovft&amp;AN=00003072-000000000-00000")</f>
        <v>https://ovidsp.ovid.com/ovidweb.cgi?T=JS&amp;NEWS=n&amp;CSC=Y&amp;PAGE=toc&amp;D=yrovft&amp;AN=00003072-000000000-00000</v>
      </c>
      <c r="M81" t="s">
        <v>1026</v>
      </c>
      <c r="N81" t="s">
        <v>2424</v>
      </c>
      <c r="O81" t="s">
        <v>1013</v>
      </c>
      <c r="P81" t="b">
        <v>1</v>
      </c>
      <c r="Q81" t="s">
        <v>1096</v>
      </c>
    </row>
    <row r="82" spans="1:17" x14ac:dyDescent="0.35">
      <c r="A82" t="s">
        <v>941</v>
      </c>
      <c r="B82" t="s">
        <v>600</v>
      </c>
      <c r="C82" t="s">
        <v>1153</v>
      </c>
      <c r="D82" t="s">
        <v>50</v>
      </c>
      <c r="E82">
        <v>17</v>
      </c>
      <c r="F82">
        <v>2</v>
      </c>
      <c r="G82">
        <v>29</v>
      </c>
      <c r="H82">
        <v>2</v>
      </c>
      <c r="I82" t="s">
        <v>3058</v>
      </c>
      <c r="J82" t="s">
        <v>2581</v>
      </c>
      <c r="K82" t="s">
        <v>2722</v>
      </c>
      <c r="L82" s="1" t="str">
        <f>HYPERLINK("https://ovidsp.ovid.com/ovidweb.cgi?T=JS&amp;NEWS=n&amp;CSC=Y&amp;PAGE=toc&amp;D=yrovft&amp;AN=00002800-000000000-00000","https://ovidsp.ovid.com/ovidweb.cgi?T=JS&amp;NEWS=n&amp;CSC=Y&amp;PAGE=toc&amp;D=yrovft&amp;AN=00002800-000000000-00000")</f>
        <v>https://ovidsp.ovid.com/ovidweb.cgi?T=JS&amp;NEWS=n&amp;CSC=Y&amp;PAGE=toc&amp;D=yrovft&amp;AN=00002800-000000000-00000</v>
      </c>
      <c r="M82" t="s">
        <v>2212</v>
      </c>
      <c r="N82" t="s">
        <v>2424</v>
      </c>
      <c r="O82" t="s">
        <v>105</v>
      </c>
      <c r="P82" t="b">
        <v>0</v>
      </c>
      <c r="Q82" t="s">
        <v>2424</v>
      </c>
    </row>
    <row r="83" spans="1:17" x14ac:dyDescent="0.35">
      <c r="A83" t="s">
        <v>3047</v>
      </c>
      <c r="B83" t="s">
        <v>3654</v>
      </c>
      <c r="C83" t="s">
        <v>2424</v>
      </c>
      <c r="D83" t="s">
        <v>50</v>
      </c>
      <c r="E83">
        <v>33</v>
      </c>
      <c r="F83">
        <v>8</v>
      </c>
      <c r="G83">
        <v>36</v>
      </c>
      <c r="H83">
        <v>4</v>
      </c>
      <c r="I83" t="s">
        <v>1650</v>
      </c>
      <c r="J83" t="s">
        <v>2955</v>
      </c>
      <c r="K83" t="s">
        <v>2461</v>
      </c>
      <c r="L83" s="1" t="str">
        <f>HYPERLINK("https://ovidsp.ovid.com/ovidweb.cgi?T=JS&amp;NEWS=n&amp;CSC=Y&amp;PAGE=toc&amp;D=yrovft&amp;AN=01300516-000000000-00000","https://ovidsp.ovid.com/ovidweb.cgi?T=JS&amp;NEWS=n&amp;CSC=Y&amp;PAGE=toc&amp;D=yrovft&amp;AN=01300516-000000000-00000")</f>
        <v>https://ovidsp.ovid.com/ovidweb.cgi?T=JS&amp;NEWS=n&amp;CSC=Y&amp;PAGE=toc&amp;D=yrovft&amp;AN=01300516-000000000-00000</v>
      </c>
      <c r="M83" t="s">
        <v>3246</v>
      </c>
      <c r="N83" t="s">
        <v>2424</v>
      </c>
      <c r="O83" t="s">
        <v>553</v>
      </c>
      <c r="P83" t="b">
        <v>0</v>
      </c>
      <c r="Q83" t="s">
        <v>2424</v>
      </c>
    </row>
    <row r="84" spans="1:17" x14ac:dyDescent="0.35">
      <c r="A84" t="s">
        <v>935</v>
      </c>
      <c r="B84" t="s">
        <v>1990</v>
      </c>
      <c r="C84" t="s">
        <v>1393</v>
      </c>
      <c r="D84" t="s">
        <v>50</v>
      </c>
      <c r="E84">
        <v>44</v>
      </c>
      <c r="F84">
        <v>3</v>
      </c>
      <c r="G84">
        <v>53</v>
      </c>
      <c r="H84">
        <v>2</v>
      </c>
      <c r="I84" t="s">
        <v>1241</v>
      </c>
      <c r="J84" t="s">
        <v>1281</v>
      </c>
      <c r="K84" t="s">
        <v>2972</v>
      </c>
      <c r="L84" s="1" t="str">
        <f>HYPERLINK("https://ovidsp.ovid.com/ovidweb.cgi?T=JS&amp;NEWS=n&amp;CSC=Y&amp;PAGE=toc&amp;D=yrovft&amp;AN=00003081-000000000-00000","https://ovidsp.ovid.com/ovidweb.cgi?T=JS&amp;NEWS=n&amp;CSC=Y&amp;PAGE=toc&amp;D=yrovft&amp;AN=00003081-000000000-00000")</f>
        <v>https://ovidsp.ovid.com/ovidweb.cgi?T=JS&amp;NEWS=n&amp;CSC=Y&amp;PAGE=toc&amp;D=yrovft&amp;AN=00003081-000000000-00000</v>
      </c>
      <c r="M84" t="s">
        <v>2216</v>
      </c>
      <c r="N84" t="s">
        <v>2424</v>
      </c>
      <c r="O84" t="s">
        <v>21</v>
      </c>
      <c r="P84" t="b">
        <v>1</v>
      </c>
      <c r="Q84" t="s">
        <v>834</v>
      </c>
    </row>
    <row r="85" spans="1:17" x14ac:dyDescent="0.35">
      <c r="A85" t="s">
        <v>2611</v>
      </c>
      <c r="B85" t="s">
        <v>2706</v>
      </c>
      <c r="C85" t="s">
        <v>3511</v>
      </c>
      <c r="D85" t="s">
        <v>50</v>
      </c>
      <c r="E85">
        <v>388</v>
      </c>
      <c r="F85">
        <v>0</v>
      </c>
      <c r="G85">
        <v>466</v>
      </c>
      <c r="H85">
        <v>1</v>
      </c>
      <c r="I85" t="s">
        <v>667</v>
      </c>
      <c r="J85" t="s">
        <v>3608</v>
      </c>
      <c r="K85" t="s">
        <v>1657</v>
      </c>
      <c r="L85" s="1" t="str">
        <f>HYPERLINK("https://ovidsp.ovid.com/ovidweb.cgi?T=JS&amp;NEWS=n&amp;CSC=Y&amp;PAGE=toc&amp;D=yrovft&amp;AN=00003086-000000000-00000","https://ovidsp.ovid.com/ovidweb.cgi?T=JS&amp;NEWS=n&amp;CSC=Y&amp;PAGE=toc&amp;D=yrovft&amp;AN=00003086-000000000-00000")</f>
        <v>https://ovidsp.ovid.com/ovidweb.cgi?T=JS&amp;NEWS=n&amp;CSC=Y&amp;PAGE=toc&amp;D=yrovft&amp;AN=00003086-000000000-00000</v>
      </c>
      <c r="M85" t="s">
        <v>1119</v>
      </c>
      <c r="N85" t="s">
        <v>2424</v>
      </c>
      <c r="O85" t="s">
        <v>1112</v>
      </c>
      <c r="P85" t="b">
        <v>1</v>
      </c>
      <c r="Q85" t="s">
        <v>944</v>
      </c>
    </row>
    <row r="86" spans="1:17" x14ac:dyDescent="0.35">
      <c r="A86" t="s">
        <v>1299</v>
      </c>
      <c r="B86" t="s">
        <v>317</v>
      </c>
      <c r="C86" t="s">
        <v>3716</v>
      </c>
      <c r="D86" t="s">
        <v>50</v>
      </c>
      <c r="E86">
        <v>10</v>
      </c>
      <c r="F86">
        <v>3</v>
      </c>
      <c r="G86">
        <v>17</v>
      </c>
      <c r="H86">
        <v>2</v>
      </c>
      <c r="I86" t="s">
        <v>2040</v>
      </c>
      <c r="J86" t="s">
        <v>1034</v>
      </c>
      <c r="K86" t="s">
        <v>2939</v>
      </c>
      <c r="L86" s="1" t="str">
        <f>HYPERLINK("https://ovidsp.ovid.com/ovidweb.cgi?T=JS&amp;NEWS=n&amp;CSC=Y&amp;PAGE=toc&amp;D=yrovft&amp;AN=00045413-000000000-00000","https://ovidsp.ovid.com/ovidweb.cgi?T=JS&amp;NEWS=n&amp;CSC=Y&amp;PAGE=toc&amp;D=yrovft&amp;AN=00045413-000000000-00000")</f>
        <v>https://ovidsp.ovid.com/ovidweb.cgi?T=JS&amp;NEWS=n&amp;CSC=Y&amp;PAGE=toc&amp;D=yrovft&amp;AN=00045413-000000000-00000</v>
      </c>
      <c r="M86" t="s">
        <v>1598</v>
      </c>
      <c r="N86" t="s">
        <v>2424</v>
      </c>
      <c r="O86" t="s">
        <v>2573</v>
      </c>
      <c r="P86" t="b">
        <v>0</v>
      </c>
      <c r="Q86" t="s">
        <v>2424</v>
      </c>
    </row>
    <row r="87" spans="1:17" x14ac:dyDescent="0.35">
      <c r="A87" t="s">
        <v>2329</v>
      </c>
      <c r="B87" t="s">
        <v>3770</v>
      </c>
      <c r="C87" t="s">
        <v>1683</v>
      </c>
      <c r="D87" t="s">
        <v>50</v>
      </c>
      <c r="E87">
        <v>16</v>
      </c>
      <c r="F87">
        <v>2</v>
      </c>
      <c r="G87">
        <v>23</v>
      </c>
      <c r="H87">
        <v>1</v>
      </c>
      <c r="I87" t="s">
        <v>2924</v>
      </c>
      <c r="J87" t="s">
        <v>1895</v>
      </c>
      <c r="K87" t="s">
        <v>2939</v>
      </c>
      <c r="L87" s="1" t="str">
        <f>HYPERLINK("https://ovidsp.ovid.com/ovidweb.cgi?T=JS&amp;NEWS=n&amp;CSC=Y&amp;PAGE=toc&amp;D=yrovft&amp;AN=00146965-000000000-00000","https://ovidsp.ovid.com/ovidweb.cgi?T=JS&amp;NEWS=n&amp;CSC=Y&amp;PAGE=toc&amp;D=yrovft&amp;AN=00146965-000000000-00000")</f>
        <v>https://ovidsp.ovid.com/ovidweb.cgi?T=JS&amp;NEWS=n&amp;CSC=Y&amp;PAGE=toc&amp;D=yrovft&amp;AN=00146965-000000000-00000</v>
      </c>
      <c r="M87" t="s">
        <v>740</v>
      </c>
      <c r="N87" t="s">
        <v>2424</v>
      </c>
      <c r="O87" t="s">
        <v>533</v>
      </c>
      <c r="P87" t="b">
        <v>0</v>
      </c>
      <c r="Q87" t="s">
        <v>2424</v>
      </c>
    </row>
    <row r="88" spans="1:17" x14ac:dyDescent="0.35">
      <c r="A88" t="s">
        <v>1846</v>
      </c>
      <c r="B88" t="s">
        <v>3380</v>
      </c>
      <c r="C88" t="s">
        <v>1910</v>
      </c>
      <c r="D88" t="s">
        <v>50</v>
      </c>
      <c r="E88">
        <v>19</v>
      </c>
      <c r="F88">
        <v>4</v>
      </c>
      <c r="G88">
        <v>20</v>
      </c>
      <c r="H88">
        <v>1</v>
      </c>
      <c r="I88" t="s">
        <v>565</v>
      </c>
      <c r="J88" t="s">
        <v>3608</v>
      </c>
      <c r="K88" t="s">
        <v>2209</v>
      </c>
      <c r="L88" s="1" t="str">
        <f>HYPERLINK("https://ovidsp.ovid.com/ovidweb.cgi?T=JS&amp;NEWS=n&amp;CSC=Y&amp;PAGE=toc&amp;D=yrovft&amp;AN=00002771-000000000-00000","https://ovidsp.ovid.com/ovidweb.cgi?T=JS&amp;NEWS=n&amp;CSC=Y&amp;PAGE=toc&amp;D=yrovft&amp;AN=00002771-000000000-00000")</f>
        <v>https://ovidsp.ovid.com/ovidweb.cgi?T=JS&amp;NEWS=n&amp;CSC=Y&amp;PAGE=toc&amp;D=yrovft&amp;AN=00002771-000000000-00000</v>
      </c>
      <c r="M88" t="s">
        <v>1433</v>
      </c>
      <c r="N88" t="s">
        <v>2424</v>
      </c>
      <c r="O88" t="s">
        <v>1730</v>
      </c>
      <c r="P88" t="b">
        <v>0</v>
      </c>
      <c r="Q88" t="s">
        <v>2424</v>
      </c>
    </row>
    <row r="89" spans="1:17" x14ac:dyDescent="0.35">
      <c r="A89" t="s">
        <v>3397</v>
      </c>
      <c r="B89" t="s">
        <v>504</v>
      </c>
      <c r="C89" t="s">
        <v>2424</v>
      </c>
      <c r="D89" t="s">
        <v>50</v>
      </c>
      <c r="E89">
        <v>21</v>
      </c>
      <c r="F89">
        <v>9</v>
      </c>
      <c r="G89">
        <v>25</v>
      </c>
      <c r="H89" t="s">
        <v>2715</v>
      </c>
      <c r="I89" t="s">
        <v>1694</v>
      </c>
      <c r="J89" t="s">
        <v>2574</v>
      </c>
      <c r="K89" t="s">
        <v>2461</v>
      </c>
      <c r="L89" s="1" t="str">
        <f>HYPERLINK("https://ovidsp.ovid.com/ovidweb.cgi?T=JS&amp;NEWS=n&amp;CSC=Y&amp;PAGE=toc&amp;D=yrovft&amp;AN=00590575-000000000-00000","https://ovidsp.ovid.com/ovidweb.cgi?T=JS&amp;NEWS=n&amp;CSC=Y&amp;PAGE=toc&amp;D=yrovft&amp;AN=00590575-000000000-00000")</f>
        <v>https://ovidsp.ovid.com/ovidweb.cgi?T=JS&amp;NEWS=n&amp;CSC=Y&amp;PAGE=toc&amp;D=yrovft&amp;AN=00590575-000000000-00000</v>
      </c>
      <c r="M89" t="s">
        <v>1004</v>
      </c>
      <c r="N89" t="s">
        <v>2424</v>
      </c>
      <c r="O89" t="s">
        <v>1825</v>
      </c>
      <c r="P89" t="b">
        <v>0</v>
      </c>
      <c r="Q89" t="s">
        <v>2424</v>
      </c>
    </row>
    <row r="90" spans="1:17" x14ac:dyDescent="0.35">
      <c r="A90" t="s">
        <v>3661</v>
      </c>
      <c r="B90" t="s">
        <v>1378</v>
      </c>
      <c r="C90" t="s">
        <v>2424</v>
      </c>
      <c r="D90" t="s">
        <v>50</v>
      </c>
      <c r="E90">
        <v>4</v>
      </c>
      <c r="F90">
        <v>9</v>
      </c>
      <c r="G90">
        <v>8</v>
      </c>
      <c r="H90">
        <v>1</v>
      </c>
      <c r="I90" t="s">
        <v>2237</v>
      </c>
      <c r="J90" t="s">
        <v>2668</v>
      </c>
      <c r="K90" t="s">
        <v>2972</v>
      </c>
      <c r="L90" s="1" t="str">
        <f>HYPERLINK("https://ovidsp.ovid.com/ovidweb.cgi?T=JS&amp;NEWS=n&amp;CSC=Y&amp;PAGE=toc&amp;D=yrovft&amp;AN=01183741-000000000-00000","https://ovidsp.ovid.com/ovidweb.cgi?T=JS&amp;NEWS=n&amp;CSC=Y&amp;PAGE=toc&amp;D=yrovft&amp;AN=01183741-000000000-00000")</f>
        <v>https://ovidsp.ovid.com/ovidweb.cgi?T=JS&amp;NEWS=n&amp;CSC=Y&amp;PAGE=toc&amp;D=yrovft&amp;AN=01183741-000000000-00000</v>
      </c>
      <c r="M90" t="s">
        <v>2965</v>
      </c>
      <c r="N90" t="s">
        <v>2424</v>
      </c>
      <c r="O90" t="s">
        <v>2458</v>
      </c>
      <c r="P90" t="b">
        <v>0</v>
      </c>
      <c r="Q90" t="s">
        <v>2424</v>
      </c>
    </row>
    <row r="91" spans="1:17" x14ac:dyDescent="0.35">
      <c r="A91" t="s">
        <v>1334</v>
      </c>
      <c r="B91" t="s">
        <v>3116</v>
      </c>
      <c r="C91" t="s">
        <v>3238</v>
      </c>
      <c r="D91" t="s">
        <v>50</v>
      </c>
      <c r="E91">
        <v>29</v>
      </c>
      <c r="F91">
        <v>26</v>
      </c>
      <c r="G91">
        <v>33</v>
      </c>
      <c r="H91">
        <v>10</v>
      </c>
      <c r="I91" t="s">
        <v>3345</v>
      </c>
      <c r="J91" t="s">
        <v>3775</v>
      </c>
      <c r="K91" t="s">
        <v>209</v>
      </c>
      <c r="L91" s="1" t="str">
        <f>HYPERLINK("https://ovidsp.ovid.com/ovidweb.cgi?T=JS&amp;NEWS=n&amp;CSC=Y&amp;PAGE=toc&amp;D=yrovft&amp;AN=00219246-000000000-00000","https://ovidsp.ovid.com/ovidweb.cgi?T=JS&amp;NEWS=n&amp;CSC=Y&amp;PAGE=toc&amp;D=yrovft&amp;AN=00219246-000000000-00000")</f>
        <v>https://ovidsp.ovid.com/ovidweb.cgi?T=JS&amp;NEWS=n&amp;CSC=Y&amp;PAGE=toc&amp;D=yrovft&amp;AN=00219246-000000000-00000</v>
      </c>
      <c r="M91" t="s">
        <v>1267</v>
      </c>
      <c r="N91" t="s">
        <v>2424</v>
      </c>
      <c r="O91" t="s">
        <v>3071</v>
      </c>
      <c r="P91" t="b">
        <v>0</v>
      </c>
      <c r="Q91" t="s">
        <v>2424</v>
      </c>
    </row>
    <row r="92" spans="1:17" x14ac:dyDescent="0.35">
      <c r="A92" t="s">
        <v>260</v>
      </c>
      <c r="B92" t="s">
        <v>2376</v>
      </c>
      <c r="C92" t="s">
        <v>2424</v>
      </c>
      <c r="D92" t="s">
        <v>50</v>
      </c>
      <c r="E92">
        <v>29</v>
      </c>
      <c r="F92">
        <v>2</v>
      </c>
      <c r="G92">
        <v>32</v>
      </c>
      <c r="H92">
        <v>3</v>
      </c>
      <c r="I92" t="s">
        <v>1722</v>
      </c>
      <c r="J92" t="s">
        <v>1658</v>
      </c>
      <c r="K92" t="s">
        <v>313</v>
      </c>
      <c r="L92" s="1" t="str">
        <f>HYPERLINK("https://ovidsp.ovid.com/ovidweb.cgi?T=JS&amp;NEWS=n&amp;CSC=Y&amp;PAGE=toc&amp;D=yrovft&amp;AN=00029679-000000000-00000","https://ovidsp.ovid.com/ovidweb.cgi?T=JS&amp;NEWS=n&amp;CSC=Y&amp;PAGE=toc&amp;D=yrovft&amp;AN=00029679-000000000-00000")</f>
        <v>https://ovidsp.ovid.com/ovidweb.cgi?T=JS&amp;NEWS=n&amp;CSC=Y&amp;PAGE=toc&amp;D=yrovft&amp;AN=00029679-000000000-00000</v>
      </c>
      <c r="M92" t="s">
        <v>1509</v>
      </c>
      <c r="N92" t="s">
        <v>2424</v>
      </c>
      <c r="O92" t="s">
        <v>3371</v>
      </c>
      <c r="P92" t="b">
        <v>0</v>
      </c>
      <c r="Q92" t="s">
        <v>2424</v>
      </c>
    </row>
    <row r="93" spans="1:17" x14ac:dyDescent="0.35">
      <c r="A93" t="s">
        <v>2235</v>
      </c>
      <c r="B93" t="s">
        <v>658</v>
      </c>
      <c r="C93" t="s">
        <v>2424</v>
      </c>
      <c r="D93" t="s">
        <v>50</v>
      </c>
      <c r="E93">
        <v>5</v>
      </c>
      <c r="F93">
        <v>24</v>
      </c>
      <c r="G93">
        <v>9</v>
      </c>
      <c r="H93">
        <v>10</v>
      </c>
      <c r="I93" t="s">
        <v>84</v>
      </c>
      <c r="J93" t="s">
        <v>3775</v>
      </c>
      <c r="K93" t="s">
        <v>1020</v>
      </c>
      <c r="L93" s="1" t="str">
        <f>HYPERLINK("https://ovidsp.ovid.com/ovidweb.cgi?T=JS&amp;NEWS=n&amp;CSC=Y&amp;PAGE=toc&amp;D=yrovft&amp;AN=01212979-000000000-00000","https://ovidsp.ovid.com/ovidweb.cgi?T=JS&amp;NEWS=n&amp;CSC=Y&amp;PAGE=toc&amp;D=yrovft&amp;AN=01212979-000000000-00000")</f>
        <v>https://ovidsp.ovid.com/ovidweb.cgi?T=JS&amp;NEWS=n&amp;CSC=Y&amp;PAGE=toc&amp;D=yrovft&amp;AN=01212979-000000000-00000</v>
      </c>
      <c r="M93" t="s">
        <v>1503</v>
      </c>
      <c r="N93" t="s">
        <v>2424</v>
      </c>
      <c r="O93" t="s">
        <v>3510</v>
      </c>
      <c r="P93" t="b">
        <v>0</v>
      </c>
      <c r="Q93" t="s">
        <v>2424</v>
      </c>
    </row>
    <row r="94" spans="1:17" x14ac:dyDescent="0.35">
      <c r="A94" t="s">
        <v>1896</v>
      </c>
      <c r="B94" t="s">
        <v>2998</v>
      </c>
      <c r="C94" t="s">
        <v>2424</v>
      </c>
      <c r="D94" t="s">
        <v>50</v>
      </c>
      <c r="E94">
        <v>5</v>
      </c>
      <c r="F94">
        <v>2</v>
      </c>
      <c r="G94">
        <v>8</v>
      </c>
      <c r="H94">
        <v>6</v>
      </c>
      <c r="I94" t="s">
        <v>2237</v>
      </c>
      <c r="J94" t="s">
        <v>2668</v>
      </c>
      <c r="K94" t="s">
        <v>2972</v>
      </c>
      <c r="L94" s="1" t="str">
        <f>HYPERLINK("https://ovidsp.ovid.com/ovidweb.cgi?T=JS&amp;NEWS=n&amp;CSC=Y&amp;PAGE=toc&amp;D=yrovft&amp;AN=01182575-000000000-00000","https://ovidsp.ovid.com/ovidweb.cgi?T=JS&amp;NEWS=n&amp;CSC=Y&amp;PAGE=toc&amp;D=yrovft&amp;AN=01182575-000000000-00000")</f>
        <v>https://ovidsp.ovid.com/ovidweb.cgi?T=JS&amp;NEWS=n&amp;CSC=Y&amp;PAGE=toc&amp;D=yrovft&amp;AN=01182575-000000000-00000</v>
      </c>
      <c r="M94" t="s">
        <v>559</v>
      </c>
      <c r="N94" t="s">
        <v>2424</v>
      </c>
      <c r="O94" t="s">
        <v>569</v>
      </c>
      <c r="P94" t="b">
        <v>0</v>
      </c>
      <c r="Q94" t="s">
        <v>2424</v>
      </c>
    </row>
    <row r="95" spans="1:17" x14ac:dyDescent="0.35">
      <c r="A95" t="s">
        <v>2006</v>
      </c>
      <c r="B95" t="s">
        <v>1590</v>
      </c>
      <c r="C95" t="s">
        <v>64</v>
      </c>
      <c r="D95" t="s">
        <v>50</v>
      </c>
      <c r="E95">
        <v>8</v>
      </c>
      <c r="F95">
        <v>2</v>
      </c>
      <c r="G95">
        <v>11</v>
      </c>
      <c r="H95">
        <v>5</v>
      </c>
      <c r="I95" t="s">
        <v>440</v>
      </c>
      <c r="J95" t="s">
        <v>2668</v>
      </c>
      <c r="K95" t="s">
        <v>3523</v>
      </c>
      <c r="L95" s="1" t="str">
        <f>HYPERLINK("https://ovidsp.ovid.com/ovidweb.cgi?T=JS&amp;NEWS=n&amp;CSC=Y&amp;PAGE=toc&amp;D=yrovft&amp;AN=01075922-000000000-00000","https://ovidsp.ovid.com/ovidweb.cgi?T=JS&amp;NEWS=n&amp;CSC=Y&amp;PAGE=toc&amp;D=yrovft&amp;AN=01075922-000000000-00000")</f>
        <v>https://ovidsp.ovid.com/ovidweb.cgi?T=JS&amp;NEWS=n&amp;CSC=Y&amp;PAGE=toc&amp;D=yrovft&amp;AN=01075922-000000000-00000</v>
      </c>
      <c r="M95" t="s">
        <v>652</v>
      </c>
      <c r="N95" t="s">
        <v>2424</v>
      </c>
      <c r="O95" t="s">
        <v>1371</v>
      </c>
      <c r="P95" t="b">
        <v>0</v>
      </c>
      <c r="Q95" t="s">
        <v>2424</v>
      </c>
    </row>
    <row r="96" spans="1:17" x14ac:dyDescent="0.35">
      <c r="A96" t="s">
        <v>3093</v>
      </c>
      <c r="B96" t="s">
        <v>3</v>
      </c>
      <c r="C96" t="s">
        <v>1269</v>
      </c>
      <c r="D96" t="s">
        <v>2855</v>
      </c>
      <c r="E96">
        <v>9</v>
      </c>
      <c r="F96">
        <v>1</v>
      </c>
      <c r="G96">
        <v>9</v>
      </c>
      <c r="H96">
        <v>5</v>
      </c>
      <c r="I96" t="s">
        <v>3044</v>
      </c>
      <c r="J96" t="s">
        <v>2568</v>
      </c>
      <c r="K96" t="s">
        <v>458</v>
      </c>
      <c r="L96" s="1" t="str">
        <f>HYPERLINK("https://ovidsp.ovid.com/ovidweb.cgi?T=JS&amp;NEWS=n&amp;CSC=Y&amp;PAGE=toc&amp;D=yrovft&amp;AN=01206485-000000000-00000","https://ovidsp.ovid.com/ovidweb.cgi?T=JS&amp;NEWS=n&amp;CSC=Y&amp;PAGE=toc&amp;D=yrovft&amp;AN=01206485-000000000-00000")</f>
        <v>https://ovidsp.ovid.com/ovidweb.cgi?T=JS&amp;NEWS=n&amp;CSC=Y&amp;PAGE=toc&amp;D=yrovft&amp;AN=01206485-000000000-00000</v>
      </c>
      <c r="M96" t="s">
        <v>1583</v>
      </c>
      <c r="N96" t="s">
        <v>2424</v>
      </c>
      <c r="O96" t="s">
        <v>3458</v>
      </c>
      <c r="P96" t="b">
        <v>0</v>
      </c>
      <c r="Q96" t="s">
        <v>2424</v>
      </c>
    </row>
    <row r="97" spans="1:17" x14ac:dyDescent="0.35">
      <c r="A97" t="s">
        <v>356</v>
      </c>
      <c r="B97" t="s">
        <v>2914</v>
      </c>
      <c r="C97" t="s">
        <v>3809</v>
      </c>
      <c r="D97" t="s">
        <v>50</v>
      </c>
      <c r="E97">
        <v>20</v>
      </c>
      <c r="F97">
        <v>6</v>
      </c>
      <c r="G97">
        <v>34</v>
      </c>
      <c r="H97">
        <v>5</v>
      </c>
      <c r="I97" t="s">
        <v>411</v>
      </c>
      <c r="J97" t="s">
        <v>374</v>
      </c>
      <c r="K97" t="s">
        <v>1853</v>
      </c>
      <c r="L97" s="1" t="str">
        <f>HYPERLINK("https://ovidsp.ovid.com/ovidweb.cgi?T=JS&amp;NEWS=n&amp;CSC=Y&amp;PAGE=toc&amp;D=yrovft&amp;AN=00003226-000000000-00000","https://ovidsp.ovid.com/ovidweb.cgi?T=JS&amp;NEWS=n&amp;CSC=Y&amp;PAGE=toc&amp;D=yrovft&amp;AN=00003226-000000000-00000")</f>
        <v>https://ovidsp.ovid.com/ovidweb.cgi?T=JS&amp;NEWS=n&amp;CSC=Y&amp;PAGE=toc&amp;D=yrovft&amp;AN=00003226-000000000-00000</v>
      </c>
      <c r="M97" t="s">
        <v>1046</v>
      </c>
      <c r="N97" t="s">
        <v>2424</v>
      </c>
      <c r="O97" t="s">
        <v>2105</v>
      </c>
      <c r="P97" t="b">
        <v>1</v>
      </c>
      <c r="Q97" t="s">
        <v>2600</v>
      </c>
    </row>
    <row r="98" spans="1:17" x14ac:dyDescent="0.35">
      <c r="A98" t="s">
        <v>3413</v>
      </c>
      <c r="B98" t="s">
        <v>1728</v>
      </c>
      <c r="C98" t="s">
        <v>3039</v>
      </c>
      <c r="D98" t="s">
        <v>50</v>
      </c>
      <c r="E98">
        <v>12</v>
      </c>
      <c r="F98">
        <v>4</v>
      </c>
      <c r="G98">
        <v>21</v>
      </c>
      <c r="H98">
        <v>3</v>
      </c>
      <c r="I98" t="s">
        <v>262</v>
      </c>
      <c r="J98" t="s">
        <v>3481</v>
      </c>
      <c r="K98" t="s">
        <v>3523</v>
      </c>
      <c r="L98" s="1" t="str">
        <f>HYPERLINK("https://ovidsp.ovid.com/ovidweb.cgi?T=JS&amp;NEWS=n&amp;CSC=Y&amp;PAGE=toc&amp;D=yrovft&amp;AN=00019501-000000000-00000","https://ovidsp.ovid.com/ovidweb.cgi?T=JS&amp;NEWS=n&amp;CSC=Y&amp;PAGE=toc&amp;D=yrovft&amp;AN=00019501-000000000-00000")</f>
        <v>https://ovidsp.ovid.com/ovidweb.cgi?T=JS&amp;NEWS=n&amp;CSC=Y&amp;PAGE=toc&amp;D=yrovft&amp;AN=00019501-000000000-00000</v>
      </c>
      <c r="M98" t="s">
        <v>1812</v>
      </c>
      <c r="N98" t="s">
        <v>2424</v>
      </c>
      <c r="O98" t="s">
        <v>3412</v>
      </c>
      <c r="P98" t="b">
        <v>1</v>
      </c>
      <c r="Q98" t="s">
        <v>631</v>
      </c>
    </row>
    <row r="99" spans="1:17" x14ac:dyDescent="0.35">
      <c r="A99" t="s">
        <v>557</v>
      </c>
      <c r="B99" t="s">
        <v>874</v>
      </c>
      <c r="C99" t="s">
        <v>3003</v>
      </c>
      <c r="D99" t="s">
        <v>50</v>
      </c>
      <c r="E99">
        <v>29</v>
      </c>
      <c r="F99">
        <v>7</v>
      </c>
      <c r="G99">
        <v>48</v>
      </c>
      <c r="H99">
        <v>4</v>
      </c>
      <c r="I99" t="s">
        <v>1328</v>
      </c>
      <c r="J99" t="s">
        <v>3608</v>
      </c>
      <c r="K99" t="s">
        <v>3634</v>
      </c>
      <c r="L99" s="1" t="str">
        <f>HYPERLINK("https://ovidsp.ovid.com/ovidweb.cgi?T=JS&amp;NEWS=n&amp;CSC=Y&amp;PAGE=toc&amp;D=yrovft&amp;AN=00003246-000000000-00000","https://ovidsp.ovid.com/ovidweb.cgi?T=JS&amp;NEWS=n&amp;CSC=Y&amp;PAGE=toc&amp;D=yrovft&amp;AN=00003246-000000000-00000")</f>
        <v>https://ovidsp.ovid.com/ovidweb.cgi?T=JS&amp;NEWS=n&amp;CSC=Y&amp;PAGE=toc&amp;D=yrovft&amp;AN=00003246-000000000-00000</v>
      </c>
      <c r="M99" t="s">
        <v>1014</v>
      </c>
      <c r="N99" t="s">
        <v>2424</v>
      </c>
      <c r="O99" t="s">
        <v>1199</v>
      </c>
      <c r="P99" t="b">
        <v>1</v>
      </c>
      <c r="Q99" t="s">
        <v>2956</v>
      </c>
    </row>
    <row r="100" spans="1:17" x14ac:dyDescent="0.35">
      <c r="A100" t="s">
        <v>1507</v>
      </c>
      <c r="B100" t="s">
        <v>1899</v>
      </c>
      <c r="C100" t="s">
        <v>1486</v>
      </c>
      <c r="D100" t="s">
        <v>50</v>
      </c>
      <c r="E100">
        <v>26</v>
      </c>
      <c r="F100">
        <v>2</v>
      </c>
      <c r="G100">
        <v>33</v>
      </c>
      <c r="H100">
        <v>2</v>
      </c>
      <c r="I100" t="s">
        <v>3594</v>
      </c>
      <c r="J100" t="s">
        <v>2069</v>
      </c>
      <c r="K100" t="s">
        <v>2461</v>
      </c>
      <c r="L100" s="1" t="str">
        <f>HYPERLINK("https://ovidsp.ovid.com/ovidweb.cgi?T=JS&amp;NEWS=n&amp;CSC=Y&amp;PAGE=toc&amp;D=yrovft&amp;AN=00002727-000000000-00000","https://ovidsp.ovid.com/ovidweb.cgi?T=JS&amp;NEWS=n&amp;CSC=Y&amp;PAGE=toc&amp;D=yrovft&amp;AN=00002727-000000000-00000")</f>
        <v>https://ovidsp.ovid.com/ovidweb.cgi?T=JS&amp;NEWS=n&amp;CSC=Y&amp;PAGE=toc&amp;D=yrovft&amp;AN=00002727-000000000-00000</v>
      </c>
      <c r="M100" t="s">
        <v>3350</v>
      </c>
      <c r="N100" t="s">
        <v>2424</v>
      </c>
      <c r="O100" t="s">
        <v>1566</v>
      </c>
      <c r="P100" t="b">
        <v>0</v>
      </c>
      <c r="Q100" t="s">
        <v>2424</v>
      </c>
    </row>
    <row r="101" spans="1:17" x14ac:dyDescent="0.35">
      <c r="A101" t="s">
        <v>2951</v>
      </c>
      <c r="B101" t="s">
        <v>2612</v>
      </c>
      <c r="C101" t="s">
        <v>1608</v>
      </c>
      <c r="D101" t="s">
        <v>50</v>
      </c>
      <c r="E101">
        <v>2</v>
      </c>
      <c r="F101">
        <v>1</v>
      </c>
      <c r="G101">
        <v>9</v>
      </c>
      <c r="H101">
        <v>1</v>
      </c>
      <c r="I101" t="s">
        <v>1714</v>
      </c>
      <c r="J101" t="s">
        <v>2581</v>
      </c>
      <c r="K101" t="s">
        <v>2939</v>
      </c>
      <c r="L101" s="1" t="str">
        <f>HYPERLINK("https://ovidsp.ovid.com/ovidweb.cgi?T=JS&amp;NEWS=n&amp;CSC=Y&amp;PAGE=toc&amp;D=yrovft&amp;AN=00132577-000000000-00000","https://ovidsp.ovid.com/ovidweb.cgi?T=JS&amp;NEWS=n&amp;CSC=Y&amp;PAGE=toc&amp;D=yrovft&amp;AN=00132577-000000000-00000")</f>
        <v>https://ovidsp.ovid.com/ovidweb.cgi?T=JS&amp;NEWS=n&amp;CSC=Y&amp;PAGE=toc&amp;D=yrovft&amp;AN=00132577-000000000-00000</v>
      </c>
      <c r="M101" t="s">
        <v>3026</v>
      </c>
      <c r="N101" t="s">
        <v>2424</v>
      </c>
      <c r="O101" t="s">
        <v>1876</v>
      </c>
      <c r="P101" t="b">
        <v>1</v>
      </c>
      <c r="Q101" t="s">
        <v>1038</v>
      </c>
    </row>
    <row r="102" spans="1:17" x14ac:dyDescent="0.35">
      <c r="A102" t="s">
        <v>400</v>
      </c>
      <c r="B102" t="s">
        <v>3773</v>
      </c>
      <c r="C102" t="s">
        <v>3418</v>
      </c>
      <c r="D102" t="s">
        <v>50</v>
      </c>
      <c r="E102">
        <v>1</v>
      </c>
      <c r="F102">
        <v>1</v>
      </c>
      <c r="G102">
        <v>10</v>
      </c>
      <c r="H102">
        <v>3</v>
      </c>
      <c r="I102" t="s">
        <v>2054</v>
      </c>
      <c r="J102" t="s">
        <v>3777</v>
      </c>
      <c r="K102" t="s">
        <v>2972</v>
      </c>
      <c r="L102" s="1" t="str">
        <f>HYPERLINK("https://ovidsp.ovid.com/ovidweb.cgi?T=JS&amp;NEWS=n&amp;CSC=Y&amp;PAGE=toc&amp;D=yrovft&amp;AN=00130832-000000000-00000","https://ovidsp.ovid.com/ovidweb.cgi?T=JS&amp;NEWS=n&amp;CSC=Y&amp;PAGE=toc&amp;D=yrovft&amp;AN=00130832-000000000-00000")</f>
        <v>https://ovidsp.ovid.com/ovidweb.cgi?T=JS&amp;NEWS=n&amp;CSC=Y&amp;PAGE=toc&amp;D=yrovft&amp;AN=00130832-000000000-00000</v>
      </c>
      <c r="M102" t="s">
        <v>3149</v>
      </c>
      <c r="N102" t="s">
        <v>2424</v>
      </c>
      <c r="O102" t="s">
        <v>1169</v>
      </c>
      <c r="P102" t="b">
        <v>1</v>
      </c>
      <c r="Q102" t="s">
        <v>960</v>
      </c>
    </row>
    <row r="103" spans="1:17" x14ac:dyDescent="0.35">
      <c r="A103" t="s">
        <v>1717</v>
      </c>
      <c r="B103" t="s">
        <v>1787</v>
      </c>
      <c r="C103" t="s">
        <v>3061</v>
      </c>
      <c r="D103" t="s">
        <v>50</v>
      </c>
      <c r="E103">
        <v>14</v>
      </c>
      <c r="F103">
        <v>4</v>
      </c>
      <c r="G103">
        <v>23</v>
      </c>
      <c r="H103">
        <v>3</v>
      </c>
      <c r="I103" t="s">
        <v>2230</v>
      </c>
      <c r="J103" t="s">
        <v>374</v>
      </c>
      <c r="K103" t="s">
        <v>2972</v>
      </c>
      <c r="L103" s="1" t="str">
        <f>HYPERLINK("https://ovidsp.ovid.com/ovidweb.cgi?T=JS&amp;NEWS=n&amp;CSC=Y&amp;PAGE=toc&amp;D=yrovft&amp;AN=00001503-000000000-00000","https://ovidsp.ovid.com/ovidweb.cgi?T=JS&amp;NEWS=n&amp;CSC=Y&amp;PAGE=toc&amp;D=yrovft&amp;AN=00001503-000000000-00000")</f>
        <v>https://ovidsp.ovid.com/ovidweb.cgi?T=JS&amp;NEWS=n&amp;CSC=Y&amp;PAGE=toc&amp;D=yrovft&amp;AN=00001503-000000000-00000</v>
      </c>
      <c r="M103" t="s">
        <v>810</v>
      </c>
      <c r="N103" t="s">
        <v>2424</v>
      </c>
      <c r="O103" t="s">
        <v>813</v>
      </c>
      <c r="P103" t="b">
        <v>1</v>
      </c>
      <c r="Q103" t="s">
        <v>508</v>
      </c>
    </row>
    <row r="104" spans="1:17" x14ac:dyDescent="0.35">
      <c r="A104" t="s">
        <v>446</v>
      </c>
      <c r="B104" t="s">
        <v>261</v>
      </c>
      <c r="C104" t="s">
        <v>1673</v>
      </c>
      <c r="D104" t="s">
        <v>50</v>
      </c>
      <c r="E104">
        <v>16</v>
      </c>
      <c r="F104">
        <v>4</v>
      </c>
      <c r="G104">
        <v>25</v>
      </c>
      <c r="H104">
        <v>3</v>
      </c>
      <c r="I104" t="s">
        <v>3074</v>
      </c>
      <c r="J104" t="s">
        <v>3608</v>
      </c>
      <c r="K104" t="s">
        <v>3523</v>
      </c>
      <c r="L104" s="1" t="str">
        <f>HYPERLINK("https://ovidsp.ovid.com/ovidweb.cgi?T=JS&amp;NEWS=n&amp;CSC=Y&amp;PAGE=toc&amp;D=yrovft&amp;AN=00001573-000000000-00000","https://ovidsp.ovid.com/ovidweb.cgi?T=JS&amp;NEWS=n&amp;CSC=Y&amp;PAGE=toc&amp;D=yrovft&amp;AN=00001573-000000000-00000")</f>
        <v>https://ovidsp.ovid.com/ovidweb.cgi?T=JS&amp;NEWS=n&amp;CSC=Y&amp;PAGE=toc&amp;D=yrovft&amp;AN=00001573-000000000-00000</v>
      </c>
      <c r="M104" t="s">
        <v>3671</v>
      </c>
      <c r="N104" t="s">
        <v>2424</v>
      </c>
      <c r="O104" t="s">
        <v>2166</v>
      </c>
      <c r="P104" t="b">
        <v>1</v>
      </c>
      <c r="Q104" t="s">
        <v>1123</v>
      </c>
    </row>
    <row r="105" spans="1:17" x14ac:dyDescent="0.35">
      <c r="A105" t="s">
        <v>2087</v>
      </c>
      <c r="B105" t="s">
        <v>2775</v>
      </c>
      <c r="C105" t="s">
        <v>2880</v>
      </c>
      <c r="D105" t="s">
        <v>50</v>
      </c>
      <c r="E105">
        <v>4</v>
      </c>
      <c r="F105">
        <v>5</v>
      </c>
      <c r="G105">
        <v>13</v>
      </c>
      <c r="H105">
        <v>3</v>
      </c>
      <c r="I105" t="s">
        <v>1102</v>
      </c>
      <c r="J105" t="s">
        <v>1281</v>
      </c>
      <c r="K105" t="s">
        <v>3523</v>
      </c>
      <c r="L105" s="1" t="str">
        <f>HYPERLINK("https://ovidsp.ovid.com/ovidweb.cgi?T=JS&amp;NEWS=n&amp;CSC=Y&amp;PAGE=toc&amp;D=yrovft&amp;AN=00075197-000000000-00000","https://ovidsp.ovid.com/ovidweb.cgi?T=JS&amp;NEWS=n&amp;CSC=Y&amp;PAGE=toc&amp;D=yrovft&amp;AN=00075197-000000000-00000")</f>
        <v>https://ovidsp.ovid.com/ovidweb.cgi?T=JS&amp;NEWS=n&amp;CSC=Y&amp;PAGE=toc&amp;D=yrovft&amp;AN=00075197-000000000-00000</v>
      </c>
      <c r="M105" t="s">
        <v>2168</v>
      </c>
      <c r="N105" t="s">
        <v>2424</v>
      </c>
      <c r="O105" t="s">
        <v>3591</v>
      </c>
      <c r="P105" t="b">
        <v>0</v>
      </c>
      <c r="Q105" t="s">
        <v>2424</v>
      </c>
    </row>
    <row r="106" spans="1:17" x14ac:dyDescent="0.35">
      <c r="A106" t="s">
        <v>3710</v>
      </c>
      <c r="B106" t="s">
        <v>554</v>
      </c>
      <c r="C106" t="s">
        <v>2031</v>
      </c>
      <c r="D106" t="s">
        <v>50</v>
      </c>
      <c r="E106">
        <v>7</v>
      </c>
      <c r="F106">
        <v>4</v>
      </c>
      <c r="G106">
        <v>16</v>
      </c>
      <c r="H106">
        <v>2</v>
      </c>
      <c r="I106" t="s">
        <v>1886</v>
      </c>
      <c r="J106" t="s">
        <v>374</v>
      </c>
      <c r="K106" t="s">
        <v>2461</v>
      </c>
      <c r="L106" s="1" t="str">
        <f>HYPERLINK("https://ovidsp.ovid.com/ovidweb.cgi?T=JS&amp;NEWS=n&amp;CSC=Y&amp;PAGE=toc&amp;D=yrovft&amp;AN=00075198-000000000-00000","https://ovidsp.ovid.com/ovidweb.cgi?T=JS&amp;NEWS=n&amp;CSC=Y&amp;PAGE=toc&amp;D=yrovft&amp;AN=00075198-000000000-00000")</f>
        <v>https://ovidsp.ovid.com/ovidweb.cgi?T=JS&amp;NEWS=n&amp;CSC=Y&amp;PAGE=toc&amp;D=yrovft&amp;AN=00075198-000000000-00000</v>
      </c>
      <c r="M106" t="s">
        <v>1291</v>
      </c>
      <c r="N106" t="s">
        <v>2424</v>
      </c>
      <c r="O106" t="s">
        <v>2433</v>
      </c>
      <c r="P106" t="b">
        <v>1</v>
      </c>
      <c r="Q106" t="s">
        <v>2321</v>
      </c>
    </row>
    <row r="107" spans="1:17" x14ac:dyDescent="0.35">
      <c r="A107" t="s">
        <v>498</v>
      </c>
      <c r="B107" t="s">
        <v>2656</v>
      </c>
      <c r="C107" t="s">
        <v>1965</v>
      </c>
      <c r="D107" t="s">
        <v>50</v>
      </c>
      <c r="E107">
        <v>8</v>
      </c>
      <c r="F107">
        <v>4</v>
      </c>
      <c r="G107">
        <v>11</v>
      </c>
      <c r="H107">
        <v>6</v>
      </c>
      <c r="I107" t="s">
        <v>928</v>
      </c>
      <c r="J107" t="s">
        <v>374</v>
      </c>
      <c r="K107" t="s">
        <v>3343</v>
      </c>
      <c r="L107" s="1" t="str">
        <f>HYPERLINK("https://ovidsp.ovid.com/ovidweb.cgi?T=JS&amp;NEWS=n&amp;CSC=Y&amp;PAGE=toc&amp;D=yrovft&amp;AN=00060793-000000000-00000","https://ovidsp.ovid.com/ovidweb.cgi?T=JS&amp;NEWS=n&amp;CSC=Y&amp;PAGE=toc&amp;D=yrovft&amp;AN=00060793-000000000-00000")</f>
        <v>https://ovidsp.ovid.com/ovidweb.cgi?T=JS&amp;NEWS=n&amp;CSC=Y&amp;PAGE=toc&amp;D=yrovft&amp;AN=00060793-000000000-00000</v>
      </c>
      <c r="M107" t="s">
        <v>2434</v>
      </c>
      <c r="N107" t="s">
        <v>2424</v>
      </c>
      <c r="O107" t="s">
        <v>1398</v>
      </c>
      <c r="P107" t="b">
        <v>0</v>
      </c>
      <c r="Q107" t="s">
        <v>2424</v>
      </c>
    </row>
    <row r="108" spans="1:17" x14ac:dyDescent="0.35">
      <c r="A108" t="s">
        <v>3081</v>
      </c>
      <c r="B108" t="s">
        <v>2910</v>
      </c>
      <c r="C108" t="s">
        <v>1965</v>
      </c>
      <c r="D108" t="s">
        <v>50</v>
      </c>
      <c r="E108">
        <v>14</v>
      </c>
      <c r="F108">
        <v>1</v>
      </c>
      <c r="G108">
        <v>17</v>
      </c>
      <c r="H108">
        <v>3</v>
      </c>
      <c r="I108" t="s">
        <v>2237</v>
      </c>
      <c r="J108" t="s">
        <v>2668</v>
      </c>
      <c r="K108" t="s">
        <v>2972</v>
      </c>
      <c r="L108" s="1" t="str">
        <f>HYPERLINK("https://ovidsp.ovid.com/ovidweb.cgi?T=JS&amp;NEWS=n&amp;CSC=Y&amp;PAGE=toc&amp;D=yrovft&amp;AN=01266029-000000000-00000","https://ovidsp.ovid.com/ovidweb.cgi?T=JS&amp;NEWS=n&amp;CSC=Y&amp;PAGE=toc&amp;D=yrovft&amp;AN=01266029-000000000-00000")</f>
        <v>https://ovidsp.ovid.com/ovidweb.cgi?T=JS&amp;NEWS=n&amp;CSC=Y&amp;PAGE=toc&amp;D=yrovft&amp;AN=01266029-000000000-00000</v>
      </c>
      <c r="M108" t="s">
        <v>1918</v>
      </c>
      <c r="N108" t="s">
        <v>2424</v>
      </c>
      <c r="O108" t="s">
        <v>233</v>
      </c>
      <c r="P108" t="b">
        <v>0</v>
      </c>
      <c r="Q108" t="s">
        <v>2424</v>
      </c>
    </row>
    <row r="109" spans="1:17" x14ac:dyDescent="0.35">
      <c r="A109" t="s">
        <v>2151</v>
      </c>
      <c r="B109" t="s">
        <v>1372</v>
      </c>
      <c r="C109" t="s">
        <v>180</v>
      </c>
      <c r="D109" t="s">
        <v>50</v>
      </c>
      <c r="E109">
        <v>17</v>
      </c>
      <c r="F109">
        <v>4</v>
      </c>
      <c r="G109">
        <v>26</v>
      </c>
      <c r="H109">
        <v>3</v>
      </c>
      <c r="I109" t="s">
        <v>3074</v>
      </c>
      <c r="J109" t="s">
        <v>3608</v>
      </c>
      <c r="K109" t="s">
        <v>3523</v>
      </c>
      <c r="L109" s="1" t="str">
        <f>HYPERLINK("https://ovidsp.ovid.com/ovidweb.cgi?T=JS&amp;NEWS=n&amp;CSC=Y&amp;PAGE=toc&amp;D=yrovft&amp;AN=00001574-000000000-00000","https://ovidsp.ovid.com/ovidweb.cgi?T=JS&amp;NEWS=n&amp;CSC=Y&amp;PAGE=toc&amp;D=yrovft&amp;AN=00001574-000000000-00000")</f>
        <v>https://ovidsp.ovid.com/ovidweb.cgi?T=JS&amp;NEWS=n&amp;CSC=Y&amp;PAGE=toc&amp;D=yrovft&amp;AN=00001574-000000000-00000</v>
      </c>
      <c r="M109" t="s">
        <v>3381</v>
      </c>
      <c r="N109" t="s">
        <v>2424</v>
      </c>
      <c r="O109" t="s">
        <v>3287</v>
      </c>
      <c r="P109" t="b">
        <v>0</v>
      </c>
      <c r="Q109" t="s">
        <v>2424</v>
      </c>
    </row>
    <row r="110" spans="1:17" x14ac:dyDescent="0.35">
      <c r="A110" t="s">
        <v>1545</v>
      </c>
      <c r="B110" t="s">
        <v>3419</v>
      </c>
      <c r="C110" t="s">
        <v>2883</v>
      </c>
      <c r="D110" t="s">
        <v>50</v>
      </c>
      <c r="E110">
        <v>8</v>
      </c>
      <c r="F110">
        <v>4</v>
      </c>
      <c r="G110">
        <v>17</v>
      </c>
      <c r="H110">
        <v>3</v>
      </c>
      <c r="I110" t="s">
        <v>3074</v>
      </c>
      <c r="J110" t="s">
        <v>3608</v>
      </c>
      <c r="K110" t="s">
        <v>3523</v>
      </c>
      <c r="L110" s="1" t="str">
        <f>HYPERLINK("https://ovidsp.ovid.com/ovidweb.cgi?T=JS&amp;NEWS=n&amp;CSC=Y&amp;PAGE=toc&amp;D=yrovft&amp;AN=00062752-000000000-00000","https://ovidsp.ovid.com/ovidweb.cgi?T=JS&amp;NEWS=n&amp;CSC=Y&amp;PAGE=toc&amp;D=yrovft&amp;AN=00062752-000000000-00000")</f>
        <v>https://ovidsp.ovid.com/ovidweb.cgi?T=JS&amp;NEWS=n&amp;CSC=Y&amp;PAGE=toc&amp;D=yrovft&amp;AN=00062752-000000000-00000</v>
      </c>
      <c r="M110" t="s">
        <v>3112</v>
      </c>
      <c r="N110" t="s">
        <v>2424</v>
      </c>
      <c r="O110" t="s">
        <v>1407</v>
      </c>
      <c r="P110" t="b">
        <v>1</v>
      </c>
      <c r="Q110" t="s">
        <v>1709</v>
      </c>
    </row>
    <row r="111" spans="1:17" x14ac:dyDescent="0.35">
      <c r="A111" t="s">
        <v>3087</v>
      </c>
      <c r="B111" t="s">
        <v>961</v>
      </c>
      <c r="C111" t="s">
        <v>787</v>
      </c>
      <c r="D111" t="s">
        <v>50</v>
      </c>
      <c r="E111">
        <v>2</v>
      </c>
      <c r="F111">
        <v>2</v>
      </c>
      <c r="G111">
        <v>5</v>
      </c>
      <c r="H111">
        <v>3</v>
      </c>
      <c r="I111" t="s">
        <v>1830</v>
      </c>
      <c r="J111" t="s">
        <v>715</v>
      </c>
      <c r="K111" t="s">
        <v>3523</v>
      </c>
      <c r="L111" s="1" t="str">
        <f>HYPERLINK("https://ovidsp.ovid.com/ovidweb.cgi?T=JS&amp;NEWS=n&amp;CSC=Y&amp;PAGE=toc&amp;D=yrovft&amp;AN=01222929-000000000-00000","https://ovidsp.ovid.com/ovidweb.cgi?T=JS&amp;NEWS=n&amp;CSC=Y&amp;PAGE=toc&amp;D=yrovft&amp;AN=01222929-000000000-00000")</f>
        <v>https://ovidsp.ovid.com/ovidweb.cgi?T=JS&amp;NEWS=n&amp;CSC=Y&amp;PAGE=toc&amp;D=yrovft&amp;AN=01222929-000000000-00000</v>
      </c>
      <c r="M111" t="s">
        <v>2980</v>
      </c>
      <c r="N111" t="s">
        <v>2424</v>
      </c>
      <c r="O111" t="s">
        <v>1379</v>
      </c>
      <c r="P111" t="b">
        <v>1</v>
      </c>
      <c r="Q111" t="s">
        <v>3605</v>
      </c>
    </row>
    <row r="112" spans="1:17" x14ac:dyDescent="0.35">
      <c r="A112" t="s">
        <v>3370</v>
      </c>
      <c r="B112" t="s">
        <v>1319</v>
      </c>
      <c r="C112" t="s">
        <v>1547</v>
      </c>
      <c r="D112" t="s">
        <v>50</v>
      </c>
      <c r="E112">
        <v>14</v>
      </c>
      <c r="F112">
        <v>4</v>
      </c>
      <c r="G112">
        <v>23</v>
      </c>
      <c r="H112">
        <v>3</v>
      </c>
      <c r="I112" t="s">
        <v>2230</v>
      </c>
      <c r="J112" t="s">
        <v>374</v>
      </c>
      <c r="K112" t="s">
        <v>2972</v>
      </c>
      <c r="L112" s="1" t="str">
        <f>HYPERLINK("https://ovidsp.ovid.com/ovidweb.cgi?T=JS&amp;NEWS=n&amp;CSC=Y&amp;PAGE=toc&amp;D=yrovft&amp;AN=00001432-000000000-00000","https://ovidsp.ovid.com/ovidweb.cgi?T=JS&amp;NEWS=n&amp;CSC=Y&amp;PAGE=toc&amp;D=yrovft&amp;AN=00001432-000000000-00000")</f>
        <v>https://ovidsp.ovid.com/ovidweb.cgi?T=JS&amp;NEWS=n&amp;CSC=Y&amp;PAGE=toc&amp;D=yrovft&amp;AN=00001432-000000000-00000</v>
      </c>
      <c r="M112" t="s">
        <v>899</v>
      </c>
      <c r="N112" t="s">
        <v>2424</v>
      </c>
      <c r="O112" t="s">
        <v>964</v>
      </c>
      <c r="P112" t="b">
        <v>0</v>
      </c>
      <c r="Q112" t="s">
        <v>2424</v>
      </c>
    </row>
    <row r="113" spans="1:17" x14ac:dyDescent="0.35">
      <c r="A113" t="s">
        <v>3201</v>
      </c>
      <c r="B113" t="s">
        <v>123</v>
      </c>
      <c r="C113" t="s">
        <v>201</v>
      </c>
      <c r="D113" t="s">
        <v>50</v>
      </c>
      <c r="E113">
        <v>4</v>
      </c>
      <c r="F113">
        <v>3</v>
      </c>
      <c r="G113">
        <v>7</v>
      </c>
      <c r="H113">
        <v>6</v>
      </c>
      <c r="I113" t="s">
        <v>288</v>
      </c>
      <c r="J113" t="s">
        <v>3017</v>
      </c>
      <c r="K113" t="s">
        <v>2923</v>
      </c>
      <c r="L113" s="1" t="str">
        <f>HYPERLINK("https://ovidsp.ovid.com/ovidweb.cgi?T=JS&amp;NEWS=n&amp;CSC=Y&amp;PAGE=toc&amp;D=yrovft&amp;AN=00132980-000000000-00000","https://ovidsp.ovid.com/ovidweb.cgi?T=JS&amp;NEWS=n&amp;CSC=Y&amp;PAGE=toc&amp;D=yrovft&amp;AN=00132980-000000000-00000")</f>
        <v>https://ovidsp.ovid.com/ovidweb.cgi?T=JS&amp;NEWS=n&amp;CSC=Y&amp;PAGE=toc&amp;D=yrovft&amp;AN=00132980-000000000-00000</v>
      </c>
      <c r="M113" t="s">
        <v>149</v>
      </c>
      <c r="N113" t="s">
        <v>2424</v>
      </c>
      <c r="O113" t="s">
        <v>1628</v>
      </c>
      <c r="P113" t="b">
        <v>0</v>
      </c>
      <c r="Q113" t="s">
        <v>2424</v>
      </c>
    </row>
    <row r="114" spans="1:17" x14ac:dyDescent="0.35">
      <c r="A114" t="s">
        <v>1357</v>
      </c>
      <c r="B114" t="s">
        <v>2889</v>
      </c>
      <c r="C114" t="s">
        <v>203</v>
      </c>
      <c r="D114" t="s">
        <v>50</v>
      </c>
      <c r="E114">
        <v>12</v>
      </c>
      <c r="F114">
        <v>4</v>
      </c>
      <c r="G114">
        <v>26</v>
      </c>
      <c r="H114">
        <v>2</v>
      </c>
      <c r="I114" t="s">
        <v>696</v>
      </c>
      <c r="J114" t="s">
        <v>374</v>
      </c>
      <c r="K114" t="s">
        <v>1640</v>
      </c>
      <c r="L114" s="1" t="str">
        <f>HYPERLINK("https://ovidsp.ovid.com/ovidweb.cgi?T=JS&amp;NEWS=n&amp;CSC=Y&amp;PAGE=toc&amp;D=yrovft&amp;AN=00041433-000000000-00000","https://ovidsp.ovid.com/ovidweb.cgi?T=JS&amp;NEWS=n&amp;CSC=Y&amp;PAGE=toc&amp;D=yrovft&amp;AN=00041433-000000000-00000")</f>
        <v>https://ovidsp.ovid.com/ovidweb.cgi?T=JS&amp;NEWS=n&amp;CSC=Y&amp;PAGE=toc&amp;D=yrovft&amp;AN=00041433-000000000-00000</v>
      </c>
      <c r="M114" t="s">
        <v>211</v>
      </c>
      <c r="N114" t="s">
        <v>2424</v>
      </c>
      <c r="O114" t="s">
        <v>1560</v>
      </c>
      <c r="P114" t="b">
        <v>0</v>
      </c>
      <c r="Q114" t="s">
        <v>2424</v>
      </c>
    </row>
    <row r="115" spans="1:17" x14ac:dyDescent="0.35">
      <c r="A115" t="s">
        <v>2683</v>
      </c>
      <c r="B115" t="s">
        <v>1173</v>
      </c>
      <c r="C115" t="s">
        <v>31</v>
      </c>
      <c r="D115" t="s">
        <v>50</v>
      </c>
      <c r="E115">
        <v>10</v>
      </c>
      <c r="F115">
        <v>5</v>
      </c>
      <c r="G115">
        <v>19</v>
      </c>
      <c r="H115">
        <v>3</v>
      </c>
      <c r="I115" t="s">
        <v>1102</v>
      </c>
      <c r="J115" t="s">
        <v>1281</v>
      </c>
      <c r="K115" t="s">
        <v>3523</v>
      </c>
      <c r="L115" s="1" t="str">
        <f>HYPERLINK("https://ovidsp.ovid.com/ovidweb.cgi?T=JS&amp;NEWS=n&amp;CSC=Y&amp;PAGE=toc&amp;D=yrovft&amp;AN=00041552-000000000-00000","https://ovidsp.ovid.com/ovidweb.cgi?T=JS&amp;NEWS=n&amp;CSC=Y&amp;PAGE=toc&amp;D=yrovft&amp;AN=00041552-000000000-00000")</f>
        <v>https://ovidsp.ovid.com/ovidweb.cgi?T=JS&amp;NEWS=n&amp;CSC=Y&amp;PAGE=toc&amp;D=yrovft&amp;AN=00041552-000000000-00000</v>
      </c>
      <c r="M115" t="s">
        <v>1159</v>
      </c>
      <c r="N115" t="s">
        <v>2424</v>
      </c>
      <c r="O115" t="s">
        <v>18</v>
      </c>
      <c r="P115" t="b">
        <v>1</v>
      </c>
      <c r="Q115" t="s">
        <v>3490</v>
      </c>
    </row>
    <row r="116" spans="1:17" x14ac:dyDescent="0.35">
      <c r="A116" t="s">
        <v>2530</v>
      </c>
      <c r="B116" t="s">
        <v>1039</v>
      </c>
      <c r="C116" t="s">
        <v>969</v>
      </c>
      <c r="D116" t="s">
        <v>50</v>
      </c>
      <c r="E116">
        <v>14</v>
      </c>
      <c r="F116">
        <v>4</v>
      </c>
      <c r="G116">
        <v>28</v>
      </c>
      <c r="H116">
        <v>2</v>
      </c>
      <c r="I116" t="s">
        <v>696</v>
      </c>
      <c r="J116" t="s">
        <v>374</v>
      </c>
      <c r="K116" t="s">
        <v>1640</v>
      </c>
      <c r="L116" s="1" t="str">
        <f>HYPERLINK("https://ovidsp.ovid.com/ovidweb.cgi?T=JS&amp;NEWS=n&amp;CSC=Y&amp;PAGE=toc&amp;D=yrovft&amp;AN=00019052-000000000-00000","https://ovidsp.ovid.com/ovidweb.cgi?T=JS&amp;NEWS=n&amp;CSC=Y&amp;PAGE=toc&amp;D=yrovft&amp;AN=00019052-000000000-00000")</f>
        <v>https://ovidsp.ovid.com/ovidweb.cgi?T=JS&amp;NEWS=n&amp;CSC=Y&amp;PAGE=toc&amp;D=yrovft&amp;AN=00019052-000000000-00000</v>
      </c>
      <c r="M116" t="s">
        <v>566</v>
      </c>
      <c r="N116" t="s">
        <v>2424</v>
      </c>
      <c r="O116" t="s">
        <v>1921</v>
      </c>
      <c r="P116" t="b">
        <v>1</v>
      </c>
      <c r="Q116" t="s">
        <v>2218</v>
      </c>
    </row>
    <row r="117" spans="1:17" x14ac:dyDescent="0.35">
      <c r="A117" t="s">
        <v>2829</v>
      </c>
      <c r="B117" t="s">
        <v>1976</v>
      </c>
      <c r="C117" t="s">
        <v>3176</v>
      </c>
      <c r="D117" t="s">
        <v>50</v>
      </c>
      <c r="E117">
        <v>13</v>
      </c>
      <c r="F117">
        <v>4</v>
      </c>
      <c r="G117">
        <v>22</v>
      </c>
      <c r="H117">
        <v>3</v>
      </c>
      <c r="I117" t="s">
        <v>2230</v>
      </c>
      <c r="J117" t="s">
        <v>374</v>
      </c>
      <c r="K117" t="s">
        <v>2972</v>
      </c>
      <c r="L117" s="1" t="str">
        <f>HYPERLINK("https://ovidsp.ovid.com/ovidweb.cgi?T=JS&amp;NEWS=n&amp;CSC=Y&amp;PAGE=toc&amp;D=yrovft&amp;AN=00001703-000000000-00000","https://ovidsp.ovid.com/ovidweb.cgi?T=JS&amp;NEWS=n&amp;CSC=Y&amp;PAGE=toc&amp;D=yrovft&amp;AN=00001703-000000000-00000")</f>
        <v>https://ovidsp.ovid.com/ovidweb.cgi?T=JS&amp;NEWS=n&amp;CSC=Y&amp;PAGE=toc&amp;D=yrovft&amp;AN=00001703-000000000-00000</v>
      </c>
      <c r="M117" t="s">
        <v>69</v>
      </c>
      <c r="N117" t="s">
        <v>2424</v>
      </c>
      <c r="O117" t="s">
        <v>1418</v>
      </c>
      <c r="P117" t="b">
        <v>1</v>
      </c>
      <c r="Q117" t="s">
        <v>2859</v>
      </c>
    </row>
    <row r="118" spans="1:17" x14ac:dyDescent="0.35">
      <c r="A118" t="s">
        <v>2629</v>
      </c>
      <c r="B118" t="s">
        <v>1968</v>
      </c>
      <c r="C118" t="s">
        <v>1959</v>
      </c>
      <c r="D118" t="s">
        <v>50</v>
      </c>
      <c r="E118">
        <v>13</v>
      </c>
      <c r="F118">
        <v>5</v>
      </c>
      <c r="G118">
        <v>22</v>
      </c>
      <c r="H118">
        <v>3</v>
      </c>
      <c r="I118" t="s">
        <v>1102</v>
      </c>
      <c r="J118" t="s">
        <v>1281</v>
      </c>
      <c r="K118" t="s">
        <v>3523</v>
      </c>
      <c r="L118" s="1" t="str">
        <f>HYPERLINK("https://ovidsp.ovid.com/ovidweb.cgi?T=JS&amp;NEWS=n&amp;CSC=Y&amp;PAGE=toc&amp;D=yrovft&amp;AN=00001622-000000000-00000","https://ovidsp.ovid.com/ovidweb.cgi?T=JS&amp;NEWS=n&amp;CSC=Y&amp;PAGE=toc&amp;D=yrovft&amp;AN=00001622-000000000-00000")</f>
        <v>https://ovidsp.ovid.com/ovidweb.cgi?T=JS&amp;NEWS=n&amp;CSC=Y&amp;PAGE=toc&amp;D=yrovft&amp;AN=00001622-000000000-00000</v>
      </c>
      <c r="M118" t="s">
        <v>3760</v>
      </c>
      <c r="N118" t="s">
        <v>2424</v>
      </c>
      <c r="O118" t="s">
        <v>1617</v>
      </c>
      <c r="P118" t="b">
        <v>0</v>
      </c>
      <c r="Q118" t="s">
        <v>2424</v>
      </c>
    </row>
    <row r="119" spans="1:17" x14ac:dyDescent="0.35">
      <c r="A119" t="s">
        <v>2747</v>
      </c>
      <c r="B119" t="s">
        <v>1843</v>
      </c>
      <c r="C119" t="s">
        <v>1765</v>
      </c>
      <c r="D119" t="s">
        <v>50</v>
      </c>
      <c r="E119">
        <v>12</v>
      </c>
      <c r="F119">
        <v>4</v>
      </c>
      <c r="G119">
        <v>21</v>
      </c>
      <c r="H119">
        <v>3</v>
      </c>
      <c r="I119" t="s">
        <v>96</v>
      </c>
      <c r="J119" t="s">
        <v>374</v>
      </c>
      <c r="K119" t="s">
        <v>3523</v>
      </c>
      <c r="L119" s="1" t="str">
        <f>HYPERLINK("https://ovidsp.ovid.com/ovidweb.cgi?T=JS&amp;NEWS=n&amp;CSC=Y&amp;PAGE=toc&amp;D=yrovft&amp;AN=00055735-000000000-00000","https://ovidsp.ovid.com/ovidweb.cgi?T=JS&amp;NEWS=n&amp;CSC=Y&amp;PAGE=toc&amp;D=yrovft&amp;AN=00055735-000000000-00000")</f>
        <v>https://ovidsp.ovid.com/ovidweb.cgi?T=JS&amp;NEWS=n&amp;CSC=Y&amp;PAGE=toc&amp;D=yrovft&amp;AN=00055735-000000000-00000</v>
      </c>
      <c r="M119" t="s">
        <v>1468</v>
      </c>
      <c r="N119" t="s">
        <v>2424</v>
      </c>
      <c r="O119" t="s">
        <v>3723</v>
      </c>
      <c r="P119" t="b">
        <v>0</v>
      </c>
      <c r="Q119" t="s">
        <v>2424</v>
      </c>
    </row>
    <row r="120" spans="1:17" x14ac:dyDescent="0.35">
      <c r="A120" t="s">
        <v>3455</v>
      </c>
      <c r="B120" t="s">
        <v>1088</v>
      </c>
      <c r="C120" t="s">
        <v>3023</v>
      </c>
      <c r="D120" t="s">
        <v>50</v>
      </c>
      <c r="E120">
        <v>6</v>
      </c>
      <c r="F120">
        <v>3</v>
      </c>
      <c r="G120">
        <v>15</v>
      </c>
      <c r="H120">
        <v>2</v>
      </c>
      <c r="I120" t="s">
        <v>1364</v>
      </c>
      <c r="J120" t="s">
        <v>1281</v>
      </c>
      <c r="K120" t="s">
        <v>2461</v>
      </c>
      <c r="L120" s="1" t="str">
        <f>HYPERLINK("https://ovidsp.ovid.com/ovidweb.cgi?T=JS&amp;NEWS=n&amp;CSC=Y&amp;PAGE=toc&amp;D=yrovft&amp;AN=00075200-000000000-00000","https://ovidsp.ovid.com/ovidweb.cgi?T=JS&amp;NEWS=n&amp;CSC=Y&amp;PAGE=toc&amp;D=yrovft&amp;AN=00075200-000000000-00000")</f>
        <v>https://ovidsp.ovid.com/ovidweb.cgi?T=JS&amp;NEWS=n&amp;CSC=Y&amp;PAGE=toc&amp;D=yrovft&amp;AN=00075200-000000000-00000</v>
      </c>
      <c r="M120" t="s">
        <v>741</v>
      </c>
      <c r="N120" t="s">
        <v>2424</v>
      </c>
      <c r="O120" t="s">
        <v>391</v>
      </c>
      <c r="P120" t="b">
        <v>1</v>
      </c>
      <c r="Q120" t="s">
        <v>3447</v>
      </c>
    </row>
    <row r="121" spans="1:17" x14ac:dyDescent="0.35">
      <c r="A121" t="s">
        <v>2494</v>
      </c>
      <c r="B121" t="s">
        <v>1844</v>
      </c>
      <c r="C121" t="s">
        <v>3794</v>
      </c>
      <c r="D121" t="s">
        <v>50</v>
      </c>
      <c r="E121">
        <v>12</v>
      </c>
      <c r="F121">
        <v>4</v>
      </c>
      <c r="G121">
        <v>19</v>
      </c>
      <c r="H121">
        <v>1</v>
      </c>
      <c r="I121" t="s">
        <v>73</v>
      </c>
      <c r="J121" t="s">
        <v>374</v>
      </c>
      <c r="K121" t="s">
        <v>1657</v>
      </c>
      <c r="L121" s="1" t="str">
        <f>HYPERLINK("https://ovidsp.ovid.com/ovidweb.cgi?T=JS&amp;NEWS=n&amp;CSC=Y&amp;PAGE=toc&amp;D=yrovft&amp;AN=00001433-000000000-00000","https://ovidsp.ovid.com/ovidweb.cgi?T=JS&amp;NEWS=n&amp;CSC=Y&amp;PAGE=toc&amp;D=yrovft&amp;AN=00001433-000000000-00000")</f>
        <v>https://ovidsp.ovid.com/ovidweb.cgi?T=JS&amp;NEWS=n&amp;CSC=Y&amp;PAGE=toc&amp;D=yrovft&amp;AN=00001433-000000000-00000</v>
      </c>
      <c r="M121" t="s">
        <v>2689</v>
      </c>
      <c r="N121" t="s">
        <v>2424</v>
      </c>
      <c r="O121" t="s">
        <v>3518</v>
      </c>
      <c r="P121" t="b">
        <v>0</v>
      </c>
      <c r="Q121" t="s">
        <v>2424</v>
      </c>
    </row>
    <row r="122" spans="1:17" x14ac:dyDescent="0.35">
      <c r="A122" t="s">
        <v>1085</v>
      </c>
      <c r="B122" t="s">
        <v>1210</v>
      </c>
      <c r="C122" t="s">
        <v>2822</v>
      </c>
      <c r="D122" t="s">
        <v>50</v>
      </c>
      <c r="E122">
        <v>9</v>
      </c>
      <c r="F122">
        <v>4</v>
      </c>
      <c r="G122">
        <v>18</v>
      </c>
      <c r="H122">
        <v>2</v>
      </c>
      <c r="I122" t="s">
        <v>1886</v>
      </c>
      <c r="J122" t="s">
        <v>374</v>
      </c>
      <c r="K122" t="s">
        <v>2461</v>
      </c>
      <c r="L122" s="1" t="str">
        <f>HYPERLINK("https://ovidsp.ovid.com/ovidweb.cgi?T=JS&amp;NEWS=n&amp;CSC=Y&amp;PAGE=toc&amp;D=yrovft&amp;AN=00020840-000000000-00000","https://ovidsp.ovid.com/ovidweb.cgi?T=JS&amp;NEWS=n&amp;CSC=Y&amp;PAGE=toc&amp;D=yrovft&amp;AN=00020840-000000000-00000")</f>
        <v>https://ovidsp.ovid.com/ovidweb.cgi?T=JS&amp;NEWS=n&amp;CSC=Y&amp;PAGE=toc&amp;D=yrovft&amp;AN=00020840-000000000-00000</v>
      </c>
      <c r="M122" t="s">
        <v>1365</v>
      </c>
      <c r="N122" t="s">
        <v>2424</v>
      </c>
      <c r="O122" t="s">
        <v>13</v>
      </c>
      <c r="P122" t="b">
        <v>0</v>
      </c>
      <c r="Q122" t="s">
        <v>2424</v>
      </c>
    </row>
    <row r="123" spans="1:17" x14ac:dyDescent="0.35">
      <c r="A123" t="s">
        <v>493</v>
      </c>
      <c r="B123" t="s">
        <v>751</v>
      </c>
      <c r="C123" t="s">
        <v>437</v>
      </c>
      <c r="D123" t="s">
        <v>50</v>
      </c>
      <c r="E123">
        <v>13</v>
      </c>
      <c r="F123">
        <v>4</v>
      </c>
      <c r="G123">
        <v>22</v>
      </c>
      <c r="H123">
        <v>2</v>
      </c>
      <c r="I123" t="s">
        <v>1886</v>
      </c>
      <c r="J123" t="s">
        <v>374</v>
      </c>
      <c r="K123" t="s">
        <v>2461</v>
      </c>
      <c r="L123" s="1" t="str">
        <f>HYPERLINK("https://ovidsp.ovid.com/ovidweb.cgi?T=JS&amp;NEWS=n&amp;CSC=Y&amp;PAGE=toc&amp;D=yrovft&amp;AN=00008480-000000000-00000","https://ovidsp.ovid.com/ovidweb.cgi?T=JS&amp;NEWS=n&amp;CSC=Y&amp;PAGE=toc&amp;D=yrovft&amp;AN=00008480-000000000-00000")</f>
        <v>https://ovidsp.ovid.com/ovidweb.cgi?T=JS&amp;NEWS=n&amp;CSC=Y&amp;PAGE=toc&amp;D=yrovft&amp;AN=00008480-000000000-00000</v>
      </c>
      <c r="M123" t="s">
        <v>2605</v>
      </c>
      <c r="N123" t="s">
        <v>2424</v>
      </c>
      <c r="O123" t="s">
        <v>2971</v>
      </c>
      <c r="P123" t="b">
        <v>1</v>
      </c>
      <c r="Q123" t="s">
        <v>3619</v>
      </c>
    </row>
    <row r="124" spans="1:17" x14ac:dyDescent="0.35">
      <c r="A124" t="s">
        <v>1832</v>
      </c>
      <c r="B124" t="s">
        <v>2349</v>
      </c>
      <c r="C124" t="s">
        <v>1033</v>
      </c>
      <c r="D124" t="s">
        <v>50</v>
      </c>
      <c r="E124">
        <v>14</v>
      </c>
      <c r="F124">
        <v>4</v>
      </c>
      <c r="G124">
        <v>27</v>
      </c>
      <c r="H124">
        <v>1</v>
      </c>
      <c r="I124" t="s">
        <v>359</v>
      </c>
      <c r="J124" t="s">
        <v>3608</v>
      </c>
      <c r="K124" t="s">
        <v>1964</v>
      </c>
      <c r="L124" s="1" t="str">
        <f>HYPERLINK("https://ovidsp.ovid.com/ovidweb.cgi?T=JS&amp;NEWS=n&amp;CSC=Y&amp;PAGE=toc&amp;D=yrovft&amp;AN=00001504-000000000-00000","https://ovidsp.ovid.com/ovidweb.cgi?T=JS&amp;NEWS=n&amp;CSC=Y&amp;PAGE=toc&amp;D=yrovft&amp;AN=00001504-000000000-00000")</f>
        <v>https://ovidsp.ovid.com/ovidweb.cgi?T=JS&amp;NEWS=n&amp;CSC=Y&amp;PAGE=toc&amp;D=yrovft&amp;AN=00001504-000000000-00000</v>
      </c>
      <c r="M124" t="s">
        <v>3102</v>
      </c>
      <c r="N124" t="s">
        <v>2424</v>
      </c>
      <c r="O124" t="s">
        <v>120</v>
      </c>
      <c r="P124" t="b">
        <v>1</v>
      </c>
      <c r="Q124" t="s">
        <v>2769</v>
      </c>
    </row>
    <row r="125" spans="1:17" x14ac:dyDescent="0.35">
      <c r="A125" t="s">
        <v>957</v>
      </c>
      <c r="B125" t="s">
        <v>2995</v>
      </c>
      <c r="C125" t="s">
        <v>1265</v>
      </c>
      <c r="D125" t="s">
        <v>50</v>
      </c>
      <c r="E125">
        <v>7</v>
      </c>
      <c r="F125">
        <v>4</v>
      </c>
      <c r="G125">
        <v>16</v>
      </c>
      <c r="H125">
        <v>0</v>
      </c>
      <c r="I125" t="s">
        <v>3074</v>
      </c>
      <c r="J125" t="s">
        <v>3608</v>
      </c>
      <c r="K125" t="s">
        <v>3523</v>
      </c>
      <c r="L125" s="1" t="str">
        <f>HYPERLINK("https://ovidsp.ovid.com/ovidweb.cgi?T=JS&amp;NEWS=n&amp;CSC=Y&amp;PAGE=toc&amp;D=yrovft&amp;AN=00063198-000000000-00000","https://ovidsp.ovid.com/ovidweb.cgi?T=JS&amp;NEWS=n&amp;CSC=Y&amp;PAGE=toc&amp;D=yrovft&amp;AN=00063198-000000000-00000")</f>
        <v>https://ovidsp.ovid.com/ovidweb.cgi?T=JS&amp;NEWS=n&amp;CSC=Y&amp;PAGE=toc&amp;D=yrovft&amp;AN=00063198-000000000-00000</v>
      </c>
      <c r="M125" t="s">
        <v>328</v>
      </c>
      <c r="N125" t="s">
        <v>2424</v>
      </c>
      <c r="O125" t="s">
        <v>3382</v>
      </c>
      <c r="P125" t="b">
        <v>0</v>
      </c>
      <c r="Q125" t="s">
        <v>2424</v>
      </c>
    </row>
    <row r="126" spans="1:17" x14ac:dyDescent="0.35">
      <c r="A126" t="s">
        <v>297</v>
      </c>
      <c r="B126" t="s">
        <v>3755</v>
      </c>
      <c r="C126" t="s">
        <v>830</v>
      </c>
      <c r="D126" t="s">
        <v>50</v>
      </c>
      <c r="E126">
        <v>13</v>
      </c>
      <c r="F126">
        <v>4</v>
      </c>
      <c r="G126">
        <v>27</v>
      </c>
      <c r="H126">
        <v>3</v>
      </c>
      <c r="I126" t="s">
        <v>3128</v>
      </c>
      <c r="J126" t="s">
        <v>3608</v>
      </c>
      <c r="K126" t="s">
        <v>1853</v>
      </c>
      <c r="L126" s="1" t="str">
        <f>HYPERLINK("https://ovidsp.ovid.com/ovidweb.cgi?T=JS&amp;NEWS=n&amp;CSC=Y&amp;PAGE=toc&amp;D=yrovft&amp;AN=00002281-000000000-00000","https://ovidsp.ovid.com/ovidweb.cgi?T=JS&amp;NEWS=n&amp;CSC=Y&amp;PAGE=toc&amp;D=yrovft&amp;AN=00002281-000000000-00000")</f>
        <v>https://ovidsp.ovid.com/ovidweb.cgi?T=JS&amp;NEWS=n&amp;CSC=Y&amp;PAGE=toc&amp;D=yrovft&amp;AN=00002281-000000000-00000</v>
      </c>
      <c r="M126" t="s">
        <v>2080</v>
      </c>
      <c r="N126" t="s">
        <v>2424</v>
      </c>
      <c r="O126" t="s">
        <v>444</v>
      </c>
      <c r="P126" t="b">
        <v>0</v>
      </c>
      <c r="Q126" t="s">
        <v>2424</v>
      </c>
    </row>
    <row r="127" spans="1:17" x14ac:dyDescent="0.35">
      <c r="A127" t="s">
        <v>759</v>
      </c>
      <c r="B127" t="s">
        <v>2746</v>
      </c>
      <c r="C127" t="s">
        <v>653</v>
      </c>
      <c r="D127" t="s">
        <v>50</v>
      </c>
      <c r="E127">
        <v>1</v>
      </c>
      <c r="F127">
        <v>1</v>
      </c>
      <c r="G127">
        <v>4</v>
      </c>
      <c r="H127">
        <v>2</v>
      </c>
      <c r="I127" t="s">
        <v>3695</v>
      </c>
      <c r="J127" t="s">
        <v>1773</v>
      </c>
      <c r="K127" t="s">
        <v>2972</v>
      </c>
      <c r="L127" s="1" t="str">
        <f>HYPERLINK("https://ovidsp.ovid.com/ovidweb.cgi?T=JS&amp;NEWS=n&amp;CSC=Y&amp;PAGE=toc&amp;D=yrovft&amp;AN=01263393-000000000-00000","https://ovidsp.ovid.com/ovidweb.cgi?T=JS&amp;NEWS=n&amp;CSC=Y&amp;PAGE=toc&amp;D=yrovft&amp;AN=01263393-000000000-00000")</f>
        <v>https://ovidsp.ovid.com/ovidweb.cgi?T=JS&amp;NEWS=n&amp;CSC=Y&amp;PAGE=toc&amp;D=yrovft&amp;AN=01263393-000000000-00000</v>
      </c>
      <c r="M127" t="s">
        <v>74</v>
      </c>
      <c r="N127" t="s">
        <v>2424</v>
      </c>
      <c r="O127" t="s">
        <v>3478</v>
      </c>
      <c r="P127" t="b">
        <v>0</v>
      </c>
      <c r="Q127" t="s">
        <v>2424</v>
      </c>
    </row>
    <row r="128" spans="1:17" x14ac:dyDescent="0.35">
      <c r="A128" t="s">
        <v>3616</v>
      </c>
      <c r="B128" t="s">
        <v>3120</v>
      </c>
      <c r="C128" t="s">
        <v>3146</v>
      </c>
      <c r="D128" t="s">
        <v>50</v>
      </c>
      <c r="E128">
        <v>11</v>
      </c>
      <c r="F128">
        <v>5</v>
      </c>
      <c r="G128">
        <v>20</v>
      </c>
      <c r="H128">
        <v>3</v>
      </c>
      <c r="I128" t="s">
        <v>1102</v>
      </c>
      <c r="J128" t="s">
        <v>1281</v>
      </c>
      <c r="K128" t="s">
        <v>3523</v>
      </c>
      <c r="L128" s="1" t="str">
        <f>HYPERLINK("https://ovidsp.ovid.com/ovidweb.cgi?T=JS&amp;NEWS=n&amp;CSC=Y&amp;PAGE=toc&amp;D=yrovft&amp;AN=00042307-000000000-00000","https://ovidsp.ovid.com/ovidweb.cgi?T=JS&amp;NEWS=n&amp;CSC=Y&amp;PAGE=toc&amp;D=yrovft&amp;AN=00042307-000000000-00000")</f>
        <v>https://ovidsp.ovid.com/ovidweb.cgi?T=JS&amp;NEWS=n&amp;CSC=Y&amp;PAGE=toc&amp;D=yrovft&amp;AN=00042307-000000000-00000</v>
      </c>
      <c r="M128" t="s">
        <v>193</v>
      </c>
      <c r="N128" t="s">
        <v>2424</v>
      </c>
      <c r="O128" t="s">
        <v>338</v>
      </c>
      <c r="P128" t="b">
        <v>1</v>
      </c>
      <c r="Q128" t="s">
        <v>188</v>
      </c>
    </row>
    <row r="129" spans="1:17" x14ac:dyDescent="0.35">
      <c r="A129" t="s">
        <v>1383</v>
      </c>
      <c r="B129" t="s">
        <v>3767</v>
      </c>
      <c r="C129" t="s">
        <v>3794</v>
      </c>
      <c r="D129" t="s">
        <v>50</v>
      </c>
      <c r="E129">
        <v>19</v>
      </c>
      <c r="F129">
        <v>2</v>
      </c>
      <c r="G129">
        <v>21</v>
      </c>
      <c r="H129">
        <v>2</v>
      </c>
      <c r="I129" t="s">
        <v>2654</v>
      </c>
      <c r="J129" t="s">
        <v>3107</v>
      </c>
      <c r="K129" t="s">
        <v>2939</v>
      </c>
      <c r="L129" s="1" t="str">
        <f>HYPERLINK("https://ovidsp.ovid.com/ovidweb.cgi?T=JS&amp;NEWS=n&amp;CSC=Y&amp;PAGE=toc&amp;D=yrovft&amp;AN=01337441-000000000-00000","https://ovidsp.ovid.com/ovidweb.cgi?T=JS&amp;NEWS=n&amp;CSC=Y&amp;PAGE=toc&amp;D=yrovft&amp;AN=01337441-000000000-00000")</f>
        <v>https://ovidsp.ovid.com/ovidweb.cgi?T=JS&amp;NEWS=n&amp;CSC=Y&amp;PAGE=toc&amp;D=yrovft&amp;AN=01337441-000000000-00000</v>
      </c>
      <c r="M129" t="s">
        <v>3539</v>
      </c>
      <c r="N129" t="s">
        <v>2424</v>
      </c>
      <c r="O129" t="s">
        <v>570</v>
      </c>
      <c r="P129" t="b">
        <v>1</v>
      </c>
      <c r="Q129" t="s">
        <v>1256</v>
      </c>
    </row>
    <row r="130" spans="1:17" x14ac:dyDescent="0.35">
      <c r="A130" t="s">
        <v>3740</v>
      </c>
      <c r="B130" t="s">
        <v>2424</v>
      </c>
      <c r="C130" t="s">
        <v>692</v>
      </c>
      <c r="D130" t="s">
        <v>50</v>
      </c>
      <c r="E130">
        <v>3</v>
      </c>
      <c r="F130">
        <v>1</v>
      </c>
      <c r="G130">
        <v>9</v>
      </c>
      <c r="H130">
        <v>2</v>
      </c>
      <c r="I130" t="s">
        <v>1800</v>
      </c>
      <c r="J130" t="s">
        <v>3425</v>
      </c>
      <c r="K130" t="s">
        <v>2939</v>
      </c>
      <c r="L130" s="1" t="str">
        <f>HYPERLINK("https://ovidsp.ovid.com/ovidweb.cgi?T=JS&amp;NEWS=n&amp;CSC=Y&amp;PAGE=toc&amp;D=yrovft&amp;AN=00149619-000000000-00000","https://ovidsp.ovid.com/ovidweb.cgi?T=JS&amp;NEWS=n&amp;CSC=Y&amp;PAGE=toc&amp;D=yrovft&amp;AN=00149619-000000000-00000")</f>
        <v>https://ovidsp.ovid.com/ovidweb.cgi?T=JS&amp;NEWS=n&amp;CSC=Y&amp;PAGE=toc&amp;D=yrovft&amp;AN=00149619-000000000-00000</v>
      </c>
      <c r="M130" t="s">
        <v>2159</v>
      </c>
      <c r="N130" t="s">
        <v>2424</v>
      </c>
      <c r="O130" t="s">
        <v>2034</v>
      </c>
      <c r="P130" t="b">
        <v>0</v>
      </c>
      <c r="Q130" t="s">
        <v>2424</v>
      </c>
    </row>
    <row r="131" spans="1:17" x14ac:dyDescent="0.35">
      <c r="A131" t="s">
        <v>3408</v>
      </c>
      <c r="B131" t="s">
        <v>2424</v>
      </c>
      <c r="C131" t="s">
        <v>2424</v>
      </c>
      <c r="D131" t="s">
        <v>1960</v>
      </c>
      <c r="E131">
        <v>14</v>
      </c>
      <c r="F131">
        <v>2</v>
      </c>
      <c r="G131">
        <v>16</v>
      </c>
      <c r="H131">
        <v>1</v>
      </c>
      <c r="I131" t="s">
        <v>3433</v>
      </c>
      <c r="J131" t="s">
        <v>2863</v>
      </c>
      <c r="K131" t="s">
        <v>3425</v>
      </c>
      <c r="L131" s="1" t="str">
        <f>HYPERLINK("https://ovidsp.ovid.com/ovidweb.cgi?T=JS&amp;NEWS=n&amp;CSC=Y&amp;PAGE=toc&amp;D=yrovft&amp;AN=00002257-000000000-00000","https://ovidsp.ovid.com/ovidweb.cgi?T=JS&amp;NEWS=n&amp;CSC=Y&amp;PAGE=toc&amp;D=yrovft&amp;AN=00002257-000000000-00000")</f>
        <v>https://ovidsp.ovid.com/ovidweb.cgi?T=JS&amp;NEWS=n&amp;CSC=Y&amp;PAGE=toc&amp;D=yrovft&amp;AN=00002257-000000000-00000</v>
      </c>
      <c r="M131" t="s">
        <v>2389</v>
      </c>
      <c r="N131" t="s">
        <v>2424</v>
      </c>
      <c r="O131" t="s">
        <v>2526</v>
      </c>
      <c r="P131" t="b">
        <v>0</v>
      </c>
      <c r="Q131" t="s">
        <v>2424</v>
      </c>
    </row>
    <row r="132" spans="1:17" x14ac:dyDescent="0.35">
      <c r="A132" t="s">
        <v>3228</v>
      </c>
      <c r="B132" t="s">
        <v>1117</v>
      </c>
      <c r="C132" t="s">
        <v>2424</v>
      </c>
      <c r="D132" t="s">
        <v>2751</v>
      </c>
      <c r="E132">
        <v>51</v>
      </c>
      <c r="F132">
        <v>3</v>
      </c>
      <c r="G132">
        <v>53</v>
      </c>
      <c r="H132">
        <v>3</v>
      </c>
      <c r="I132" t="s">
        <v>943</v>
      </c>
      <c r="J132" t="s">
        <v>2249</v>
      </c>
      <c r="K132" t="s">
        <v>1992</v>
      </c>
      <c r="L132" s="1" t="str">
        <f>HYPERLINK("https://ovidsp.ovid.com/ovidweb.cgi?T=JS&amp;NEWS=n&amp;CSC=Y&amp;PAGE=toc&amp;D=yrovft&amp;AN=00003439-000000000-00000","https://ovidsp.ovid.com/ovidweb.cgi?T=JS&amp;NEWS=n&amp;CSC=Y&amp;PAGE=toc&amp;D=yrovft&amp;AN=00003439-000000000-00000")</f>
        <v>https://ovidsp.ovid.com/ovidweb.cgi?T=JS&amp;NEWS=n&amp;CSC=Y&amp;PAGE=toc&amp;D=yrovft&amp;AN=00003439-000000000-00000</v>
      </c>
      <c r="M132" t="s">
        <v>1325</v>
      </c>
      <c r="N132" t="s">
        <v>2424</v>
      </c>
      <c r="O132" t="s">
        <v>3684</v>
      </c>
      <c r="P132" t="b">
        <v>0</v>
      </c>
      <c r="Q132" t="s">
        <v>2424</v>
      </c>
    </row>
    <row r="133" spans="1:17" x14ac:dyDescent="0.35">
      <c r="A133" t="s">
        <v>3004</v>
      </c>
      <c r="B133" t="s">
        <v>2789</v>
      </c>
      <c r="C133" t="s">
        <v>2424</v>
      </c>
      <c r="D133" t="s">
        <v>2751</v>
      </c>
      <c r="E133">
        <v>25</v>
      </c>
      <c r="F133">
        <v>3</v>
      </c>
      <c r="G133">
        <v>27</v>
      </c>
      <c r="H133">
        <v>3</v>
      </c>
      <c r="I133" t="s">
        <v>943</v>
      </c>
      <c r="J133" t="s">
        <v>2249</v>
      </c>
      <c r="K133" t="s">
        <v>1992</v>
      </c>
      <c r="L133" s="1" t="str">
        <f>HYPERLINK("https://ovidsp.ovid.com/ovidweb.cgi?T=JS&amp;NEWS=n&amp;CSC=Y&amp;PAGE=toc&amp;D=yrovft&amp;AN=00003458-000000000-00000","https://ovidsp.ovid.com/ovidweb.cgi?T=JS&amp;NEWS=n&amp;CSC=Y&amp;PAGE=toc&amp;D=yrovft&amp;AN=00003458-000000000-00000")</f>
        <v>https://ovidsp.ovid.com/ovidweb.cgi?T=JS&amp;NEWS=n&amp;CSC=Y&amp;PAGE=toc&amp;D=yrovft&amp;AN=00003458-000000000-00000</v>
      </c>
      <c r="M133" t="s">
        <v>656</v>
      </c>
      <c r="N133" t="s">
        <v>2424</v>
      </c>
      <c r="O133" t="s">
        <v>3706</v>
      </c>
      <c r="P133" t="b">
        <v>0</v>
      </c>
      <c r="Q133" t="s">
        <v>2424</v>
      </c>
    </row>
    <row r="134" spans="1:17" x14ac:dyDescent="0.35">
      <c r="A134" t="s">
        <v>1938</v>
      </c>
      <c r="B134" t="s">
        <v>3467</v>
      </c>
      <c r="C134" t="s">
        <v>3780</v>
      </c>
      <c r="D134" t="s">
        <v>50</v>
      </c>
      <c r="E134">
        <v>10</v>
      </c>
      <c r="F134">
        <v>3</v>
      </c>
      <c r="G134">
        <v>19</v>
      </c>
      <c r="H134">
        <v>1</v>
      </c>
      <c r="I134" t="s">
        <v>1528</v>
      </c>
      <c r="J134" t="s">
        <v>1281</v>
      </c>
      <c r="K134" t="s">
        <v>2939</v>
      </c>
      <c r="L134" s="1" t="str">
        <f>HYPERLINK("https://ovidsp.ovid.com/ovidweb.cgi?T=JS&amp;NEWS=n&amp;CSC=Y&amp;PAGE=toc&amp;D=yrovft&amp;AN=00019606-000000000-00000","https://ovidsp.ovid.com/ovidweb.cgi?T=JS&amp;NEWS=n&amp;CSC=Y&amp;PAGE=toc&amp;D=yrovft&amp;AN=00019606-000000000-00000")</f>
        <v>https://ovidsp.ovid.com/ovidweb.cgi?T=JS&amp;NEWS=n&amp;CSC=Y&amp;PAGE=toc&amp;D=yrovft&amp;AN=00019606-000000000-00000</v>
      </c>
      <c r="M134" t="s">
        <v>2843</v>
      </c>
      <c r="N134" t="s">
        <v>2424</v>
      </c>
      <c r="O134" t="s">
        <v>1723</v>
      </c>
      <c r="P134" t="b">
        <v>0</v>
      </c>
      <c r="Q134" t="s">
        <v>2424</v>
      </c>
    </row>
    <row r="135" spans="1:17" x14ac:dyDescent="0.35">
      <c r="A135" t="s">
        <v>1595</v>
      </c>
      <c r="B135" t="s">
        <v>1011</v>
      </c>
      <c r="C135" t="s">
        <v>47</v>
      </c>
      <c r="D135" t="s">
        <v>50</v>
      </c>
      <c r="E135">
        <v>22</v>
      </c>
      <c r="F135">
        <v>2</v>
      </c>
      <c r="G135">
        <v>29</v>
      </c>
      <c r="H135">
        <v>3</v>
      </c>
      <c r="I135" t="s">
        <v>1464</v>
      </c>
      <c r="J135" t="s">
        <v>2581</v>
      </c>
      <c r="K135" t="s">
        <v>3523</v>
      </c>
      <c r="L135" s="1" t="str">
        <f>HYPERLINK("https://ovidsp.ovid.com/ovidweb.cgi?T=JS&amp;NEWS=n&amp;CSC=Y&amp;PAGE=toc&amp;D=yrovft&amp;AN=00003465-000000000-00000","https://ovidsp.ovid.com/ovidweb.cgi?T=JS&amp;NEWS=n&amp;CSC=Y&amp;PAGE=toc&amp;D=yrovft&amp;AN=00003465-000000000-00000")</f>
        <v>https://ovidsp.ovid.com/ovidweb.cgi?T=JS&amp;NEWS=n&amp;CSC=Y&amp;PAGE=toc&amp;D=yrovft&amp;AN=00003465-000000000-00000</v>
      </c>
      <c r="M135" t="s">
        <v>3639</v>
      </c>
      <c r="N135" t="s">
        <v>2424</v>
      </c>
      <c r="O135" t="s">
        <v>132</v>
      </c>
      <c r="P135" t="b">
        <v>0</v>
      </c>
      <c r="Q135" t="s">
        <v>2424</v>
      </c>
    </row>
    <row r="136" spans="1:17" x14ac:dyDescent="0.35">
      <c r="A136" t="s">
        <v>2466</v>
      </c>
      <c r="B136" t="s">
        <v>159</v>
      </c>
      <c r="C136" t="s">
        <v>2424</v>
      </c>
      <c r="D136" t="s">
        <v>2646</v>
      </c>
      <c r="E136">
        <v>1</v>
      </c>
      <c r="F136">
        <v>1</v>
      </c>
      <c r="G136">
        <v>4</v>
      </c>
      <c r="H136">
        <v>1</v>
      </c>
      <c r="I136" t="s">
        <v>2934</v>
      </c>
      <c r="J136" t="s">
        <v>1516</v>
      </c>
      <c r="K136" t="s">
        <v>2939</v>
      </c>
      <c r="L136" s="1" t="str">
        <f>HYPERLINK("https://ovidsp.ovid.com/ovidweb.cgi?T=JS&amp;NEWS=n&amp;CSC=Y&amp;PAGE=toc&amp;D=yrovft&amp;AN=01273293-000000000-00000","https://ovidsp.ovid.com/ovidweb.cgi?T=JS&amp;NEWS=n&amp;CSC=Y&amp;PAGE=toc&amp;D=yrovft&amp;AN=01273293-000000000-00000")</f>
        <v>https://ovidsp.ovid.com/ovidweb.cgi?T=JS&amp;NEWS=n&amp;CSC=Y&amp;PAGE=toc&amp;D=yrovft&amp;AN=01273293-000000000-00000</v>
      </c>
      <c r="M136" t="s">
        <v>3056</v>
      </c>
      <c r="N136" t="s">
        <v>2424</v>
      </c>
      <c r="O136" t="s">
        <v>1757</v>
      </c>
      <c r="P136" t="b">
        <v>1</v>
      </c>
      <c r="Q136" t="s">
        <v>2622</v>
      </c>
    </row>
    <row r="137" spans="1:17" x14ac:dyDescent="0.35">
      <c r="A137" t="s">
        <v>677</v>
      </c>
      <c r="B137" t="s">
        <v>1951</v>
      </c>
      <c r="C137" t="s">
        <v>945</v>
      </c>
      <c r="D137" t="s">
        <v>50</v>
      </c>
      <c r="E137">
        <v>47</v>
      </c>
      <c r="F137">
        <v>2</v>
      </c>
      <c r="G137">
        <v>58</v>
      </c>
      <c r="H137">
        <v>4</v>
      </c>
      <c r="I137" t="s">
        <v>524</v>
      </c>
      <c r="J137" t="s">
        <v>3425</v>
      </c>
      <c r="K137" t="s">
        <v>1640</v>
      </c>
      <c r="L137" s="1" t="str">
        <f>HYPERLINK("https://ovidsp.ovid.com/ovidweb.cgi?T=JS&amp;NEWS=n&amp;CSC=Y&amp;PAGE=toc&amp;D=yrovft&amp;AN=00003453-000000000-00000","https://ovidsp.ovid.com/ovidweb.cgi?T=JS&amp;NEWS=n&amp;CSC=Y&amp;PAGE=toc&amp;D=yrovft&amp;AN=00003453-000000000-00000")</f>
        <v>https://ovidsp.ovid.com/ovidweb.cgi?T=JS&amp;NEWS=n&amp;CSC=Y&amp;PAGE=toc&amp;D=yrovft&amp;AN=00003453-000000000-00000</v>
      </c>
      <c r="M137" t="s">
        <v>755</v>
      </c>
      <c r="N137" t="s">
        <v>2424</v>
      </c>
      <c r="O137" t="s">
        <v>1376</v>
      </c>
      <c r="P137" t="b">
        <v>1</v>
      </c>
      <c r="Q137" t="s">
        <v>1533</v>
      </c>
    </row>
    <row r="138" spans="1:17" x14ac:dyDescent="0.35">
      <c r="A138" t="s">
        <v>3520</v>
      </c>
      <c r="B138" t="s">
        <v>1001</v>
      </c>
      <c r="C138" t="s">
        <v>94</v>
      </c>
      <c r="D138" t="s">
        <v>50</v>
      </c>
      <c r="E138">
        <v>22</v>
      </c>
      <c r="F138">
        <v>3</v>
      </c>
      <c r="G138">
        <v>36</v>
      </c>
      <c r="H138">
        <v>2</v>
      </c>
      <c r="I138" t="s">
        <v>2595</v>
      </c>
      <c r="J138" t="s">
        <v>3481</v>
      </c>
      <c r="K138" t="s">
        <v>2722</v>
      </c>
      <c r="L138" s="1" t="str">
        <f>HYPERLINK("https://ovidsp.ovid.com/ovidweb.cgi?T=JS&amp;NEWS=n&amp;CSC=Y&amp;PAGE=toc&amp;D=yrovft&amp;AN=00003446-000000000-00000","https://ovidsp.ovid.com/ovidweb.cgi?T=JS&amp;NEWS=n&amp;CSC=Y&amp;PAGE=toc&amp;D=yrovft&amp;AN=00003446-000000000-00000")</f>
        <v>https://ovidsp.ovid.com/ovidweb.cgi?T=JS&amp;NEWS=n&amp;CSC=Y&amp;PAGE=toc&amp;D=yrovft&amp;AN=00003446-000000000-00000</v>
      </c>
      <c r="M138" t="s">
        <v>1710</v>
      </c>
      <c r="N138" t="s">
        <v>2424</v>
      </c>
      <c r="O138" t="s">
        <v>523</v>
      </c>
      <c r="P138" t="b">
        <v>1</v>
      </c>
      <c r="Q138" t="s">
        <v>3270</v>
      </c>
    </row>
    <row r="139" spans="1:17" x14ac:dyDescent="0.35">
      <c r="A139" t="s">
        <v>102</v>
      </c>
      <c r="B139" t="s">
        <v>1987</v>
      </c>
      <c r="C139" t="s">
        <v>204</v>
      </c>
      <c r="D139" t="s">
        <v>50</v>
      </c>
      <c r="E139">
        <v>23</v>
      </c>
      <c r="F139">
        <v>1</v>
      </c>
      <c r="G139">
        <v>32</v>
      </c>
      <c r="H139">
        <v>5</v>
      </c>
      <c r="I139" t="s">
        <v>1419</v>
      </c>
      <c r="J139" t="s">
        <v>2909</v>
      </c>
      <c r="K139" t="s">
        <v>3523</v>
      </c>
      <c r="L139" s="1" t="str">
        <f>HYPERLINK("https://ovidsp.ovid.com/ovidweb.cgi?T=JS&amp;NEWS=n&amp;CSC=Y&amp;PAGE=toc&amp;D=yrovft&amp;AN=00132981-000000000-00000","https://ovidsp.ovid.com/ovidweb.cgi?T=JS&amp;NEWS=n&amp;CSC=Y&amp;PAGE=toc&amp;D=yrovft&amp;AN=00132981-000000000-00000")</f>
        <v>https://ovidsp.ovid.com/ovidweb.cgi?T=JS&amp;NEWS=n&amp;CSC=Y&amp;PAGE=toc&amp;D=yrovft&amp;AN=00132981-000000000-00000</v>
      </c>
      <c r="M139" t="s">
        <v>2138</v>
      </c>
      <c r="N139" t="s">
        <v>2424</v>
      </c>
      <c r="O139" t="s">
        <v>2655</v>
      </c>
      <c r="P139" t="b">
        <v>0</v>
      </c>
      <c r="Q139" t="s">
        <v>2424</v>
      </c>
    </row>
    <row r="140" spans="1:17" x14ac:dyDescent="0.35">
      <c r="A140" t="s">
        <v>1718</v>
      </c>
      <c r="B140" t="s">
        <v>2455</v>
      </c>
      <c r="C140" t="s">
        <v>2424</v>
      </c>
      <c r="D140" t="s">
        <v>50</v>
      </c>
      <c r="E140">
        <v>1</v>
      </c>
      <c r="F140">
        <v>2</v>
      </c>
      <c r="G140">
        <v>4</v>
      </c>
      <c r="H140">
        <v>12</v>
      </c>
      <c r="I140" t="s">
        <v>981</v>
      </c>
      <c r="J140" t="s">
        <v>1314</v>
      </c>
      <c r="K140" t="s">
        <v>2957</v>
      </c>
      <c r="L140" s="1" t="str">
        <f>HYPERLINK("https://ovidsp.ovid.com/ovidweb.cgi?T=JS&amp;NEWS=n&amp;CSC=Y&amp;PAGE=toc&amp;D=yrovft&amp;AN=01265117-000000000-00000","https://ovidsp.ovid.com/ovidweb.cgi?T=JS&amp;NEWS=n&amp;CSC=Y&amp;PAGE=toc&amp;D=yrovft&amp;AN=01265117-000000000-00000")</f>
        <v>https://ovidsp.ovid.com/ovidweb.cgi?T=JS&amp;NEWS=n&amp;CSC=Y&amp;PAGE=toc&amp;D=yrovft&amp;AN=01265117-000000000-00000</v>
      </c>
      <c r="M140" t="s">
        <v>1313</v>
      </c>
      <c r="N140" t="s">
        <v>2424</v>
      </c>
      <c r="O140" t="s">
        <v>914</v>
      </c>
      <c r="P140" t="b">
        <v>0</v>
      </c>
      <c r="Q140" t="s">
        <v>2424</v>
      </c>
    </row>
    <row r="141" spans="1:17" x14ac:dyDescent="0.35">
      <c r="A141" t="s">
        <v>2066</v>
      </c>
      <c r="B141" t="s">
        <v>993</v>
      </c>
      <c r="C141" t="s">
        <v>3142</v>
      </c>
      <c r="D141" t="s">
        <v>2855</v>
      </c>
      <c r="E141">
        <v>24</v>
      </c>
      <c r="F141">
        <v>1</v>
      </c>
      <c r="G141">
        <v>30</v>
      </c>
      <c r="H141">
        <v>1</v>
      </c>
      <c r="I141" t="s">
        <v>1068</v>
      </c>
      <c r="J141" t="s">
        <v>2209</v>
      </c>
      <c r="K141" t="s">
        <v>2357</v>
      </c>
      <c r="L141" s="1" t="str">
        <f>HYPERLINK("https://ovidsp.ovid.com/ovidweb.cgi?T=JS&amp;NEWS=n&amp;CSC=Y&amp;PAGE=toc&amp;D=yrovft&amp;AN=00003690-000000000-00000","https://ovidsp.ovid.com/ovidweb.cgi?T=JS&amp;NEWS=n&amp;CSC=Y&amp;PAGE=toc&amp;D=yrovft&amp;AN=00003690-000000000-00000")</f>
        <v>https://ovidsp.ovid.com/ovidweb.cgi?T=JS&amp;NEWS=n&amp;CSC=Y&amp;PAGE=toc&amp;D=yrovft&amp;AN=00003690-000000000-00000</v>
      </c>
      <c r="M141" t="s">
        <v>2289</v>
      </c>
      <c r="N141" t="s">
        <v>2424</v>
      </c>
      <c r="O141" t="s">
        <v>1684</v>
      </c>
      <c r="P141" t="b">
        <v>1</v>
      </c>
      <c r="Q141" t="s">
        <v>2482</v>
      </c>
    </row>
    <row r="142" spans="1:17" x14ac:dyDescent="0.35">
      <c r="A142" t="s">
        <v>2478</v>
      </c>
      <c r="B142" t="s">
        <v>2738</v>
      </c>
      <c r="C142" t="s">
        <v>1953</v>
      </c>
      <c r="D142" t="s">
        <v>50</v>
      </c>
      <c r="E142">
        <v>12</v>
      </c>
      <c r="F142">
        <v>5</v>
      </c>
      <c r="G142">
        <v>26</v>
      </c>
      <c r="H142">
        <v>2</v>
      </c>
      <c r="I142" t="s">
        <v>2728</v>
      </c>
      <c r="J142" t="s">
        <v>1281</v>
      </c>
      <c r="K142" t="s">
        <v>2722</v>
      </c>
      <c r="L142" s="1" t="str">
        <f>HYPERLINK("https://ovidsp.ovid.com/ovidweb.cgi?T=JS&amp;NEWS=n&amp;CSC=Y&amp;PAGE=toc&amp;D=yrovft&amp;AN=00001648-000000000-00000","https://ovidsp.ovid.com/ovidweb.cgi?T=JS&amp;NEWS=n&amp;CSC=Y&amp;PAGE=toc&amp;D=yrovft&amp;AN=00001648-000000000-00000")</f>
        <v>https://ovidsp.ovid.com/ovidweb.cgi?T=JS&amp;NEWS=n&amp;CSC=Y&amp;PAGE=toc&amp;D=yrovft&amp;AN=00001648-000000000-00000</v>
      </c>
      <c r="M142" t="s">
        <v>1860</v>
      </c>
      <c r="N142" t="s">
        <v>2424</v>
      </c>
      <c r="O142" t="s">
        <v>2120</v>
      </c>
      <c r="P142" t="b">
        <v>1</v>
      </c>
      <c r="Q142" t="s">
        <v>14</v>
      </c>
    </row>
    <row r="143" spans="1:17" x14ac:dyDescent="0.35">
      <c r="A143" t="s">
        <v>2063</v>
      </c>
      <c r="B143" t="s">
        <v>2505</v>
      </c>
      <c r="C143" t="s">
        <v>3224</v>
      </c>
      <c r="D143" t="s">
        <v>2855</v>
      </c>
      <c r="E143">
        <v>29</v>
      </c>
      <c r="F143">
        <v>24</v>
      </c>
      <c r="G143">
        <v>30</v>
      </c>
      <c r="H143">
        <v>24</v>
      </c>
      <c r="I143" t="s">
        <v>2296</v>
      </c>
      <c r="J143" t="s">
        <v>2923</v>
      </c>
      <c r="K143" t="s">
        <v>2957</v>
      </c>
      <c r="L143" s="1" t="str">
        <f>HYPERLINK("https://ovidsp.ovid.com/ovidweb.cgi?T=JS&amp;NEWS=n&amp;CSC=Y&amp;PAGE=toc&amp;D=yrovft&amp;AN=00003628-000000000-00000","https://ovidsp.ovid.com/ovidweb.cgi?T=JS&amp;NEWS=n&amp;CSC=Y&amp;PAGE=toc&amp;D=yrovft&amp;AN=00003628-000000000-00000")</f>
        <v>https://ovidsp.ovid.com/ovidweb.cgi?T=JS&amp;NEWS=n&amp;CSC=Y&amp;PAGE=toc&amp;D=yrovft&amp;AN=00003628-000000000-00000</v>
      </c>
      <c r="M143" t="s">
        <v>2601</v>
      </c>
      <c r="N143" t="s">
        <v>2424</v>
      </c>
      <c r="O143" t="s">
        <v>1078</v>
      </c>
      <c r="P143" t="b">
        <v>1</v>
      </c>
      <c r="Q143" t="s">
        <v>820</v>
      </c>
    </row>
    <row r="144" spans="1:17" x14ac:dyDescent="0.35">
      <c r="A144" t="s">
        <v>2990</v>
      </c>
      <c r="B144" t="s">
        <v>1454</v>
      </c>
      <c r="C144" t="s">
        <v>2725</v>
      </c>
      <c r="D144" t="s">
        <v>50</v>
      </c>
      <c r="E144">
        <v>22</v>
      </c>
      <c r="F144">
        <v>4</v>
      </c>
      <c r="G144">
        <v>32</v>
      </c>
      <c r="H144">
        <v>4</v>
      </c>
      <c r="I144" t="s">
        <v>3339</v>
      </c>
      <c r="J144" t="s">
        <v>3252</v>
      </c>
      <c r="K144" t="s">
        <v>1640</v>
      </c>
      <c r="L144" s="1" t="str">
        <f>HYPERLINK("https://ovidsp.ovid.com/ovidweb.cgi?T=JS&amp;NEWS=n&amp;CSC=Y&amp;PAGE=toc&amp;D=yrovft&amp;AN=00003643-000000000-00000","https://ovidsp.ovid.com/ovidweb.cgi?T=JS&amp;NEWS=n&amp;CSC=Y&amp;PAGE=toc&amp;D=yrovft&amp;AN=00003643-000000000-00000")</f>
        <v>https://ovidsp.ovid.com/ovidweb.cgi?T=JS&amp;NEWS=n&amp;CSC=Y&amp;PAGE=toc&amp;D=yrovft&amp;AN=00003643-000000000-00000</v>
      </c>
      <c r="M144" t="s">
        <v>1919</v>
      </c>
      <c r="N144" t="s">
        <v>2424</v>
      </c>
      <c r="O144" t="s">
        <v>836</v>
      </c>
      <c r="P144" t="b">
        <v>1</v>
      </c>
      <c r="Q144" t="s">
        <v>1248</v>
      </c>
    </row>
    <row r="145" spans="1:17" x14ac:dyDescent="0.35">
      <c r="A145" t="s">
        <v>2473</v>
      </c>
      <c r="B145" t="s">
        <v>2221</v>
      </c>
      <c r="C145" t="s">
        <v>1659</v>
      </c>
      <c r="D145" t="s">
        <v>50</v>
      </c>
      <c r="E145">
        <v>10</v>
      </c>
      <c r="F145">
        <v>4</v>
      </c>
      <c r="G145">
        <v>19</v>
      </c>
      <c r="H145">
        <v>3</v>
      </c>
      <c r="I145" t="s">
        <v>96</v>
      </c>
      <c r="J145" t="s">
        <v>374</v>
      </c>
      <c r="K145" t="s">
        <v>3523</v>
      </c>
      <c r="L145" s="1" t="str">
        <f>HYPERLINK("https://ovidsp.ovid.com/ovidweb.cgi?T=JS&amp;NEWS=n&amp;CSC=Y&amp;PAGE=toc&amp;D=yrovft&amp;AN=00008469-000000000-00000","https://ovidsp.ovid.com/ovidweb.cgi?T=JS&amp;NEWS=n&amp;CSC=Y&amp;PAGE=toc&amp;D=yrovft&amp;AN=00008469-000000000-00000")</f>
        <v>https://ovidsp.ovid.com/ovidweb.cgi?T=JS&amp;NEWS=n&amp;CSC=Y&amp;PAGE=toc&amp;D=yrovft&amp;AN=00008469-000000000-00000</v>
      </c>
      <c r="M145" t="s">
        <v>141</v>
      </c>
      <c r="N145" t="s">
        <v>2424</v>
      </c>
      <c r="O145" t="s">
        <v>367</v>
      </c>
      <c r="P145" t="b">
        <v>1</v>
      </c>
      <c r="Q145" t="s">
        <v>3314</v>
      </c>
    </row>
    <row r="146" spans="1:17" x14ac:dyDescent="0.35">
      <c r="A146" t="s">
        <v>1946</v>
      </c>
      <c r="B146" t="s">
        <v>2839</v>
      </c>
      <c r="C146" t="s">
        <v>3177</v>
      </c>
      <c r="D146" t="s">
        <v>50</v>
      </c>
      <c r="E146">
        <v>13</v>
      </c>
      <c r="F146">
        <v>6</v>
      </c>
      <c r="G146">
        <v>22</v>
      </c>
      <c r="H146">
        <v>6</v>
      </c>
      <c r="I146" t="s">
        <v>2059</v>
      </c>
      <c r="J146" t="s">
        <v>3481</v>
      </c>
      <c r="K146" t="s">
        <v>2972</v>
      </c>
      <c r="L146" s="1" t="str">
        <f>HYPERLINK("https://ovidsp.ovid.com/ovidweb.cgi?T=JS&amp;NEWS=n&amp;CSC=Y&amp;PAGE=toc&amp;D=yrovft&amp;AN=00042737-000000000-00000","https://ovidsp.ovid.com/ovidweb.cgi?T=JS&amp;NEWS=n&amp;CSC=Y&amp;PAGE=toc&amp;D=yrovft&amp;AN=00042737-000000000-00000")</f>
        <v>https://ovidsp.ovid.com/ovidweb.cgi?T=JS&amp;NEWS=n&amp;CSC=Y&amp;PAGE=toc&amp;D=yrovft&amp;AN=00042737-000000000-00000</v>
      </c>
      <c r="M146" t="s">
        <v>491</v>
      </c>
      <c r="N146" t="s">
        <v>2424</v>
      </c>
      <c r="O146" t="s">
        <v>711</v>
      </c>
      <c r="P146" t="b">
        <v>1</v>
      </c>
      <c r="Q146" t="s">
        <v>2565</v>
      </c>
    </row>
    <row r="147" spans="1:17" x14ac:dyDescent="0.35">
      <c r="A147" t="s">
        <v>1481</v>
      </c>
      <c r="B147" t="s">
        <v>1568</v>
      </c>
      <c r="C147" t="s">
        <v>1854</v>
      </c>
      <c r="D147" t="s">
        <v>2855</v>
      </c>
      <c r="E147">
        <v>31</v>
      </c>
      <c r="F147">
        <v>1</v>
      </c>
      <c r="G147">
        <v>31</v>
      </c>
      <c r="H147">
        <v>6</v>
      </c>
      <c r="I147" t="s">
        <v>1042</v>
      </c>
      <c r="J147" t="s">
        <v>2568</v>
      </c>
      <c r="K147" t="s">
        <v>2957</v>
      </c>
      <c r="L147" s="1" t="str">
        <f>HYPERLINK("https://ovidsp.ovid.com/ovidweb.cgi?T=JS&amp;NEWS=n&amp;CSC=Y&amp;PAGE=toc&amp;D=yrovft&amp;AN=00003681-000000000-00000","https://ovidsp.ovid.com/ovidweb.cgi?T=JS&amp;NEWS=n&amp;CSC=Y&amp;PAGE=toc&amp;D=yrovft&amp;AN=00003681-000000000-00000")</f>
        <v>https://ovidsp.ovid.com/ovidweb.cgi?T=JS&amp;NEWS=n&amp;CSC=Y&amp;PAGE=toc&amp;D=yrovft&amp;AN=00003681-000000000-00000</v>
      </c>
      <c r="M147" t="s">
        <v>2887</v>
      </c>
      <c r="N147" t="s">
        <v>2424</v>
      </c>
      <c r="O147" t="s">
        <v>3590</v>
      </c>
      <c r="P147" t="b">
        <v>1</v>
      </c>
      <c r="Q147" t="s">
        <v>278</v>
      </c>
    </row>
    <row r="148" spans="1:17" x14ac:dyDescent="0.35">
      <c r="A148" t="s">
        <v>3257</v>
      </c>
      <c r="B148" t="s">
        <v>2940</v>
      </c>
      <c r="C148" t="s">
        <v>3493</v>
      </c>
      <c r="D148" t="s">
        <v>50</v>
      </c>
      <c r="E148">
        <v>4</v>
      </c>
      <c r="F148">
        <v>2</v>
      </c>
      <c r="G148">
        <v>5</v>
      </c>
      <c r="H148">
        <v>4</v>
      </c>
      <c r="I148" t="s">
        <v>3595</v>
      </c>
      <c r="J148" t="s">
        <v>2069</v>
      </c>
      <c r="K148" t="s">
        <v>280</v>
      </c>
      <c r="L148" s="1" t="str">
        <f>HYPERLINK("https://ovidsp.ovid.com/ovidweb.cgi?T=JS&amp;NEWS=n&amp;CSC=Y&amp;PAGE=toc&amp;D=yrovft&amp;AN=00132578-000000000-00000","https://ovidsp.ovid.com/ovidweb.cgi?T=JS&amp;NEWS=n&amp;CSC=Y&amp;PAGE=toc&amp;D=yrovft&amp;AN=00132578-000000000-00000")</f>
        <v>https://ovidsp.ovid.com/ovidweb.cgi?T=JS&amp;NEWS=n&amp;CSC=Y&amp;PAGE=toc&amp;D=yrovft&amp;AN=00132578-000000000-00000</v>
      </c>
      <c r="M148" t="s">
        <v>823</v>
      </c>
      <c r="N148" t="s">
        <v>2424</v>
      </c>
      <c r="O148" t="s">
        <v>2519</v>
      </c>
      <c r="P148" t="b">
        <v>0</v>
      </c>
      <c r="Q148" t="s">
        <v>2424</v>
      </c>
    </row>
    <row r="149" spans="1:17" x14ac:dyDescent="0.35">
      <c r="A149" t="s">
        <v>2576</v>
      </c>
      <c r="B149" t="s">
        <v>1524</v>
      </c>
      <c r="C149" t="s">
        <v>87</v>
      </c>
      <c r="D149" t="s">
        <v>50</v>
      </c>
      <c r="E149">
        <v>4</v>
      </c>
      <c r="F149">
        <v>1</v>
      </c>
      <c r="G149">
        <v>9</v>
      </c>
      <c r="H149">
        <v>4</v>
      </c>
      <c r="I149" t="s">
        <v>1236</v>
      </c>
      <c r="J149" t="s">
        <v>1929</v>
      </c>
      <c r="K149" t="s">
        <v>2357</v>
      </c>
      <c r="L149" s="1" t="str">
        <f>HYPERLINK("https://ovidsp.ovid.com/ovidweb.cgi?T=JS&amp;NEWS=n&amp;CSC=Y&amp;PAGE=toc&amp;D=yrovft&amp;AN=00132579-000000000-00000","https://ovidsp.ovid.com/ovidweb.cgi?T=JS&amp;NEWS=n&amp;CSC=Y&amp;PAGE=toc&amp;D=yrovft&amp;AN=00132579-000000000-00000")</f>
        <v>https://ovidsp.ovid.com/ovidweb.cgi?T=JS&amp;NEWS=n&amp;CSC=Y&amp;PAGE=toc&amp;D=yrovft&amp;AN=00132579-000000000-00000</v>
      </c>
      <c r="M149" t="s">
        <v>392</v>
      </c>
      <c r="N149" t="s">
        <v>2424</v>
      </c>
      <c r="O149" t="s">
        <v>3032</v>
      </c>
      <c r="P149" t="b">
        <v>0</v>
      </c>
      <c r="Q149" t="s">
        <v>2424</v>
      </c>
    </row>
    <row r="150" spans="1:17" x14ac:dyDescent="0.35">
      <c r="A150" t="s">
        <v>125</v>
      </c>
      <c r="B150" t="s">
        <v>1442</v>
      </c>
      <c r="C150" t="s">
        <v>3493</v>
      </c>
      <c r="D150" t="s">
        <v>50</v>
      </c>
      <c r="E150">
        <v>8</v>
      </c>
      <c r="F150">
        <v>1</v>
      </c>
      <c r="G150">
        <v>11</v>
      </c>
      <c r="H150">
        <v>2</v>
      </c>
      <c r="I150" t="s">
        <v>1220</v>
      </c>
      <c r="J150" t="s">
        <v>666</v>
      </c>
      <c r="K150" t="s">
        <v>2461</v>
      </c>
      <c r="L150" s="1" t="str">
        <f>HYPERLINK("https://ovidsp.ovid.com/ovidweb.cgi?T=JS&amp;NEWS=n&amp;CSC=Y&amp;PAGE=toc&amp;D=yrovft&amp;AN=01241330-000000000-00000","https://ovidsp.ovid.com/ovidweb.cgi?T=JS&amp;NEWS=n&amp;CSC=Y&amp;PAGE=toc&amp;D=yrovft&amp;AN=01241330-000000000-00000")</f>
        <v>https://ovidsp.ovid.com/ovidweb.cgi?T=JS&amp;NEWS=n&amp;CSC=Y&amp;PAGE=toc&amp;D=yrovft&amp;AN=01241330-000000000-00000</v>
      </c>
      <c r="M150" t="s">
        <v>1599</v>
      </c>
      <c r="N150" t="s">
        <v>2424</v>
      </c>
      <c r="O150" t="s">
        <v>2698</v>
      </c>
      <c r="P150" t="b">
        <v>0</v>
      </c>
      <c r="Q150" t="s">
        <v>2424</v>
      </c>
    </row>
    <row r="151" spans="1:17" x14ac:dyDescent="0.35">
      <c r="A151" t="s">
        <v>3438</v>
      </c>
      <c r="B151" t="s">
        <v>202</v>
      </c>
      <c r="C151" t="s">
        <v>404</v>
      </c>
      <c r="D151" t="s">
        <v>50</v>
      </c>
      <c r="E151">
        <v>31</v>
      </c>
      <c r="F151">
        <v>2</v>
      </c>
      <c r="G151">
        <v>43</v>
      </c>
      <c r="H151">
        <v>2</v>
      </c>
      <c r="I151" t="s">
        <v>3782</v>
      </c>
      <c r="J151" t="s">
        <v>2069</v>
      </c>
      <c r="K151" t="s">
        <v>1640</v>
      </c>
      <c r="L151" s="1" t="str">
        <f>HYPERLINK("https://ovidsp.ovid.com/ovidweb.cgi?T=JS&amp;NEWS=n&amp;CSC=Y&amp;PAGE=toc&amp;D=yrovft&amp;AN=00003677-000000000-00000","https://ovidsp.ovid.com/ovidweb.cgi?T=JS&amp;NEWS=n&amp;CSC=Y&amp;PAGE=toc&amp;D=yrovft&amp;AN=00003677-000000000-00000")</f>
        <v>https://ovidsp.ovid.com/ovidweb.cgi?T=JS&amp;NEWS=n&amp;CSC=Y&amp;PAGE=toc&amp;D=yrovft&amp;AN=00003677-000000000-00000</v>
      </c>
      <c r="M151" t="s">
        <v>1245</v>
      </c>
      <c r="N151" t="s">
        <v>2424</v>
      </c>
      <c r="O151" t="s">
        <v>2641</v>
      </c>
      <c r="P151" t="b">
        <v>1</v>
      </c>
      <c r="Q151" t="s">
        <v>2088</v>
      </c>
    </row>
    <row r="152" spans="1:17" x14ac:dyDescent="0.35">
      <c r="A152" t="s">
        <v>1339</v>
      </c>
      <c r="B152" t="s">
        <v>3360</v>
      </c>
      <c r="C152" t="s">
        <v>854</v>
      </c>
      <c r="D152" t="s">
        <v>50</v>
      </c>
      <c r="E152">
        <v>29</v>
      </c>
      <c r="F152">
        <v>1</v>
      </c>
      <c r="G152">
        <v>36</v>
      </c>
      <c r="H152">
        <v>2</v>
      </c>
      <c r="I152" t="s">
        <v>2061</v>
      </c>
      <c r="J152" t="s">
        <v>1145</v>
      </c>
      <c r="K152" t="s">
        <v>2939</v>
      </c>
      <c r="L152" s="1" t="str">
        <f>HYPERLINK("https://ovidsp.ovid.com/ovidweb.cgi?T=JS&amp;NEWS=n&amp;CSC=Y&amp;PAGE=toc&amp;D=yrovft&amp;AN=00140068-000000000-00000","https://ovidsp.ovid.com/ovidweb.cgi?T=JS&amp;NEWS=n&amp;CSC=Y&amp;PAGE=toc&amp;D=yrovft&amp;AN=00140068-000000000-00000")</f>
        <v>https://ovidsp.ovid.com/ovidweb.cgi?T=JS&amp;NEWS=n&amp;CSC=Y&amp;PAGE=toc&amp;D=yrovft&amp;AN=00140068-000000000-00000</v>
      </c>
      <c r="M152" t="s">
        <v>2469</v>
      </c>
      <c r="N152" t="s">
        <v>2424</v>
      </c>
      <c r="O152" t="s">
        <v>1771</v>
      </c>
      <c r="P152" t="b">
        <v>1</v>
      </c>
      <c r="Q152" t="s">
        <v>3600</v>
      </c>
    </row>
    <row r="153" spans="1:17" x14ac:dyDescent="0.35">
      <c r="A153" t="s">
        <v>1295</v>
      </c>
      <c r="B153" t="s">
        <v>2456</v>
      </c>
      <c r="C153" t="s">
        <v>2424</v>
      </c>
      <c r="D153" t="s">
        <v>50</v>
      </c>
      <c r="E153">
        <v>17</v>
      </c>
      <c r="F153">
        <v>1</v>
      </c>
      <c r="G153">
        <v>24</v>
      </c>
      <c r="H153">
        <v>4</v>
      </c>
      <c r="I153" t="s">
        <v>397</v>
      </c>
      <c r="J153" t="s">
        <v>1145</v>
      </c>
      <c r="K153" t="s">
        <v>2461</v>
      </c>
      <c r="L153" s="1" t="str">
        <f>HYPERLINK("https://ovidsp.ovid.com/ovidweb.cgi?T=JS&amp;NEWS=n&amp;CSC=Y&amp;PAGE=toc&amp;D=yrovft&amp;AN=00590574-000000000-00000","https://ovidsp.ovid.com/ovidweb.cgi?T=JS&amp;NEWS=n&amp;CSC=Y&amp;PAGE=toc&amp;D=yrovft&amp;AN=00590574-000000000-00000")</f>
        <v>https://ovidsp.ovid.com/ovidweb.cgi?T=JS&amp;NEWS=n&amp;CSC=Y&amp;PAGE=toc&amp;D=yrovft&amp;AN=00590574-000000000-00000</v>
      </c>
      <c r="M153" t="s">
        <v>3556</v>
      </c>
      <c r="N153" t="s">
        <v>2424</v>
      </c>
      <c r="O153" t="s">
        <v>3315</v>
      </c>
      <c r="P153" t="b">
        <v>0</v>
      </c>
      <c r="Q153" t="s">
        <v>2424</v>
      </c>
    </row>
    <row r="154" spans="1:17" x14ac:dyDescent="0.35">
      <c r="A154" t="s">
        <v>3037</v>
      </c>
      <c r="B154" t="s">
        <v>67</v>
      </c>
      <c r="C154" t="s">
        <v>494</v>
      </c>
      <c r="D154" t="s">
        <v>50</v>
      </c>
      <c r="E154">
        <v>25</v>
      </c>
      <c r="F154">
        <v>1</v>
      </c>
      <c r="G154">
        <v>33</v>
      </c>
      <c r="H154">
        <v>2</v>
      </c>
      <c r="I154" t="s">
        <v>1345</v>
      </c>
      <c r="J154" t="s">
        <v>2863</v>
      </c>
      <c r="K154" t="s">
        <v>2461</v>
      </c>
      <c r="L154" s="1" t="str">
        <f>HYPERLINK("https://ovidsp.ovid.com/ovidweb.cgi?T=JS&amp;NEWS=n&amp;CSC=Y&amp;PAGE=toc&amp;D=yrovft&amp;AN=00003727-000000000-00000","https://ovidsp.ovid.com/ovidweb.cgi?T=JS&amp;NEWS=n&amp;CSC=Y&amp;PAGE=toc&amp;D=yrovft&amp;AN=00003727-000000000-00000")</f>
        <v>https://ovidsp.ovid.com/ovidweb.cgi?T=JS&amp;NEWS=n&amp;CSC=Y&amp;PAGE=toc&amp;D=yrovft&amp;AN=00003727-000000000-00000</v>
      </c>
      <c r="M154" t="s">
        <v>801</v>
      </c>
      <c r="N154" t="s">
        <v>2424</v>
      </c>
      <c r="O154" t="s">
        <v>3697</v>
      </c>
      <c r="P154" t="b">
        <v>1</v>
      </c>
      <c r="Q154" t="s">
        <v>1467</v>
      </c>
    </row>
    <row r="155" spans="1:17" x14ac:dyDescent="0.35">
      <c r="A155" t="s">
        <v>3602</v>
      </c>
      <c r="B155" t="s">
        <v>2361</v>
      </c>
      <c r="C155" t="s">
        <v>1744</v>
      </c>
      <c r="D155" t="s">
        <v>2855</v>
      </c>
      <c r="E155">
        <v>18</v>
      </c>
      <c r="F155">
        <v>5</v>
      </c>
      <c r="G155">
        <v>26</v>
      </c>
      <c r="H155">
        <v>6</v>
      </c>
      <c r="I155" t="s">
        <v>3741</v>
      </c>
      <c r="J155" t="s">
        <v>3802</v>
      </c>
      <c r="K155" t="s">
        <v>2957</v>
      </c>
      <c r="L155" s="1" t="str">
        <f>HYPERLINK("https://ovidsp.ovid.com/ovidweb.cgi?T=JS&amp;NEWS=n&amp;CSC=Y&amp;PAGE=toc&amp;D=yrovft&amp;AN=00003856-000000000-00000","https://ovidsp.ovid.com/ovidweb.cgi?T=JS&amp;NEWS=n&amp;CSC=Y&amp;PAGE=toc&amp;D=yrovft&amp;AN=00003856-000000000-00000")</f>
        <v>https://ovidsp.ovid.com/ovidweb.cgi?T=JS&amp;NEWS=n&amp;CSC=Y&amp;PAGE=toc&amp;D=yrovft&amp;AN=00003856-000000000-00000</v>
      </c>
      <c r="M155" t="s">
        <v>2623</v>
      </c>
      <c r="N155" t="s">
        <v>2424</v>
      </c>
      <c r="O155" t="s">
        <v>3571</v>
      </c>
      <c r="P155" t="b">
        <v>1</v>
      </c>
      <c r="Q155" t="s">
        <v>737</v>
      </c>
    </row>
    <row r="156" spans="1:17" x14ac:dyDescent="0.35">
      <c r="A156" t="s">
        <v>1270</v>
      </c>
      <c r="B156" t="s">
        <v>285</v>
      </c>
      <c r="C156" t="s">
        <v>2424</v>
      </c>
      <c r="D156" t="s">
        <v>50</v>
      </c>
      <c r="E156">
        <v>16</v>
      </c>
      <c r="F156">
        <v>1</v>
      </c>
      <c r="G156">
        <v>16</v>
      </c>
      <c r="H156">
        <v>2</v>
      </c>
      <c r="I156" t="s">
        <v>2736</v>
      </c>
      <c r="J156" t="s">
        <v>840</v>
      </c>
      <c r="K156" t="s">
        <v>2939</v>
      </c>
      <c r="L156" s="1" t="str">
        <f>HYPERLINK("https://ovidsp.ovid.com/ovidweb.cgi?T=JS&amp;NEWS=n&amp;CSC=Y&amp;PAGE=toc&amp;D=yrovft&amp;AN=01436319-000000000-00000","https://ovidsp.ovid.com/ovidweb.cgi?T=JS&amp;NEWS=n&amp;CSC=Y&amp;PAGE=toc&amp;D=yrovft&amp;AN=01436319-000000000-00000")</f>
        <v>https://ovidsp.ovid.com/ovidweb.cgi?T=JS&amp;NEWS=n&amp;CSC=Y&amp;PAGE=toc&amp;D=yrovft&amp;AN=01436319-000000000-00000</v>
      </c>
      <c r="M156" t="s">
        <v>354</v>
      </c>
      <c r="N156" t="s">
        <v>2424</v>
      </c>
      <c r="O156" t="s">
        <v>3698</v>
      </c>
      <c r="P156" t="b">
        <v>1</v>
      </c>
      <c r="Q156" t="s">
        <v>883</v>
      </c>
    </row>
    <row r="157" spans="1:17" x14ac:dyDescent="0.35">
      <c r="A157" t="s">
        <v>1237</v>
      </c>
      <c r="B157" t="s">
        <v>2027</v>
      </c>
      <c r="C157" t="s">
        <v>2861</v>
      </c>
      <c r="D157" t="s">
        <v>50</v>
      </c>
      <c r="E157">
        <v>24</v>
      </c>
      <c r="F157">
        <v>4</v>
      </c>
      <c r="G157">
        <v>33</v>
      </c>
      <c r="H157">
        <v>2</v>
      </c>
      <c r="I157" t="s">
        <v>1794</v>
      </c>
      <c r="J157" t="s">
        <v>3608</v>
      </c>
      <c r="K157" t="s">
        <v>2461</v>
      </c>
      <c r="L157" s="1" t="str">
        <f>HYPERLINK("https://ovidsp.ovid.com/ovidweb.cgi?T=JS&amp;NEWS=n&amp;CSC=Y&amp;PAGE=toc&amp;D=yrovft&amp;AN=00001610-000000000-00000","https://ovidsp.ovid.com/ovidweb.cgi?T=JS&amp;NEWS=n&amp;CSC=Y&amp;PAGE=toc&amp;D=yrovft&amp;AN=00001610-000000000-00000")</f>
        <v>https://ovidsp.ovid.com/ovidweb.cgi?T=JS&amp;NEWS=n&amp;CSC=Y&amp;PAGE=toc&amp;D=yrovft&amp;AN=00001610-000000000-00000</v>
      </c>
      <c r="M157" t="s">
        <v>1923</v>
      </c>
      <c r="N157" t="s">
        <v>2424</v>
      </c>
      <c r="O157" t="s">
        <v>3497</v>
      </c>
      <c r="P157" t="b">
        <v>1</v>
      </c>
      <c r="Q157" t="s">
        <v>212</v>
      </c>
    </row>
    <row r="158" spans="1:17" x14ac:dyDescent="0.35">
      <c r="A158" t="s">
        <v>2885</v>
      </c>
      <c r="B158" t="s">
        <v>2396</v>
      </c>
      <c r="C158" t="s">
        <v>1285</v>
      </c>
      <c r="D158" t="s">
        <v>50</v>
      </c>
      <c r="E158">
        <v>3</v>
      </c>
      <c r="F158">
        <v>4</v>
      </c>
      <c r="G158">
        <v>12</v>
      </c>
      <c r="H158">
        <v>4</v>
      </c>
      <c r="I158" t="s">
        <v>1794</v>
      </c>
      <c r="J158" t="s">
        <v>3608</v>
      </c>
      <c r="K158" t="s">
        <v>2461</v>
      </c>
      <c r="L158" s="1" t="str">
        <f>HYPERLINK("https://ovidsp.ovid.com/ovidweb.cgi?T=JS&amp;NEWS=n&amp;CSC=Y&amp;PAGE=toc&amp;D=yrovft&amp;AN=00125817-000000000-00000","https://ovidsp.ovid.com/ovidweb.cgi?T=JS&amp;NEWS=n&amp;CSC=Y&amp;PAGE=toc&amp;D=yrovft&amp;AN=00125817-000000000-00000")</f>
        <v>https://ovidsp.ovid.com/ovidweb.cgi?T=JS&amp;NEWS=n&amp;CSC=Y&amp;PAGE=toc&amp;D=yrovft&amp;AN=00125817-000000000-00000</v>
      </c>
      <c r="M158" t="s">
        <v>2991</v>
      </c>
      <c r="N158" t="s">
        <v>2424</v>
      </c>
      <c r="O158" t="s">
        <v>984</v>
      </c>
      <c r="P158" t="b">
        <v>1</v>
      </c>
      <c r="Q158" t="s">
        <v>753</v>
      </c>
    </row>
    <row r="159" spans="1:17" x14ac:dyDescent="0.35">
      <c r="A159" t="s">
        <v>3545</v>
      </c>
      <c r="B159" t="s">
        <v>2223</v>
      </c>
      <c r="C159" t="s">
        <v>2424</v>
      </c>
      <c r="D159" t="s">
        <v>50</v>
      </c>
      <c r="E159">
        <v>18</v>
      </c>
      <c r="F159">
        <v>5</v>
      </c>
      <c r="G159">
        <v>23</v>
      </c>
      <c r="H159">
        <v>9</v>
      </c>
      <c r="I159" t="s">
        <v>247</v>
      </c>
      <c r="J159" t="s">
        <v>2209</v>
      </c>
      <c r="K159" t="s">
        <v>2574</v>
      </c>
      <c r="L159" s="1" t="str">
        <f>HYPERLINK("https://ovidsp.ovid.com/ovidweb.cgi?T=JS&amp;NEWS=n&amp;CSC=Y&amp;PAGE=toc&amp;D=yrovft&amp;AN=00062706-000000000-00000","https://ovidsp.ovid.com/ovidweb.cgi?T=JS&amp;NEWS=n&amp;CSC=Y&amp;PAGE=toc&amp;D=yrovft&amp;AN=00062706-000000000-00000")</f>
        <v>https://ovidsp.ovid.com/ovidweb.cgi?T=JS&amp;NEWS=n&amp;CSC=Y&amp;PAGE=toc&amp;D=yrovft&amp;AN=00062706-000000000-00000</v>
      </c>
      <c r="M159" t="s">
        <v>2401</v>
      </c>
      <c r="N159" t="s">
        <v>2424</v>
      </c>
      <c r="O159" t="s">
        <v>2331</v>
      </c>
      <c r="P159" t="b">
        <v>0</v>
      </c>
      <c r="Q159" t="s">
        <v>2424</v>
      </c>
    </row>
    <row r="160" spans="1:17" x14ac:dyDescent="0.35">
      <c r="A160" t="s">
        <v>1939</v>
      </c>
      <c r="B160" t="s">
        <v>2353</v>
      </c>
      <c r="C160" t="s">
        <v>445</v>
      </c>
      <c r="D160" t="s">
        <v>50</v>
      </c>
      <c r="E160">
        <v>28</v>
      </c>
      <c r="F160">
        <v>1</v>
      </c>
      <c r="G160">
        <v>35</v>
      </c>
      <c r="H160">
        <v>2</v>
      </c>
      <c r="I160" t="s">
        <v>397</v>
      </c>
      <c r="J160" t="s">
        <v>1145</v>
      </c>
      <c r="K160" t="s">
        <v>2461</v>
      </c>
      <c r="L160" s="1" t="str">
        <f>HYPERLINK("https://ovidsp.ovid.com/ovidweb.cgi?T=JS&amp;NEWS=n&amp;CSC=Y&amp;PAGE=toc&amp;D=yrovft&amp;AN=00004010-000000000-00000","https://ovidsp.ovid.com/ovidweb.cgi?T=JS&amp;NEWS=n&amp;CSC=Y&amp;PAGE=toc&amp;D=yrovft&amp;AN=00004010-000000000-00000")</f>
        <v>https://ovidsp.ovid.com/ovidweb.cgi?T=JS&amp;NEWS=n&amp;CSC=Y&amp;PAGE=toc&amp;D=yrovft&amp;AN=00004010-000000000-00000</v>
      </c>
      <c r="M160" t="s">
        <v>2624</v>
      </c>
      <c r="N160" t="s">
        <v>2424</v>
      </c>
      <c r="O160" t="s">
        <v>2341</v>
      </c>
      <c r="P160" t="b">
        <v>1</v>
      </c>
      <c r="Q160" t="s">
        <v>1877</v>
      </c>
    </row>
    <row r="161" spans="1:17" x14ac:dyDescent="0.35">
      <c r="A161" t="s">
        <v>912</v>
      </c>
      <c r="B161" t="s">
        <v>1600</v>
      </c>
      <c r="C161" t="s">
        <v>2424</v>
      </c>
      <c r="D161" t="s">
        <v>50</v>
      </c>
      <c r="E161">
        <v>26</v>
      </c>
      <c r="F161">
        <v>4</v>
      </c>
      <c r="G161">
        <v>29</v>
      </c>
      <c r="H161">
        <v>2</v>
      </c>
      <c r="I161" t="s">
        <v>1650</v>
      </c>
      <c r="J161" t="s">
        <v>2955</v>
      </c>
      <c r="K161" t="s">
        <v>2461</v>
      </c>
      <c r="L161" s="1" t="str">
        <f>HYPERLINK("https://ovidsp.ovid.com/ovidweb.cgi?T=JS&amp;NEWS=n&amp;CSC=Y&amp;PAGE=toc&amp;D=yrovft&amp;AN=01300518-000000000-00000","https://ovidsp.ovid.com/ovidweb.cgi?T=JS&amp;NEWS=n&amp;CSC=Y&amp;PAGE=toc&amp;D=yrovft&amp;AN=01300518-000000000-00000")</f>
        <v>https://ovidsp.ovid.com/ovidweb.cgi?T=JS&amp;NEWS=n&amp;CSC=Y&amp;PAGE=toc&amp;D=yrovft&amp;AN=01300518-000000000-00000</v>
      </c>
      <c r="M161" t="s">
        <v>3258</v>
      </c>
      <c r="N161" t="s">
        <v>2424</v>
      </c>
      <c r="O161" t="s">
        <v>12</v>
      </c>
      <c r="P161" t="b">
        <v>0</v>
      </c>
      <c r="Q161" t="s">
        <v>2424</v>
      </c>
    </row>
    <row r="162" spans="1:17" x14ac:dyDescent="0.35">
      <c r="A162" t="s">
        <v>1444</v>
      </c>
      <c r="B162" t="s">
        <v>2298</v>
      </c>
      <c r="C162" t="s">
        <v>380</v>
      </c>
      <c r="D162" t="s">
        <v>2855</v>
      </c>
      <c r="E162">
        <v>24</v>
      </c>
      <c r="F162">
        <v>1</v>
      </c>
      <c r="G162">
        <v>24</v>
      </c>
      <c r="H162">
        <v>6</v>
      </c>
      <c r="I162" t="s">
        <v>1042</v>
      </c>
      <c r="J162" t="s">
        <v>2568</v>
      </c>
      <c r="K162" t="s">
        <v>2957</v>
      </c>
      <c r="L162" s="1" t="str">
        <f>HYPERLINK("https://ovidsp.ovid.com/ovidweb.cgi?T=JS&amp;NEWS=n&amp;CSC=Y&amp;PAGE=toc&amp;D=yrovft&amp;AN=00055749-000000000-00000","https://ovidsp.ovid.com/ovidweb.cgi?T=JS&amp;NEWS=n&amp;CSC=Y&amp;PAGE=toc&amp;D=yrovft&amp;AN=00055749-000000000-00000")</f>
        <v>https://ovidsp.ovid.com/ovidweb.cgi?T=JS&amp;NEWS=n&amp;CSC=Y&amp;PAGE=toc&amp;D=yrovft&amp;AN=00055749-000000000-00000</v>
      </c>
      <c r="M162" t="s">
        <v>1646</v>
      </c>
      <c r="N162" t="s">
        <v>2424</v>
      </c>
      <c r="O162" t="s">
        <v>2213</v>
      </c>
      <c r="P162" t="b">
        <v>1</v>
      </c>
      <c r="Q162" t="s">
        <v>2339</v>
      </c>
    </row>
    <row r="163" spans="1:17" x14ac:dyDescent="0.35">
      <c r="A163" t="s">
        <v>3036</v>
      </c>
      <c r="B163" t="s">
        <v>3742</v>
      </c>
      <c r="C163" t="s">
        <v>958</v>
      </c>
      <c r="D163" t="s">
        <v>50</v>
      </c>
      <c r="E163">
        <v>81</v>
      </c>
      <c r="F163">
        <v>2</v>
      </c>
      <c r="G163">
        <v>98</v>
      </c>
      <c r="H163">
        <v>2</v>
      </c>
      <c r="I163" t="s">
        <v>96</v>
      </c>
      <c r="J163" t="s">
        <v>374</v>
      </c>
      <c r="K163" t="s">
        <v>3523</v>
      </c>
      <c r="L163" s="1" t="str">
        <f>HYPERLINK("https://ovidsp.ovid.com/ovidweb.cgi?T=JS&amp;NEWS=n&amp;CSC=Y&amp;PAGE=toc&amp;D=yrovft&amp;AN=00004032-000000000-00000","https://ovidsp.ovid.com/ovidweb.cgi?T=JS&amp;NEWS=n&amp;CSC=Y&amp;PAGE=toc&amp;D=yrovft&amp;AN=00004032-000000000-00000")</f>
        <v>https://ovidsp.ovid.com/ovidweb.cgi?T=JS&amp;NEWS=n&amp;CSC=Y&amp;PAGE=toc&amp;D=yrovft&amp;AN=00004032-000000000-00000</v>
      </c>
      <c r="M163" t="s">
        <v>276</v>
      </c>
      <c r="N163" t="s">
        <v>2424</v>
      </c>
      <c r="O163" t="s">
        <v>799</v>
      </c>
      <c r="P163" t="b">
        <v>1</v>
      </c>
      <c r="Q163" t="s">
        <v>451</v>
      </c>
    </row>
    <row r="164" spans="1:17" x14ac:dyDescent="0.35">
      <c r="A164" t="s">
        <v>3546</v>
      </c>
      <c r="B164" t="s">
        <v>2474</v>
      </c>
      <c r="C164" t="s">
        <v>2387</v>
      </c>
      <c r="D164" t="s">
        <v>2855</v>
      </c>
      <c r="E164">
        <v>24</v>
      </c>
      <c r="F164">
        <v>1</v>
      </c>
      <c r="G164">
        <v>24</v>
      </c>
      <c r="H164">
        <v>6</v>
      </c>
      <c r="I164" t="s">
        <v>2251</v>
      </c>
      <c r="J164" t="s">
        <v>3622</v>
      </c>
      <c r="K164" t="s">
        <v>2837</v>
      </c>
      <c r="L164" s="1" t="str">
        <f>HYPERLINK("https://ovidsp.ovid.com/ovidweb.cgi?T=JS&amp;NEWS=n&amp;CSC=Y&amp;PAGE=toc&amp;D=yrovft&amp;AN=00003845-000000000-00000","https://ovidsp.ovid.com/ovidweb.cgi?T=JS&amp;NEWS=n&amp;CSC=Y&amp;PAGE=toc&amp;D=yrovft&amp;AN=00003845-000000000-00000")</f>
        <v>https://ovidsp.ovid.com/ovidweb.cgi?T=JS&amp;NEWS=n&amp;CSC=Y&amp;PAGE=toc&amp;D=yrovft&amp;AN=00003845-000000000-00000</v>
      </c>
      <c r="M164" t="s">
        <v>2716</v>
      </c>
      <c r="N164" t="s">
        <v>2424</v>
      </c>
      <c r="O164" t="s">
        <v>1898</v>
      </c>
      <c r="P164" t="b">
        <v>1</v>
      </c>
      <c r="Q164" t="s">
        <v>3504</v>
      </c>
    </row>
    <row r="165" spans="1:17" x14ac:dyDescent="0.35">
      <c r="A165" t="s">
        <v>4</v>
      </c>
      <c r="B165" t="s">
        <v>1047</v>
      </c>
      <c r="C165" t="s">
        <v>1375</v>
      </c>
      <c r="D165" t="s">
        <v>2855</v>
      </c>
      <c r="E165">
        <v>24</v>
      </c>
      <c r="F165">
        <v>1</v>
      </c>
      <c r="G165">
        <v>24</v>
      </c>
      <c r="H165">
        <v>20091200</v>
      </c>
      <c r="I165" t="s">
        <v>135</v>
      </c>
      <c r="J165" t="s">
        <v>2671</v>
      </c>
      <c r="K165" t="s">
        <v>2837</v>
      </c>
      <c r="L165" s="1" t="str">
        <f>HYPERLINK("https://ovidsp.ovid.com/ovidweb.cgi?T=JS&amp;NEWS=n&amp;CSC=Y&amp;PAGE=toc&amp;D=yrovft&amp;AN=00013240-000000000-00000","https://ovidsp.ovid.com/ovidweb.cgi?T=JS&amp;NEWS=n&amp;CSC=Y&amp;PAGE=toc&amp;D=yrovft&amp;AN=00013240-000000000-00000")</f>
        <v>https://ovidsp.ovid.com/ovidweb.cgi?T=JS&amp;NEWS=n&amp;CSC=Y&amp;PAGE=toc&amp;D=yrovft&amp;AN=00013240-000000000-00000</v>
      </c>
      <c r="M165" t="s">
        <v>3231</v>
      </c>
      <c r="N165" t="s">
        <v>2424</v>
      </c>
      <c r="O165" t="s">
        <v>2812</v>
      </c>
      <c r="P165" t="b">
        <v>1</v>
      </c>
      <c r="Q165" t="s">
        <v>3076</v>
      </c>
    </row>
    <row r="166" spans="1:17" x14ac:dyDescent="0.35">
      <c r="A166" t="s">
        <v>3328</v>
      </c>
      <c r="B166" t="s">
        <v>2824</v>
      </c>
      <c r="C166" t="s">
        <v>254</v>
      </c>
      <c r="D166" t="s">
        <v>158</v>
      </c>
      <c r="E166">
        <v>84</v>
      </c>
      <c r="F166">
        <v>0</v>
      </c>
      <c r="G166">
        <v>90</v>
      </c>
      <c r="H166">
        <v>0</v>
      </c>
      <c r="I166" t="s">
        <v>726</v>
      </c>
      <c r="J166" t="s">
        <v>923</v>
      </c>
      <c r="K166" t="s">
        <v>1842</v>
      </c>
      <c r="L166" s="1" t="str">
        <f>HYPERLINK("https://ovidsp.ovid.com/ovidweb.cgi?T=JS&amp;NEWS=n&amp;CSC=Y&amp;PAGE=toc&amp;D=yrovft&amp;AN=00060651-000000000-00000","https://ovidsp.ovid.com/ovidweb.cgi?T=JS&amp;NEWS=n&amp;CSC=Y&amp;PAGE=toc&amp;D=yrovft&amp;AN=00060651-000000000-00000")</f>
        <v>https://ovidsp.ovid.com/ovidweb.cgi?T=JS&amp;NEWS=n&amp;CSC=Y&amp;PAGE=toc&amp;D=yrovft&amp;AN=00060651-000000000-00000</v>
      </c>
      <c r="M166" t="s">
        <v>1991</v>
      </c>
      <c r="N166" t="s">
        <v>2424</v>
      </c>
      <c r="O166" t="s">
        <v>1028</v>
      </c>
      <c r="P166" t="b">
        <v>1</v>
      </c>
      <c r="Q166" t="s">
        <v>172</v>
      </c>
    </row>
    <row r="167" spans="1:17" x14ac:dyDescent="0.35">
      <c r="A167" t="s">
        <v>1635</v>
      </c>
      <c r="B167" t="s">
        <v>2648</v>
      </c>
      <c r="C167" t="s">
        <v>2764</v>
      </c>
      <c r="D167" t="s">
        <v>50</v>
      </c>
      <c r="E167">
        <v>5</v>
      </c>
      <c r="F167">
        <v>2</v>
      </c>
      <c r="G167">
        <v>5</v>
      </c>
      <c r="H167">
        <v>6</v>
      </c>
      <c r="I167" t="s">
        <v>107</v>
      </c>
      <c r="J167" t="s">
        <v>2581</v>
      </c>
      <c r="K167" t="s">
        <v>2009</v>
      </c>
      <c r="L167" s="1" t="str">
        <f>HYPERLINK("https://ovidsp.ovid.com/ovidweb.cgi?T=JS&amp;NEWS=n&amp;CSC=Y&amp;PAGE=toc&amp;D=yrovft&amp;AN=00132580-000000000-00000","https://ovidsp.ovid.com/ovidweb.cgi?T=JS&amp;NEWS=n&amp;CSC=Y&amp;PAGE=toc&amp;D=yrovft&amp;AN=00132580-000000000-00000")</f>
        <v>https://ovidsp.ovid.com/ovidweb.cgi?T=JS&amp;NEWS=n&amp;CSC=Y&amp;PAGE=toc&amp;D=yrovft&amp;AN=00132580-000000000-00000</v>
      </c>
      <c r="M167" t="s">
        <v>1410</v>
      </c>
      <c r="N167" t="s">
        <v>2424</v>
      </c>
      <c r="O167" t="s">
        <v>2926</v>
      </c>
      <c r="P167" t="b">
        <v>0</v>
      </c>
      <c r="Q167" t="s">
        <v>2424</v>
      </c>
    </row>
    <row r="168" spans="1:17" x14ac:dyDescent="0.35">
      <c r="A168" t="s">
        <v>3683</v>
      </c>
      <c r="B168" t="s">
        <v>1105</v>
      </c>
      <c r="C168" t="s">
        <v>304</v>
      </c>
      <c r="D168" t="s">
        <v>50</v>
      </c>
      <c r="E168">
        <v>17</v>
      </c>
      <c r="F168">
        <v>2</v>
      </c>
      <c r="G168">
        <v>24</v>
      </c>
      <c r="H168">
        <v>3</v>
      </c>
      <c r="I168" t="s">
        <v>1464</v>
      </c>
      <c r="J168" t="s">
        <v>2581</v>
      </c>
      <c r="K168" t="s">
        <v>3523</v>
      </c>
      <c r="L168" s="1" t="str">
        <f>HYPERLINK("https://ovidsp.ovid.com/ovidweb.cgi?T=JS&amp;NEWS=n&amp;CSC=Y&amp;PAGE=toc&amp;D=yrovft&amp;AN=00004650-000000000-00000","https://ovidsp.ovid.com/ovidweb.cgi?T=JS&amp;NEWS=n&amp;CSC=Y&amp;PAGE=toc&amp;D=yrovft&amp;AN=00004650-000000000-00000")</f>
        <v>https://ovidsp.ovid.com/ovidweb.cgi?T=JS&amp;NEWS=n&amp;CSC=Y&amp;PAGE=toc&amp;D=yrovft&amp;AN=00004650-000000000-00000</v>
      </c>
      <c r="M168" t="s">
        <v>2695</v>
      </c>
      <c r="N168" t="s">
        <v>2424</v>
      </c>
      <c r="O168" t="s">
        <v>126</v>
      </c>
      <c r="P168" t="b">
        <v>1</v>
      </c>
      <c r="Q168" t="s">
        <v>249</v>
      </c>
    </row>
    <row r="169" spans="1:17" x14ac:dyDescent="0.35">
      <c r="A169" t="s">
        <v>3562</v>
      </c>
      <c r="B169" t="s">
        <v>1578</v>
      </c>
      <c r="C169" t="s">
        <v>2424</v>
      </c>
      <c r="D169" t="s">
        <v>50</v>
      </c>
      <c r="E169">
        <v>21</v>
      </c>
      <c r="F169">
        <v>3</v>
      </c>
      <c r="G169">
        <v>28</v>
      </c>
      <c r="H169">
        <v>4</v>
      </c>
      <c r="I169" t="s">
        <v>1779</v>
      </c>
      <c r="J169" t="s">
        <v>2581</v>
      </c>
      <c r="K169" t="s">
        <v>2461</v>
      </c>
      <c r="L169" s="1" t="str">
        <f>HYPERLINK("https://ovidsp.ovid.com/ovidweb.cgi?T=JS&amp;NEWS=n&amp;CSC=Y&amp;PAGE=toc&amp;D=yrovft&amp;AN=00004045-000000000-00000","https://ovidsp.ovid.com/ovidweb.cgi?T=JS&amp;NEWS=n&amp;CSC=Y&amp;PAGE=toc&amp;D=yrovft&amp;AN=00004045-000000000-00000")</f>
        <v>https://ovidsp.ovid.com/ovidweb.cgi?T=JS&amp;NEWS=n&amp;CSC=Y&amp;PAGE=toc&amp;D=yrovft&amp;AN=00004045-000000000-00000</v>
      </c>
      <c r="M169" t="s">
        <v>433</v>
      </c>
      <c r="N169" t="s">
        <v>2424</v>
      </c>
      <c r="O169" t="s">
        <v>536</v>
      </c>
      <c r="P169" t="b">
        <v>1</v>
      </c>
      <c r="Q169" t="s">
        <v>3528</v>
      </c>
    </row>
    <row r="170" spans="1:17" x14ac:dyDescent="0.35">
      <c r="A170" t="s">
        <v>1478</v>
      </c>
      <c r="B170" t="s">
        <v>2770</v>
      </c>
      <c r="C170" t="s">
        <v>3054</v>
      </c>
      <c r="D170" t="s">
        <v>2855</v>
      </c>
      <c r="E170">
        <v>18</v>
      </c>
      <c r="F170">
        <v>2</v>
      </c>
      <c r="G170">
        <v>19</v>
      </c>
      <c r="H170">
        <v>2</v>
      </c>
      <c r="I170" t="s">
        <v>2178</v>
      </c>
      <c r="J170" t="s">
        <v>2154</v>
      </c>
      <c r="K170" t="s">
        <v>579</v>
      </c>
      <c r="L170" s="1" t="str">
        <f>HYPERLINK("https://ovidsp.ovid.com/ovidweb.cgi?T=JS&amp;NEWS=n&amp;CSC=Y&amp;PAGE=toc&amp;D=yrovft&amp;AN=00008563-000000000-00000","https://ovidsp.ovid.com/ovidweb.cgi?T=JS&amp;NEWS=n&amp;CSC=Y&amp;PAGE=toc&amp;D=yrovft&amp;AN=00008563-000000000-00000")</f>
        <v>https://ovidsp.ovid.com/ovidweb.cgi?T=JS&amp;NEWS=n&amp;CSC=Y&amp;PAGE=toc&amp;D=yrovft&amp;AN=00008563-000000000-00000</v>
      </c>
      <c r="M170" t="s">
        <v>298</v>
      </c>
      <c r="N170" t="s">
        <v>2424</v>
      </c>
      <c r="O170" t="s">
        <v>2540</v>
      </c>
      <c r="P170" t="b">
        <v>1</v>
      </c>
      <c r="Q170" t="s">
        <v>904</v>
      </c>
    </row>
    <row r="171" spans="1:17" x14ac:dyDescent="0.35">
      <c r="A171" t="s">
        <v>1682</v>
      </c>
      <c r="B171" t="s">
        <v>1296</v>
      </c>
      <c r="C171" t="s">
        <v>310</v>
      </c>
      <c r="D171" t="s">
        <v>2855</v>
      </c>
      <c r="E171">
        <v>24</v>
      </c>
      <c r="F171">
        <v>2</v>
      </c>
      <c r="G171">
        <v>25</v>
      </c>
      <c r="H171">
        <v>1</v>
      </c>
      <c r="I171" t="s">
        <v>2485</v>
      </c>
      <c r="J171" t="s">
        <v>2568</v>
      </c>
      <c r="K171" t="s">
        <v>840</v>
      </c>
      <c r="L171" s="1" t="str">
        <f>HYPERLINK("https://ovidsp.ovid.com/ovidweb.cgi?T=JS&amp;NEWS=n&amp;CSC=Y&amp;PAGE=toc&amp;D=yrovft&amp;AN=00004683-000000000-00000","https://ovidsp.ovid.com/ovidweb.cgi?T=JS&amp;NEWS=n&amp;CSC=Y&amp;PAGE=toc&amp;D=yrovft&amp;AN=00004683-000000000-00000")</f>
        <v>https://ovidsp.ovid.com/ovidweb.cgi?T=JS&amp;NEWS=n&amp;CSC=Y&amp;PAGE=toc&amp;D=yrovft&amp;AN=00004683-000000000-00000</v>
      </c>
      <c r="M171" t="s">
        <v>3024</v>
      </c>
      <c r="N171" t="s">
        <v>2424</v>
      </c>
      <c r="O171" t="s">
        <v>1758</v>
      </c>
      <c r="P171" t="b">
        <v>1</v>
      </c>
      <c r="Q171" t="s">
        <v>1494</v>
      </c>
    </row>
    <row r="172" spans="1:17" x14ac:dyDescent="0.35">
      <c r="A172" t="s">
        <v>3785</v>
      </c>
      <c r="B172" t="s">
        <v>3005</v>
      </c>
      <c r="C172" t="s">
        <v>3472</v>
      </c>
      <c r="D172" t="s">
        <v>2855</v>
      </c>
      <c r="E172">
        <v>15</v>
      </c>
      <c r="F172">
        <v>1</v>
      </c>
      <c r="G172">
        <v>16</v>
      </c>
      <c r="H172">
        <v>1</v>
      </c>
      <c r="I172" t="s">
        <v>3092</v>
      </c>
      <c r="J172" t="s">
        <v>3622</v>
      </c>
      <c r="K172" t="s">
        <v>840</v>
      </c>
      <c r="L172" s="1" t="str">
        <f>HYPERLINK("https://ovidsp.ovid.com/ovidweb.cgi?T=JS&amp;NEWS=n&amp;CSC=Y&amp;PAGE=toc&amp;D=yrovft&amp;AN=00045526-000000000-00000","https://ovidsp.ovid.com/ovidweb.cgi?T=JS&amp;NEWS=n&amp;CSC=Y&amp;PAGE=toc&amp;D=yrovft&amp;AN=00045526-000000000-00000")</f>
        <v>https://ovidsp.ovid.com/ovidweb.cgi?T=JS&amp;NEWS=n&amp;CSC=Y&amp;PAGE=toc&amp;D=yrovft&amp;AN=00045526-000000000-00000</v>
      </c>
      <c r="M172" t="s">
        <v>65</v>
      </c>
      <c r="N172" t="s">
        <v>2424</v>
      </c>
      <c r="O172" t="s">
        <v>1618</v>
      </c>
      <c r="P172" t="b">
        <v>1</v>
      </c>
      <c r="Q172" t="s">
        <v>2075</v>
      </c>
    </row>
    <row r="173" spans="1:17" x14ac:dyDescent="0.35">
      <c r="A173" t="s">
        <v>1440</v>
      </c>
      <c r="B173" t="s">
        <v>1666</v>
      </c>
      <c r="C173" t="s">
        <v>1504</v>
      </c>
      <c r="D173" t="s">
        <v>50</v>
      </c>
      <c r="E173">
        <v>38</v>
      </c>
      <c r="F173">
        <v>1</v>
      </c>
      <c r="G173">
        <v>65</v>
      </c>
      <c r="H173">
        <v>4</v>
      </c>
      <c r="I173" t="s">
        <v>530</v>
      </c>
      <c r="J173" t="s">
        <v>3608</v>
      </c>
      <c r="K173" t="s">
        <v>1640</v>
      </c>
      <c r="L173" s="1" t="str">
        <f>HYPERLINK("https://ovidsp.ovid.com/ovidweb.cgi?T=JS&amp;NEWS=n&amp;CSC=Y&amp;PAGE=toc&amp;D=yrovft&amp;AN=00004268-000000000-00000","https://ovidsp.ovid.com/ovidweb.cgi?T=JS&amp;NEWS=n&amp;CSC=Y&amp;PAGE=toc&amp;D=yrovft&amp;AN=00004268-000000000-00000")</f>
        <v>https://ovidsp.ovid.com/ovidweb.cgi?T=JS&amp;NEWS=n&amp;CSC=Y&amp;PAGE=toc&amp;D=yrovft&amp;AN=00004268-000000000-00000</v>
      </c>
      <c r="M173" t="s">
        <v>176</v>
      </c>
      <c r="N173" t="s">
        <v>2424</v>
      </c>
      <c r="O173" t="s">
        <v>3289</v>
      </c>
      <c r="P173" t="b">
        <v>1</v>
      </c>
      <c r="Q173" t="s">
        <v>3515</v>
      </c>
    </row>
    <row r="174" spans="1:17" x14ac:dyDescent="0.35">
      <c r="A174" t="s">
        <v>2049</v>
      </c>
      <c r="B174" t="s">
        <v>3800</v>
      </c>
      <c r="C174" t="s">
        <v>567</v>
      </c>
      <c r="D174" t="s">
        <v>50</v>
      </c>
      <c r="E174">
        <v>12</v>
      </c>
      <c r="F174">
        <v>2</v>
      </c>
      <c r="G174">
        <v>19</v>
      </c>
      <c r="H174">
        <v>2</v>
      </c>
      <c r="I174" t="s">
        <v>1338</v>
      </c>
      <c r="J174" t="s">
        <v>1895</v>
      </c>
      <c r="K174" t="s">
        <v>2461</v>
      </c>
      <c r="L174" s="1" t="str">
        <f>HYPERLINK("https://ovidsp.ovid.com/ovidweb.cgi?T=JS&amp;NEWS=n&amp;CSC=Y&amp;PAGE=toc&amp;D=yrovft&amp;AN=00008505-000000000-00000","https://ovidsp.ovid.com/ovidweb.cgi?T=JS&amp;NEWS=n&amp;CSC=Y&amp;PAGE=toc&amp;D=yrovft&amp;AN=00008505-000000000-00000")</f>
        <v>https://ovidsp.ovid.com/ovidweb.cgi?T=JS&amp;NEWS=n&amp;CSC=Y&amp;PAGE=toc&amp;D=yrovft&amp;AN=00008505-000000000-00000</v>
      </c>
      <c r="M174" t="s">
        <v>409</v>
      </c>
      <c r="N174" t="s">
        <v>2424</v>
      </c>
      <c r="O174" t="s">
        <v>1300</v>
      </c>
      <c r="P174" t="b">
        <v>0</v>
      </c>
      <c r="Q174" t="s">
        <v>2424</v>
      </c>
    </row>
    <row r="175" spans="1:17" x14ac:dyDescent="0.35">
      <c r="A175" t="s">
        <v>2501</v>
      </c>
      <c r="B175" t="s">
        <v>2333</v>
      </c>
      <c r="C175" t="s">
        <v>1525</v>
      </c>
      <c r="D175" t="s">
        <v>50</v>
      </c>
      <c r="E175">
        <v>14</v>
      </c>
      <c r="F175">
        <v>3</v>
      </c>
      <c r="G175">
        <v>23</v>
      </c>
      <c r="H175">
        <v>2</v>
      </c>
      <c r="I175" t="s">
        <v>3084</v>
      </c>
      <c r="J175" t="s">
        <v>2209</v>
      </c>
      <c r="K175" t="s">
        <v>2461</v>
      </c>
      <c r="L175" s="1" t="str">
        <f>HYPERLINK("https://ovidsp.ovid.com/ovidweb.cgi?T=JS&amp;NEWS=n&amp;CSC=Y&amp;PAGE=toc&amp;D=yrovft&amp;AN=00001163-000000000-00000","https://ovidsp.ovid.com/ovidweb.cgi?T=JS&amp;NEWS=n&amp;CSC=Y&amp;PAGE=toc&amp;D=yrovft&amp;AN=00001163-000000000-00000")</f>
        <v>https://ovidsp.ovid.com/ovidweb.cgi?T=JS&amp;NEWS=n&amp;CSC=Y&amp;PAGE=toc&amp;D=yrovft&amp;AN=00001163-000000000-00000</v>
      </c>
      <c r="M175" t="s">
        <v>2506</v>
      </c>
      <c r="N175" t="s">
        <v>2424</v>
      </c>
      <c r="O175" t="s">
        <v>1905</v>
      </c>
      <c r="P175" t="b">
        <v>0</v>
      </c>
      <c r="Q175" t="s">
        <v>2424</v>
      </c>
    </row>
    <row r="176" spans="1:17" x14ac:dyDescent="0.35">
      <c r="A176" t="s">
        <v>1098</v>
      </c>
      <c r="B176" t="s">
        <v>885</v>
      </c>
      <c r="C176" t="s">
        <v>1625</v>
      </c>
      <c r="D176" t="s">
        <v>50</v>
      </c>
      <c r="E176">
        <v>11</v>
      </c>
      <c r="F176">
        <v>5</v>
      </c>
      <c r="G176">
        <v>18</v>
      </c>
      <c r="H176">
        <v>2</v>
      </c>
      <c r="I176" t="s">
        <v>2907</v>
      </c>
      <c r="J176" t="s">
        <v>517</v>
      </c>
      <c r="K176" t="s">
        <v>2939</v>
      </c>
      <c r="L176" s="1" t="str">
        <f>HYPERLINK("https://ovidsp.ovid.com/ovidweb.cgi?T=JS&amp;NEWS=n&amp;CSC=Y&amp;PAGE=toc&amp;D=yrovft&amp;AN=00019048-000000000-00000","https://ovidsp.ovid.com/ovidweb.cgi?T=JS&amp;NEWS=n&amp;CSC=Y&amp;PAGE=toc&amp;D=yrovft&amp;AN=00019048-000000000-00000")</f>
        <v>https://ovidsp.ovid.com/ovidweb.cgi?T=JS&amp;NEWS=n&amp;CSC=Y&amp;PAGE=toc&amp;D=yrovft&amp;AN=00019048-000000000-00000</v>
      </c>
      <c r="M176" t="s">
        <v>3349</v>
      </c>
      <c r="N176" t="s">
        <v>2424</v>
      </c>
      <c r="O176" t="s">
        <v>634</v>
      </c>
      <c r="P176" t="b">
        <v>0</v>
      </c>
      <c r="Q176" t="s">
        <v>2424</v>
      </c>
    </row>
    <row r="177" spans="1:17" x14ac:dyDescent="0.35">
      <c r="A177" t="s">
        <v>3355</v>
      </c>
      <c r="B177" t="s">
        <v>343</v>
      </c>
      <c r="C177" t="s">
        <v>837</v>
      </c>
      <c r="D177" t="s">
        <v>2855</v>
      </c>
      <c r="E177">
        <v>15</v>
      </c>
      <c r="F177">
        <v>10</v>
      </c>
      <c r="G177">
        <v>21</v>
      </c>
      <c r="H177">
        <v>4</v>
      </c>
      <c r="I177" t="s">
        <v>2204</v>
      </c>
      <c r="J177" t="s">
        <v>458</v>
      </c>
      <c r="K177" t="s">
        <v>1640</v>
      </c>
      <c r="L177" s="1" t="str">
        <f>HYPERLINK("https://ovidsp.ovid.com/ovidweb.cgi?T=JS&amp;NEWS=n&amp;CSC=Y&amp;PAGE=toc&amp;D=yrovft&amp;AN=00054725-000000000-00000","https://ovidsp.ovid.com/ovidweb.cgi?T=JS&amp;NEWS=n&amp;CSC=Y&amp;PAGE=toc&amp;D=yrovft&amp;AN=00054725-000000000-00000")</f>
        <v>https://ovidsp.ovid.com/ovidweb.cgi?T=JS&amp;NEWS=n&amp;CSC=Y&amp;PAGE=toc&amp;D=yrovft&amp;AN=00054725-000000000-00000</v>
      </c>
      <c r="M177" t="s">
        <v>2280</v>
      </c>
      <c r="N177" t="s">
        <v>2424</v>
      </c>
      <c r="O177" t="s">
        <v>2391</v>
      </c>
      <c r="P177" t="b">
        <v>1</v>
      </c>
      <c r="Q177" t="s">
        <v>2729</v>
      </c>
    </row>
    <row r="178" spans="1:17" x14ac:dyDescent="0.35">
      <c r="A178" t="s">
        <v>2520</v>
      </c>
      <c r="B178" t="s">
        <v>111</v>
      </c>
      <c r="C178" t="s">
        <v>2771</v>
      </c>
      <c r="D178" t="s">
        <v>1323</v>
      </c>
      <c r="E178">
        <v>1</v>
      </c>
      <c r="F178">
        <v>6</v>
      </c>
      <c r="G178">
        <v>5</v>
      </c>
      <c r="H178">
        <v>2</v>
      </c>
      <c r="I178" t="s">
        <v>1384</v>
      </c>
      <c r="J178" t="s">
        <v>1308</v>
      </c>
      <c r="K178" t="s">
        <v>2939</v>
      </c>
      <c r="L178" s="1" t="str">
        <f>HYPERLINK("https://ovidsp.ovid.com/ovidweb.cgi?T=JS&amp;NEWS=n&amp;CSC=Y&amp;PAGE=toc&amp;D=yrovft&amp;AN=01243895-000000000-00000","https://ovidsp.ovid.com/ovidweb.cgi?T=JS&amp;NEWS=n&amp;CSC=Y&amp;PAGE=toc&amp;D=yrovft&amp;AN=01243895-000000000-00000")</f>
        <v>https://ovidsp.ovid.com/ovidweb.cgi?T=JS&amp;NEWS=n&amp;CSC=Y&amp;PAGE=toc&amp;D=yrovft&amp;AN=01243895-000000000-00000</v>
      </c>
      <c r="M178" t="s">
        <v>2800</v>
      </c>
      <c r="N178" t="s">
        <v>2424</v>
      </c>
      <c r="O178" t="s">
        <v>687</v>
      </c>
      <c r="P178" t="b">
        <v>0</v>
      </c>
      <c r="Q178" t="s">
        <v>2424</v>
      </c>
    </row>
    <row r="179" spans="1:17" x14ac:dyDescent="0.35">
      <c r="A179" t="s">
        <v>3444</v>
      </c>
      <c r="B179" t="s">
        <v>3170</v>
      </c>
      <c r="C179" t="s">
        <v>2562</v>
      </c>
      <c r="D179" t="s">
        <v>50</v>
      </c>
      <c r="E179">
        <v>8</v>
      </c>
      <c r="F179">
        <v>10</v>
      </c>
      <c r="G179">
        <v>10</v>
      </c>
      <c r="H179">
        <v>12</v>
      </c>
      <c r="I179" t="s">
        <v>3173</v>
      </c>
      <c r="J179" t="s">
        <v>2209</v>
      </c>
      <c r="K179" t="s">
        <v>3783</v>
      </c>
      <c r="L179" s="1" t="str">
        <f>HYPERLINK("https://ovidsp.ovid.com/ovidweb.cgi?T=JS&amp;NEWS=n&amp;CSC=Y&amp;PAGE=toc&amp;D=yrovft&amp;AN=00126772-000000000-00000","https://ovidsp.ovid.com/ovidweb.cgi?T=JS&amp;NEWS=n&amp;CSC=Y&amp;PAGE=toc&amp;D=yrovft&amp;AN=00126772-000000000-00000")</f>
        <v>https://ovidsp.ovid.com/ovidweb.cgi?T=JS&amp;NEWS=n&amp;CSC=Y&amp;PAGE=toc&amp;D=yrovft&amp;AN=00126772-000000000-00000</v>
      </c>
      <c r="M179" t="s">
        <v>735</v>
      </c>
      <c r="N179" t="s">
        <v>2424</v>
      </c>
      <c r="O179" t="s">
        <v>788</v>
      </c>
      <c r="P179" t="b">
        <v>0</v>
      </c>
      <c r="Q179" t="s">
        <v>2424</v>
      </c>
    </row>
    <row r="180" spans="1:17" x14ac:dyDescent="0.35">
      <c r="A180" t="s">
        <v>3644</v>
      </c>
      <c r="B180" t="s">
        <v>2981</v>
      </c>
      <c r="C180" t="s">
        <v>3109</v>
      </c>
      <c r="D180" t="s">
        <v>50</v>
      </c>
      <c r="E180">
        <v>39</v>
      </c>
      <c r="F180">
        <v>3</v>
      </c>
      <c r="G180">
        <v>48</v>
      </c>
      <c r="H180">
        <v>2</v>
      </c>
      <c r="I180" t="s">
        <v>1794</v>
      </c>
      <c r="J180" t="s">
        <v>3608</v>
      </c>
      <c r="K180" t="s">
        <v>2461</v>
      </c>
      <c r="L180" s="1" t="str">
        <f>HYPERLINK("https://ovidsp.ovid.com/ovidweb.cgi?T=JS&amp;NEWS=n&amp;CSC=Y&amp;PAGE=toc&amp;D=yrovft&amp;AN=00004311-000000000-00000","https://ovidsp.ovid.com/ovidweb.cgi?T=JS&amp;NEWS=n&amp;CSC=Y&amp;PAGE=toc&amp;D=yrovft&amp;AN=00004311-000000000-00000")</f>
        <v>https://ovidsp.ovid.com/ovidweb.cgi?T=JS&amp;NEWS=n&amp;CSC=Y&amp;PAGE=toc&amp;D=yrovft&amp;AN=00004311-000000000-00000</v>
      </c>
      <c r="M180" t="s">
        <v>2377</v>
      </c>
      <c r="N180" t="s">
        <v>2424</v>
      </c>
      <c r="O180" t="s">
        <v>3160</v>
      </c>
      <c r="P180" t="b">
        <v>1</v>
      </c>
      <c r="Q180" t="s">
        <v>244</v>
      </c>
    </row>
    <row r="181" spans="1:17" x14ac:dyDescent="0.35">
      <c r="A181" t="s">
        <v>988</v>
      </c>
      <c r="B181" t="s">
        <v>1402</v>
      </c>
      <c r="C181" t="s">
        <v>1552</v>
      </c>
      <c r="D181" t="s">
        <v>50</v>
      </c>
      <c r="E181">
        <v>18</v>
      </c>
      <c r="F181">
        <v>3</v>
      </c>
      <c r="G181">
        <v>25</v>
      </c>
      <c r="H181">
        <v>3</v>
      </c>
      <c r="I181" t="s">
        <v>2135</v>
      </c>
      <c r="J181" t="s">
        <v>1034</v>
      </c>
      <c r="K181" t="s">
        <v>3523</v>
      </c>
      <c r="L181" s="1" t="str">
        <f>HYPERLINK("https://ovidsp.ovid.com/ovidweb.cgi?T=JS&amp;NEWS=n&amp;CSC=Y&amp;PAGE=toc&amp;D=yrovft&amp;AN=00004850-000000000-00000","https://ovidsp.ovid.com/ovidweb.cgi?T=JS&amp;NEWS=n&amp;CSC=Y&amp;PAGE=toc&amp;D=yrovft&amp;AN=00004850-000000000-00000")</f>
        <v>https://ovidsp.ovid.com/ovidweb.cgi?T=JS&amp;NEWS=n&amp;CSC=Y&amp;PAGE=toc&amp;D=yrovft&amp;AN=00004850-000000000-00000</v>
      </c>
      <c r="M181" t="s">
        <v>3033</v>
      </c>
      <c r="N181" t="s">
        <v>2424</v>
      </c>
      <c r="O181" t="s">
        <v>2929</v>
      </c>
      <c r="P181" t="b">
        <v>1</v>
      </c>
      <c r="Q181" t="s">
        <v>2145</v>
      </c>
    </row>
    <row r="182" spans="1:17" x14ac:dyDescent="0.35">
      <c r="A182" t="s">
        <v>2527</v>
      </c>
      <c r="B182" t="s">
        <v>3205</v>
      </c>
      <c r="C182" t="s">
        <v>2424</v>
      </c>
      <c r="D182" t="s">
        <v>50</v>
      </c>
      <c r="E182">
        <v>42</v>
      </c>
      <c r="F182">
        <v>2</v>
      </c>
      <c r="G182">
        <v>42</v>
      </c>
      <c r="H182">
        <v>5</v>
      </c>
      <c r="I182" t="s">
        <v>3583</v>
      </c>
      <c r="J182" t="s">
        <v>2668</v>
      </c>
      <c r="K182" t="s">
        <v>177</v>
      </c>
      <c r="L182" s="1" t="str">
        <f>HYPERLINK("https://ovidsp.ovid.com/ovidweb.cgi?T=JS&amp;NEWS=n&amp;CSC=Y&amp;PAGE=toc&amp;D=yrovft&amp;AN=00021668-000000000-00000","https://ovidsp.ovid.com/ovidweb.cgi?T=JS&amp;NEWS=n&amp;CSC=Y&amp;PAGE=toc&amp;D=yrovft&amp;AN=00021668-000000000-00000")</f>
        <v>https://ovidsp.ovid.com/ovidweb.cgi?T=JS&amp;NEWS=n&amp;CSC=Y&amp;PAGE=toc&amp;D=yrovft&amp;AN=00021668-000000000-00000</v>
      </c>
      <c r="M182" t="s">
        <v>3480</v>
      </c>
      <c r="N182" t="s">
        <v>2424</v>
      </c>
      <c r="O182" t="s">
        <v>24</v>
      </c>
      <c r="P182" t="b">
        <v>0</v>
      </c>
      <c r="Q182" t="s">
        <v>2424</v>
      </c>
    </row>
    <row r="183" spans="1:17" x14ac:dyDescent="0.35">
      <c r="A183" t="s">
        <v>587</v>
      </c>
      <c r="B183" t="s">
        <v>2571</v>
      </c>
      <c r="C183" t="s">
        <v>2682</v>
      </c>
      <c r="D183" t="s">
        <v>2855</v>
      </c>
      <c r="E183">
        <v>21</v>
      </c>
      <c r="F183">
        <v>1</v>
      </c>
      <c r="G183">
        <v>22</v>
      </c>
      <c r="H183">
        <v>1</v>
      </c>
      <c r="I183" t="s">
        <v>3092</v>
      </c>
      <c r="J183" t="s">
        <v>3622</v>
      </c>
      <c r="K183" t="s">
        <v>840</v>
      </c>
      <c r="L183" s="1" t="str">
        <f>HYPERLINK("https://ovidsp.ovid.com/ovidweb.cgi?T=JS&amp;NEWS=n&amp;CSC=Y&amp;PAGE=toc&amp;D=yrovft&amp;AN=00002343-000000000-00000","https://ovidsp.ovid.com/ovidweb.cgi?T=JS&amp;NEWS=n&amp;CSC=Y&amp;PAGE=toc&amp;D=yrovft&amp;AN=00002343-000000000-00000")</f>
        <v>https://ovidsp.ovid.com/ovidweb.cgi?T=JS&amp;NEWS=n&amp;CSC=Y&amp;PAGE=toc&amp;D=yrovft&amp;AN=00002343-000000000-00000</v>
      </c>
      <c r="M183" t="s">
        <v>2183</v>
      </c>
      <c r="N183" t="s">
        <v>2424</v>
      </c>
      <c r="O183" t="s">
        <v>1719</v>
      </c>
      <c r="P183" t="b">
        <v>1</v>
      </c>
      <c r="Q183" t="s">
        <v>2360</v>
      </c>
    </row>
    <row r="184" spans="1:17" x14ac:dyDescent="0.35">
      <c r="A184" t="s">
        <v>3781</v>
      </c>
      <c r="B184" t="s">
        <v>1035</v>
      </c>
      <c r="C184" t="s">
        <v>499</v>
      </c>
      <c r="D184" t="s">
        <v>2855</v>
      </c>
      <c r="E184">
        <v>21</v>
      </c>
      <c r="F184">
        <v>1</v>
      </c>
      <c r="G184">
        <v>21</v>
      </c>
      <c r="H184">
        <v>6</v>
      </c>
      <c r="I184" t="s">
        <v>1042</v>
      </c>
      <c r="J184" t="s">
        <v>2568</v>
      </c>
      <c r="K184" t="s">
        <v>2957</v>
      </c>
      <c r="L184" s="1" t="str">
        <f>HYPERLINK("https://ovidsp.ovid.com/ovidweb.cgi?T=JS&amp;NEWS=n&amp;CSC=Y&amp;PAGE=toc&amp;D=yrovft&amp;AN=00042154-000000000-00000","https://ovidsp.ovid.com/ovidweb.cgi?T=JS&amp;NEWS=n&amp;CSC=Y&amp;PAGE=toc&amp;D=yrovft&amp;AN=00042154-000000000-00000")</f>
        <v>https://ovidsp.ovid.com/ovidweb.cgi?T=JS&amp;NEWS=n&amp;CSC=Y&amp;PAGE=toc&amp;D=yrovft&amp;AN=00042154-000000000-00000</v>
      </c>
      <c r="M184" t="s">
        <v>381</v>
      </c>
      <c r="N184" t="s">
        <v>2424</v>
      </c>
      <c r="O184" t="s">
        <v>2953</v>
      </c>
      <c r="P184" t="b">
        <v>1</v>
      </c>
      <c r="Q184" t="s">
        <v>3269</v>
      </c>
    </row>
    <row r="185" spans="1:17" x14ac:dyDescent="0.35">
      <c r="A185" t="s">
        <v>1255</v>
      </c>
      <c r="B185" t="s">
        <v>2625</v>
      </c>
      <c r="C185" t="s">
        <v>1081</v>
      </c>
      <c r="D185" t="s">
        <v>2855</v>
      </c>
      <c r="E185">
        <v>38</v>
      </c>
      <c r="F185">
        <v>1</v>
      </c>
      <c r="G185">
        <v>38</v>
      </c>
      <c r="H185">
        <v>6</v>
      </c>
      <c r="I185" t="s">
        <v>1042</v>
      </c>
      <c r="J185" t="s">
        <v>2568</v>
      </c>
      <c r="K185" t="s">
        <v>2957</v>
      </c>
      <c r="L185" s="1" t="str">
        <f>HYPERLINK("https://ovidsp.ovid.com/ovidweb.cgi?T=JS&amp;NEWS=n&amp;CSC=Y&amp;PAGE=toc&amp;D=yrovft&amp;AN=00004345-000000000-00000","https://ovidsp.ovid.com/ovidweb.cgi?T=JS&amp;NEWS=n&amp;CSC=Y&amp;PAGE=toc&amp;D=yrovft&amp;AN=00004345-000000000-00000")</f>
        <v>https://ovidsp.ovid.com/ovidweb.cgi?T=JS&amp;NEWS=n&amp;CSC=Y&amp;PAGE=toc&amp;D=yrovft&amp;AN=00004345-000000000-00000</v>
      </c>
      <c r="M185" t="s">
        <v>518</v>
      </c>
      <c r="N185" t="s">
        <v>2424</v>
      </c>
      <c r="O185" t="s">
        <v>349</v>
      </c>
      <c r="P185" t="b">
        <v>1</v>
      </c>
      <c r="Q185" t="s">
        <v>2077</v>
      </c>
    </row>
    <row r="186" spans="1:17" x14ac:dyDescent="0.35">
      <c r="A186" t="s">
        <v>2310</v>
      </c>
      <c r="B186" t="s">
        <v>3121</v>
      </c>
      <c r="C186" t="s">
        <v>2886</v>
      </c>
      <c r="D186" t="s">
        <v>158</v>
      </c>
      <c r="E186">
        <v>12</v>
      </c>
      <c r="F186">
        <v>1</v>
      </c>
      <c r="G186">
        <v>20</v>
      </c>
      <c r="H186">
        <v>3</v>
      </c>
      <c r="I186" t="s">
        <v>3084</v>
      </c>
      <c r="J186" t="s">
        <v>2209</v>
      </c>
      <c r="K186" t="s">
        <v>2461</v>
      </c>
      <c r="L186" s="1" t="str">
        <f>HYPERLINK("https://ovidsp.ovid.com/ovidweb.cgi?T=JS&amp;NEWS=n&amp;CSC=Y&amp;PAGE=toc&amp;D=yrovft&amp;AN=00009577-000000000-00000","https://ovidsp.ovid.com/ovidweb.cgi?T=JS&amp;NEWS=n&amp;CSC=Y&amp;PAGE=toc&amp;D=yrovft&amp;AN=00009577-000000000-00000")</f>
        <v>https://ovidsp.ovid.com/ovidweb.cgi?T=JS&amp;NEWS=n&amp;CSC=Y&amp;PAGE=toc&amp;D=yrovft&amp;AN=00009577-000000000-00000</v>
      </c>
      <c r="M186" t="s">
        <v>3302</v>
      </c>
      <c r="N186" t="s">
        <v>2424</v>
      </c>
      <c r="O186" t="s">
        <v>174</v>
      </c>
      <c r="P186" t="b">
        <v>0</v>
      </c>
      <c r="Q186" t="s">
        <v>2424</v>
      </c>
    </row>
    <row r="187" spans="1:17" x14ac:dyDescent="0.35">
      <c r="A187" t="s">
        <v>805</v>
      </c>
      <c r="B187" t="s">
        <v>917</v>
      </c>
      <c r="C187" t="s">
        <v>2229</v>
      </c>
      <c r="D187" t="s">
        <v>50</v>
      </c>
      <c r="E187">
        <v>20</v>
      </c>
      <c r="F187">
        <v>4</v>
      </c>
      <c r="G187">
        <v>29</v>
      </c>
      <c r="H187">
        <v>3</v>
      </c>
      <c r="I187" t="s">
        <v>3354</v>
      </c>
      <c r="J187" t="s">
        <v>3802</v>
      </c>
      <c r="K187" t="s">
        <v>3523</v>
      </c>
      <c r="L187" s="1" t="str">
        <f>HYPERLINK("https://ovidsp.ovid.com/ovidweb.cgi?T=JS&amp;NEWS=n&amp;CSC=Y&amp;PAGE=toc&amp;D=yrovft&amp;AN=00004347-000000000-00000","https://ovidsp.ovid.com/ovidweb.cgi?T=JS&amp;NEWS=n&amp;CSC=Y&amp;PAGE=toc&amp;D=yrovft&amp;AN=00004347-000000000-00000")</f>
        <v>https://ovidsp.ovid.com/ovidweb.cgi?T=JS&amp;NEWS=n&amp;CSC=Y&amp;PAGE=toc&amp;D=yrovft&amp;AN=00004347-000000000-00000</v>
      </c>
      <c r="M187" t="s">
        <v>2106</v>
      </c>
      <c r="N187" t="s">
        <v>2424</v>
      </c>
      <c r="O187" t="s">
        <v>1698</v>
      </c>
      <c r="P187" t="b">
        <v>1</v>
      </c>
      <c r="Q187" t="s">
        <v>3332</v>
      </c>
    </row>
    <row r="188" spans="1:17" x14ac:dyDescent="0.35">
      <c r="A188" t="s">
        <v>670</v>
      </c>
      <c r="B188" t="s">
        <v>1162</v>
      </c>
      <c r="C188" t="s">
        <v>1257</v>
      </c>
      <c r="D188" t="s">
        <v>3214</v>
      </c>
      <c r="E188">
        <v>9</v>
      </c>
      <c r="F188">
        <v>1</v>
      </c>
      <c r="G188">
        <v>9</v>
      </c>
      <c r="H188">
        <v>4</v>
      </c>
      <c r="I188" t="s">
        <v>342</v>
      </c>
      <c r="J188" t="s">
        <v>2671</v>
      </c>
      <c r="K188" t="s">
        <v>2957</v>
      </c>
      <c r="L188" s="1" t="str">
        <f>HYPERLINK("https://ovidsp.ovid.com/ovidweb.cgi?T=JS&amp;NEWS=n&amp;CSC=Y&amp;PAGE=toc&amp;D=yrovft&amp;AN=00133323-000000000-00000","https://ovidsp.ovid.com/ovidweb.cgi?T=JS&amp;NEWS=n&amp;CSC=Y&amp;PAGE=toc&amp;D=yrovft&amp;AN=00133323-000000000-00000")</f>
        <v>https://ovidsp.ovid.com/ovidweb.cgi?T=JS&amp;NEWS=n&amp;CSC=Y&amp;PAGE=toc&amp;D=yrovft&amp;AN=00133323-000000000-00000</v>
      </c>
      <c r="M188" t="s">
        <v>2680</v>
      </c>
      <c r="N188" t="s">
        <v>2424</v>
      </c>
      <c r="O188" t="s">
        <v>62</v>
      </c>
      <c r="P188" t="b">
        <v>0</v>
      </c>
      <c r="Q188" t="s">
        <v>2424</v>
      </c>
    </row>
    <row r="189" spans="1:17" x14ac:dyDescent="0.35">
      <c r="A189" t="s">
        <v>2495</v>
      </c>
      <c r="B189" t="s">
        <v>2999</v>
      </c>
      <c r="C189" t="s">
        <v>2392</v>
      </c>
      <c r="D189" t="s">
        <v>3649</v>
      </c>
      <c r="E189">
        <v>8</v>
      </c>
      <c r="F189">
        <v>2</v>
      </c>
      <c r="G189">
        <v>10</v>
      </c>
      <c r="H189">
        <v>2</v>
      </c>
      <c r="I189" t="s">
        <v>3297</v>
      </c>
      <c r="J189" t="s">
        <v>2863</v>
      </c>
      <c r="K189" t="s">
        <v>2026</v>
      </c>
      <c r="L189" s="1" t="str">
        <f>HYPERLINK("https://ovidsp.ovid.com/ovidweb.cgi?T=JS&amp;NEWS=n&amp;CSC=Y&amp;PAGE=toc&amp;D=yrovft&amp;AN=00063413-000000000-00000","https://ovidsp.ovid.com/ovidweb.cgi?T=JS&amp;NEWS=n&amp;CSC=Y&amp;PAGE=toc&amp;D=yrovft&amp;AN=00063413-000000000-00000")</f>
        <v>https://ovidsp.ovid.com/ovidweb.cgi?T=JS&amp;NEWS=n&amp;CSC=Y&amp;PAGE=toc&amp;D=yrovft&amp;AN=00063413-000000000-00000</v>
      </c>
      <c r="M189" t="s">
        <v>2850</v>
      </c>
      <c r="N189" t="s">
        <v>2424</v>
      </c>
      <c r="O189" t="s">
        <v>2616</v>
      </c>
      <c r="P189" t="b">
        <v>1</v>
      </c>
      <c r="Q189" t="s">
        <v>3543</v>
      </c>
    </row>
    <row r="190" spans="1:17" x14ac:dyDescent="0.35">
      <c r="A190" t="s">
        <v>1781</v>
      </c>
      <c r="B190" t="s">
        <v>1341</v>
      </c>
      <c r="C190" t="s">
        <v>2242</v>
      </c>
      <c r="D190" t="s">
        <v>50</v>
      </c>
      <c r="E190">
        <v>26</v>
      </c>
      <c r="F190">
        <v>2</v>
      </c>
      <c r="G190">
        <v>33</v>
      </c>
      <c r="H190">
        <v>1</v>
      </c>
      <c r="I190" t="s">
        <v>2924</v>
      </c>
      <c r="J190" t="s">
        <v>1895</v>
      </c>
      <c r="K190" t="s">
        <v>2939</v>
      </c>
      <c r="L190" s="1" t="str">
        <f>HYPERLINK("https://ovidsp.ovid.com/ovidweb.cgi?T=JS&amp;NEWS=n&amp;CSC=Y&amp;PAGE=toc&amp;D=yrovft&amp;AN=00004356-000000000-00000","https://ovidsp.ovid.com/ovidweb.cgi?T=JS&amp;NEWS=n&amp;CSC=Y&amp;PAGE=toc&amp;D=yrovft&amp;AN=00004356-000000000-00000")</f>
        <v>https://ovidsp.ovid.com/ovidweb.cgi?T=JS&amp;NEWS=n&amp;CSC=Y&amp;PAGE=toc&amp;D=yrovft&amp;AN=00004356-000000000-00000</v>
      </c>
      <c r="M190" t="s">
        <v>1664</v>
      </c>
      <c r="N190" t="s">
        <v>2424</v>
      </c>
      <c r="O190" t="s">
        <v>2388</v>
      </c>
      <c r="P190" t="b">
        <v>1</v>
      </c>
      <c r="Q190" t="s">
        <v>1861</v>
      </c>
    </row>
    <row r="191" spans="1:17" x14ac:dyDescent="0.35">
      <c r="A191" t="s">
        <v>580</v>
      </c>
      <c r="B191" t="s">
        <v>1205</v>
      </c>
      <c r="C191" t="s">
        <v>2424</v>
      </c>
      <c r="D191" t="s">
        <v>2591</v>
      </c>
      <c r="E191">
        <v>13</v>
      </c>
      <c r="F191">
        <v>2</v>
      </c>
      <c r="G191">
        <v>15</v>
      </c>
      <c r="H191">
        <v>2</v>
      </c>
      <c r="I191" t="s">
        <v>2865</v>
      </c>
      <c r="J191" t="s">
        <v>3162</v>
      </c>
      <c r="K191" t="s">
        <v>3425</v>
      </c>
      <c r="L191" s="1" t="str">
        <f>HYPERLINK("https://ovidsp.ovid.com/ovidweb.cgi?T=JS&amp;NEWS=n&amp;CSC=Y&amp;PAGE=toc&amp;D=yrovft&amp;AN=00001604-000000000-00000","https://ovidsp.ovid.com/ovidweb.cgi?T=JS&amp;NEWS=n&amp;CSC=Y&amp;PAGE=toc&amp;D=yrovft&amp;AN=00001604-000000000-00000")</f>
        <v>https://ovidsp.ovid.com/ovidweb.cgi?T=JS&amp;NEWS=n&amp;CSC=Y&amp;PAGE=toc&amp;D=yrovft&amp;AN=00001604-000000000-00000</v>
      </c>
      <c r="M191" t="s">
        <v>3677</v>
      </c>
      <c r="N191" t="s">
        <v>2424</v>
      </c>
      <c r="O191" t="s">
        <v>2636</v>
      </c>
      <c r="P191" t="b">
        <v>0</v>
      </c>
      <c r="Q191" t="s">
        <v>2424</v>
      </c>
    </row>
    <row r="192" spans="1:17" x14ac:dyDescent="0.35">
      <c r="A192" t="s">
        <v>2825</v>
      </c>
      <c r="B192" t="s">
        <v>435</v>
      </c>
      <c r="C192" t="s">
        <v>3329</v>
      </c>
      <c r="D192" t="s">
        <v>50</v>
      </c>
      <c r="E192">
        <v>41</v>
      </c>
      <c r="F192">
        <v>3</v>
      </c>
      <c r="G192">
        <v>50</v>
      </c>
      <c r="H192">
        <v>2</v>
      </c>
      <c r="I192" t="s">
        <v>1794</v>
      </c>
      <c r="J192" t="s">
        <v>3608</v>
      </c>
      <c r="K192" t="s">
        <v>2461</v>
      </c>
      <c r="L192" s="1" t="str">
        <f>HYPERLINK("https://ovidsp.ovid.com/ovidweb.cgi?T=JS&amp;NEWS=n&amp;CSC=Y&amp;PAGE=toc&amp;D=yrovft&amp;AN=00004397-000000000-00000","https://ovidsp.ovid.com/ovidweb.cgi?T=JS&amp;NEWS=n&amp;CSC=Y&amp;PAGE=toc&amp;D=yrovft&amp;AN=00004397-000000000-00000")</f>
        <v>https://ovidsp.ovid.com/ovidweb.cgi?T=JS&amp;NEWS=n&amp;CSC=Y&amp;PAGE=toc&amp;D=yrovft&amp;AN=00004397-000000000-00000</v>
      </c>
      <c r="M192" t="s">
        <v>1403</v>
      </c>
      <c r="N192" t="s">
        <v>2424</v>
      </c>
      <c r="O192" t="s">
        <v>2761</v>
      </c>
      <c r="P192" t="b">
        <v>0</v>
      </c>
      <c r="Q192" t="s">
        <v>2424</v>
      </c>
    </row>
    <row r="193" spans="1:17" x14ac:dyDescent="0.35">
      <c r="A193" t="s">
        <v>3694</v>
      </c>
      <c r="B193" t="s">
        <v>1591</v>
      </c>
      <c r="C193" t="s">
        <v>869</v>
      </c>
      <c r="D193" t="s">
        <v>50</v>
      </c>
      <c r="E193">
        <v>5</v>
      </c>
      <c r="F193">
        <v>1</v>
      </c>
      <c r="G193">
        <v>8</v>
      </c>
      <c r="H193">
        <v>1</v>
      </c>
      <c r="I193" t="s">
        <v>2699</v>
      </c>
      <c r="J193" t="s">
        <v>715</v>
      </c>
      <c r="K193" t="s">
        <v>2939</v>
      </c>
      <c r="L193" s="1" t="str">
        <f>HYPERLINK("https://ovidsp.ovid.com/ovidweb.cgi?T=JS&amp;NEWS=n&amp;CSC=Y&amp;PAGE=toc&amp;D=yrovft&amp;AN=01198282-000000000-00000","https://ovidsp.ovid.com/ovidweb.cgi?T=JS&amp;NEWS=n&amp;CSC=Y&amp;PAGE=toc&amp;D=yrovft&amp;AN=01198282-000000000-00000")</f>
        <v>https://ovidsp.ovid.com/ovidweb.cgi?T=JS&amp;NEWS=n&amp;CSC=Y&amp;PAGE=toc&amp;D=yrovft&amp;AN=01198282-000000000-00000</v>
      </c>
      <c r="M193" t="s">
        <v>2025</v>
      </c>
      <c r="N193" t="s">
        <v>2424</v>
      </c>
      <c r="O193" t="s">
        <v>2672</v>
      </c>
      <c r="P193" t="b">
        <v>1</v>
      </c>
      <c r="Q193" t="s">
        <v>3361</v>
      </c>
    </row>
    <row r="194" spans="1:17" x14ac:dyDescent="0.35">
      <c r="A194" t="s">
        <v>2765</v>
      </c>
      <c r="B194" t="s">
        <v>2035</v>
      </c>
      <c r="C194" t="s">
        <v>9</v>
      </c>
      <c r="D194" t="s">
        <v>50</v>
      </c>
      <c r="E194">
        <v>36</v>
      </c>
      <c r="F194">
        <v>7</v>
      </c>
      <c r="G194">
        <v>50</v>
      </c>
      <c r="H194">
        <v>4</v>
      </c>
      <c r="I194" t="s">
        <v>80</v>
      </c>
      <c r="J194" t="s">
        <v>3608</v>
      </c>
      <c r="K194" t="s">
        <v>1703</v>
      </c>
      <c r="L194" s="1" t="str">
        <f>HYPERLINK("https://ovidsp.ovid.com/ovidweb.cgi?T=JS&amp;NEWS=n&amp;CSC=Y&amp;PAGE=toc&amp;D=yrovft&amp;AN=00004424-000000000-00000","https://ovidsp.ovid.com/ovidweb.cgi?T=JS&amp;NEWS=n&amp;CSC=Y&amp;PAGE=toc&amp;D=yrovft&amp;AN=00004424-000000000-00000")</f>
        <v>https://ovidsp.ovid.com/ovidweb.cgi?T=JS&amp;NEWS=n&amp;CSC=Y&amp;PAGE=toc&amp;D=yrovft&amp;AN=00004424-000000000-00000</v>
      </c>
      <c r="M194" t="s">
        <v>754</v>
      </c>
      <c r="N194" t="s">
        <v>2424</v>
      </c>
      <c r="O194" t="s">
        <v>2300</v>
      </c>
      <c r="P194" t="b">
        <v>1</v>
      </c>
      <c r="Q194" t="s">
        <v>1567</v>
      </c>
    </row>
    <row r="195" spans="1:17" x14ac:dyDescent="0.35">
      <c r="A195" t="s">
        <v>2146</v>
      </c>
      <c r="B195" t="s">
        <v>19</v>
      </c>
      <c r="C195" t="s">
        <v>2397</v>
      </c>
      <c r="D195" t="s">
        <v>50</v>
      </c>
      <c r="E195">
        <v>27</v>
      </c>
      <c r="F195">
        <v>3</v>
      </c>
      <c r="G195">
        <v>68</v>
      </c>
      <c r="H195">
        <v>0</v>
      </c>
      <c r="I195" t="s">
        <v>229</v>
      </c>
      <c r="J195" t="s">
        <v>3608</v>
      </c>
      <c r="K195" t="s">
        <v>3094</v>
      </c>
      <c r="L195" s="1" t="str">
        <f>HYPERLINK("https://ovidsp.ovid.com/ovidweb.cgi?T=JS&amp;NEWS=n&amp;CSC=Y&amp;PAGE=toc&amp;D=yrovft&amp;AN=00126334-000000000-00000","https://ovidsp.ovid.com/ovidweb.cgi?T=JS&amp;NEWS=n&amp;CSC=Y&amp;PAGE=toc&amp;D=yrovft&amp;AN=00126334-000000000-00000")</f>
        <v>https://ovidsp.ovid.com/ovidweb.cgi?T=JS&amp;NEWS=n&amp;CSC=Y&amp;PAGE=toc&amp;D=yrovft&amp;AN=00126334-000000000-00000</v>
      </c>
      <c r="M195" t="s">
        <v>798</v>
      </c>
      <c r="N195" t="s">
        <v>2424</v>
      </c>
      <c r="O195" t="s">
        <v>3184</v>
      </c>
      <c r="P195" t="b">
        <v>1</v>
      </c>
      <c r="Q195" t="s">
        <v>2872</v>
      </c>
    </row>
    <row r="196" spans="1:17" x14ac:dyDescent="0.35">
      <c r="A196" t="s">
        <v>318</v>
      </c>
      <c r="B196" t="s">
        <v>1005</v>
      </c>
      <c r="C196" t="s">
        <v>3629</v>
      </c>
      <c r="D196" t="s">
        <v>2855</v>
      </c>
      <c r="E196">
        <v>31</v>
      </c>
      <c r="F196">
        <v>11</v>
      </c>
      <c r="G196">
        <v>39</v>
      </c>
      <c r="H196">
        <v>12</v>
      </c>
      <c r="I196" t="s">
        <v>2906</v>
      </c>
      <c r="J196" t="s">
        <v>3298</v>
      </c>
      <c r="K196" t="s">
        <v>2957</v>
      </c>
      <c r="L196" s="1" t="str">
        <f>HYPERLINK("https://ovidsp.ovid.com/ovidweb.cgi?T=JS&amp;NEWS=n&amp;CSC=Y&amp;PAGE=toc&amp;D=yrovft&amp;AN=00005422-000000000-00000","https://ovidsp.ovid.com/ovidweb.cgi?T=JS&amp;NEWS=n&amp;CSC=Y&amp;PAGE=toc&amp;D=yrovft&amp;AN=00005422-000000000-00000")</f>
        <v>https://ovidsp.ovid.com/ovidweb.cgi?T=JS&amp;NEWS=n&amp;CSC=Y&amp;PAGE=toc&amp;D=yrovft&amp;AN=00005422-000000000-00000</v>
      </c>
      <c r="M196" t="s">
        <v>2325</v>
      </c>
      <c r="N196" t="s">
        <v>2424</v>
      </c>
      <c r="O196" t="s">
        <v>2479</v>
      </c>
      <c r="P196" t="b">
        <v>1</v>
      </c>
      <c r="Q196" t="s">
        <v>1511</v>
      </c>
    </row>
    <row r="197" spans="1:17" x14ac:dyDescent="0.35">
      <c r="A197" t="s">
        <v>1218</v>
      </c>
      <c r="B197" t="s">
        <v>3439</v>
      </c>
      <c r="C197" t="s">
        <v>3615</v>
      </c>
      <c r="D197" t="s">
        <v>50</v>
      </c>
      <c r="E197">
        <v>6</v>
      </c>
      <c r="F197">
        <v>1</v>
      </c>
      <c r="G197">
        <v>16</v>
      </c>
      <c r="H197">
        <v>3</v>
      </c>
      <c r="I197" t="s">
        <v>1029</v>
      </c>
      <c r="J197" t="s">
        <v>913</v>
      </c>
      <c r="K197" t="s">
        <v>2461</v>
      </c>
      <c r="L197" s="1" t="str">
        <f>HYPERLINK("https://ovidsp.ovid.com/ovidweb.cgi?T=JS&amp;NEWS=n&amp;CSC=Y&amp;PAGE=toc&amp;D=yrovft&amp;AN=00124743-000000000-00000","https://ovidsp.ovid.com/ovidweb.cgi?T=JS&amp;NEWS=n&amp;CSC=Y&amp;PAGE=toc&amp;D=yrovft&amp;AN=00124743-000000000-00000")</f>
        <v>https://ovidsp.ovid.com/ovidweb.cgi?T=JS&amp;NEWS=n&amp;CSC=Y&amp;PAGE=toc&amp;D=yrovft&amp;AN=00124743-000000000-00000</v>
      </c>
      <c r="M197" t="s">
        <v>746</v>
      </c>
      <c r="N197" t="s">
        <v>2424</v>
      </c>
      <c r="O197" t="s">
        <v>2584</v>
      </c>
      <c r="P197" t="b">
        <v>1</v>
      </c>
      <c r="Q197" t="s">
        <v>3132</v>
      </c>
    </row>
    <row r="198" spans="1:17" x14ac:dyDescent="0.35">
      <c r="A198" t="s">
        <v>785</v>
      </c>
      <c r="B198" t="s">
        <v>1537</v>
      </c>
      <c r="C198" t="s">
        <v>1040</v>
      </c>
      <c r="D198" t="s">
        <v>50</v>
      </c>
      <c r="E198">
        <v>31</v>
      </c>
      <c r="F198" t="s">
        <v>393</v>
      </c>
      <c r="G198">
        <v>40</v>
      </c>
      <c r="H198">
        <v>5</v>
      </c>
      <c r="I198" t="s">
        <v>3074</v>
      </c>
      <c r="J198" t="s">
        <v>3608</v>
      </c>
      <c r="K198" t="s">
        <v>3523</v>
      </c>
      <c r="L198" s="1" t="str">
        <f>HYPERLINK("https://ovidsp.ovid.com/ovidweb.cgi?T=JS&amp;NEWS=n&amp;CSC=Y&amp;PAGE=toc&amp;D=yrovft&amp;AN=00005110-000000000-00000","https://ovidsp.ovid.com/ovidweb.cgi?T=JS&amp;NEWS=n&amp;CSC=Y&amp;PAGE=toc&amp;D=yrovft&amp;AN=00005110-000000000-00000")</f>
        <v>https://ovidsp.ovid.com/ovidweb.cgi?T=JS&amp;NEWS=n&amp;CSC=Y&amp;PAGE=toc&amp;D=yrovft&amp;AN=00005110-000000000-00000</v>
      </c>
      <c r="M198" t="s">
        <v>1774</v>
      </c>
      <c r="N198" t="s">
        <v>2424</v>
      </c>
      <c r="O198" t="s">
        <v>2463</v>
      </c>
      <c r="P198" t="b">
        <v>0</v>
      </c>
      <c r="Q198" t="s">
        <v>2424</v>
      </c>
    </row>
    <row r="199" spans="1:17" x14ac:dyDescent="0.35">
      <c r="A199" t="s">
        <v>1626</v>
      </c>
      <c r="B199" t="s">
        <v>1208</v>
      </c>
      <c r="C199" t="s">
        <v>1621</v>
      </c>
      <c r="D199" t="s">
        <v>50</v>
      </c>
      <c r="E199">
        <v>5</v>
      </c>
      <c r="F199">
        <v>2</v>
      </c>
      <c r="G199">
        <v>12</v>
      </c>
      <c r="H199">
        <v>1</v>
      </c>
      <c r="I199" t="s">
        <v>875</v>
      </c>
      <c r="J199" t="s">
        <v>1895</v>
      </c>
      <c r="K199" t="s">
        <v>840</v>
      </c>
      <c r="L199" s="1" t="str">
        <f>HYPERLINK("https://ovidsp.ovid.com/ovidweb.cgi?T=JS&amp;NEWS=n&amp;CSC=Y&amp;PAGE=toc&amp;D=yrovft&amp;AN=00128488-000000000-00000","https://ovidsp.ovid.com/ovidweb.cgi?T=JS&amp;NEWS=n&amp;CSC=Y&amp;PAGE=toc&amp;D=yrovft&amp;AN=00128488-000000000-00000")</f>
        <v>https://ovidsp.ovid.com/ovidweb.cgi?T=JS&amp;NEWS=n&amp;CSC=Y&amp;PAGE=toc&amp;D=yrovft&amp;AN=00128488-000000000-00000</v>
      </c>
      <c r="M199" t="s">
        <v>1272</v>
      </c>
      <c r="N199" t="s">
        <v>2424</v>
      </c>
      <c r="O199" t="s">
        <v>1448</v>
      </c>
      <c r="P199" t="b">
        <v>0</v>
      </c>
      <c r="Q199" t="s">
        <v>2424</v>
      </c>
    </row>
    <row r="200" spans="1:17" x14ac:dyDescent="0.35">
      <c r="A200" t="s">
        <v>1086</v>
      </c>
      <c r="B200" t="s">
        <v>3027</v>
      </c>
      <c r="C200" t="s">
        <v>3330</v>
      </c>
      <c r="D200" t="s">
        <v>50</v>
      </c>
      <c r="E200">
        <v>17</v>
      </c>
      <c r="F200">
        <v>4</v>
      </c>
      <c r="G200">
        <v>26</v>
      </c>
      <c r="H200">
        <v>2</v>
      </c>
      <c r="I200" t="s">
        <v>2599</v>
      </c>
      <c r="J200" t="s">
        <v>3608</v>
      </c>
      <c r="K200" t="s">
        <v>2939</v>
      </c>
      <c r="L200" s="1" t="str">
        <f>HYPERLINK("https://ovidsp.ovid.com/ovidweb.cgi?T=JS&amp;NEWS=n&amp;CSC=Y&amp;PAGE=toc&amp;D=yrovft&amp;AN=00124645-000000000-00000","https://ovidsp.ovid.com/ovidweb.cgi?T=JS&amp;NEWS=n&amp;CSC=Y&amp;PAGE=toc&amp;D=yrovft&amp;AN=00124645-000000000-00000")</f>
        <v>https://ovidsp.ovid.com/ovidweb.cgi?T=JS&amp;NEWS=n&amp;CSC=Y&amp;PAGE=toc&amp;D=yrovft&amp;AN=00124645-000000000-00000</v>
      </c>
      <c r="M200" t="s">
        <v>977</v>
      </c>
      <c r="N200" t="s">
        <v>2424</v>
      </c>
      <c r="O200" t="s">
        <v>895</v>
      </c>
      <c r="P200" t="b">
        <v>0</v>
      </c>
      <c r="Q200" t="s">
        <v>2424</v>
      </c>
    </row>
    <row r="201" spans="1:17" x14ac:dyDescent="0.35">
      <c r="A201" t="s">
        <v>2269</v>
      </c>
      <c r="B201" t="s">
        <v>1273</v>
      </c>
      <c r="C201" t="s">
        <v>1396</v>
      </c>
      <c r="D201" t="s">
        <v>50</v>
      </c>
      <c r="E201">
        <v>1</v>
      </c>
      <c r="F201">
        <v>1</v>
      </c>
      <c r="G201">
        <v>4</v>
      </c>
      <c r="H201">
        <v>1</v>
      </c>
      <c r="I201" t="s">
        <v>2699</v>
      </c>
      <c r="J201" t="s">
        <v>715</v>
      </c>
      <c r="K201" t="s">
        <v>2939</v>
      </c>
      <c r="L201" s="1" t="str">
        <f>HYPERLINK("https://ovidsp.ovid.com/ovidweb.cgi?T=JS&amp;NEWS=n&amp;CSC=Y&amp;PAGE=toc&amp;D=yrovft&amp;AN=01271255-000000000-00000","https://ovidsp.ovid.com/ovidweb.cgi?T=JS&amp;NEWS=n&amp;CSC=Y&amp;PAGE=toc&amp;D=yrovft&amp;AN=01271255-000000000-00000")</f>
        <v>https://ovidsp.ovid.com/ovidweb.cgi?T=JS&amp;NEWS=n&amp;CSC=Y&amp;PAGE=toc&amp;D=yrovft&amp;AN=01271255-000000000-00000</v>
      </c>
      <c r="M201" t="s">
        <v>2582</v>
      </c>
      <c r="N201" t="s">
        <v>2424</v>
      </c>
      <c r="O201" t="s">
        <v>1747</v>
      </c>
      <c r="P201" t="b">
        <v>1</v>
      </c>
      <c r="Q201" t="s">
        <v>2018</v>
      </c>
    </row>
    <row r="202" spans="1:17" x14ac:dyDescent="0.35">
      <c r="A202" t="s">
        <v>619</v>
      </c>
      <c r="B202" t="s">
        <v>1521</v>
      </c>
      <c r="C202" t="s">
        <v>908</v>
      </c>
      <c r="D202" t="s">
        <v>3649</v>
      </c>
      <c r="E202">
        <v>31</v>
      </c>
      <c r="F202">
        <v>5</v>
      </c>
      <c r="G202">
        <v>50</v>
      </c>
      <c r="H202">
        <v>4</v>
      </c>
      <c r="I202" t="s">
        <v>3278</v>
      </c>
      <c r="J202" t="s">
        <v>1155</v>
      </c>
      <c r="K202" t="s">
        <v>1301</v>
      </c>
      <c r="L202" s="1" t="str">
        <f>HYPERLINK("https://ovidsp.ovid.com/ovidweb.cgi?T=JS&amp;NEWS=n&amp;CSC=Y&amp;PAGE=toc&amp;D=yrovft&amp;AN=00004471-000000000-00000","https://ovidsp.ovid.com/ovidweb.cgi?T=JS&amp;NEWS=n&amp;CSC=Y&amp;PAGE=toc&amp;D=yrovft&amp;AN=00004471-000000000-00000")</f>
        <v>https://ovidsp.ovid.com/ovidweb.cgi?T=JS&amp;NEWS=n&amp;CSC=Y&amp;PAGE=toc&amp;D=yrovft&amp;AN=00004471-000000000-00000</v>
      </c>
      <c r="M202" t="s">
        <v>3495</v>
      </c>
      <c r="N202" t="s">
        <v>2424</v>
      </c>
      <c r="O202" t="s">
        <v>870</v>
      </c>
      <c r="P202" t="b">
        <v>1</v>
      </c>
      <c r="Q202" t="s">
        <v>2484</v>
      </c>
    </row>
    <row r="203" spans="1:17" x14ac:dyDescent="0.35">
      <c r="A203" t="s">
        <v>1413</v>
      </c>
      <c r="B203" t="s">
        <v>3743</v>
      </c>
      <c r="C203" t="s">
        <v>568</v>
      </c>
      <c r="D203" t="s">
        <v>50</v>
      </c>
      <c r="E203">
        <v>26</v>
      </c>
      <c r="F203">
        <v>2</v>
      </c>
      <c r="G203">
        <v>33</v>
      </c>
      <c r="H203">
        <v>2</v>
      </c>
      <c r="I203" t="s">
        <v>3594</v>
      </c>
      <c r="J203" t="s">
        <v>2069</v>
      </c>
      <c r="K203" t="s">
        <v>2461</v>
      </c>
      <c r="L203" s="1" t="str">
        <f>HYPERLINK("https://ovidsp.ovid.com/ovidweb.cgi?T=JS&amp;NEWS=n&amp;CSC=Y&amp;PAGE=toc&amp;D=yrovft&amp;AN=00004479-000000000-00000","https://ovidsp.ovid.com/ovidweb.cgi?T=JS&amp;NEWS=n&amp;CSC=Y&amp;PAGE=toc&amp;D=yrovft&amp;AN=00004479-000000000-00000")</f>
        <v>https://ovidsp.ovid.com/ovidweb.cgi?T=JS&amp;NEWS=n&amp;CSC=Y&amp;PAGE=toc&amp;D=yrovft&amp;AN=00004479-000000000-00000</v>
      </c>
      <c r="M203" t="s">
        <v>2081</v>
      </c>
      <c r="N203" t="s">
        <v>2424</v>
      </c>
      <c r="O203" t="s">
        <v>225</v>
      </c>
      <c r="P203" t="b">
        <v>1</v>
      </c>
      <c r="Q203" t="s">
        <v>2400</v>
      </c>
    </row>
    <row r="204" spans="1:17" x14ac:dyDescent="0.35">
      <c r="A204" t="s">
        <v>729</v>
      </c>
      <c r="B204" t="s">
        <v>2487</v>
      </c>
      <c r="C204" t="s">
        <v>419</v>
      </c>
      <c r="D204" t="s">
        <v>2855</v>
      </c>
      <c r="E204">
        <v>63</v>
      </c>
      <c r="F204">
        <v>2</v>
      </c>
      <c r="G204">
        <v>65</v>
      </c>
      <c r="H204">
        <v>1</v>
      </c>
      <c r="I204" t="s">
        <v>2485</v>
      </c>
      <c r="J204" t="s">
        <v>2568</v>
      </c>
      <c r="K204" t="s">
        <v>840</v>
      </c>
      <c r="L204" s="1" t="str">
        <f>HYPERLINK("https://ovidsp.ovid.com/ovidweb.cgi?T=JS&amp;NEWS=n&amp;CSC=Y&amp;PAGE=toc&amp;D=yrovft&amp;AN=00004548-000000000-00000","https://ovidsp.ovid.com/ovidweb.cgi?T=JS&amp;NEWS=n&amp;CSC=Y&amp;PAGE=toc&amp;D=yrovft&amp;AN=00004548-000000000-00000")</f>
        <v>https://ovidsp.ovid.com/ovidweb.cgi?T=JS&amp;NEWS=n&amp;CSC=Y&amp;PAGE=toc&amp;D=yrovft&amp;AN=00004548-000000000-00000</v>
      </c>
      <c r="M204" t="s">
        <v>1361</v>
      </c>
      <c r="N204" t="s">
        <v>2424</v>
      </c>
      <c r="O204" t="s">
        <v>3416</v>
      </c>
      <c r="P204" t="b">
        <v>1</v>
      </c>
      <c r="Q204" t="s">
        <v>2902</v>
      </c>
    </row>
    <row r="205" spans="1:17" x14ac:dyDescent="0.35">
      <c r="A205" t="s">
        <v>163</v>
      </c>
      <c r="B205" t="s">
        <v>1072</v>
      </c>
      <c r="C205" t="s">
        <v>2424</v>
      </c>
      <c r="D205" t="s">
        <v>2855</v>
      </c>
      <c r="E205">
        <v>145</v>
      </c>
      <c r="F205">
        <v>1</v>
      </c>
      <c r="G205">
        <v>146</v>
      </c>
      <c r="H205">
        <v>6</v>
      </c>
      <c r="I205" t="s">
        <v>1517</v>
      </c>
      <c r="J205" t="s">
        <v>3622</v>
      </c>
      <c r="K205" t="s">
        <v>2957</v>
      </c>
      <c r="L205" s="1" t="str">
        <f>HYPERLINK("https://ovidsp.ovid.com/ovidweb.cgi?T=JS&amp;NEWS=n&amp;CSC=Y&amp;PAGE=toc&amp;D=yrovft&amp;AN=00004606-000000000-00000","https://ovidsp.ovid.com/ovidweb.cgi?T=JS&amp;NEWS=n&amp;CSC=Y&amp;PAGE=toc&amp;D=yrovft&amp;AN=00004606-000000000-00000")</f>
        <v>https://ovidsp.ovid.com/ovidweb.cgi?T=JS&amp;NEWS=n&amp;CSC=Y&amp;PAGE=toc&amp;D=yrovft&amp;AN=00004606-000000000-00000</v>
      </c>
      <c r="M205" t="s">
        <v>1972</v>
      </c>
      <c r="N205" t="s">
        <v>2424</v>
      </c>
      <c r="O205" t="s">
        <v>2966</v>
      </c>
      <c r="P205" t="b">
        <v>1</v>
      </c>
      <c r="Q205" t="s">
        <v>1446</v>
      </c>
    </row>
    <row r="206" spans="1:17" x14ac:dyDescent="0.35">
      <c r="A206" t="s">
        <v>2007</v>
      </c>
      <c r="B206" t="s">
        <v>181</v>
      </c>
      <c r="C206" t="s">
        <v>1865</v>
      </c>
      <c r="D206" t="s">
        <v>50</v>
      </c>
      <c r="E206">
        <v>84</v>
      </c>
      <c r="F206">
        <v>2</v>
      </c>
      <c r="G206">
        <v>86</v>
      </c>
      <c r="H206">
        <v>3</v>
      </c>
      <c r="I206" t="s">
        <v>968</v>
      </c>
      <c r="J206" t="s">
        <v>3162</v>
      </c>
      <c r="K206" t="s">
        <v>1992</v>
      </c>
      <c r="L206" s="1" t="str">
        <f>HYPERLINK("https://ovidsp.ovid.com/ovidweb.cgi?T=JS&amp;NEWS=n&amp;CSC=Y&amp;PAGE=toc&amp;D=yrovft&amp;AN=00004623-000000000-00000","https://ovidsp.ovid.com/ovidweb.cgi?T=JS&amp;NEWS=n&amp;CSC=Y&amp;PAGE=toc&amp;D=yrovft&amp;AN=00004623-000000000-00000")</f>
        <v>https://ovidsp.ovid.com/ovidweb.cgi?T=JS&amp;NEWS=n&amp;CSC=Y&amp;PAGE=toc&amp;D=yrovft&amp;AN=00004623-000000000-00000</v>
      </c>
      <c r="M206" t="s">
        <v>2326</v>
      </c>
      <c r="N206" t="s">
        <v>2424</v>
      </c>
      <c r="O206" t="s">
        <v>2270</v>
      </c>
      <c r="P206" t="b">
        <v>1</v>
      </c>
      <c r="Q206" t="s">
        <v>1353</v>
      </c>
    </row>
    <row r="207" spans="1:17" x14ac:dyDescent="0.35">
      <c r="A207" t="s">
        <v>3202</v>
      </c>
      <c r="B207" t="s">
        <v>1821</v>
      </c>
      <c r="C207" t="s">
        <v>3585</v>
      </c>
      <c r="D207" t="s">
        <v>1148</v>
      </c>
      <c r="E207" t="s">
        <v>1610</v>
      </c>
      <c r="F207">
        <v>8</v>
      </c>
      <c r="G207" t="s">
        <v>3082</v>
      </c>
      <c r="H207">
        <v>12</v>
      </c>
      <c r="I207" t="s">
        <v>2149</v>
      </c>
      <c r="J207" t="s">
        <v>3298</v>
      </c>
      <c r="K207" t="s">
        <v>3324</v>
      </c>
      <c r="L207" s="1" t="str">
        <f>HYPERLINK("https://ovidsp.ovid.com/ovidweb.cgi?T=JS&amp;NEWS=n&amp;CSC=Y&amp;PAGE=toc&amp;D=yrovft&amp;AN=00004624-000000000-00000","https://ovidsp.ovid.com/ovidweb.cgi?T=JS&amp;NEWS=n&amp;CSC=Y&amp;PAGE=toc&amp;D=yrovft&amp;AN=00004624-000000000-00000")</f>
        <v>https://ovidsp.ovid.com/ovidweb.cgi?T=JS&amp;NEWS=n&amp;CSC=Y&amp;PAGE=toc&amp;D=yrovft&amp;AN=00004624-000000000-00000</v>
      </c>
      <c r="M207" t="s">
        <v>1708</v>
      </c>
      <c r="N207" t="s">
        <v>2424</v>
      </c>
      <c r="O207" t="s">
        <v>2691</v>
      </c>
      <c r="P207" t="b">
        <v>0</v>
      </c>
      <c r="Q207" t="s">
        <v>2424</v>
      </c>
    </row>
    <row r="208" spans="1:17" x14ac:dyDescent="0.35">
      <c r="A208" t="s">
        <v>3283</v>
      </c>
      <c r="B208" t="s">
        <v>2028</v>
      </c>
      <c r="C208" t="s">
        <v>442</v>
      </c>
      <c r="D208" t="s">
        <v>50</v>
      </c>
      <c r="E208">
        <v>10</v>
      </c>
      <c r="F208">
        <v>2</v>
      </c>
      <c r="G208">
        <v>15</v>
      </c>
      <c r="H208">
        <v>4</v>
      </c>
      <c r="I208" t="s">
        <v>1315</v>
      </c>
      <c r="J208" t="s">
        <v>2069</v>
      </c>
      <c r="K208" t="s">
        <v>1731</v>
      </c>
      <c r="L208" s="1" t="str">
        <f>HYPERLINK("https://ovidsp.ovid.com/ovidweb.cgi?T=JS&amp;NEWS=n&amp;CSC=Y&amp;PAGE=toc&amp;D=yrovft&amp;AN=00128594-000000000-00000","https://ovidsp.ovid.com/ovidweb.cgi?T=JS&amp;NEWS=n&amp;CSC=Y&amp;PAGE=toc&amp;D=yrovft&amp;AN=00128594-000000000-00000")</f>
        <v>https://ovidsp.ovid.com/ovidweb.cgi?T=JS&amp;NEWS=n&amp;CSC=Y&amp;PAGE=toc&amp;D=yrovft&amp;AN=00128594-000000000-00000</v>
      </c>
      <c r="M208" t="s">
        <v>1641</v>
      </c>
      <c r="N208" t="s">
        <v>2424</v>
      </c>
      <c r="O208" t="s">
        <v>2703</v>
      </c>
      <c r="P208" t="b">
        <v>0</v>
      </c>
      <c r="Q208" t="s">
        <v>2424</v>
      </c>
    </row>
    <row r="209" spans="1:17" x14ac:dyDescent="0.35">
      <c r="A209" t="s">
        <v>2222</v>
      </c>
      <c r="B209" t="s">
        <v>3761</v>
      </c>
      <c r="C209" t="s">
        <v>442</v>
      </c>
      <c r="D209" t="s">
        <v>50</v>
      </c>
      <c r="E209">
        <v>16</v>
      </c>
      <c r="F209">
        <v>1</v>
      </c>
      <c r="G209">
        <v>17</v>
      </c>
      <c r="H209">
        <v>1</v>
      </c>
      <c r="I209" t="s">
        <v>3092</v>
      </c>
      <c r="J209" t="s">
        <v>3622</v>
      </c>
      <c r="K209" t="s">
        <v>840</v>
      </c>
      <c r="L209" s="1" t="str">
        <f>HYPERLINK("https://ovidsp.ovid.com/ovidweb.cgi?T=JS&amp;NEWS=n&amp;CSC=Y&amp;PAGE=toc&amp;D=yrovft&amp;AN=01436970-000000000-00000","https://ovidsp.ovid.com/ovidweb.cgi?T=JS&amp;NEWS=n&amp;CSC=Y&amp;PAGE=toc&amp;D=yrovft&amp;AN=01436970-000000000-00000")</f>
        <v>https://ovidsp.ovid.com/ovidweb.cgi?T=JS&amp;NEWS=n&amp;CSC=Y&amp;PAGE=toc&amp;D=yrovft&amp;AN=01436970-000000000-00000</v>
      </c>
      <c r="M209" t="s">
        <v>2881</v>
      </c>
      <c r="N209" t="s">
        <v>2424</v>
      </c>
      <c r="O209" t="s">
        <v>1221</v>
      </c>
      <c r="P209" t="b">
        <v>1</v>
      </c>
      <c r="Q209" t="s">
        <v>3021</v>
      </c>
    </row>
    <row r="210" spans="1:17" x14ac:dyDescent="0.35">
      <c r="A210" t="s">
        <v>257</v>
      </c>
      <c r="B210" t="s">
        <v>2692</v>
      </c>
      <c r="C210" t="s">
        <v>385</v>
      </c>
      <c r="D210" t="s">
        <v>50</v>
      </c>
      <c r="E210">
        <v>24</v>
      </c>
      <c r="F210">
        <v>0</v>
      </c>
      <c r="G210">
        <v>25</v>
      </c>
      <c r="H210">
        <v>6</v>
      </c>
      <c r="I210" t="s">
        <v>2297</v>
      </c>
      <c r="J210" t="s">
        <v>2581</v>
      </c>
      <c r="K210" t="s">
        <v>2287</v>
      </c>
      <c r="L210" s="1" t="str">
        <f>HYPERLINK("https://ovidsp.ovid.com/ovidweb.cgi?T=JS&amp;NEWS=n&amp;CSC=Y&amp;PAGE=toc&amp;D=yrovft&amp;AN=00004630-000000000-00000","https://ovidsp.ovid.com/ovidweb.cgi?T=JS&amp;NEWS=n&amp;CSC=Y&amp;PAGE=toc&amp;D=yrovft&amp;AN=00004630-000000000-00000")</f>
        <v>https://ovidsp.ovid.com/ovidweb.cgi?T=JS&amp;NEWS=n&amp;CSC=Y&amp;PAGE=toc&amp;D=yrovft&amp;AN=00004630-000000000-00000</v>
      </c>
      <c r="M210" t="s">
        <v>3234</v>
      </c>
      <c r="N210" t="s">
        <v>2424</v>
      </c>
      <c r="O210" t="s">
        <v>1246</v>
      </c>
      <c r="P210" t="b">
        <v>0</v>
      </c>
      <c r="Q210" t="s">
        <v>2424</v>
      </c>
    </row>
    <row r="211" spans="1:17" x14ac:dyDescent="0.35">
      <c r="A211" t="s">
        <v>88</v>
      </c>
      <c r="B211" t="s">
        <v>2267</v>
      </c>
      <c r="C211" t="s">
        <v>385</v>
      </c>
      <c r="D211" t="s">
        <v>50</v>
      </c>
      <c r="E211">
        <v>28</v>
      </c>
      <c r="F211">
        <v>1</v>
      </c>
      <c r="G211">
        <v>36</v>
      </c>
      <c r="H211">
        <v>2</v>
      </c>
      <c r="I211" t="s">
        <v>230</v>
      </c>
      <c r="J211" t="s">
        <v>666</v>
      </c>
      <c r="K211" t="s">
        <v>2722</v>
      </c>
      <c r="L211" s="1" t="str">
        <f>HYPERLINK("https://ovidsp.ovid.com/ovidweb.cgi?T=JS&amp;NEWS=n&amp;CSC=Y&amp;PAGE=toc&amp;D=yrovft&amp;AN=01253092-000000000-00000","https://ovidsp.ovid.com/ovidweb.cgi?T=JS&amp;NEWS=n&amp;CSC=Y&amp;PAGE=toc&amp;D=yrovft&amp;AN=01253092-000000000-00000")</f>
        <v>https://ovidsp.ovid.com/ovidweb.cgi?T=JS&amp;NEWS=n&amp;CSC=Y&amp;PAGE=toc&amp;D=yrovft&amp;AN=01253092-000000000-00000</v>
      </c>
      <c r="M211" t="s">
        <v>970</v>
      </c>
      <c r="N211" t="s">
        <v>2424</v>
      </c>
      <c r="O211" t="s">
        <v>2205</v>
      </c>
      <c r="P211" t="b">
        <v>1</v>
      </c>
      <c r="Q211" t="s">
        <v>876</v>
      </c>
    </row>
    <row r="212" spans="1:17" x14ac:dyDescent="0.35">
      <c r="A212" t="s">
        <v>2840</v>
      </c>
      <c r="B212" t="s">
        <v>1979</v>
      </c>
      <c r="C212" t="s">
        <v>150</v>
      </c>
      <c r="D212" t="s">
        <v>50</v>
      </c>
      <c r="E212">
        <v>21</v>
      </c>
      <c r="F212">
        <v>4</v>
      </c>
      <c r="G212">
        <v>24</v>
      </c>
      <c r="H212">
        <v>5</v>
      </c>
      <c r="I212" t="s">
        <v>3589</v>
      </c>
      <c r="J212" t="s">
        <v>3608</v>
      </c>
      <c r="K212" t="s">
        <v>1002</v>
      </c>
      <c r="L212" s="1" t="str">
        <f>HYPERLINK("https://ovidsp.ovid.com/ovidweb.cgi?T=JS&amp;NEWS=n&amp;CSC=Y&amp;PAGE=toc&amp;D=yrovft&amp;AN=00008483-000000000-00000","https://ovidsp.ovid.com/ovidweb.cgi?T=JS&amp;NEWS=n&amp;CSC=Y&amp;PAGE=toc&amp;D=yrovft&amp;AN=00008483-000000000-00000")</f>
        <v>https://ovidsp.ovid.com/ovidweb.cgi?T=JS&amp;NEWS=n&amp;CSC=Y&amp;PAGE=toc&amp;D=yrovft&amp;AN=00008483-000000000-00000</v>
      </c>
      <c r="M212" t="s">
        <v>3577</v>
      </c>
      <c r="N212" t="s">
        <v>2424</v>
      </c>
      <c r="O212" t="s">
        <v>1977</v>
      </c>
      <c r="P212" t="b">
        <v>0</v>
      </c>
      <c r="Q212" t="s">
        <v>2424</v>
      </c>
    </row>
    <row r="213" spans="1:17" x14ac:dyDescent="0.35">
      <c r="A213" t="s">
        <v>1474</v>
      </c>
      <c r="B213" t="s">
        <v>394</v>
      </c>
      <c r="C213" t="s">
        <v>150</v>
      </c>
      <c r="D213" t="s">
        <v>50</v>
      </c>
      <c r="E213">
        <v>27</v>
      </c>
      <c r="F213">
        <v>1</v>
      </c>
      <c r="G213">
        <v>30</v>
      </c>
      <c r="H213">
        <v>2</v>
      </c>
      <c r="I213" t="s">
        <v>1502</v>
      </c>
      <c r="J213" t="s">
        <v>666</v>
      </c>
      <c r="K213" t="s">
        <v>2939</v>
      </c>
      <c r="L213" s="1" t="str">
        <f>HYPERLINK("https://ovidsp.ovid.com/ovidweb.cgi?T=JS&amp;NEWS=n&amp;CSC=Y&amp;PAGE=toc&amp;D=yrovft&amp;AN=01273116-000000000-00000","https://ovidsp.ovid.com/ovidweb.cgi?T=JS&amp;NEWS=n&amp;CSC=Y&amp;PAGE=toc&amp;D=yrovft&amp;AN=01273116-000000000-00000")</f>
        <v>https://ovidsp.ovid.com/ovidweb.cgi?T=JS&amp;NEWS=n&amp;CSC=Y&amp;PAGE=toc&amp;D=yrovft&amp;AN=01273116-000000000-00000</v>
      </c>
      <c r="M213" t="s">
        <v>997</v>
      </c>
      <c r="N213" t="s">
        <v>2424</v>
      </c>
      <c r="O213" t="s">
        <v>2262</v>
      </c>
      <c r="P213" t="b">
        <v>1</v>
      </c>
      <c r="Q213" t="s">
        <v>1941</v>
      </c>
    </row>
    <row r="214" spans="1:17" x14ac:dyDescent="0.35">
      <c r="A214" t="s">
        <v>2834</v>
      </c>
      <c r="B214" t="s">
        <v>2282</v>
      </c>
      <c r="C214" t="s">
        <v>2481</v>
      </c>
      <c r="D214" t="s">
        <v>50</v>
      </c>
      <c r="E214">
        <v>8</v>
      </c>
      <c r="F214">
        <v>1</v>
      </c>
      <c r="G214">
        <v>11</v>
      </c>
      <c r="H214">
        <v>6</v>
      </c>
      <c r="I214" t="s">
        <v>2949</v>
      </c>
      <c r="J214" t="s">
        <v>666</v>
      </c>
      <c r="K214" t="s">
        <v>2972</v>
      </c>
      <c r="L214" s="1" t="str">
        <f>HYPERLINK("https://ovidsp.ovid.com/ovidweb.cgi?T=JS&amp;NEWS=n&amp;CSC=Y&amp;PAGE=toc&amp;D=yrovft&amp;AN=01244665-000000000-00000","https://ovidsp.ovid.com/ovidweb.cgi?T=JS&amp;NEWS=n&amp;CSC=Y&amp;PAGE=toc&amp;D=yrovft&amp;AN=01244665-000000000-00000")</f>
        <v>https://ovidsp.ovid.com/ovidweb.cgi?T=JS&amp;NEWS=n&amp;CSC=Y&amp;PAGE=toc&amp;D=yrovft&amp;AN=01244665-000000000-00000</v>
      </c>
      <c r="M214" t="s">
        <v>2283</v>
      </c>
      <c r="N214" t="s">
        <v>2424</v>
      </c>
      <c r="O214" t="s">
        <v>3401</v>
      </c>
      <c r="P214" t="b">
        <v>1</v>
      </c>
      <c r="Q214" t="s">
        <v>1490</v>
      </c>
    </row>
    <row r="215" spans="1:17" x14ac:dyDescent="0.35">
      <c r="A215" t="s">
        <v>3108</v>
      </c>
      <c r="B215" t="s">
        <v>3734</v>
      </c>
      <c r="C215" t="s">
        <v>1183</v>
      </c>
      <c r="D215" t="s">
        <v>50</v>
      </c>
      <c r="E215">
        <v>16</v>
      </c>
      <c r="F215">
        <v>3</v>
      </c>
      <c r="G215">
        <v>25</v>
      </c>
      <c r="H215">
        <v>3</v>
      </c>
      <c r="I215" t="s">
        <v>632</v>
      </c>
      <c r="J215" t="s">
        <v>2863</v>
      </c>
      <c r="K215" t="s">
        <v>3523</v>
      </c>
      <c r="L215" s="1" t="str">
        <f>HYPERLINK("https://ovidsp.ovid.com/ovidweb.cgi?T=JS&amp;NEWS=n&amp;CSC=Y&amp;PAGE=toc&amp;D=yrovft&amp;AN=00005082-000000000-00000","https://ovidsp.ovid.com/ovidweb.cgi?T=JS&amp;NEWS=n&amp;CSC=Y&amp;PAGE=toc&amp;D=yrovft&amp;AN=00005082-000000000-00000")</f>
        <v>https://ovidsp.ovid.com/ovidweb.cgi?T=JS&amp;NEWS=n&amp;CSC=Y&amp;PAGE=toc&amp;D=yrovft&amp;AN=00005082-000000000-00000</v>
      </c>
      <c r="M215" t="s">
        <v>3280</v>
      </c>
      <c r="N215" t="s">
        <v>2424</v>
      </c>
      <c r="O215" t="s">
        <v>2984</v>
      </c>
      <c r="P215" t="b">
        <v>1</v>
      </c>
      <c r="Q215" t="s">
        <v>3342</v>
      </c>
    </row>
    <row r="216" spans="1:17" x14ac:dyDescent="0.35">
      <c r="A216" t="s">
        <v>295</v>
      </c>
      <c r="B216" t="s">
        <v>3750</v>
      </c>
      <c r="C216" t="s">
        <v>1984</v>
      </c>
      <c r="D216" t="s">
        <v>50</v>
      </c>
      <c r="E216">
        <v>38</v>
      </c>
      <c r="F216">
        <v>2</v>
      </c>
      <c r="G216">
        <v>65</v>
      </c>
      <c r="H216">
        <v>1</v>
      </c>
      <c r="I216" t="s">
        <v>762</v>
      </c>
      <c r="J216" t="s">
        <v>374</v>
      </c>
      <c r="K216" t="s">
        <v>2340</v>
      </c>
      <c r="L216" s="1" t="str">
        <f>HYPERLINK("https://ovidsp.ovid.com/ovidweb.cgi?T=JS&amp;NEWS=n&amp;CSC=Y&amp;PAGE=toc&amp;D=yrovft&amp;AN=00005344-000000000-00000","https://ovidsp.ovid.com/ovidweb.cgi?T=JS&amp;NEWS=n&amp;CSC=Y&amp;PAGE=toc&amp;D=yrovft&amp;AN=00005344-000000000-00000")</f>
        <v>https://ovidsp.ovid.com/ovidweb.cgi?T=JS&amp;NEWS=n&amp;CSC=Y&amp;PAGE=toc&amp;D=yrovft&amp;AN=00005344-000000000-00000</v>
      </c>
      <c r="M216" t="s">
        <v>1574</v>
      </c>
      <c r="N216" t="s">
        <v>2424</v>
      </c>
      <c r="O216" t="s">
        <v>452</v>
      </c>
      <c r="P216" t="b">
        <v>1</v>
      </c>
      <c r="Q216" t="s">
        <v>2480</v>
      </c>
    </row>
    <row r="217" spans="1:17" x14ac:dyDescent="0.35">
      <c r="A217" t="s">
        <v>665</v>
      </c>
      <c r="B217" t="s">
        <v>1612</v>
      </c>
      <c r="C217" t="s">
        <v>976</v>
      </c>
      <c r="D217" t="s">
        <v>50</v>
      </c>
      <c r="E217">
        <v>24</v>
      </c>
      <c r="F217">
        <v>1</v>
      </c>
      <c r="G217">
        <v>27</v>
      </c>
      <c r="H217">
        <v>2</v>
      </c>
      <c r="I217" t="s">
        <v>1220</v>
      </c>
      <c r="J217" t="s">
        <v>666</v>
      </c>
      <c r="K217" t="s">
        <v>2461</v>
      </c>
      <c r="L217" s="1" t="str">
        <f>HYPERLINK("https://ovidsp.ovid.com/ovidweb.cgi?T=JS&amp;NEWS=n&amp;CSC=Y&amp;PAGE=toc&amp;D=yrovft&amp;AN=00005217-000000000-00000","https://ovidsp.ovid.com/ovidweb.cgi?T=JS&amp;NEWS=n&amp;CSC=Y&amp;PAGE=toc&amp;D=yrovft&amp;AN=00005217-000000000-00000")</f>
        <v>https://ovidsp.ovid.com/ovidweb.cgi?T=JS&amp;NEWS=n&amp;CSC=Y&amp;PAGE=toc&amp;D=yrovft&amp;AN=00005217-000000000-00000</v>
      </c>
      <c r="M217" t="s">
        <v>415</v>
      </c>
      <c r="N217" t="s">
        <v>2424</v>
      </c>
      <c r="O217" t="s">
        <v>1556</v>
      </c>
      <c r="P217" t="b">
        <v>1</v>
      </c>
      <c r="Q217" t="s">
        <v>39</v>
      </c>
    </row>
    <row r="218" spans="1:17" x14ac:dyDescent="0.35">
      <c r="A218" t="s">
        <v>1690</v>
      </c>
      <c r="B218" t="s">
        <v>3437</v>
      </c>
      <c r="C218" t="s">
        <v>1870</v>
      </c>
      <c r="D218" t="s">
        <v>50</v>
      </c>
      <c r="E218">
        <v>27</v>
      </c>
      <c r="F218">
        <v>1</v>
      </c>
      <c r="G218">
        <v>35</v>
      </c>
      <c r="H218">
        <v>2</v>
      </c>
      <c r="I218" t="s">
        <v>3084</v>
      </c>
      <c r="J218" t="s">
        <v>2209</v>
      </c>
      <c r="K218" t="s">
        <v>2461</v>
      </c>
      <c r="L218" s="1" t="str">
        <f>HYPERLINK("https://ovidsp.ovid.com/ovidweb.cgi?T=JS&amp;NEWS=n&amp;CSC=Y&amp;PAGE=toc&amp;D=yrovft&amp;AN=00004669-000000000-00000","https://ovidsp.ovid.com/ovidweb.cgi?T=JS&amp;NEWS=n&amp;CSC=Y&amp;PAGE=toc&amp;D=yrovft&amp;AN=00004669-000000000-00000")</f>
        <v>https://ovidsp.ovid.com/ovidweb.cgi?T=JS&amp;NEWS=n&amp;CSC=Y&amp;PAGE=toc&amp;D=yrovft&amp;AN=00004669-000000000-00000</v>
      </c>
      <c r="M218" t="s">
        <v>2412</v>
      </c>
      <c r="N218" t="s">
        <v>2424</v>
      </c>
      <c r="O218" t="s">
        <v>70</v>
      </c>
      <c r="P218" t="b">
        <v>0</v>
      </c>
      <c r="Q218" t="s">
        <v>2424</v>
      </c>
    </row>
    <row r="219" spans="1:17" x14ac:dyDescent="0.35">
      <c r="A219" t="s">
        <v>1575</v>
      </c>
      <c r="B219" t="s">
        <v>2091</v>
      </c>
      <c r="C219" t="s">
        <v>1971</v>
      </c>
      <c r="D219" t="s">
        <v>50</v>
      </c>
      <c r="E219">
        <v>33</v>
      </c>
      <c r="F219">
        <v>2</v>
      </c>
      <c r="G219">
        <v>44</v>
      </c>
      <c r="H219">
        <v>5</v>
      </c>
      <c r="I219" t="s">
        <v>96</v>
      </c>
      <c r="J219" t="s">
        <v>374</v>
      </c>
      <c r="K219" t="s">
        <v>3523</v>
      </c>
      <c r="L219" s="1" t="str">
        <f>HYPERLINK("https://ovidsp.ovid.com/ovidweb.cgi?T=JS&amp;NEWS=n&amp;CSC=Y&amp;PAGE=toc&amp;D=yrovft&amp;AN=00004836-000000000-00000","https://ovidsp.ovid.com/ovidweb.cgi?T=JS&amp;NEWS=n&amp;CSC=Y&amp;PAGE=toc&amp;D=yrovft&amp;AN=00004836-000000000-00000")</f>
        <v>https://ovidsp.ovid.com/ovidweb.cgi?T=JS&amp;NEWS=n&amp;CSC=Y&amp;PAGE=toc&amp;D=yrovft&amp;AN=00004836-000000000-00000</v>
      </c>
      <c r="M219" t="s">
        <v>1622</v>
      </c>
      <c r="N219" t="s">
        <v>2424</v>
      </c>
      <c r="O219" t="s">
        <v>3133</v>
      </c>
      <c r="P219" t="b">
        <v>1</v>
      </c>
      <c r="Q219" t="s">
        <v>2807</v>
      </c>
    </row>
    <row r="220" spans="1:17" x14ac:dyDescent="0.35">
      <c r="A220" t="s">
        <v>773</v>
      </c>
      <c r="B220" t="s">
        <v>829</v>
      </c>
      <c r="C220" t="s">
        <v>3334</v>
      </c>
      <c r="D220" t="s">
        <v>50</v>
      </c>
      <c r="E220">
        <v>4</v>
      </c>
      <c r="F220">
        <v>3</v>
      </c>
      <c r="G220">
        <v>11</v>
      </c>
      <c r="H220">
        <v>3</v>
      </c>
      <c r="I220" t="s">
        <v>1714</v>
      </c>
      <c r="J220" t="s">
        <v>2581</v>
      </c>
      <c r="K220" t="s">
        <v>2939</v>
      </c>
      <c r="L220" s="1" t="str">
        <f>HYPERLINK("https://ovidsp.ovid.com/ovidweb.cgi?T=JS&amp;NEWS=n&amp;CSC=Y&amp;PAGE=toc&amp;D=yrovft&amp;AN=00131402-000000000-00000","https://ovidsp.ovid.com/ovidweb.cgi?T=JS&amp;NEWS=n&amp;CSC=Y&amp;PAGE=toc&amp;D=yrovft&amp;AN=00131402-000000000-00000")</f>
        <v>https://ovidsp.ovid.com/ovidweb.cgi?T=JS&amp;NEWS=n&amp;CSC=Y&amp;PAGE=toc&amp;D=yrovft&amp;AN=00131402-000000000-00000</v>
      </c>
      <c r="M220" t="s">
        <v>121</v>
      </c>
      <c r="N220" t="s">
        <v>2424</v>
      </c>
      <c r="O220" t="s">
        <v>2096</v>
      </c>
      <c r="P220" t="b">
        <v>0</v>
      </c>
      <c r="Q220" t="s">
        <v>2424</v>
      </c>
    </row>
    <row r="221" spans="1:17" x14ac:dyDescent="0.35">
      <c r="A221" t="s">
        <v>1238</v>
      </c>
      <c r="B221" t="s">
        <v>3805</v>
      </c>
      <c r="C221" t="s">
        <v>2536</v>
      </c>
      <c r="D221" t="s">
        <v>50</v>
      </c>
      <c r="E221">
        <v>18</v>
      </c>
      <c r="F221">
        <v>2</v>
      </c>
      <c r="G221">
        <v>27</v>
      </c>
      <c r="H221">
        <v>2</v>
      </c>
      <c r="I221" t="s">
        <v>3525</v>
      </c>
      <c r="J221" t="s">
        <v>839</v>
      </c>
      <c r="K221" t="s">
        <v>2461</v>
      </c>
      <c r="L221" s="1" t="str">
        <f>HYPERLINK("https://ovidsp.ovid.com/ovidweb.cgi?T=JS&amp;NEWS=n&amp;CSC=Y&amp;PAGE=toc&amp;D=yrovft&amp;AN=00004691-000000000-00000","https://ovidsp.ovid.com/ovidweb.cgi?T=JS&amp;NEWS=n&amp;CSC=Y&amp;PAGE=toc&amp;D=yrovft&amp;AN=00004691-000000000-00000")</f>
        <v>https://ovidsp.ovid.com/ovidweb.cgi?T=JS&amp;NEWS=n&amp;CSC=Y&amp;PAGE=toc&amp;D=yrovft&amp;AN=00004691-000000000-00000</v>
      </c>
      <c r="M221" t="s">
        <v>290</v>
      </c>
      <c r="N221" t="s">
        <v>2424</v>
      </c>
      <c r="O221" t="s">
        <v>1667</v>
      </c>
      <c r="P221" t="b">
        <v>1</v>
      </c>
      <c r="Q221" t="s">
        <v>329</v>
      </c>
    </row>
    <row r="222" spans="1:17" x14ac:dyDescent="0.35">
      <c r="A222" t="s">
        <v>2134</v>
      </c>
      <c r="B222" t="s">
        <v>3625</v>
      </c>
      <c r="C222" t="s">
        <v>37</v>
      </c>
      <c r="D222" t="s">
        <v>3649</v>
      </c>
      <c r="E222">
        <v>11</v>
      </c>
      <c r="F222">
        <v>2</v>
      </c>
      <c r="G222">
        <v>14</v>
      </c>
      <c r="H222">
        <v>5</v>
      </c>
      <c r="I222" t="s">
        <v>2963</v>
      </c>
      <c r="J222" t="s">
        <v>2249</v>
      </c>
      <c r="K222" t="s">
        <v>1301</v>
      </c>
      <c r="L222" s="1" t="str">
        <f>HYPERLINK("https://ovidsp.ovid.com/ovidweb.cgi?T=JS&amp;NEWS=n&amp;CSC=Y&amp;PAGE=toc&amp;D=yrovft&amp;AN=00019038-000000000-00000","https://ovidsp.ovid.com/ovidweb.cgi?T=JS&amp;NEWS=n&amp;CSC=Y&amp;PAGE=toc&amp;D=yrovft&amp;AN=00019038-000000000-00000")</f>
        <v>https://ovidsp.ovid.com/ovidweb.cgi?T=JS&amp;NEWS=n&amp;CSC=Y&amp;PAGE=toc&amp;D=yrovft&amp;AN=00019038-000000000-00000</v>
      </c>
      <c r="M222" t="s">
        <v>992</v>
      </c>
      <c r="N222" t="s">
        <v>2424</v>
      </c>
      <c r="O222" t="s">
        <v>469</v>
      </c>
      <c r="P222" t="b">
        <v>1</v>
      </c>
      <c r="Q222" t="s">
        <v>2055</v>
      </c>
    </row>
    <row r="223" spans="1:17" x14ac:dyDescent="0.35">
      <c r="A223" t="s">
        <v>3225</v>
      </c>
      <c r="B223" t="s">
        <v>255</v>
      </c>
      <c r="C223" t="s">
        <v>334</v>
      </c>
      <c r="D223" t="s">
        <v>50</v>
      </c>
      <c r="E223">
        <v>21</v>
      </c>
      <c r="F223">
        <v>3</v>
      </c>
      <c r="G223">
        <v>35</v>
      </c>
      <c r="H223">
        <v>2</v>
      </c>
      <c r="I223" t="s">
        <v>3014</v>
      </c>
      <c r="J223" t="s">
        <v>3481</v>
      </c>
      <c r="K223" t="s">
        <v>1640</v>
      </c>
      <c r="L223" s="1" t="str">
        <f>HYPERLINK("https://ovidsp.ovid.com/ovidweb.cgi?T=JS&amp;NEWS=n&amp;CSC=Y&amp;PAGE=toc&amp;D=yrovft&amp;AN=00004714-000000000-00000","https://ovidsp.ovid.com/ovidweb.cgi?T=JS&amp;NEWS=n&amp;CSC=Y&amp;PAGE=toc&amp;D=yrovft&amp;AN=00004714-000000000-00000")</f>
        <v>https://ovidsp.ovid.com/ovidweb.cgi?T=JS&amp;NEWS=n&amp;CSC=Y&amp;PAGE=toc&amp;D=yrovft&amp;AN=00004714-000000000-00000</v>
      </c>
      <c r="M223" t="s">
        <v>1363</v>
      </c>
      <c r="N223" t="s">
        <v>2424</v>
      </c>
      <c r="O223" t="s">
        <v>2952</v>
      </c>
      <c r="P223" t="b">
        <v>0</v>
      </c>
      <c r="Q223" t="s">
        <v>2424</v>
      </c>
    </row>
    <row r="224" spans="1:17" x14ac:dyDescent="0.35">
      <c r="A224" t="s">
        <v>1089</v>
      </c>
      <c r="B224" t="s">
        <v>3758</v>
      </c>
      <c r="C224" t="s">
        <v>1063</v>
      </c>
      <c r="D224" t="s">
        <v>50</v>
      </c>
      <c r="E224">
        <v>25</v>
      </c>
      <c r="F224">
        <v>4</v>
      </c>
      <c r="G224">
        <v>39</v>
      </c>
      <c r="H224">
        <v>1</v>
      </c>
      <c r="I224" t="s">
        <v>2272</v>
      </c>
      <c r="J224" t="s">
        <v>3608</v>
      </c>
      <c r="K224" t="s">
        <v>2340</v>
      </c>
      <c r="L224" s="1" t="str">
        <f>HYPERLINK("https://ovidsp.ovid.com/ovidweb.cgi?T=JS&amp;NEWS=n&amp;CSC=Y&amp;PAGE=toc&amp;D=yrovft&amp;AN=00004728-000000000-00000","https://ovidsp.ovid.com/ovidweb.cgi?T=JS&amp;NEWS=n&amp;CSC=Y&amp;PAGE=toc&amp;D=yrovft&amp;AN=00004728-000000000-00000")</f>
        <v>https://ovidsp.ovid.com/ovidweb.cgi?T=JS&amp;NEWS=n&amp;CSC=Y&amp;PAGE=toc&amp;D=yrovft&amp;AN=00004728-000000000-00000</v>
      </c>
      <c r="M224" t="s">
        <v>3320</v>
      </c>
      <c r="N224" t="s">
        <v>2424</v>
      </c>
      <c r="O224" t="s">
        <v>2931</v>
      </c>
      <c r="P224" t="b">
        <v>1</v>
      </c>
      <c r="Q224" t="s">
        <v>1768</v>
      </c>
    </row>
    <row r="225" spans="1:17" x14ac:dyDescent="0.35">
      <c r="A225" t="s">
        <v>1822</v>
      </c>
      <c r="B225" t="s">
        <v>386</v>
      </c>
      <c r="C225" t="s">
        <v>1027</v>
      </c>
      <c r="D225" t="s">
        <v>50</v>
      </c>
      <c r="E225">
        <v>14</v>
      </c>
      <c r="F225">
        <v>3</v>
      </c>
      <c r="G225">
        <v>21</v>
      </c>
      <c r="H225">
        <v>2</v>
      </c>
      <c r="I225" t="s">
        <v>2040</v>
      </c>
      <c r="J225" t="s">
        <v>1034</v>
      </c>
      <c r="K225" t="s">
        <v>2939</v>
      </c>
      <c r="L225" s="1" t="str">
        <f>HYPERLINK("https://ovidsp.ovid.com/ovidweb.cgi?T=JS&amp;NEWS=n&amp;CSC=Y&amp;PAGE=toc&amp;D=yrovft&amp;AN=00001665-000000000-00000","https://ovidsp.ovid.com/ovidweb.cgi?T=JS&amp;NEWS=n&amp;CSC=Y&amp;PAGE=toc&amp;D=yrovft&amp;AN=00001665-000000000-00000")</f>
        <v>https://ovidsp.ovid.com/ovidweb.cgi?T=JS&amp;NEWS=n&amp;CSC=Y&amp;PAGE=toc&amp;D=yrovft&amp;AN=00001665-000000000-00000</v>
      </c>
      <c r="M225" t="s">
        <v>572</v>
      </c>
      <c r="N225" t="s">
        <v>2424</v>
      </c>
      <c r="O225" t="s">
        <v>3717</v>
      </c>
      <c r="P225" t="b">
        <v>1</v>
      </c>
      <c r="Q225" t="s">
        <v>890</v>
      </c>
    </row>
    <row r="226" spans="1:17" x14ac:dyDescent="0.35">
      <c r="A226" t="s">
        <v>2189</v>
      </c>
      <c r="B226" t="s">
        <v>1333</v>
      </c>
      <c r="C226" t="s">
        <v>2801</v>
      </c>
      <c r="D226" t="s">
        <v>50</v>
      </c>
      <c r="E226">
        <v>22</v>
      </c>
      <c r="F226">
        <v>1</v>
      </c>
      <c r="G226">
        <v>31</v>
      </c>
      <c r="H226">
        <v>3</v>
      </c>
      <c r="I226" t="s">
        <v>66</v>
      </c>
      <c r="J226" t="s">
        <v>3777</v>
      </c>
      <c r="K226" t="s">
        <v>2461</v>
      </c>
      <c r="L226" s="1" t="str">
        <f>HYPERLINK("https://ovidsp.ovid.com/ovidweb.cgi?T=JS&amp;NEWS=n&amp;CSC=Y&amp;PAGE=toc&amp;D=yrovft&amp;AN=00004703-000000000-00000","https://ovidsp.ovid.com/ovidweb.cgi?T=JS&amp;NEWS=n&amp;CSC=Y&amp;PAGE=toc&amp;D=yrovft&amp;AN=00004703-000000000-00000")</f>
        <v>https://ovidsp.ovid.com/ovidweb.cgi?T=JS&amp;NEWS=n&amp;CSC=Y&amp;PAGE=toc&amp;D=yrovft&amp;AN=00004703-000000000-00000</v>
      </c>
      <c r="M226" t="s">
        <v>3475</v>
      </c>
      <c r="N226" t="s">
        <v>2424</v>
      </c>
      <c r="O226" t="s">
        <v>226</v>
      </c>
      <c r="P226" t="b">
        <v>1</v>
      </c>
      <c r="Q226" t="s">
        <v>3657</v>
      </c>
    </row>
    <row r="227" spans="1:17" x14ac:dyDescent="0.35">
      <c r="A227" t="s">
        <v>1926</v>
      </c>
      <c r="B227" t="s">
        <v>1099</v>
      </c>
      <c r="C227" t="s">
        <v>2424</v>
      </c>
      <c r="D227" t="s">
        <v>79</v>
      </c>
      <c r="E227">
        <v>27</v>
      </c>
      <c r="F227">
        <v>7</v>
      </c>
      <c r="G227">
        <v>31</v>
      </c>
      <c r="H227">
        <v>1</v>
      </c>
      <c r="I227" t="s">
        <v>2864</v>
      </c>
      <c r="J227" t="s">
        <v>3608</v>
      </c>
      <c r="K227" t="s">
        <v>2406</v>
      </c>
      <c r="L227" s="1" t="str">
        <f>HYPERLINK("https://ovidsp.ovid.com/ovidweb.cgi?T=JS&amp;NEWS=n&amp;CSC=Y&amp;PAGE=toc&amp;D=yrovft&amp;AN=00004770-000000000-00000","https://ovidsp.ovid.com/ovidweb.cgi?T=JS&amp;NEWS=n&amp;CSC=Y&amp;PAGE=toc&amp;D=yrovft&amp;AN=00004770-000000000-00000")</f>
        <v>https://ovidsp.ovid.com/ovidweb.cgi?T=JS&amp;NEWS=n&amp;CSC=Y&amp;PAGE=toc&amp;D=yrovft&amp;AN=00004770-000000000-00000</v>
      </c>
      <c r="M227" t="s">
        <v>503</v>
      </c>
      <c r="N227" t="s">
        <v>2424</v>
      </c>
      <c r="O227" t="s">
        <v>921</v>
      </c>
      <c r="P227" t="b">
        <v>0</v>
      </c>
      <c r="Q227" t="s">
        <v>2424</v>
      </c>
    </row>
    <row r="228" spans="1:17" x14ac:dyDescent="0.35">
      <c r="A228" t="s">
        <v>2731</v>
      </c>
      <c r="B228" t="s">
        <v>1931</v>
      </c>
      <c r="C228" t="s">
        <v>1634</v>
      </c>
      <c r="D228" t="s">
        <v>50</v>
      </c>
      <c r="E228">
        <v>24</v>
      </c>
      <c r="F228">
        <v>1</v>
      </c>
      <c r="G228">
        <v>33</v>
      </c>
      <c r="H228">
        <v>1</v>
      </c>
      <c r="I228" t="s">
        <v>603</v>
      </c>
      <c r="J228" t="s">
        <v>2909</v>
      </c>
      <c r="K228" t="s">
        <v>840</v>
      </c>
      <c r="L228" s="1" t="str">
        <f>HYPERLINK("https://ovidsp.ovid.com/ovidweb.cgi?T=JS&amp;NEWS=n&amp;CSC=Y&amp;PAGE=toc&amp;D=yrovft&amp;AN=00139143-000000000-00000","https://ovidsp.ovid.com/ovidweb.cgi?T=JS&amp;NEWS=n&amp;CSC=Y&amp;PAGE=toc&amp;D=yrovft&amp;AN=00139143-000000000-00000")</f>
        <v>https://ovidsp.ovid.com/ovidweb.cgi?T=JS&amp;NEWS=n&amp;CSC=Y&amp;PAGE=toc&amp;D=yrovft&amp;AN=00139143-000000000-00000</v>
      </c>
      <c r="M228" t="s">
        <v>1124</v>
      </c>
      <c r="N228" t="s">
        <v>2424</v>
      </c>
      <c r="O228" t="s">
        <v>1174</v>
      </c>
      <c r="P228" t="b">
        <v>1</v>
      </c>
      <c r="Q228" t="s">
        <v>3564</v>
      </c>
    </row>
    <row r="229" spans="1:17" x14ac:dyDescent="0.35">
      <c r="A229" t="s">
        <v>1100</v>
      </c>
      <c r="B229" t="s">
        <v>2381</v>
      </c>
      <c r="C229" t="s">
        <v>3690</v>
      </c>
      <c r="D229" t="s">
        <v>50</v>
      </c>
      <c r="E229">
        <v>12</v>
      </c>
      <c r="F229">
        <v>2</v>
      </c>
      <c r="G229">
        <v>19</v>
      </c>
      <c r="H229">
        <v>4</v>
      </c>
      <c r="I229" t="s">
        <v>3594</v>
      </c>
      <c r="J229" t="s">
        <v>2069</v>
      </c>
      <c r="K229" t="s">
        <v>2461</v>
      </c>
      <c r="L229" s="1" t="str">
        <f>HYPERLINK("https://ovidsp.ovid.com/ovidweb.cgi?T=JS&amp;NEWS=n&amp;CSC=Y&amp;PAGE=toc&amp;D=yrovft&amp;AN=00061198-000000000-00000","https://ovidsp.ovid.com/ovidweb.cgi?T=JS&amp;NEWS=n&amp;CSC=Y&amp;PAGE=toc&amp;D=yrovft&amp;AN=00061198-000000000-00000")</f>
        <v>https://ovidsp.ovid.com/ovidweb.cgi?T=JS&amp;NEWS=n&amp;CSC=Y&amp;PAGE=toc&amp;D=yrovft&amp;AN=00061198-000000000-00000</v>
      </c>
      <c r="M229" t="s">
        <v>3674</v>
      </c>
      <c r="N229" t="s">
        <v>2424</v>
      </c>
      <c r="O229" t="s">
        <v>2442</v>
      </c>
      <c r="P229" t="b">
        <v>1</v>
      </c>
      <c r="Q229" t="s">
        <v>153</v>
      </c>
    </row>
    <row r="230" spans="1:17" x14ac:dyDescent="0.35">
      <c r="A230" t="s">
        <v>2179</v>
      </c>
      <c r="B230" t="s">
        <v>1369</v>
      </c>
      <c r="C230" t="s">
        <v>3452</v>
      </c>
      <c r="D230" t="s">
        <v>50</v>
      </c>
      <c r="E230">
        <v>18</v>
      </c>
      <c r="F230">
        <v>2</v>
      </c>
      <c r="G230">
        <v>30</v>
      </c>
      <c r="H230">
        <v>2</v>
      </c>
      <c r="I230" t="s">
        <v>3058</v>
      </c>
      <c r="J230" t="s">
        <v>2581</v>
      </c>
      <c r="K230" t="s">
        <v>2722</v>
      </c>
      <c r="L230" s="1" t="str">
        <f>HYPERLINK("https://ovidsp.ovid.com/ovidweb.cgi?T=JS&amp;NEWS=n&amp;CSC=Y&amp;PAGE=toc&amp;D=yrovft&amp;AN=00001199-000000000-00000","https://ovidsp.ovid.com/ovidweb.cgi?T=JS&amp;NEWS=n&amp;CSC=Y&amp;PAGE=toc&amp;D=yrovft&amp;AN=00001199-000000000-00000")</f>
        <v>https://ovidsp.ovid.com/ovidweb.cgi?T=JS&amp;NEWS=n&amp;CSC=Y&amp;PAGE=toc&amp;D=yrovft&amp;AN=00001199-000000000-00000</v>
      </c>
      <c r="M230" t="s">
        <v>2987</v>
      </c>
      <c r="N230" t="s">
        <v>2424</v>
      </c>
      <c r="O230" t="s">
        <v>3242</v>
      </c>
      <c r="P230" t="b">
        <v>1</v>
      </c>
      <c r="Q230" t="s">
        <v>453</v>
      </c>
    </row>
    <row r="231" spans="1:17" x14ac:dyDescent="0.35">
      <c r="A231" t="s">
        <v>2155</v>
      </c>
      <c r="B231" t="s">
        <v>1146</v>
      </c>
      <c r="C231" t="s">
        <v>1483</v>
      </c>
      <c r="D231" t="s">
        <v>2855</v>
      </c>
      <c r="E231">
        <v>100</v>
      </c>
      <c r="F231">
        <v>1</v>
      </c>
      <c r="G231">
        <v>101</v>
      </c>
      <c r="H231">
        <v>1</v>
      </c>
      <c r="I231" t="s">
        <v>3092</v>
      </c>
      <c r="J231" t="s">
        <v>3622</v>
      </c>
      <c r="K231" t="s">
        <v>840</v>
      </c>
      <c r="L231" s="1" t="str">
        <f>HYPERLINK("https://ovidsp.ovid.com/ovidweb.cgi?T=JS&amp;NEWS=n&amp;CSC=Y&amp;PAGE=toc&amp;D=yrovft&amp;AN=00004845-000000000-00000","https://ovidsp.ovid.com/ovidweb.cgi?T=JS&amp;NEWS=n&amp;CSC=Y&amp;PAGE=toc&amp;D=yrovft&amp;AN=00004845-000000000-00000")</f>
        <v>https://ovidsp.ovid.com/ovidweb.cgi?T=JS&amp;NEWS=n&amp;CSC=Y&amp;PAGE=toc&amp;D=yrovft&amp;AN=00004845-000000000-00000</v>
      </c>
      <c r="M231" t="s">
        <v>684</v>
      </c>
      <c r="N231" t="s">
        <v>2424</v>
      </c>
      <c r="O231" t="s">
        <v>887</v>
      </c>
      <c r="P231" t="b">
        <v>1</v>
      </c>
      <c r="Q231" t="s">
        <v>699</v>
      </c>
    </row>
    <row r="232" spans="1:17" x14ac:dyDescent="0.35">
      <c r="A232" t="s">
        <v>3175</v>
      </c>
      <c r="B232" t="s">
        <v>702</v>
      </c>
      <c r="C232" t="s">
        <v>1924</v>
      </c>
      <c r="D232" t="s">
        <v>50</v>
      </c>
      <c r="E232">
        <v>5</v>
      </c>
      <c r="F232">
        <v>2</v>
      </c>
      <c r="G232">
        <v>12</v>
      </c>
      <c r="H232">
        <v>2</v>
      </c>
      <c r="I232" t="s">
        <v>877</v>
      </c>
      <c r="J232" t="s">
        <v>2069</v>
      </c>
      <c r="K232" t="s">
        <v>2939</v>
      </c>
      <c r="L232" s="1" t="str">
        <f>HYPERLINK("https://ovidsp.ovid.com/ovidweb.cgi?T=JS&amp;NEWS=n&amp;CSC=Y&amp;PAGE=toc&amp;D=yrovft&amp;AN=00129191-000000000-00000","https://ovidsp.ovid.com/ovidweb.cgi?T=JS&amp;NEWS=n&amp;CSC=Y&amp;PAGE=toc&amp;D=yrovft&amp;AN=00129191-000000000-00000")</f>
        <v>https://ovidsp.ovid.com/ovidweb.cgi?T=JS&amp;NEWS=n&amp;CSC=Y&amp;PAGE=toc&amp;D=yrovft&amp;AN=00129191-000000000-00000</v>
      </c>
      <c r="M232" t="s">
        <v>2257</v>
      </c>
      <c r="N232" t="s">
        <v>2424</v>
      </c>
      <c r="O232" t="s">
        <v>2904</v>
      </c>
      <c r="P232" t="b">
        <v>1</v>
      </c>
      <c r="Q232" t="s">
        <v>880</v>
      </c>
    </row>
    <row r="233" spans="1:17" x14ac:dyDescent="0.35">
      <c r="A233" t="s">
        <v>3157</v>
      </c>
      <c r="B233" t="s">
        <v>138</v>
      </c>
      <c r="C233" t="s">
        <v>591</v>
      </c>
      <c r="D233" t="s">
        <v>50</v>
      </c>
      <c r="E233">
        <v>17</v>
      </c>
      <c r="F233">
        <v>1</v>
      </c>
      <c r="G233">
        <v>33</v>
      </c>
      <c r="H233">
        <v>4</v>
      </c>
      <c r="I233" t="s">
        <v>3675</v>
      </c>
      <c r="J233" t="s">
        <v>2015</v>
      </c>
      <c r="K233" t="s">
        <v>1640</v>
      </c>
      <c r="L233" s="1" t="str">
        <f>HYPERLINK("https://ovidsp.ovid.com/ovidweb.cgi?T=JS&amp;NEWS=n&amp;CSC=Y&amp;PAGE=toc&amp;D=yrovft&amp;AN=00004872-000000000-00000","https://ovidsp.ovid.com/ovidweb.cgi?T=JS&amp;NEWS=n&amp;CSC=Y&amp;PAGE=toc&amp;D=yrovft&amp;AN=00004872-000000000-00000")</f>
        <v>https://ovidsp.ovid.com/ovidweb.cgi?T=JS&amp;NEWS=n&amp;CSC=Y&amp;PAGE=toc&amp;D=yrovft&amp;AN=00004872-000000000-00000</v>
      </c>
      <c r="M233" t="s">
        <v>1420</v>
      </c>
      <c r="N233" t="s">
        <v>2424</v>
      </c>
      <c r="O233" t="s">
        <v>2246</v>
      </c>
      <c r="P233" t="b">
        <v>1</v>
      </c>
      <c r="Q233" t="s">
        <v>1961</v>
      </c>
    </row>
    <row r="234" spans="1:17" x14ac:dyDescent="0.35">
      <c r="A234" t="s">
        <v>3762</v>
      </c>
      <c r="B234" t="s">
        <v>2515</v>
      </c>
      <c r="C234" t="s">
        <v>926</v>
      </c>
      <c r="D234" t="s">
        <v>50</v>
      </c>
      <c r="E234">
        <v>24</v>
      </c>
      <c r="F234">
        <v>4</v>
      </c>
      <c r="G234">
        <v>38</v>
      </c>
      <c r="H234">
        <v>3</v>
      </c>
      <c r="I234" t="s">
        <v>530</v>
      </c>
      <c r="J234" t="s">
        <v>3608</v>
      </c>
      <c r="K234" t="s">
        <v>1640</v>
      </c>
      <c r="L234" s="1" t="str">
        <f>HYPERLINK("https://ovidsp.ovid.com/ovidweb.cgi?T=JS&amp;NEWS=n&amp;CSC=Y&amp;PAGE=toc&amp;D=yrovft&amp;AN=00002371-000000000-00000","https://ovidsp.ovid.com/ovidweb.cgi?T=JS&amp;NEWS=n&amp;CSC=Y&amp;PAGE=toc&amp;D=yrovft&amp;AN=00002371-000000000-00000")</f>
        <v>https://ovidsp.ovid.com/ovidweb.cgi?T=JS&amp;NEWS=n&amp;CSC=Y&amp;PAGE=toc&amp;D=yrovft&amp;AN=00002371-000000000-00000</v>
      </c>
      <c r="M234" t="s">
        <v>1120</v>
      </c>
      <c r="N234" t="s">
        <v>2424</v>
      </c>
      <c r="O234" t="s">
        <v>531</v>
      </c>
      <c r="P234" t="b">
        <v>1</v>
      </c>
      <c r="Q234" t="s">
        <v>3351</v>
      </c>
    </row>
    <row r="235" spans="1:17" x14ac:dyDescent="0.35">
      <c r="A235" t="s">
        <v>3514</v>
      </c>
      <c r="B235" t="s">
        <v>2131</v>
      </c>
      <c r="C235" t="s">
        <v>3138</v>
      </c>
      <c r="D235" t="s">
        <v>50</v>
      </c>
      <c r="E235">
        <v>24</v>
      </c>
      <c r="F235">
        <v>4</v>
      </c>
      <c r="G235">
        <v>33</v>
      </c>
      <c r="H235">
        <v>2</v>
      </c>
      <c r="I235" t="s">
        <v>2599</v>
      </c>
      <c r="J235" t="s">
        <v>3608</v>
      </c>
      <c r="K235" t="s">
        <v>2939</v>
      </c>
      <c r="L235" s="1" t="str">
        <f>HYPERLINK("https://ovidsp.ovid.com/ovidweb.cgi?T=JS&amp;NEWS=n&amp;CSC=Y&amp;PAGE=toc&amp;D=yrovft&amp;AN=00129804-000000000-00000","https://ovidsp.ovid.com/ovidweb.cgi?T=JS&amp;NEWS=n&amp;CSC=Y&amp;PAGE=toc&amp;D=yrovft&amp;AN=00129804-000000000-00000")</f>
        <v>https://ovidsp.ovid.com/ovidweb.cgi?T=JS&amp;NEWS=n&amp;CSC=Y&amp;PAGE=toc&amp;D=yrovft&amp;AN=00129804-000000000-00000</v>
      </c>
      <c r="M235" t="s">
        <v>2409</v>
      </c>
      <c r="N235" t="s">
        <v>2424</v>
      </c>
      <c r="O235" t="s">
        <v>2448</v>
      </c>
      <c r="P235" t="b">
        <v>0</v>
      </c>
      <c r="Q235" t="s">
        <v>2424</v>
      </c>
    </row>
    <row r="236" spans="1:17" x14ac:dyDescent="0.35">
      <c r="A236" t="s">
        <v>3808</v>
      </c>
      <c r="B236" t="s">
        <v>681</v>
      </c>
      <c r="C236" t="s">
        <v>3050</v>
      </c>
      <c r="D236" t="s">
        <v>158</v>
      </c>
      <c r="E236">
        <v>49</v>
      </c>
      <c r="F236">
        <v>1</v>
      </c>
      <c r="G236">
        <v>58</v>
      </c>
      <c r="H236">
        <v>5</v>
      </c>
      <c r="I236" t="s">
        <v>3529</v>
      </c>
      <c r="J236" t="s">
        <v>2909</v>
      </c>
      <c r="K236" t="s">
        <v>2972</v>
      </c>
      <c r="L236" s="1" t="str">
        <f>HYPERLINK("https://ovidsp.ovid.com/ovidweb.cgi?T=JS&amp;NEWS=n&amp;CSC=Y&amp;PAGE=toc&amp;D=yrovft&amp;AN=00042871-000000000-00000","https://ovidsp.ovid.com/ovidweb.cgi?T=JS&amp;NEWS=n&amp;CSC=Y&amp;PAGE=toc&amp;D=yrovft&amp;AN=00042871-000000000-00000")</f>
        <v>https://ovidsp.ovid.com/ovidweb.cgi?T=JS&amp;NEWS=n&amp;CSC=Y&amp;PAGE=toc&amp;D=yrovft&amp;AN=00042871-000000000-00000</v>
      </c>
      <c r="M236" t="s">
        <v>2762</v>
      </c>
      <c r="N236" t="s">
        <v>2424</v>
      </c>
      <c r="O236" t="s">
        <v>71</v>
      </c>
      <c r="P236" t="b">
        <v>1</v>
      </c>
      <c r="Q236" t="s">
        <v>3799</v>
      </c>
    </row>
    <row r="237" spans="1:17" x14ac:dyDescent="0.35">
      <c r="A237" t="s">
        <v>1881</v>
      </c>
      <c r="B237" t="s">
        <v>167</v>
      </c>
      <c r="C237" t="s">
        <v>3429</v>
      </c>
      <c r="D237" t="s">
        <v>50</v>
      </c>
      <c r="E237">
        <v>7</v>
      </c>
      <c r="F237">
        <v>2</v>
      </c>
      <c r="G237">
        <v>14</v>
      </c>
      <c r="H237">
        <v>2</v>
      </c>
      <c r="I237" t="s">
        <v>3594</v>
      </c>
      <c r="J237" t="s">
        <v>2069</v>
      </c>
      <c r="K237" t="s">
        <v>2461</v>
      </c>
      <c r="L237" s="1" t="str">
        <f>HYPERLINK("https://ovidsp.ovid.com/ovidweb.cgi?T=JS&amp;NEWS=n&amp;CSC=Y&amp;PAGE=toc&amp;D=yrovft&amp;AN=00128360-000000000-00000","https://ovidsp.ovid.com/ovidweb.cgi?T=JS&amp;NEWS=n&amp;CSC=Y&amp;PAGE=toc&amp;D=yrovft&amp;AN=00128360-000000000-00000")</f>
        <v>https://ovidsp.ovid.com/ovidweb.cgi?T=JS&amp;NEWS=n&amp;CSC=Y&amp;PAGE=toc&amp;D=yrovft&amp;AN=00128360-000000000-00000</v>
      </c>
      <c r="M237" t="s">
        <v>2879</v>
      </c>
      <c r="N237" t="s">
        <v>2424</v>
      </c>
      <c r="O237" t="s">
        <v>1737</v>
      </c>
      <c r="P237" t="b">
        <v>1</v>
      </c>
      <c r="Q237" t="s">
        <v>1310</v>
      </c>
    </row>
    <row r="238" spans="1:17" x14ac:dyDescent="0.35">
      <c r="A238" t="s">
        <v>2763</v>
      </c>
      <c r="B238" t="s">
        <v>466</v>
      </c>
      <c r="C238" t="s">
        <v>90</v>
      </c>
      <c r="D238" t="s">
        <v>3106</v>
      </c>
      <c r="E238">
        <v>52</v>
      </c>
      <c r="F238">
        <v>1</v>
      </c>
      <c r="G238">
        <v>59</v>
      </c>
      <c r="H238">
        <v>1</v>
      </c>
      <c r="I238" t="s">
        <v>1553</v>
      </c>
      <c r="J238" t="s">
        <v>1145</v>
      </c>
      <c r="K238" t="s">
        <v>840</v>
      </c>
      <c r="L238" s="1" t="str">
        <f>HYPERLINK("https://ovidsp.ovid.com/ovidweb.cgi?T=JS&amp;NEWS=n&amp;CSC=Y&amp;PAGE=toc&amp;D=yrovft&amp;AN=00005009-000000000-00000","https://ovidsp.ovid.com/ovidweb.cgi?T=JS&amp;NEWS=n&amp;CSC=Y&amp;PAGE=toc&amp;D=yrovft&amp;AN=00005009-000000000-00000")</f>
        <v>https://ovidsp.ovid.com/ovidweb.cgi?T=JS&amp;NEWS=n&amp;CSC=Y&amp;PAGE=toc&amp;D=yrovft&amp;AN=00005009-000000000-00000</v>
      </c>
      <c r="M238" t="s">
        <v>708</v>
      </c>
      <c r="N238" t="s">
        <v>2424</v>
      </c>
      <c r="O238" t="s">
        <v>1576</v>
      </c>
      <c r="P238" t="b">
        <v>0</v>
      </c>
      <c r="Q238" t="s">
        <v>2424</v>
      </c>
    </row>
    <row r="239" spans="1:17" x14ac:dyDescent="0.35">
      <c r="A239" t="s">
        <v>1772</v>
      </c>
      <c r="B239" t="s">
        <v>717</v>
      </c>
      <c r="C239" t="s">
        <v>831</v>
      </c>
      <c r="D239" t="s">
        <v>50</v>
      </c>
      <c r="E239">
        <v>189</v>
      </c>
      <c r="F239">
        <v>6</v>
      </c>
      <c r="G239">
        <v>203</v>
      </c>
      <c r="H239">
        <v>4</v>
      </c>
      <c r="I239" t="s">
        <v>3014</v>
      </c>
      <c r="J239" t="s">
        <v>3481</v>
      </c>
      <c r="K239" t="s">
        <v>1640</v>
      </c>
      <c r="L239" s="1" t="str">
        <f>HYPERLINK("https://ovidsp.ovid.com/ovidweb.cgi?T=JS&amp;NEWS=n&amp;CSC=Y&amp;PAGE=toc&amp;D=yrovft&amp;AN=00005053-000000000-00000","https://ovidsp.ovid.com/ovidweb.cgi?T=JS&amp;NEWS=n&amp;CSC=Y&amp;PAGE=toc&amp;D=yrovft&amp;AN=00005053-000000000-00000")</f>
        <v>https://ovidsp.ovid.com/ovidweb.cgi?T=JS&amp;NEWS=n&amp;CSC=Y&amp;PAGE=toc&amp;D=yrovft&amp;AN=00005053-000000000-00000</v>
      </c>
      <c r="M239" t="s">
        <v>1888</v>
      </c>
      <c r="N239" t="s">
        <v>2424</v>
      </c>
      <c r="O239" t="s">
        <v>1909</v>
      </c>
      <c r="P239" t="b">
        <v>1</v>
      </c>
      <c r="Q239" t="s">
        <v>3335</v>
      </c>
    </row>
    <row r="240" spans="1:17" x14ac:dyDescent="0.35">
      <c r="A240" t="s">
        <v>3299</v>
      </c>
      <c r="B240" t="s">
        <v>2732</v>
      </c>
      <c r="C240" t="s">
        <v>1113</v>
      </c>
      <c r="D240" t="s">
        <v>3214</v>
      </c>
      <c r="E240">
        <v>56</v>
      </c>
      <c r="F240">
        <v>1</v>
      </c>
      <c r="G240">
        <v>61</v>
      </c>
      <c r="H240">
        <v>3</v>
      </c>
      <c r="I240" t="s">
        <v>980</v>
      </c>
      <c r="J240" t="s">
        <v>2209</v>
      </c>
      <c r="K240" t="s">
        <v>1145</v>
      </c>
      <c r="L240" s="1" t="str">
        <f>HYPERLINK("https://ovidsp.ovid.com/ovidweb.cgi?T=JS&amp;NEWS=n&amp;CSC=Y&amp;PAGE=toc&amp;D=yrovft&amp;AN=00005084-000000000-00000","https://ovidsp.ovid.com/ovidweb.cgi?T=JS&amp;NEWS=n&amp;CSC=Y&amp;PAGE=toc&amp;D=yrovft&amp;AN=00005084-000000000-00000")</f>
        <v>https://ovidsp.ovid.com/ovidweb.cgi?T=JS&amp;NEWS=n&amp;CSC=Y&amp;PAGE=toc&amp;D=yrovft&amp;AN=00005084-000000000-00000</v>
      </c>
      <c r="M240" t="s">
        <v>537</v>
      </c>
      <c r="N240" t="s">
        <v>2424</v>
      </c>
      <c r="O240" t="s">
        <v>3559</v>
      </c>
      <c r="P240" t="b">
        <v>0</v>
      </c>
      <c r="Q240" t="s">
        <v>2424</v>
      </c>
    </row>
    <row r="241" spans="1:17" x14ac:dyDescent="0.35">
      <c r="A241" t="s">
        <v>2717</v>
      </c>
      <c r="B241" t="s">
        <v>2491</v>
      </c>
      <c r="C241" t="s">
        <v>1999</v>
      </c>
      <c r="D241" t="s">
        <v>50</v>
      </c>
      <c r="E241">
        <v>23</v>
      </c>
      <c r="F241">
        <v>2</v>
      </c>
      <c r="G241">
        <v>30</v>
      </c>
      <c r="H241">
        <v>1</v>
      </c>
      <c r="I241" t="s">
        <v>2924</v>
      </c>
      <c r="J241" t="s">
        <v>1895</v>
      </c>
      <c r="K241" t="s">
        <v>2939</v>
      </c>
      <c r="L241" s="1" t="str">
        <f>HYPERLINK("https://ovidsp.ovid.com/ovidweb.cgi?T=JS&amp;NEWS=n&amp;CSC=Y&amp;PAGE=toc&amp;D=yrovft&amp;AN=00041327-000000000-00000","https://ovidsp.ovid.com/ovidweb.cgi?T=JS&amp;NEWS=n&amp;CSC=Y&amp;PAGE=toc&amp;D=yrovft&amp;AN=00041327-000000000-00000")</f>
        <v>https://ovidsp.ovid.com/ovidweb.cgi?T=JS&amp;NEWS=n&amp;CSC=Y&amp;PAGE=toc&amp;D=yrovft&amp;AN=00041327-000000000-00000</v>
      </c>
      <c r="M241" t="s">
        <v>1228</v>
      </c>
      <c r="N241" t="s">
        <v>2424</v>
      </c>
      <c r="O241" t="s">
        <v>3305</v>
      </c>
      <c r="P241" t="b">
        <v>1</v>
      </c>
      <c r="Q241" t="s">
        <v>2853</v>
      </c>
    </row>
    <row r="242" spans="1:17" x14ac:dyDescent="0.35">
      <c r="A242" t="s">
        <v>1543</v>
      </c>
      <c r="B242" t="s">
        <v>173</v>
      </c>
      <c r="C242" t="s">
        <v>421</v>
      </c>
      <c r="D242" t="s">
        <v>50</v>
      </c>
      <c r="E242">
        <v>31</v>
      </c>
      <c r="F242">
        <v>1</v>
      </c>
      <c r="G242">
        <v>34</v>
      </c>
      <c r="H242">
        <v>1</v>
      </c>
      <c r="I242" t="s">
        <v>2699</v>
      </c>
      <c r="J242" t="s">
        <v>715</v>
      </c>
      <c r="K242" t="s">
        <v>2939</v>
      </c>
      <c r="L242" s="1" t="str">
        <f>HYPERLINK("https://ovidsp.ovid.com/ovidweb.cgi?T=JS&amp;NEWS=n&amp;CSC=Y&amp;PAGE=toc&amp;D=yrovft&amp;AN=01253086-000000000-00000","https://ovidsp.ovid.com/ovidweb.cgi?T=JS&amp;NEWS=n&amp;CSC=Y&amp;PAGE=toc&amp;D=yrovft&amp;AN=01253086-000000000-00000")</f>
        <v>https://ovidsp.ovid.com/ovidweb.cgi?T=JS&amp;NEWS=n&amp;CSC=Y&amp;PAGE=toc&amp;D=yrovft&amp;AN=01253086-000000000-00000</v>
      </c>
      <c r="M242" t="s">
        <v>2908</v>
      </c>
      <c r="N242" t="s">
        <v>2424</v>
      </c>
      <c r="O242" t="s">
        <v>500</v>
      </c>
      <c r="P242" t="b">
        <v>1</v>
      </c>
      <c r="Q242" t="s">
        <v>263</v>
      </c>
    </row>
    <row r="243" spans="1:17" x14ac:dyDescent="0.35">
      <c r="A243" t="s">
        <v>1908</v>
      </c>
      <c r="B243" t="s">
        <v>994</v>
      </c>
      <c r="C243" t="s">
        <v>1485</v>
      </c>
      <c r="D243" t="s">
        <v>50</v>
      </c>
      <c r="E243">
        <v>66</v>
      </c>
      <c r="F243">
        <v>1</v>
      </c>
      <c r="G243">
        <v>74</v>
      </c>
      <c r="H243">
        <v>4</v>
      </c>
      <c r="I243" t="s">
        <v>1835</v>
      </c>
      <c r="J243" t="s">
        <v>666</v>
      </c>
      <c r="K243" t="s">
        <v>1640</v>
      </c>
      <c r="L243" s="1" t="str">
        <f>HYPERLINK("https://ovidsp.ovid.com/ovidweb.cgi?T=JS&amp;NEWS=n&amp;CSC=Y&amp;PAGE=toc&amp;D=yrovft&amp;AN=00005072-000000000-00000","https://ovidsp.ovid.com/ovidweb.cgi?T=JS&amp;NEWS=n&amp;CSC=Y&amp;PAGE=toc&amp;D=yrovft&amp;AN=00005072-000000000-00000")</f>
        <v>https://ovidsp.ovid.com/ovidweb.cgi?T=JS&amp;NEWS=n&amp;CSC=Y&amp;PAGE=toc&amp;D=yrovft&amp;AN=00005072-000000000-00000</v>
      </c>
      <c r="M243" t="s">
        <v>2190</v>
      </c>
      <c r="N243" t="s">
        <v>2424</v>
      </c>
      <c r="O243" t="s">
        <v>1695</v>
      </c>
      <c r="P243" t="b">
        <v>1</v>
      </c>
      <c r="Q243" t="s">
        <v>3398</v>
      </c>
    </row>
    <row r="244" spans="1:17" x14ac:dyDescent="0.35">
      <c r="A244" t="s">
        <v>3572</v>
      </c>
      <c r="B244" t="s">
        <v>712</v>
      </c>
      <c r="C244" t="s">
        <v>1075</v>
      </c>
      <c r="D244" t="s">
        <v>50</v>
      </c>
      <c r="E244">
        <v>18</v>
      </c>
      <c r="F244">
        <v>1</v>
      </c>
      <c r="G244">
        <v>42</v>
      </c>
      <c r="H244">
        <v>2</v>
      </c>
      <c r="I244" t="s">
        <v>2915</v>
      </c>
      <c r="J244" t="s">
        <v>166</v>
      </c>
      <c r="K244" t="s">
        <v>2461</v>
      </c>
      <c r="L244" s="1" t="str">
        <f>HYPERLINK("https://ovidsp.ovid.com/ovidweb.cgi?T=JS&amp;NEWS=n&amp;CSC=Y&amp;PAGE=toc&amp;D=yrovft&amp;AN=01376517-000000000-00000","https://ovidsp.ovid.com/ovidweb.cgi?T=JS&amp;NEWS=n&amp;CSC=Y&amp;PAGE=toc&amp;D=yrovft&amp;AN=01376517-000000000-00000")</f>
        <v>https://ovidsp.ovid.com/ovidweb.cgi?T=JS&amp;NEWS=n&amp;CSC=Y&amp;PAGE=toc&amp;D=yrovft&amp;AN=01376517-000000000-00000</v>
      </c>
      <c r="M244" t="s">
        <v>1195</v>
      </c>
      <c r="N244" t="s">
        <v>2424</v>
      </c>
      <c r="O244" t="s">
        <v>716</v>
      </c>
      <c r="P244" t="b">
        <v>0</v>
      </c>
      <c r="Q244" t="s">
        <v>2424</v>
      </c>
    </row>
    <row r="245" spans="1:17" x14ac:dyDescent="0.35">
      <c r="A245" t="s">
        <v>2115</v>
      </c>
      <c r="B245" t="s">
        <v>2067</v>
      </c>
      <c r="C245" t="s">
        <v>803</v>
      </c>
      <c r="D245" t="s">
        <v>50</v>
      </c>
      <c r="E245">
        <v>13</v>
      </c>
      <c r="F245">
        <v>4</v>
      </c>
      <c r="G245">
        <v>22</v>
      </c>
      <c r="H245">
        <v>2</v>
      </c>
      <c r="I245" t="s">
        <v>3753</v>
      </c>
      <c r="J245" t="s">
        <v>3802</v>
      </c>
      <c r="K245" t="s">
        <v>2461</v>
      </c>
      <c r="L245" s="1" t="str">
        <f>HYPERLINK("https://ovidsp.ovid.com/ovidweb.cgi?T=JS&amp;NEWS=n&amp;CSC=Y&amp;PAGE=toc&amp;D=yrovft&amp;AN=00008506-000000000-00000","https://ovidsp.ovid.com/ovidweb.cgi?T=JS&amp;NEWS=n&amp;CSC=Y&amp;PAGE=toc&amp;D=yrovft&amp;AN=00008506-000000000-00000")</f>
        <v>https://ovidsp.ovid.com/ovidweb.cgi?T=JS&amp;NEWS=n&amp;CSC=Y&amp;PAGE=toc&amp;D=yrovft&amp;AN=00008506-000000000-00000</v>
      </c>
      <c r="M245" t="s">
        <v>1697</v>
      </c>
      <c r="N245" t="s">
        <v>2424</v>
      </c>
      <c r="O245" t="s">
        <v>1845</v>
      </c>
      <c r="P245" t="b">
        <v>1</v>
      </c>
      <c r="Q245" t="s">
        <v>25</v>
      </c>
    </row>
    <row r="246" spans="1:17" x14ac:dyDescent="0.35">
      <c r="A246" t="s">
        <v>948</v>
      </c>
      <c r="B246" t="s">
        <v>1131</v>
      </c>
      <c r="C246" t="s">
        <v>1678</v>
      </c>
      <c r="D246" t="s">
        <v>50</v>
      </c>
      <c r="E246">
        <v>18</v>
      </c>
      <c r="F246">
        <v>2</v>
      </c>
      <c r="G246">
        <v>25</v>
      </c>
      <c r="H246">
        <v>2</v>
      </c>
      <c r="I246" t="s">
        <v>3594</v>
      </c>
      <c r="J246" t="s">
        <v>2069</v>
      </c>
      <c r="K246" t="s">
        <v>2461</v>
      </c>
      <c r="L246" s="1" t="str">
        <f>HYPERLINK("https://ovidsp.ovid.com/ovidweb.cgi?T=JS&amp;NEWS=n&amp;CSC=Y&amp;PAGE=toc&amp;D=yrovft&amp;AN=00001786-000000000-00000","https://ovidsp.ovid.com/ovidweb.cgi?T=JS&amp;NEWS=n&amp;CSC=Y&amp;PAGE=toc&amp;D=yrovft&amp;AN=00001786-000000000-00000")</f>
        <v>https://ovidsp.ovid.com/ovidweb.cgi?T=JS&amp;NEWS=n&amp;CSC=Y&amp;PAGE=toc&amp;D=yrovft&amp;AN=00001786-000000000-00000</v>
      </c>
      <c r="M246" t="s">
        <v>1258</v>
      </c>
      <c r="N246" t="s">
        <v>2424</v>
      </c>
      <c r="O246" t="s">
        <v>2378</v>
      </c>
      <c r="P246" t="b">
        <v>1</v>
      </c>
      <c r="Q246" t="s">
        <v>2184</v>
      </c>
    </row>
    <row r="247" spans="1:17" x14ac:dyDescent="0.35">
      <c r="A247" t="s">
        <v>165</v>
      </c>
      <c r="B247" t="s">
        <v>1239</v>
      </c>
      <c r="C247" t="s">
        <v>368</v>
      </c>
      <c r="D247" t="s">
        <v>3649</v>
      </c>
      <c r="E247">
        <v>10</v>
      </c>
      <c r="F247">
        <v>1</v>
      </c>
      <c r="G247">
        <v>12</v>
      </c>
      <c r="H247">
        <v>3</v>
      </c>
      <c r="I247" t="s">
        <v>1316</v>
      </c>
      <c r="J247" t="s">
        <v>2209</v>
      </c>
      <c r="K247" t="s">
        <v>1842</v>
      </c>
      <c r="L247" s="1" t="str">
        <f>HYPERLINK("https://ovidsp.ovid.com/ovidweb.cgi?T=JS&amp;NEWS=n&amp;CSC=Y&amp;PAGE=toc&amp;D=yrovft&amp;AN=00019040-000000000-00000","https://ovidsp.ovid.com/ovidweb.cgi?T=JS&amp;NEWS=n&amp;CSC=Y&amp;PAGE=toc&amp;D=yrovft&amp;AN=00019040-000000000-00000")</f>
        <v>https://ovidsp.ovid.com/ovidweb.cgi?T=JS&amp;NEWS=n&amp;CSC=Y&amp;PAGE=toc&amp;D=yrovft&amp;AN=00019040-000000000-00000</v>
      </c>
      <c r="M247" t="s">
        <v>668</v>
      </c>
      <c r="N247" t="s">
        <v>2424</v>
      </c>
      <c r="O247" t="s">
        <v>2147</v>
      </c>
      <c r="P247" t="b">
        <v>1</v>
      </c>
      <c r="Q247" t="s">
        <v>339</v>
      </c>
    </row>
    <row r="248" spans="1:17" x14ac:dyDescent="0.35">
      <c r="A248" t="s">
        <v>449</v>
      </c>
      <c r="B248" t="s">
        <v>2935</v>
      </c>
      <c r="C248" t="s">
        <v>360</v>
      </c>
      <c r="D248" t="s">
        <v>50</v>
      </c>
      <c r="E248">
        <v>43</v>
      </c>
      <c r="F248">
        <v>7</v>
      </c>
      <c r="G248">
        <v>52</v>
      </c>
      <c r="H248">
        <v>4</v>
      </c>
      <c r="I248" t="s">
        <v>1794</v>
      </c>
      <c r="J248" t="s">
        <v>3608</v>
      </c>
      <c r="K248" t="s">
        <v>2461</v>
      </c>
      <c r="L248" s="1" t="str">
        <f>HYPERLINK("https://ovidsp.ovid.com/ovidweb.cgi?T=JS&amp;NEWS=n&amp;CSC=Y&amp;PAGE=toc&amp;D=yrovft&amp;AN=00043764-000000000-00000","https://ovidsp.ovid.com/ovidweb.cgi?T=JS&amp;NEWS=n&amp;CSC=Y&amp;PAGE=toc&amp;D=yrovft&amp;AN=00043764-000000000-00000")</f>
        <v>https://ovidsp.ovid.com/ovidweb.cgi?T=JS&amp;NEWS=n&amp;CSC=Y&amp;PAGE=toc&amp;D=yrovft&amp;AN=00043764-000000000-00000</v>
      </c>
      <c r="M248" t="s">
        <v>15</v>
      </c>
      <c r="N248" t="s">
        <v>2424</v>
      </c>
      <c r="O248" t="s">
        <v>1660</v>
      </c>
      <c r="P248" t="b">
        <v>1</v>
      </c>
      <c r="Q248" t="s">
        <v>643</v>
      </c>
    </row>
    <row r="249" spans="1:17" x14ac:dyDescent="0.35">
      <c r="A249" t="s">
        <v>1613</v>
      </c>
      <c r="B249" t="s">
        <v>1234</v>
      </c>
      <c r="C249" t="s">
        <v>206</v>
      </c>
      <c r="D249" t="s">
        <v>50</v>
      </c>
      <c r="E249">
        <v>15</v>
      </c>
      <c r="F249">
        <v>6</v>
      </c>
      <c r="G249">
        <v>29</v>
      </c>
      <c r="H249">
        <v>0</v>
      </c>
      <c r="I249" t="s">
        <v>696</v>
      </c>
      <c r="J249" t="s">
        <v>374</v>
      </c>
      <c r="K249" t="s">
        <v>1640</v>
      </c>
      <c r="L249" s="1" t="str">
        <f>HYPERLINK("https://ovidsp.ovid.com/ovidweb.cgi?T=JS&amp;NEWS=n&amp;CSC=Y&amp;PAGE=toc&amp;D=yrovft&amp;AN=00005131-000000000-00000","https://ovidsp.ovid.com/ovidweb.cgi?T=JS&amp;NEWS=n&amp;CSC=Y&amp;PAGE=toc&amp;D=yrovft&amp;AN=00005131-000000000-00000")</f>
        <v>https://ovidsp.ovid.com/ovidweb.cgi?T=JS&amp;NEWS=n&amp;CSC=Y&amp;PAGE=toc&amp;D=yrovft&amp;AN=00005131-000000000-00000</v>
      </c>
      <c r="M249" t="s">
        <v>2614</v>
      </c>
      <c r="N249" t="s">
        <v>2424</v>
      </c>
      <c r="O249" t="s">
        <v>377</v>
      </c>
      <c r="P249" t="b">
        <v>1</v>
      </c>
      <c r="Q249" t="s">
        <v>607</v>
      </c>
    </row>
    <row r="250" spans="1:17" x14ac:dyDescent="0.35">
      <c r="A250" t="s">
        <v>2781</v>
      </c>
      <c r="B250" t="s">
        <v>972</v>
      </c>
      <c r="C250" t="s">
        <v>2424</v>
      </c>
      <c r="D250" t="s">
        <v>50</v>
      </c>
      <c r="E250">
        <v>3</v>
      </c>
      <c r="F250">
        <v>1</v>
      </c>
      <c r="G250">
        <v>6</v>
      </c>
      <c r="H250">
        <v>1</v>
      </c>
      <c r="I250" t="s">
        <v>2699</v>
      </c>
      <c r="J250" t="s">
        <v>715</v>
      </c>
      <c r="K250" t="s">
        <v>2939</v>
      </c>
      <c r="L250" s="1" t="str">
        <f>HYPERLINK("https://ovidsp.ovid.com/ovidweb.cgi?T=JS&amp;NEWS=n&amp;CSC=Y&amp;PAGE=toc&amp;D=yrovft&amp;AN=01209203-000000000-00000","https://ovidsp.ovid.com/ovidweb.cgi?T=JS&amp;NEWS=n&amp;CSC=Y&amp;PAGE=toc&amp;D=yrovft&amp;AN=01209203-000000000-00000")</f>
        <v>https://ovidsp.ovid.com/ovidweb.cgi?T=JS&amp;NEWS=n&amp;CSC=Y&amp;PAGE=toc&amp;D=yrovft&amp;AN=01209203-000000000-00000</v>
      </c>
      <c r="M250" t="s">
        <v>248</v>
      </c>
      <c r="N250" t="s">
        <v>2424</v>
      </c>
      <c r="O250" t="s">
        <v>35</v>
      </c>
      <c r="P250" t="b">
        <v>1</v>
      </c>
      <c r="Q250" t="s">
        <v>3344</v>
      </c>
    </row>
    <row r="251" spans="1:17" x14ac:dyDescent="0.35">
      <c r="A251" t="s">
        <v>3356</v>
      </c>
      <c r="B251" t="s">
        <v>1799</v>
      </c>
      <c r="C251" t="s">
        <v>3311</v>
      </c>
      <c r="D251" t="s">
        <v>50</v>
      </c>
      <c r="E251">
        <v>33</v>
      </c>
      <c r="F251">
        <v>1</v>
      </c>
      <c r="G251">
        <v>60</v>
      </c>
      <c r="H251">
        <v>4</v>
      </c>
      <c r="I251" t="s">
        <v>530</v>
      </c>
      <c r="J251" t="s">
        <v>3608</v>
      </c>
      <c r="K251" t="s">
        <v>1640</v>
      </c>
      <c r="L251" s="1" t="str">
        <f>HYPERLINK("https://ovidsp.ovid.com/ovidweb.cgi?T=JS&amp;NEWS=n&amp;CSC=Y&amp;PAGE=toc&amp;D=yrovft&amp;AN=00005176-000000000-00000","https://ovidsp.ovid.com/ovidweb.cgi?T=JS&amp;NEWS=n&amp;CSC=Y&amp;PAGE=toc&amp;D=yrovft&amp;AN=00005176-000000000-00000")</f>
        <v>https://ovidsp.ovid.com/ovidweb.cgi?T=JS&amp;NEWS=n&amp;CSC=Y&amp;PAGE=toc&amp;D=yrovft&amp;AN=00005176-000000000-00000</v>
      </c>
      <c r="M251" t="s">
        <v>2606</v>
      </c>
      <c r="N251" t="s">
        <v>2424</v>
      </c>
      <c r="O251" t="s">
        <v>3059</v>
      </c>
      <c r="P251" t="b">
        <v>1</v>
      </c>
      <c r="Q251" t="s">
        <v>2970</v>
      </c>
    </row>
    <row r="252" spans="1:17" x14ac:dyDescent="0.35">
      <c r="A252" t="s">
        <v>3095</v>
      </c>
      <c r="B252" t="s">
        <v>2893</v>
      </c>
      <c r="C252" t="s">
        <v>744</v>
      </c>
      <c r="D252" t="s">
        <v>50</v>
      </c>
      <c r="E252">
        <v>23</v>
      </c>
      <c r="F252">
        <v>5</v>
      </c>
      <c r="G252">
        <v>32</v>
      </c>
      <c r="H252">
        <v>3</v>
      </c>
      <c r="I252" t="s">
        <v>1687</v>
      </c>
      <c r="J252" t="s">
        <v>3481</v>
      </c>
      <c r="K252" t="s">
        <v>2461</v>
      </c>
      <c r="L252" s="1" t="str">
        <f>HYPERLINK("https://ovidsp.ovid.com/ovidweb.cgi?T=JS&amp;NEWS=n&amp;CSC=Y&amp;PAGE=toc&amp;D=yrovft&amp;AN=00043426-000000000-00000","https://ovidsp.ovid.com/ovidweb.cgi?T=JS&amp;NEWS=n&amp;CSC=Y&amp;PAGE=toc&amp;D=yrovft&amp;AN=00043426-000000000-00000")</f>
        <v>https://ovidsp.ovid.com/ovidweb.cgi?T=JS&amp;NEWS=n&amp;CSC=Y&amp;PAGE=toc&amp;D=yrovft&amp;AN=00043426-000000000-00000</v>
      </c>
      <c r="M252" t="s">
        <v>1798</v>
      </c>
      <c r="N252" t="s">
        <v>2424</v>
      </c>
      <c r="O252" t="s">
        <v>3321</v>
      </c>
      <c r="P252" t="b">
        <v>1</v>
      </c>
      <c r="Q252" t="s">
        <v>514</v>
      </c>
    </row>
    <row r="253" spans="1:17" x14ac:dyDescent="0.35">
      <c r="A253" t="s">
        <v>2426</v>
      </c>
      <c r="B253" t="s">
        <v>1981</v>
      </c>
      <c r="C253" t="s">
        <v>3373</v>
      </c>
      <c r="D253" t="s">
        <v>50</v>
      </c>
      <c r="E253">
        <v>20</v>
      </c>
      <c r="F253">
        <v>1</v>
      </c>
      <c r="G253">
        <v>30</v>
      </c>
      <c r="H253">
        <v>3</v>
      </c>
      <c r="I253" t="s">
        <v>3357</v>
      </c>
      <c r="J253" t="s">
        <v>382</v>
      </c>
      <c r="K253" t="s">
        <v>2461</v>
      </c>
      <c r="L253" s="1" t="str">
        <f>HYPERLINK("https://ovidsp.ovid.com/ovidweb.cgi?T=JS&amp;NEWS=n&amp;CSC=Y&amp;PAGE=toc&amp;D=yrovft&amp;AN=01241398-000000000-00000","https://ovidsp.ovid.com/ovidweb.cgi?T=JS&amp;NEWS=n&amp;CSC=Y&amp;PAGE=toc&amp;D=yrovft&amp;AN=01241398-000000000-00000")</f>
        <v>https://ovidsp.ovid.com/ovidweb.cgi?T=JS&amp;NEWS=n&amp;CSC=Y&amp;PAGE=toc&amp;D=yrovft&amp;AN=01241398-000000000-00000</v>
      </c>
      <c r="M253" t="s">
        <v>2977</v>
      </c>
      <c r="N253" t="s">
        <v>2424</v>
      </c>
      <c r="O253" t="s">
        <v>2547</v>
      </c>
      <c r="P253" t="b">
        <v>1</v>
      </c>
      <c r="Q253" t="s">
        <v>1350</v>
      </c>
    </row>
    <row r="254" spans="1:17" x14ac:dyDescent="0.35">
      <c r="A254" t="s">
        <v>3440</v>
      </c>
      <c r="B254" t="s">
        <v>1706</v>
      </c>
      <c r="C254" t="s">
        <v>3708</v>
      </c>
      <c r="D254" t="s">
        <v>50</v>
      </c>
      <c r="E254">
        <v>11</v>
      </c>
      <c r="F254">
        <v>1</v>
      </c>
      <c r="G254">
        <v>19</v>
      </c>
      <c r="H254">
        <v>3</v>
      </c>
      <c r="I254" t="s">
        <v>606</v>
      </c>
      <c r="J254" t="s">
        <v>2209</v>
      </c>
      <c r="K254" t="s">
        <v>3523</v>
      </c>
      <c r="L254" s="1" t="str">
        <f>HYPERLINK("https://ovidsp.ovid.com/ovidweb.cgi?T=JS&amp;NEWS=n&amp;CSC=Y&amp;PAGE=toc&amp;D=yrovft&amp;AN=01202412-000000000-00000","https://ovidsp.ovid.com/ovidweb.cgi?T=JS&amp;NEWS=n&amp;CSC=Y&amp;PAGE=toc&amp;D=yrovft&amp;AN=01202412-000000000-00000")</f>
        <v>https://ovidsp.ovid.com/ovidweb.cgi?T=JS&amp;NEWS=n&amp;CSC=Y&amp;PAGE=toc&amp;D=yrovft&amp;AN=01202412-000000000-00000</v>
      </c>
      <c r="M254" t="s">
        <v>1140</v>
      </c>
      <c r="N254" t="s">
        <v>2424</v>
      </c>
      <c r="O254" t="s">
        <v>8</v>
      </c>
      <c r="P254" t="b">
        <v>1</v>
      </c>
      <c r="Q254" t="s">
        <v>1305</v>
      </c>
    </row>
    <row r="255" spans="1:17" x14ac:dyDescent="0.35">
      <c r="A255" t="s">
        <v>697</v>
      </c>
      <c r="B255" t="s">
        <v>1803</v>
      </c>
      <c r="C255" t="s">
        <v>1275</v>
      </c>
      <c r="D255" t="s">
        <v>2855</v>
      </c>
      <c r="E255">
        <v>34</v>
      </c>
      <c r="F255">
        <v>1</v>
      </c>
      <c r="G255">
        <v>34</v>
      </c>
      <c r="H255">
        <v>10</v>
      </c>
      <c r="I255" t="s">
        <v>2251</v>
      </c>
      <c r="J255" t="s">
        <v>3622</v>
      </c>
      <c r="K255" t="s">
        <v>2837</v>
      </c>
      <c r="L255" s="1" t="str">
        <f>HYPERLINK("https://ovidsp.ovid.com/ovidweb.cgi?T=JS&amp;NEWS=n&amp;CSC=Y&amp;PAGE=toc&amp;D=yrovft&amp;AN=00005178-000000000-00000","https://ovidsp.ovid.com/ovidweb.cgi?T=JS&amp;NEWS=n&amp;CSC=Y&amp;PAGE=toc&amp;D=yrovft&amp;AN=00005178-000000000-00000")</f>
        <v>https://ovidsp.ovid.com/ovidweb.cgi?T=JS&amp;NEWS=n&amp;CSC=Y&amp;PAGE=toc&amp;D=yrovft&amp;AN=00005178-000000000-00000</v>
      </c>
      <c r="M255" t="s">
        <v>2354</v>
      </c>
      <c r="N255" t="s">
        <v>2424</v>
      </c>
      <c r="O255" t="s">
        <v>3557</v>
      </c>
      <c r="P255" t="b">
        <v>1</v>
      </c>
      <c r="Q255" t="s">
        <v>2593</v>
      </c>
    </row>
    <row r="256" spans="1:17" x14ac:dyDescent="0.35">
      <c r="A256" t="s">
        <v>989</v>
      </c>
      <c r="B256" t="s">
        <v>3668</v>
      </c>
      <c r="C256" t="s">
        <v>2424</v>
      </c>
      <c r="D256" t="s">
        <v>50</v>
      </c>
      <c r="E256">
        <v>9</v>
      </c>
      <c r="F256">
        <v>2</v>
      </c>
      <c r="G256">
        <v>15</v>
      </c>
      <c r="H256">
        <v>6</v>
      </c>
      <c r="I256" t="s">
        <v>3501</v>
      </c>
      <c r="J256" t="s">
        <v>2581</v>
      </c>
      <c r="K256" t="s">
        <v>2837</v>
      </c>
      <c r="L256" s="1" t="str">
        <f>HYPERLINK("https://ovidsp.ovid.com/ovidweb.cgi?T=JS&amp;NEWS=n&amp;CSC=Y&amp;PAGE=toc&amp;D=yrovft&amp;AN=00146866-000000000-00000","https://ovidsp.ovid.com/ovidweb.cgi?T=JS&amp;NEWS=n&amp;CSC=Y&amp;PAGE=toc&amp;D=yrovft&amp;AN=00146866-000000000-00000")</f>
        <v>https://ovidsp.ovid.com/ovidweb.cgi?T=JS&amp;NEWS=n&amp;CSC=Y&amp;PAGE=toc&amp;D=yrovft&amp;AN=00146866-000000000-00000</v>
      </c>
      <c r="M256" t="s">
        <v>3442</v>
      </c>
      <c r="N256" t="s">
        <v>2424</v>
      </c>
      <c r="O256" t="s">
        <v>3063</v>
      </c>
      <c r="P256" t="b">
        <v>0</v>
      </c>
      <c r="Q256" t="s">
        <v>2424</v>
      </c>
    </row>
    <row r="257" spans="1:17" x14ac:dyDescent="0.35">
      <c r="A257" t="s">
        <v>2475</v>
      </c>
      <c r="B257" t="s">
        <v>1052</v>
      </c>
      <c r="C257" t="s">
        <v>3303</v>
      </c>
      <c r="D257" t="s">
        <v>50</v>
      </c>
      <c r="E257">
        <v>16</v>
      </c>
      <c r="F257">
        <v>1</v>
      </c>
      <c r="G257">
        <v>24</v>
      </c>
      <c r="H257">
        <v>1</v>
      </c>
      <c r="I257" t="s">
        <v>3260</v>
      </c>
      <c r="J257" t="s">
        <v>517</v>
      </c>
      <c r="K257" t="s">
        <v>840</v>
      </c>
      <c r="L257" s="1" t="str">
        <f>HYPERLINK("https://ovidsp.ovid.com/ovidweb.cgi?T=JS&amp;NEWS=n&amp;CSC=Y&amp;PAGE=toc&amp;D=yrovft&amp;AN=00005237-000000000-00000","https://ovidsp.ovid.com/ovidweb.cgi?T=JS&amp;NEWS=n&amp;CSC=Y&amp;PAGE=toc&amp;D=yrovft&amp;AN=00005237-000000000-00000")</f>
        <v>https://ovidsp.ovid.com/ovidweb.cgi?T=JS&amp;NEWS=n&amp;CSC=Y&amp;PAGE=toc&amp;D=yrovft&amp;AN=00005237-000000000-00000</v>
      </c>
      <c r="M257" t="s">
        <v>577</v>
      </c>
      <c r="N257" t="s">
        <v>2424</v>
      </c>
      <c r="O257" t="s">
        <v>364</v>
      </c>
      <c r="P257" t="b">
        <v>1</v>
      </c>
      <c r="Q257" t="s">
        <v>3713</v>
      </c>
    </row>
    <row r="258" spans="1:17" x14ac:dyDescent="0.35">
      <c r="A258" t="s">
        <v>2992</v>
      </c>
      <c r="B258" t="s">
        <v>2766</v>
      </c>
      <c r="C258" t="s">
        <v>2074</v>
      </c>
      <c r="D258" t="s">
        <v>50</v>
      </c>
      <c r="E258">
        <v>9</v>
      </c>
      <c r="F258">
        <v>2</v>
      </c>
      <c r="G258">
        <v>16</v>
      </c>
      <c r="H258">
        <v>2</v>
      </c>
      <c r="I258" t="s">
        <v>1714</v>
      </c>
      <c r="J258" t="s">
        <v>2581</v>
      </c>
      <c r="K258" t="s">
        <v>2939</v>
      </c>
      <c r="L258" s="1" t="str">
        <f>HYPERLINK("https://ovidsp.ovid.com/ovidweb.cgi?T=JS&amp;NEWS=n&amp;CSC=Y&amp;PAGE=toc&amp;D=yrovft&amp;AN=00131746-000000000-00000","https://ovidsp.ovid.com/ovidweb.cgi?T=JS&amp;NEWS=n&amp;CSC=Y&amp;PAGE=toc&amp;D=yrovft&amp;AN=00131746-000000000-00000")</f>
        <v>https://ovidsp.ovid.com/ovidweb.cgi?T=JS&amp;NEWS=n&amp;CSC=Y&amp;PAGE=toc&amp;D=yrovft&amp;AN=00131746-000000000-00000</v>
      </c>
      <c r="M258" t="s">
        <v>1653</v>
      </c>
      <c r="N258" t="s">
        <v>2424</v>
      </c>
      <c r="O258" t="s">
        <v>2001</v>
      </c>
      <c r="P258" t="b">
        <v>0</v>
      </c>
      <c r="Q258" t="s">
        <v>2424</v>
      </c>
    </row>
    <row r="259" spans="1:17" x14ac:dyDescent="0.35">
      <c r="A259" t="s">
        <v>1887</v>
      </c>
      <c r="B259" t="s">
        <v>966</v>
      </c>
      <c r="C259" t="s">
        <v>2284</v>
      </c>
      <c r="D259" t="s">
        <v>2855</v>
      </c>
      <c r="E259">
        <v>31</v>
      </c>
      <c r="F259">
        <v>1</v>
      </c>
      <c r="G259">
        <v>31</v>
      </c>
      <c r="H259">
        <v>4</v>
      </c>
      <c r="I259" t="s">
        <v>342</v>
      </c>
      <c r="J259" t="s">
        <v>2671</v>
      </c>
      <c r="K259" t="s">
        <v>2957</v>
      </c>
      <c r="L259" s="1" t="str">
        <f>HYPERLINK("https://ovidsp.ovid.com/ovidweb.cgi?T=JS&amp;NEWS=n&amp;CSC=Y&amp;PAGE=toc&amp;D=yrovft&amp;AN=01189060-000000000-00000","https://ovidsp.ovid.com/ovidweb.cgi?T=JS&amp;NEWS=n&amp;CSC=Y&amp;PAGE=toc&amp;D=yrovft&amp;AN=01189060-000000000-00000")</f>
        <v>https://ovidsp.ovid.com/ovidweb.cgi?T=JS&amp;NEWS=n&amp;CSC=Y&amp;PAGE=toc&amp;D=yrovft&amp;AN=01189060-000000000-00000</v>
      </c>
      <c r="M259" t="s">
        <v>2084</v>
      </c>
      <c r="N259" t="s">
        <v>2424</v>
      </c>
      <c r="O259" t="s">
        <v>2193</v>
      </c>
      <c r="P259" t="b">
        <v>1</v>
      </c>
      <c r="Q259" t="s">
        <v>1900</v>
      </c>
    </row>
    <row r="260" spans="1:17" x14ac:dyDescent="0.35">
      <c r="A260" t="s">
        <v>45</v>
      </c>
      <c r="B260" t="s">
        <v>1259</v>
      </c>
      <c r="C260" t="s">
        <v>795</v>
      </c>
      <c r="D260" t="s">
        <v>50</v>
      </c>
      <c r="E260">
        <v>8</v>
      </c>
      <c r="F260">
        <v>1</v>
      </c>
      <c r="G260">
        <v>16</v>
      </c>
      <c r="H260">
        <v>3</v>
      </c>
      <c r="I260" t="s">
        <v>606</v>
      </c>
      <c r="J260" t="s">
        <v>2209</v>
      </c>
      <c r="K260" t="s">
        <v>3523</v>
      </c>
      <c r="L260" s="1" t="str">
        <f>HYPERLINK("https://ovidsp.ovid.com/ovidweb.cgi?T=JS&amp;NEWS=n&amp;CSC=Y&amp;PAGE=toc&amp;D=yrovft&amp;AN=00124784-000000000-00000","https://ovidsp.ovid.com/ovidweb.cgi?T=JS&amp;NEWS=n&amp;CSC=Y&amp;PAGE=toc&amp;D=yrovft&amp;AN=00124784-000000000-00000")</f>
        <v>https://ovidsp.ovid.com/ovidweb.cgi?T=JS&amp;NEWS=n&amp;CSC=Y&amp;PAGE=toc&amp;D=yrovft&amp;AN=00124784-000000000-00000</v>
      </c>
      <c r="M260" t="s">
        <v>1200</v>
      </c>
      <c r="N260" t="s">
        <v>2424</v>
      </c>
      <c r="O260" t="s">
        <v>1229</v>
      </c>
      <c r="P260" t="b">
        <v>1</v>
      </c>
      <c r="Q260" t="s">
        <v>154</v>
      </c>
    </row>
    <row r="261" spans="1:17" x14ac:dyDescent="0.35">
      <c r="A261" t="s">
        <v>1988</v>
      </c>
      <c r="B261" t="s">
        <v>1134</v>
      </c>
      <c r="C261" t="s">
        <v>58</v>
      </c>
      <c r="D261" t="s">
        <v>50</v>
      </c>
      <c r="E261">
        <v>14</v>
      </c>
      <c r="F261">
        <v>3</v>
      </c>
      <c r="G261">
        <v>14</v>
      </c>
      <c r="H261">
        <v>6</v>
      </c>
      <c r="I261" t="s">
        <v>2982</v>
      </c>
      <c r="J261" t="s">
        <v>3481</v>
      </c>
      <c r="K261" t="s">
        <v>40</v>
      </c>
      <c r="L261" s="1" t="str">
        <f>HYPERLINK("https://ovidsp.ovid.com/ovidweb.cgi?T=JS&amp;NEWS=n&amp;CSC=Y&amp;PAGE=toc&amp;D=yrovft&amp;AN=00002517-000000000-00000","https://ovidsp.ovid.com/ovidweb.cgi?T=JS&amp;NEWS=n&amp;CSC=Y&amp;PAGE=toc&amp;D=yrovft&amp;AN=00002517-000000000-00000")</f>
        <v>https://ovidsp.ovid.com/ovidweb.cgi?T=JS&amp;NEWS=n&amp;CSC=Y&amp;PAGE=toc&amp;D=yrovft&amp;AN=00002517-000000000-00000</v>
      </c>
      <c r="M261" t="s">
        <v>3253</v>
      </c>
      <c r="N261" t="s">
        <v>2424</v>
      </c>
      <c r="O261" t="s">
        <v>2925</v>
      </c>
      <c r="P261" t="b">
        <v>0</v>
      </c>
      <c r="Q261" t="s">
        <v>2424</v>
      </c>
    </row>
    <row r="262" spans="1:17" x14ac:dyDescent="0.35">
      <c r="A262" t="s">
        <v>2471</v>
      </c>
      <c r="B262" t="s">
        <v>832</v>
      </c>
      <c r="C262" t="s">
        <v>58</v>
      </c>
      <c r="D262" t="s">
        <v>50</v>
      </c>
      <c r="E262">
        <v>15</v>
      </c>
      <c r="F262">
        <v>1</v>
      </c>
      <c r="G262">
        <v>23</v>
      </c>
      <c r="H262">
        <v>2</v>
      </c>
      <c r="I262" t="s">
        <v>2513</v>
      </c>
      <c r="J262" t="s">
        <v>3162</v>
      </c>
      <c r="K262" t="s">
        <v>2461</v>
      </c>
      <c r="L262" s="1" t="str">
        <f>HYPERLINK("https://ovidsp.ovid.com/ovidweb.cgi?T=JS&amp;NEWS=n&amp;CSC=Y&amp;PAGE=toc&amp;D=yrovft&amp;AN=00024720-000000000-00000","https://ovidsp.ovid.com/ovidweb.cgi?T=JS&amp;NEWS=n&amp;CSC=Y&amp;PAGE=toc&amp;D=yrovft&amp;AN=00024720-000000000-00000")</f>
        <v>https://ovidsp.ovid.com/ovidweb.cgi?T=JS&amp;NEWS=n&amp;CSC=Y&amp;PAGE=toc&amp;D=yrovft&amp;AN=00024720-000000000-00000</v>
      </c>
      <c r="M262" t="s">
        <v>2516</v>
      </c>
      <c r="N262" t="s">
        <v>2424</v>
      </c>
      <c r="O262" t="s">
        <v>3135</v>
      </c>
      <c r="P262" t="b">
        <v>0</v>
      </c>
      <c r="Q262" t="s">
        <v>2424</v>
      </c>
    </row>
    <row r="263" spans="1:17" x14ac:dyDescent="0.35">
      <c r="A263" t="s">
        <v>2197</v>
      </c>
      <c r="B263" t="s">
        <v>1163</v>
      </c>
      <c r="C263" t="s">
        <v>595</v>
      </c>
      <c r="D263" t="s">
        <v>50</v>
      </c>
      <c r="E263">
        <v>21</v>
      </c>
      <c r="F263">
        <v>1</v>
      </c>
      <c r="G263">
        <v>29</v>
      </c>
      <c r="H263">
        <v>4</v>
      </c>
      <c r="I263" t="s">
        <v>3167</v>
      </c>
      <c r="J263" t="s">
        <v>2668</v>
      </c>
      <c r="K263" t="s">
        <v>1640</v>
      </c>
      <c r="L263" s="1" t="str">
        <f>HYPERLINK("https://ovidsp.ovid.com/ovidweb.cgi?T=JS&amp;NEWS=n&amp;CSC=Y&amp;PAGE=toc&amp;D=yrovft&amp;AN=00124278-000000000-00000","https://ovidsp.ovid.com/ovidweb.cgi?T=JS&amp;NEWS=n&amp;CSC=Y&amp;PAGE=toc&amp;D=yrovft&amp;AN=00124278-000000000-00000")</f>
        <v>https://ovidsp.ovid.com/ovidweb.cgi?T=JS&amp;NEWS=n&amp;CSC=Y&amp;PAGE=toc&amp;D=yrovft&amp;AN=00124278-000000000-00000</v>
      </c>
      <c r="M263" t="s">
        <v>540</v>
      </c>
      <c r="N263" t="s">
        <v>2424</v>
      </c>
      <c r="O263" t="s">
        <v>3601</v>
      </c>
      <c r="P263" t="b">
        <v>1</v>
      </c>
      <c r="Q263" t="s">
        <v>3316</v>
      </c>
    </row>
    <row r="264" spans="1:17" x14ac:dyDescent="0.35">
      <c r="A264" t="s">
        <v>197</v>
      </c>
      <c r="B264" t="s">
        <v>2707</v>
      </c>
      <c r="C264" t="s">
        <v>184</v>
      </c>
      <c r="D264" t="s">
        <v>50</v>
      </c>
      <c r="E264">
        <v>40</v>
      </c>
      <c r="F264">
        <v>7</v>
      </c>
      <c r="G264">
        <v>48</v>
      </c>
      <c r="H264">
        <v>12</v>
      </c>
      <c r="I264" t="s">
        <v>2172</v>
      </c>
      <c r="J264" t="s">
        <v>3608</v>
      </c>
      <c r="K264" t="s">
        <v>2957</v>
      </c>
      <c r="L264" s="1" t="str">
        <f>HYPERLINK("https://ovidsp.ovid.com/ovidweb.cgi?T=JS&amp;NEWS=n&amp;CSC=Y&amp;PAGE=toc&amp;D=yrovft&amp;AN=00004583-000000000-00000","https://ovidsp.ovid.com/ovidweb.cgi?T=JS&amp;NEWS=n&amp;CSC=Y&amp;PAGE=toc&amp;D=yrovft&amp;AN=00004583-000000000-00000")</f>
        <v>https://ovidsp.ovid.com/ovidweb.cgi?T=JS&amp;NEWS=n&amp;CSC=Y&amp;PAGE=toc&amp;D=yrovft&amp;AN=00004583-000000000-00000</v>
      </c>
      <c r="M264" t="s">
        <v>363</v>
      </c>
      <c r="N264" t="s">
        <v>2424</v>
      </c>
      <c r="O264" t="s">
        <v>1201</v>
      </c>
      <c r="P264" t="b">
        <v>0</v>
      </c>
      <c r="Q264" t="s">
        <v>2424</v>
      </c>
    </row>
    <row r="265" spans="1:17" x14ac:dyDescent="0.35">
      <c r="A265" t="s">
        <v>1354</v>
      </c>
      <c r="B265" t="s">
        <v>2467</v>
      </c>
      <c r="C265" t="s">
        <v>2424</v>
      </c>
      <c r="D265" t="s">
        <v>50</v>
      </c>
      <c r="E265">
        <v>23</v>
      </c>
      <c r="F265">
        <v>1</v>
      </c>
      <c r="G265">
        <v>26</v>
      </c>
      <c r="H265">
        <v>3</v>
      </c>
      <c r="I265" t="s">
        <v>1469</v>
      </c>
      <c r="J265" t="s">
        <v>1903</v>
      </c>
      <c r="K265" t="s">
        <v>1003</v>
      </c>
      <c r="L265" s="1" t="str">
        <f>HYPERLINK("https://ovidsp.ovid.com/ovidweb.cgi?T=JS&amp;NEWS=n&amp;CSC=Y&amp;PAGE=toc&amp;D=yrovft&amp;AN=01179370-000000000-00000","https://ovidsp.ovid.com/ovidweb.cgi?T=JS&amp;NEWS=n&amp;CSC=Y&amp;PAGE=toc&amp;D=yrovft&amp;AN=01179370-000000000-00000")</f>
        <v>https://ovidsp.ovid.com/ovidweb.cgi?T=JS&amp;NEWS=n&amp;CSC=Y&amp;PAGE=toc&amp;D=yrovft&amp;AN=01179370-000000000-00000</v>
      </c>
      <c r="M265" t="s">
        <v>2808</v>
      </c>
      <c r="N265" t="s">
        <v>2424</v>
      </c>
      <c r="O265" t="s">
        <v>769</v>
      </c>
      <c r="P265" t="b">
        <v>0</v>
      </c>
      <c r="Q265" t="s">
        <v>2424</v>
      </c>
    </row>
    <row r="266" spans="1:17" x14ac:dyDescent="0.35">
      <c r="A266" t="s">
        <v>438</v>
      </c>
      <c r="B266" t="s">
        <v>3535</v>
      </c>
      <c r="C266" t="s">
        <v>1177</v>
      </c>
      <c r="D266" t="s">
        <v>50</v>
      </c>
      <c r="E266">
        <v>4</v>
      </c>
      <c r="F266">
        <v>2</v>
      </c>
      <c r="G266">
        <v>5</v>
      </c>
      <c r="H266">
        <v>6</v>
      </c>
      <c r="I266" t="s">
        <v>2297</v>
      </c>
      <c r="J266" t="s">
        <v>2581</v>
      </c>
      <c r="K266" t="s">
        <v>2287</v>
      </c>
      <c r="L266" s="1" t="str">
        <f>HYPERLINK("https://ovidsp.ovid.com/ovidweb.cgi?T=JS&amp;NEWS=n&amp;CSC=Y&amp;PAGE=toc&amp;D=yrovft&amp;AN=00130535-000000000-00000","https://ovidsp.ovid.com/ovidweb.cgi?T=JS&amp;NEWS=n&amp;CSC=Y&amp;PAGE=toc&amp;D=yrovft&amp;AN=00130535-000000000-00000")</f>
        <v>https://ovidsp.ovid.com/ovidweb.cgi?T=JS&amp;NEWS=n&amp;CSC=Y&amp;PAGE=toc&amp;D=yrovft&amp;AN=00130535-000000000-00000</v>
      </c>
      <c r="M266" t="s">
        <v>1819</v>
      </c>
      <c r="N266" t="s">
        <v>2424</v>
      </c>
      <c r="O266" t="s">
        <v>604</v>
      </c>
      <c r="P266" t="b">
        <v>0</v>
      </c>
      <c r="Q266" t="s">
        <v>2424</v>
      </c>
    </row>
    <row r="267" spans="1:17" x14ac:dyDescent="0.35">
      <c r="A267" t="s">
        <v>3018</v>
      </c>
      <c r="B267" t="s">
        <v>2748</v>
      </c>
      <c r="C267" t="s">
        <v>511</v>
      </c>
      <c r="D267" t="s">
        <v>50</v>
      </c>
      <c r="E267">
        <v>1</v>
      </c>
      <c r="F267">
        <v>1</v>
      </c>
      <c r="G267">
        <v>2</v>
      </c>
      <c r="H267">
        <v>2</v>
      </c>
      <c r="I267" t="s">
        <v>2846</v>
      </c>
      <c r="J267" t="s">
        <v>3622</v>
      </c>
      <c r="K267" t="s">
        <v>2939</v>
      </c>
      <c r="L267" s="1" t="str">
        <f>HYPERLINK("https://ovidsp.ovid.com/ovidweb.cgi?T=JS&amp;NEWS=n&amp;CSC=Y&amp;PAGE=toc&amp;D=yrovft&amp;AN=01412499-000000000-00000","https://ovidsp.ovid.com/ovidweb.cgi?T=JS&amp;NEWS=n&amp;CSC=Y&amp;PAGE=toc&amp;D=yrovft&amp;AN=01412499-000000000-00000")</f>
        <v>https://ovidsp.ovid.com/ovidweb.cgi?T=JS&amp;NEWS=n&amp;CSC=Y&amp;PAGE=toc&amp;D=yrovft&amp;AN=01412499-000000000-00000</v>
      </c>
      <c r="M267" t="s">
        <v>1390</v>
      </c>
      <c r="N267" t="s">
        <v>2424</v>
      </c>
      <c r="O267" t="s">
        <v>1128</v>
      </c>
      <c r="P267" t="b">
        <v>0</v>
      </c>
      <c r="Q267" t="s">
        <v>2424</v>
      </c>
    </row>
    <row r="268" spans="1:17" x14ac:dyDescent="0.35">
      <c r="A268" t="s">
        <v>1671</v>
      </c>
      <c r="B268" t="s">
        <v>2099</v>
      </c>
      <c r="C268" t="s">
        <v>357</v>
      </c>
      <c r="D268" t="s">
        <v>2855</v>
      </c>
      <c r="E268">
        <v>64</v>
      </c>
      <c r="F268">
        <v>2</v>
      </c>
      <c r="G268">
        <v>65</v>
      </c>
      <c r="H268">
        <v>1</v>
      </c>
      <c r="I268" t="s">
        <v>3041</v>
      </c>
      <c r="J268" t="s">
        <v>3533</v>
      </c>
      <c r="K268" t="s">
        <v>840</v>
      </c>
      <c r="L268" s="1" t="str">
        <f>HYPERLINK("https://ovidsp.ovid.com/ovidweb.cgi?T=JS&amp;NEWS=n&amp;CSC=Y&amp;PAGE=toc&amp;D=yrovft&amp;AN=00004859-000000000-00000","https://ovidsp.ovid.com/ovidweb.cgi?T=JS&amp;NEWS=n&amp;CSC=Y&amp;PAGE=toc&amp;D=yrovft&amp;AN=00004859-000000000-00000")</f>
        <v>https://ovidsp.ovid.com/ovidweb.cgi?T=JS&amp;NEWS=n&amp;CSC=Y&amp;PAGE=toc&amp;D=yrovft&amp;AN=00004859-000000000-00000</v>
      </c>
      <c r="M268" t="s">
        <v>1741</v>
      </c>
      <c r="N268" t="s">
        <v>2424</v>
      </c>
      <c r="O268" t="s">
        <v>2316</v>
      </c>
      <c r="P268" t="b">
        <v>0</v>
      </c>
      <c r="Q268" t="s">
        <v>2424</v>
      </c>
    </row>
    <row r="269" spans="1:17" x14ac:dyDescent="0.35">
      <c r="A269" t="s">
        <v>2260</v>
      </c>
      <c r="B269" t="s">
        <v>1669</v>
      </c>
      <c r="C269" t="s">
        <v>3220</v>
      </c>
      <c r="D269" t="s">
        <v>2855</v>
      </c>
      <c r="E269">
        <v>100</v>
      </c>
      <c r="F269">
        <v>24</v>
      </c>
      <c r="G269">
        <v>101</v>
      </c>
      <c r="H269">
        <v>23</v>
      </c>
      <c r="I269" t="s">
        <v>1130</v>
      </c>
      <c r="J269" t="s">
        <v>2016</v>
      </c>
      <c r="K269" t="s">
        <v>515</v>
      </c>
      <c r="L269" s="1" t="str">
        <f>HYPERLINK("https://ovidsp.ovid.com/ovidweb.cgi?T=JS&amp;NEWS=n&amp;CSC=Y&amp;PAGE=toc&amp;D=yrovft&amp;AN=00005042-000000000-00000","https://ovidsp.ovid.com/ovidweb.cgi?T=JS&amp;NEWS=n&amp;CSC=Y&amp;PAGE=toc&amp;D=yrovft&amp;AN=00005042-000000000-00000")</f>
        <v>https://ovidsp.ovid.com/ovidweb.cgi?T=JS&amp;NEWS=n&amp;CSC=Y&amp;PAGE=toc&amp;D=yrovft&amp;AN=00005042-000000000-00000</v>
      </c>
      <c r="M269" t="s">
        <v>185</v>
      </c>
      <c r="N269" t="s">
        <v>2424</v>
      </c>
      <c r="O269" t="s">
        <v>2275</v>
      </c>
      <c r="P269" t="b">
        <v>1</v>
      </c>
      <c r="Q269" t="s">
        <v>1848</v>
      </c>
    </row>
    <row r="270" spans="1:17" x14ac:dyDescent="0.35">
      <c r="A270" t="s">
        <v>2632</v>
      </c>
      <c r="B270" t="s">
        <v>2619</v>
      </c>
      <c r="C270" t="s">
        <v>2424</v>
      </c>
      <c r="D270" t="s">
        <v>2591</v>
      </c>
      <c r="E270">
        <v>95</v>
      </c>
      <c r="F270">
        <v>3</v>
      </c>
      <c r="G270">
        <v>97</v>
      </c>
      <c r="H270">
        <v>2</v>
      </c>
      <c r="I270" t="s">
        <v>352</v>
      </c>
      <c r="J270" t="s">
        <v>2249</v>
      </c>
      <c r="K270" t="s">
        <v>3425</v>
      </c>
      <c r="L270" s="1" t="str">
        <f>HYPERLINK("https://ovidsp.ovid.com/ovidweb.cgi?T=JS&amp;NEWS=n&amp;CSC=Y&amp;PAGE=toc&amp;D=yrovft&amp;AN=00005305-000000000-00000","https://ovidsp.ovid.com/ovidweb.cgi?T=JS&amp;NEWS=n&amp;CSC=Y&amp;PAGE=toc&amp;D=yrovft&amp;AN=00005305-000000000-00000")</f>
        <v>https://ovidsp.ovid.com/ovidweb.cgi?T=JS&amp;NEWS=n&amp;CSC=Y&amp;PAGE=toc&amp;D=yrovft&amp;AN=00005305-000000000-00000</v>
      </c>
      <c r="M270" t="s">
        <v>599</v>
      </c>
      <c r="N270" t="s">
        <v>2424</v>
      </c>
      <c r="O270" t="s">
        <v>1839</v>
      </c>
      <c r="P270" t="b">
        <v>0</v>
      </c>
      <c r="Q270" t="s">
        <v>2424</v>
      </c>
    </row>
    <row r="271" spans="1:17" x14ac:dyDescent="0.35">
      <c r="A271" t="s">
        <v>3290</v>
      </c>
      <c r="B271" t="s">
        <v>1681</v>
      </c>
      <c r="C271" t="s">
        <v>2424</v>
      </c>
      <c r="D271" t="s">
        <v>2591</v>
      </c>
      <c r="E271">
        <v>95</v>
      </c>
      <c r="F271">
        <v>0</v>
      </c>
      <c r="G271">
        <v>96</v>
      </c>
      <c r="H271">
        <v>0</v>
      </c>
      <c r="I271" t="s">
        <v>980</v>
      </c>
      <c r="J271" t="s">
        <v>2209</v>
      </c>
      <c r="K271" t="s">
        <v>1145</v>
      </c>
      <c r="L271" s="1" t="str">
        <f>HYPERLINK("https://ovidsp.ovid.com/ovidweb.cgi?T=JS&amp;NEWS=n&amp;CSC=Y&amp;PAGE=toc&amp;D=yrovft&amp;AN=00013346-000000000-00000","https://ovidsp.ovid.com/ovidweb.cgi?T=JS&amp;NEWS=n&amp;CSC=Y&amp;PAGE=toc&amp;D=yrovft&amp;AN=00013346-000000000-00000")</f>
        <v>https://ovidsp.ovid.com/ovidweb.cgi?T=JS&amp;NEWS=n&amp;CSC=Y&amp;PAGE=toc&amp;D=yrovft&amp;AN=00013346-000000000-00000</v>
      </c>
      <c r="M271" t="s">
        <v>2050</v>
      </c>
      <c r="N271" t="s">
        <v>2424</v>
      </c>
      <c r="O271" t="s">
        <v>1878</v>
      </c>
      <c r="P271" t="b">
        <v>0</v>
      </c>
      <c r="Q271" t="s">
        <v>2424</v>
      </c>
    </row>
    <row r="272" spans="1:17" x14ac:dyDescent="0.35">
      <c r="A272" t="s">
        <v>3178</v>
      </c>
      <c r="B272" t="s">
        <v>3136</v>
      </c>
      <c r="C272" t="s">
        <v>2029</v>
      </c>
      <c r="D272" t="s">
        <v>50</v>
      </c>
      <c r="E272">
        <v>16</v>
      </c>
      <c r="F272">
        <v>4</v>
      </c>
      <c r="G272">
        <v>25</v>
      </c>
      <c r="H272">
        <v>1</v>
      </c>
      <c r="I272" t="s">
        <v>1711</v>
      </c>
      <c r="J272" t="s">
        <v>3802</v>
      </c>
      <c r="K272" t="s">
        <v>922</v>
      </c>
      <c r="L272" s="1" t="str">
        <f>HYPERLINK("https://ovidsp.ovid.com/ovidweb.cgi?T=JS&amp;NEWS=n&amp;CSC=Y&amp;PAGE=toc&amp;D=yrovft&amp;AN=00005382-000000000-00000","https://ovidsp.ovid.com/ovidweb.cgi?T=JS&amp;NEWS=n&amp;CSC=Y&amp;PAGE=toc&amp;D=yrovft&amp;AN=00005382-000000000-00000")</f>
        <v>https://ovidsp.ovid.com/ovidweb.cgi?T=JS&amp;NEWS=n&amp;CSC=Y&amp;PAGE=toc&amp;D=yrovft&amp;AN=00005382-000000000-00000</v>
      </c>
      <c r="M272" t="s">
        <v>1298</v>
      </c>
      <c r="N272" t="s">
        <v>2424</v>
      </c>
      <c r="O272" t="s">
        <v>3566</v>
      </c>
      <c r="P272" t="b">
        <v>1</v>
      </c>
      <c r="Q272" t="s">
        <v>1952</v>
      </c>
    </row>
    <row r="273" spans="1:17" x14ac:dyDescent="0.35">
      <c r="A273" t="s">
        <v>3085</v>
      </c>
      <c r="B273" t="s">
        <v>3524</v>
      </c>
      <c r="C273" t="s">
        <v>1125</v>
      </c>
      <c r="D273" t="s">
        <v>50</v>
      </c>
      <c r="E273">
        <v>2</v>
      </c>
      <c r="F273">
        <v>1</v>
      </c>
      <c r="G273">
        <v>10</v>
      </c>
      <c r="H273">
        <v>4</v>
      </c>
      <c r="I273" t="s">
        <v>1835</v>
      </c>
      <c r="J273" t="s">
        <v>666</v>
      </c>
      <c r="K273" t="s">
        <v>1640</v>
      </c>
      <c r="L273" s="1" t="str">
        <f>HYPERLINK("https://ovidsp.ovid.com/ovidweb.cgi?T=JS&amp;NEWS=n&amp;CSC=Y&amp;PAGE=toc&amp;D=yrovft&amp;AN=01243894-000000000-00000","https://ovidsp.ovid.com/ovidweb.cgi?T=JS&amp;NEWS=n&amp;CSC=Y&amp;PAGE=toc&amp;D=yrovft&amp;AN=01243894-000000000-00000")</f>
        <v>https://ovidsp.ovid.com/ovidweb.cgi?T=JS&amp;NEWS=n&amp;CSC=Y&amp;PAGE=toc&amp;D=yrovft&amp;AN=01243894-000000000-00000</v>
      </c>
      <c r="M273" t="s">
        <v>1211</v>
      </c>
      <c r="N273" t="s">
        <v>2424</v>
      </c>
      <c r="O273" t="s">
        <v>1055</v>
      </c>
      <c r="P273" t="b">
        <v>0</v>
      </c>
      <c r="Q273" t="s">
        <v>2424</v>
      </c>
    </row>
    <row r="274" spans="1:17" x14ac:dyDescent="0.35">
      <c r="A274" t="s">
        <v>2021</v>
      </c>
      <c r="B274" t="s">
        <v>757</v>
      </c>
      <c r="C274" t="s">
        <v>2424</v>
      </c>
      <c r="D274" t="s">
        <v>50</v>
      </c>
      <c r="E274">
        <v>72</v>
      </c>
      <c r="F274">
        <v>1</v>
      </c>
      <c r="G274">
        <v>78</v>
      </c>
      <c r="H274">
        <v>4</v>
      </c>
      <c r="I274" t="s">
        <v>2759</v>
      </c>
      <c r="J274" t="s">
        <v>2444</v>
      </c>
      <c r="K274" t="s">
        <v>1640</v>
      </c>
      <c r="L274" s="1" t="str">
        <f>HYPERLINK("https://ovidsp.ovid.com/ovidweb.cgi?T=JS&amp;NEWS=n&amp;CSC=Y&amp;PAGE=toc&amp;D=yrovft&amp;AN=01586154-000000000-00000","https://ovidsp.ovid.com/ovidweb.cgi?T=JS&amp;NEWS=n&amp;CSC=Y&amp;PAGE=toc&amp;D=yrovft&amp;AN=01586154-000000000-00000")</f>
        <v>https://ovidsp.ovid.com/ovidweb.cgi?T=JS&amp;NEWS=n&amp;CSC=Y&amp;PAGE=toc&amp;D=yrovft&amp;AN=01586154-000000000-00000</v>
      </c>
      <c r="M274" t="s">
        <v>3768</v>
      </c>
      <c r="N274" t="s">
        <v>2424</v>
      </c>
      <c r="O274" t="s">
        <v>583</v>
      </c>
      <c r="P274" t="b">
        <v>1</v>
      </c>
      <c r="Q274" t="s">
        <v>3813</v>
      </c>
    </row>
    <row r="275" spans="1:17" x14ac:dyDescent="0.35">
      <c r="A275" t="s">
        <v>89</v>
      </c>
      <c r="B275" t="s">
        <v>108</v>
      </c>
      <c r="C275" t="s">
        <v>2424</v>
      </c>
      <c r="D275" t="s">
        <v>50</v>
      </c>
      <c r="E275">
        <v>13</v>
      </c>
      <c r="F275">
        <v>4</v>
      </c>
      <c r="G275">
        <v>17</v>
      </c>
      <c r="H275">
        <v>1</v>
      </c>
      <c r="I275" t="s">
        <v>3428</v>
      </c>
      <c r="J275" t="s">
        <v>575</v>
      </c>
      <c r="K275" t="s">
        <v>840</v>
      </c>
      <c r="L275" s="1" t="str">
        <f>HYPERLINK("https://ovidsp.ovid.com/ovidweb.cgi?T=JS&amp;NEWS=n&amp;CSC=Y&amp;PAGE=toc&amp;D=yrovft&amp;AN=00043860-000000000-00000","https://ovidsp.ovid.com/ovidweb.cgi?T=JS&amp;NEWS=n&amp;CSC=Y&amp;PAGE=toc&amp;D=yrovft&amp;AN=00043860-000000000-00000")</f>
        <v>https://ovidsp.ovid.com/ovidweb.cgi?T=JS&amp;NEWS=n&amp;CSC=Y&amp;PAGE=toc&amp;D=yrovft&amp;AN=00043860-000000000-00000</v>
      </c>
      <c r="M275" t="s">
        <v>60</v>
      </c>
      <c r="N275" t="s">
        <v>2424</v>
      </c>
      <c r="O275" t="s">
        <v>838</v>
      </c>
      <c r="P275" t="b">
        <v>0</v>
      </c>
      <c r="Q275" t="s">
        <v>2424</v>
      </c>
    </row>
    <row r="276" spans="1:17" x14ac:dyDescent="0.35">
      <c r="A276" t="s">
        <v>2214</v>
      </c>
      <c r="B276" t="s">
        <v>1405</v>
      </c>
      <c r="C276" t="s">
        <v>2424</v>
      </c>
      <c r="D276" t="s">
        <v>50</v>
      </c>
      <c r="E276">
        <v>51</v>
      </c>
      <c r="F276">
        <v>1</v>
      </c>
      <c r="G276">
        <v>71</v>
      </c>
      <c r="H276">
        <v>6</v>
      </c>
      <c r="I276" t="s">
        <v>3221</v>
      </c>
      <c r="J276" t="s">
        <v>3608</v>
      </c>
      <c r="K276" t="s">
        <v>584</v>
      </c>
      <c r="L276" s="1" t="str">
        <f>HYPERLINK("https://ovidsp.ovid.com/ovidweb.cgi?T=JS&amp;NEWS=n&amp;CSC=Y&amp;PAGE=toc&amp;D=yrovft&amp;AN=00005373-000000000-00000","https://ovidsp.ovid.com/ovidweb.cgi?T=JS&amp;NEWS=n&amp;CSC=Y&amp;PAGE=toc&amp;D=yrovft&amp;AN=00005373-000000000-00000")</f>
        <v>https://ovidsp.ovid.com/ovidweb.cgi?T=JS&amp;NEWS=n&amp;CSC=Y&amp;PAGE=toc&amp;D=yrovft&amp;AN=00005373-000000000-00000</v>
      </c>
      <c r="M276" t="s">
        <v>410</v>
      </c>
      <c r="N276" t="s">
        <v>2424</v>
      </c>
      <c r="O276" t="s">
        <v>2161</v>
      </c>
      <c r="P276" t="b">
        <v>0</v>
      </c>
      <c r="Q276" t="s">
        <v>2424</v>
      </c>
    </row>
    <row r="277" spans="1:17" x14ac:dyDescent="0.35">
      <c r="A277" t="s">
        <v>3158</v>
      </c>
      <c r="B277" t="s">
        <v>2723</v>
      </c>
      <c r="C277" t="s">
        <v>2176</v>
      </c>
      <c r="D277" t="s">
        <v>2855</v>
      </c>
      <c r="E277">
        <v>55</v>
      </c>
      <c r="F277">
        <v>1</v>
      </c>
      <c r="G277">
        <v>55</v>
      </c>
      <c r="H277">
        <v>6</v>
      </c>
      <c r="I277" t="s">
        <v>1042</v>
      </c>
      <c r="J277" t="s">
        <v>2568</v>
      </c>
      <c r="K277" t="s">
        <v>2957</v>
      </c>
      <c r="L277" s="1" t="str">
        <f>HYPERLINK("https://ovidsp.ovid.com/ovidweb.cgi?T=JS&amp;NEWS=n&amp;CSC=Y&amp;PAGE=toc&amp;D=yrovft&amp;AN=00005272-000000000-00000","https://ovidsp.ovid.com/ovidweb.cgi?T=JS&amp;NEWS=n&amp;CSC=Y&amp;PAGE=toc&amp;D=yrovft&amp;AN=00005272-000000000-00000")</f>
        <v>https://ovidsp.ovid.com/ovidweb.cgi?T=JS&amp;NEWS=n&amp;CSC=Y&amp;PAGE=toc&amp;D=yrovft&amp;AN=00005272-000000000-00000</v>
      </c>
      <c r="M277" t="s">
        <v>2045</v>
      </c>
      <c r="N277" t="s">
        <v>2424</v>
      </c>
      <c r="O277" t="s">
        <v>3486</v>
      </c>
      <c r="P277" t="b">
        <v>1</v>
      </c>
      <c r="Q277" t="s">
        <v>2386</v>
      </c>
    </row>
    <row r="278" spans="1:17" x14ac:dyDescent="0.35">
      <c r="A278" t="s">
        <v>2036</v>
      </c>
      <c r="B278" t="s">
        <v>2046</v>
      </c>
      <c r="C278" t="s">
        <v>134</v>
      </c>
      <c r="D278" t="s">
        <v>50</v>
      </c>
      <c r="E278">
        <v>165</v>
      </c>
      <c r="F278">
        <v>2</v>
      </c>
      <c r="G278">
        <v>174</v>
      </c>
      <c r="H278">
        <v>6</v>
      </c>
      <c r="I278" t="s">
        <v>860</v>
      </c>
      <c r="J278" t="s">
        <v>3777</v>
      </c>
      <c r="K278" t="s">
        <v>2743</v>
      </c>
      <c r="L278" s="1" t="str">
        <f>HYPERLINK("https://ovidsp.ovid.com/ovidweb.cgi?T=JS&amp;NEWS=n&amp;CSC=Y&amp;PAGE=toc&amp;D=yrovft&amp;AN=00076734-000000000-00000","https://ovidsp.ovid.com/ovidweb.cgi?T=JS&amp;NEWS=n&amp;CSC=Y&amp;PAGE=toc&amp;D=yrovft&amp;AN=00076734-000000000-00000")</f>
        <v>https://ovidsp.ovid.com/ovidweb.cgi?T=JS&amp;NEWS=n&amp;CSC=Y&amp;PAGE=toc&amp;D=yrovft&amp;AN=00076734-000000000-00000</v>
      </c>
      <c r="M278" t="s">
        <v>2833</v>
      </c>
      <c r="N278" t="s">
        <v>2424</v>
      </c>
      <c r="O278" t="s">
        <v>3709</v>
      </c>
      <c r="P278" t="b">
        <v>1</v>
      </c>
      <c r="Q278" t="s">
        <v>3578</v>
      </c>
    </row>
    <row r="279" spans="1:17" x14ac:dyDescent="0.35">
      <c r="A279" t="s">
        <v>3635</v>
      </c>
      <c r="B279" t="s">
        <v>698</v>
      </c>
      <c r="C279" t="s">
        <v>2826</v>
      </c>
      <c r="D279" t="s">
        <v>79</v>
      </c>
      <c r="E279">
        <v>12</v>
      </c>
      <c r="F279">
        <v>7</v>
      </c>
      <c r="G279">
        <v>17</v>
      </c>
      <c r="H279">
        <v>12</v>
      </c>
      <c r="I279" t="s">
        <v>2097</v>
      </c>
      <c r="J279" t="s">
        <v>3608</v>
      </c>
      <c r="K279" t="s">
        <v>1308</v>
      </c>
      <c r="L279" s="1" t="str">
        <f>HYPERLINK("https://ovidsp.ovid.com/ovidweb.cgi?T=JS&amp;NEWS=n&amp;CSC=Y&amp;PAGE=toc&amp;D=yrovft&amp;AN=00002518-000000000-00000","https://ovidsp.ovid.com/ovidweb.cgi?T=JS&amp;NEWS=n&amp;CSC=Y&amp;PAGE=toc&amp;D=yrovft&amp;AN=00002518-000000000-00000")</f>
        <v>https://ovidsp.ovid.com/ovidweb.cgi?T=JS&amp;NEWS=n&amp;CSC=Y&amp;PAGE=toc&amp;D=yrovft&amp;AN=00002518-000000000-00000</v>
      </c>
      <c r="M279" t="s">
        <v>2194</v>
      </c>
      <c r="N279" t="s">
        <v>2424</v>
      </c>
      <c r="O279" t="s">
        <v>3030</v>
      </c>
      <c r="P279" t="b">
        <v>0</v>
      </c>
      <c r="Q279" t="s">
        <v>2424</v>
      </c>
    </row>
    <row r="280" spans="1:17" x14ac:dyDescent="0.35">
      <c r="A280" t="s">
        <v>1515</v>
      </c>
      <c r="B280" t="s">
        <v>2492</v>
      </c>
      <c r="C280" t="s">
        <v>2424</v>
      </c>
      <c r="D280" t="s">
        <v>50</v>
      </c>
      <c r="E280">
        <v>29</v>
      </c>
      <c r="F280">
        <v>1</v>
      </c>
      <c r="G280">
        <v>34</v>
      </c>
      <c r="H280">
        <v>1</v>
      </c>
      <c r="I280" t="s">
        <v>2693</v>
      </c>
      <c r="J280" t="s">
        <v>3252</v>
      </c>
      <c r="K280" t="s">
        <v>840</v>
      </c>
      <c r="L280" s="1" t="str">
        <f>HYPERLINK("https://ovidsp.ovid.com/ovidweb.cgi?T=JS&amp;NEWS=n&amp;CSC=Y&amp;PAGE=toc&amp;D=yrovft&amp;AN=01274882-000000000-00000","https://ovidsp.ovid.com/ovidweb.cgi?T=JS&amp;NEWS=n&amp;CSC=Y&amp;PAGE=toc&amp;D=yrovft&amp;AN=01274882-000000000-00000")</f>
        <v>https://ovidsp.ovid.com/ovidweb.cgi?T=JS&amp;NEWS=n&amp;CSC=Y&amp;PAGE=toc&amp;D=yrovft&amp;AN=01274882-000000000-00000</v>
      </c>
      <c r="M280" t="s">
        <v>719</v>
      </c>
      <c r="N280" t="s">
        <v>2424</v>
      </c>
      <c r="O280" t="s">
        <v>1006</v>
      </c>
      <c r="P280" t="b">
        <v>1</v>
      </c>
      <c r="Q280" t="s">
        <v>1969</v>
      </c>
    </row>
    <row r="281" spans="1:17" x14ac:dyDescent="0.35">
      <c r="A281" t="s">
        <v>1970</v>
      </c>
      <c r="B281" t="s">
        <v>3430</v>
      </c>
      <c r="C281" t="s">
        <v>558</v>
      </c>
      <c r="D281" t="s">
        <v>50</v>
      </c>
      <c r="E281">
        <v>5</v>
      </c>
      <c r="F281">
        <v>1</v>
      </c>
      <c r="G281">
        <v>6</v>
      </c>
      <c r="H281">
        <v>4</v>
      </c>
      <c r="I281" t="s">
        <v>2830</v>
      </c>
      <c r="J281" t="s">
        <v>1929</v>
      </c>
      <c r="K281" t="s">
        <v>3343</v>
      </c>
      <c r="L281" s="1" t="str">
        <f>HYPERLINK("https://ovidsp.ovid.com/ovidweb.cgi?T=JS&amp;NEWS=n&amp;CSC=Y&amp;PAGE=toc&amp;D=yrovft&amp;AN=00130747-000000000-00000","https://ovidsp.ovid.com/ovidweb.cgi?T=JS&amp;NEWS=n&amp;CSC=Y&amp;PAGE=toc&amp;D=yrovft&amp;AN=00130747-000000000-00000")</f>
        <v>https://ovidsp.ovid.com/ovidweb.cgi?T=JS&amp;NEWS=n&amp;CSC=Y&amp;PAGE=toc&amp;D=yrovft&amp;AN=00130747-000000000-00000</v>
      </c>
      <c r="M281" t="s">
        <v>3267</v>
      </c>
      <c r="N281" t="s">
        <v>2424</v>
      </c>
      <c r="O281" t="s">
        <v>2521</v>
      </c>
      <c r="P281" t="b">
        <v>0</v>
      </c>
      <c r="Q281" t="s">
        <v>2424</v>
      </c>
    </row>
    <row r="282" spans="1:17" x14ac:dyDescent="0.35">
      <c r="A282" t="s">
        <v>2399</v>
      </c>
      <c r="B282" t="s">
        <v>953</v>
      </c>
      <c r="C282" t="s">
        <v>851</v>
      </c>
      <c r="D282" t="s">
        <v>50</v>
      </c>
      <c r="E282">
        <v>15</v>
      </c>
      <c r="F282">
        <v>2</v>
      </c>
      <c r="G282">
        <v>22</v>
      </c>
      <c r="H282">
        <v>2</v>
      </c>
      <c r="I282" t="s">
        <v>3594</v>
      </c>
      <c r="J282" t="s">
        <v>2069</v>
      </c>
      <c r="K282" t="s">
        <v>2461</v>
      </c>
      <c r="L282" s="1" t="str">
        <f>HYPERLINK("https://ovidsp.ovid.com/ovidweb.cgi?T=JS&amp;NEWS=n&amp;CSC=Y&amp;PAGE=toc&amp;D=yrovft&amp;AN=00008526-000000000-00000","https://ovidsp.ovid.com/ovidweb.cgi?T=JS&amp;NEWS=n&amp;CSC=Y&amp;PAGE=toc&amp;D=yrovft&amp;AN=00008526-000000000-00000")</f>
        <v>https://ovidsp.ovid.com/ovidweb.cgi?T=JS&amp;NEWS=n&amp;CSC=Y&amp;PAGE=toc&amp;D=yrovft&amp;AN=00008526-000000000-00000</v>
      </c>
      <c r="M282" t="s">
        <v>728</v>
      </c>
      <c r="N282" t="s">
        <v>2424</v>
      </c>
      <c r="O282" t="s">
        <v>1837</v>
      </c>
      <c r="P282" t="b">
        <v>1</v>
      </c>
      <c r="Q282" t="s">
        <v>1893</v>
      </c>
    </row>
    <row r="283" spans="1:17" x14ac:dyDescent="0.35">
      <c r="A283" t="s">
        <v>671</v>
      </c>
      <c r="B283" t="s">
        <v>3680</v>
      </c>
      <c r="C283" t="s">
        <v>1764</v>
      </c>
      <c r="D283" t="s">
        <v>50</v>
      </c>
      <c r="E283">
        <v>111</v>
      </c>
      <c r="F283">
        <v>8</v>
      </c>
      <c r="G283">
        <v>118</v>
      </c>
      <c r="H283">
        <v>12</v>
      </c>
      <c r="I283" t="s">
        <v>2566</v>
      </c>
      <c r="J283" t="s">
        <v>374</v>
      </c>
      <c r="K283" t="s">
        <v>2923</v>
      </c>
      <c r="L283" s="1" t="str">
        <f>HYPERLINK("https://ovidsp.ovid.com/ovidweb.cgi?T=JS&amp;NEWS=n&amp;CSC=Y&amp;PAGE=toc&amp;D=yrovft&amp;AN=00005537-000000000-00000","https://ovidsp.ovid.com/ovidweb.cgi?T=JS&amp;NEWS=n&amp;CSC=Y&amp;PAGE=toc&amp;D=yrovft&amp;AN=00005537-000000000-00000")</f>
        <v>https://ovidsp.ovid.com/ovidweb.cgi?T=JS&amp;NEWS=n&amp;CSC=Y&amp;PAGE=toc&amp;D=yrovft&amp;AN=00005537-000000000-00000</v>
      </c>
      <c r="M283" t="s">
        <v>1592</v>
      </c>
      <c r="N283" t="s">
        <v>2424</v>
      </c>
      <c r="O283" t="s">
        <v>1738</v>
      </c>
      <c r="P283" t="b">
        <v>0</v>
      </c>
      <c r="Q283" t="s">
        <v>2424</v>
      </c>
    </row>
    <row r="284" spans="1:17" x14ac:dyDescent="0.35">
      <c r="A284" t="s">
        <v>555</v>
      </c>
      <c r="B284" t="s">
        <v>3185</v>
      </c>
      <c r="C284" t="s">
        <v>2869</v>
      </c>
      <c r="D284" t="s">
        <v>50</v>
      </c>
      <c r="E284">
        <v>13</v>
      </c>
      <c r="F284">
        <v>8</v>
      </c>
      <c r="G284">
        <v>16</v>
      </c>
      <c r="H284">
        <v>5</v>
      </c>
      <c r="I284" t="s">
        <v>582</v>
      </c>
      <c r="J284" t="s">
        <v>2677</v>
      </c>
      <c r="K284" t="s">
        <v>3523</v>
      </c>
      <c r="L284" s="1" t="str">
        <f>HYPERLINK("https://ovidsp.ovid.com/ovidweb.cgi?T=JS&amp;NEWS=n&amp;CSC=Y&amp;PAGE=toc&amp;D=yrovft&amp;AN=01300517-000000000-00000","https://ovidsp.ovid.com/ovidweb.cgi?T=JS&amp;NEWS=n&amp;CSC=Y&amp;PAGE=toc&amp;D=yrovft&amp;AN=01300517-000000000-00000")</f>
        <v>https://ovidsp.ovid.com/ovidweb.cgi?T=JS&amp;NEWS=n&amp;CSC=Y&amp;PAGE=toc&amp;D=yrovft&amp;AN=01300517-000000000-00000</v>
      </c>
      <c r="M284" t="s">
        <v>1287</v>
      </c>
      <c r="N284" t="s">
        <v>2424</v>
      </c>
      <c r="O284" t="s">
        <v>2854</v>
      </c>
      <c r="P284" t="b">
        <v>0</v>
      </c>
      <c r="Q284" t="s">
        <v>2424</v>
      </c>
    </row>
    <row r="285" spans="1:17" x14ac:dyDescent="0.35">
      <c r="A285" t="s">
        <v>2382</v>
      </c>
      <c r="B285" t="s">
        <v>314</v>
      </c>
      <c r="C285" t="s">
        <v>2562</v>
      </c>
      <c r="D285" t="s">
        <v>50</v>
      </c>
      <c r="E285">
        <v>6</v>
      </c>
      <c r="F285">
        <v>4</v>
      </c>
      <c r="G285">
        <v>9</v>
      </c>
      <c r="H285">
        <v>6</v>
      </c>
      <c r="I285" t="s">
        <v>3620</v>
      </c>
      <c r="J285" t="s">
        <v>3608</v>
      </c>
      <c r="K285" t="s">
        <v>2287</v>
      </c>
      <c r="L285" s="1" t="str">
        <f>HYPERLINK("https://ovidsp.ovid.com/ovidweb.cgi?T=JS&amp;NEWS=n&amp;CSC=Y&amp;PAGE=toc&amp;D=yrovft&amp;AN=00129234-000000000-00000","https://ovidsp.ovid.com/ovidweb.cgi?T=JS&amp;NEWS=n&amp;CSC=Y&amp;PAGE=toc&amp;D=yrovft&amp;AN=00129234-000000000-00000")</f>
        <v>https://ovidsp.ovid.com/ovidweb.cgi?T=JS&amp;NEWS=n&amp;CSC=Y&amp;PAGE=toc&amp;D=yrovft&amp;AN=00129234-000000000-00000</v>
      </c>
      <c r="M285" t="s">
        <v>1126</v>
      </c>
      <c r="N285" t="s">
        <v>2424</v>
      </c>
      <c r="O285" t="s">
        <v>3443</v>
      </c>
      <c r="P285" t="b">
        <v>0</v>
      </c>
      <c r="Q285" t="s">
        <v>2424</v>
      </c>
    </row>
    <row r="286" spans="1:17" x14ac:dyDescent="0.35">
      <c r="A286" t="s">
        <v>2239</v>
      </c>
      <c r="B286" t="s">
        <v>3457</v>
      </c>
      <c r="C286" t="s">
        <v>2424</v>
      </c>
      <c r="D286" t="s">
        <v>50</v>
      </c>
      <c r="E286">
        <v>3</v>
      </c>
      <c r="F286">
        <v>2</v>
      </c>
      <c r="G286">
        <v>5</v>
      </c>
      <c r="H286">
        <v>6</v>
      </c>
      <c r="I286" t="s">
        <v>1170</v>
      </c>
      <c r="J286" t="s">
        <v>715</v>
      </c>
      <c r="K286" t="s">
        <v>2837</v>
      </c>
      <c r="L286" s="1" t="str">
        <f>HYPERLINK("https://ovidsp.ovid.com/ovidweb.cgi?T=JS&amp;NEWS=n&amp;CSC=Y&amp;PAGE=toc&amp;D=yrovft&amp;AN=01212983-000000000-00000","https://ovidsp.ovid.com/ovidweb.cgi?T=JS&amp;NEWS=n&amp;CSC=Y&amp;PAGE=toc&amp;D=yrovft&amp;AN=01212983-000000000-00000")</f>
        <v>https://ovidsp.ovid.com/ovidweb.cgi?T=JS&amp;NEWS=n&amp;CSC=Y&amp;PAGE=toc&amp;D=yrovft&amp;AN=01212983-000000000-00000</v>
      </c>
      <c r="M286" t="s">
        <v>61</v>
      </c>
      <c r="N286" t="s">
        <v>2424</v>
      </c>
      <c r="O286" t="s">
        <v>3586</v>
      </c>
      <c r="P286" t="b">
        <v>0</v>
      </c>
      <c r="Q286" t="s">
        <v>2424</v>
      </c>
    </row>
    <row r="287" spans="1:17" x14ac:dyDescent="0.35">
      <c r="A287" t="s">
        <v>1235</v>
      </c>
      <c r="B287" t="s">
        <v>2545</v>
      </c>
      <c r="C287" t="s">
        <v>2424</v>
      </c>
      <c r="D287" t="s">
        <v>50</v>
      </c>
      <c r="E287">
        <v>26</v>
      </c>
      <c r="F287">
        <v>4</v>
      </c>
      <c r="G287">
        <v>35</v>
      </c>
      <c r="H287">
        <v>2</v>
      </c>
      <c r="I287" t="s">
        <v>2599</v>
      </c>
      <c r="J287" t="s">
        <v>3608</v>
      </c>
      <c r="K287" t="s">
        <v>2939</v>
      </c>
      <c r="L287" s="1" t="str">
        <f>HYPERLINK("https://ovidsp.ovid.com/ovidweb.cgi?T=JS&amp;NEWS=n&amp;CSC=Y&amp;PAGE=toc&amp;D=yrovft&amp;AN=00005721-000000000-00000","https://ovidsp.ovid.com/ovidweb.cgi?T=JS&amp;NEWS=n&amp;CSC=Y&amp;PAGE=toc&amp;D=yrovft&amp;AN=00005721-000000000-00000")</f>
        <v>https://ovidsp.ovid.com/ovidweb.cgi?T=JS&amp;NEWS=n&amp;CSC=Y&amp;PAGE=toc&amp;D=yrovft&amp;AN=00005721-000000000-00000</v>
      </c>
      <c r="M287" t="s">
        <v>965</v>
      </c>
      <c r="N287" t="s">
        <v>2424</v>
      </c>
      <c r="O287" t="s">
        <v>1554</v>
      </c>
      <c r="P287" t="b">
        <v>1</v>
      </c>
      <c r="Q287" t="s">
        <v>2634</v>
      </c>
    </row>
    <row r="288" spans="1:17" x14ac:dyDescent="0.35">
      <c r="A288" t="s">
        <v>3363</v>
      </c>
      <c r="B288" t="s">
        <v>1366</v>
      </c>
      <c r="C288" t="s">
        <v>106</v>
      </c>
      <c r="D288" t="s">
        <v>50</v>
      </c>
      <c r="E288">
        <v>39</v>
      </c>
      <c r="F288">
        <v>8</v>
      </c>
      <c r="G288">
        <v>53</v>
      </c>
      <c r="H288">
        <v>0</v>
      </c>
      <c r="I288" t="s">
        <v>696</v>
      </c>
      <c r="J288" t="s">
        <v>374</v>
      </c>
      <c r="K288" t="s">
        <v>1640</v>
      </c>
      <c r="L288" s="1" t="str">
        <f>HYPERLINK("https://ovidsp.ovid.com/ovidweb.cgi?T=JS&amp;NEWS=n&amp;CSC=Y&amp;PAGE=toc&amp;D=yrovft&amp;AN=00005650-000000000-00000","https://ovidsp.ovid.com/ovidweb.cgi?T=JS&amp;NEWS=n&amp;CSC=Y&amp;PAGE=toc&amp;D=yrovft&amp;AN=00005650-000000000-00000")</f>
        <v>https://ovidsp.ovid.com/ovidweb.cgi?T=JS&amp;NEWS=n&amp;CSC=Y&amp;PAGE=toc&amp;D=yrovft&amp;AN=00005650-000000000-00000</v>
      </c>
      <c r="M288" t="s">
        <v>2882</v>
      </c>
      <c r="N288" t="s">
        <v>2424</v>
      </c>
      <c r="O288" t="s">
        <v>1482</v>
      </c>
      <c r="P288" t="b">
        <v>1</v>
      </c>
      <c r="Q288" t="s">
        <v>3210</v>
      </c>
    </row>
    <row r="289" spans="1:17" x14ac:dyDescent="0.35">
      <c r="A289" t="s">
        <v>1966</v>
      </c>
      <c r="B289" t="s">
        <v>2696</v>
      </c>
      <c r="C289" t="s">
        <v>2424</v>
      </c>
      <c r="D289" t="s">
        <v>50</v>
      </c>
      <c r="E289">
        <v>1</v>
      </c>
      <c r="F289">
        <v>1</v>
      </c>
      <c r="G289">
        <v>2</v>
      </c>
      <c r="H289">
        <v>1</v>
      </c>
      <c r="I289" t="s">
        <v>3189</v>
      </c>
      <c r="J289" t="s">
        <v>3533</v>
      </c>
      <c r="K289" t="s">
        <v>2461</v>
      </c>
      <c r="L289" s="1" t="str">
        <f>HYPERLINK("https://ovidsp.ovid.com/ovidweb.cgi?T=JS&amp;NEWS=n&amp;CSC=Y&amp;PAGE=toc&amp;D=yrovft&amp;AN=01394381-000000000-00000","https://ovidsp.ovid.com/ovidweb.cgi?T=JS&amp;NEWS=n&amp;CSC=Y&amp;PAGE=toc&amp;D=yrovft&amp;AN=01394381-000000000-00000")</f>
        <v>https://ovidsp.ovid.com/ovidweb.cgi?T=JS&amp;NEWS=n&amp;CSC=Y&amp;PAGE=toc&amp;D=yrovft&amp;AN=01394381-000000000-00000</v>
      </c>
      <c r="M289" t="s">
        <v>3468</v>
      </c>
      <c r="N289" t="s">
        <v>2424</v>
      </c>
      <c r="O289" t="s">
        <v>1932</v>
      </c>
      <c r="P289" t="b">
        <v>0</v>
      </c>
      <c r="Q289" t="s">
        <v>2424</v>
      </c>
    </row>
    <row r="290" spans="1:17" x14ac:dyDescent="0.35">
      <c r="A290" t="s">
        <v>2626</v>
      </c>
      <c r="B290" t="s">
        <v>925</v>
      </c>
      <c r="C290" t="s">
        <v>2809</v>
      </c>
      <c r="D290" t="s">
        <v>2855</v>
      </c>
      <c r="E290">
        <v>17</v>
      </c>
      <c r="F290">
        <v>1</v>
      </c>
      <c r="G290">
        <v>17</v>
      </c>
      <c r="H290">
        <v>3</v>
      </c>
      <c r="I290" t="s">
        <v>2862</v>
      </c>
      <c r="J290" t="s">
        <v>3533</v>
      </c>
      <c r="K290" t="s">
        <v>458</v>
      </c>
      <c r="L290" s="1" t="str">
        <f>HYPERLINK("https://ovidsp.ovid.com/ovidweb.cgi?T=JS&amp;NEWS=n&amp;CSC=Y&amp;PAGE=toc&amp;D=yrovft&amp;AN=00044029-000000000-00000","https://ovidsp.ovid.com/ovidweb.cgi?T=JS&amp;NEWS=n&amp;CSC=Y&amp;PAGE=toc&amp;D=yrovft&amp;AN=00044029-000000000-00000")</f>
        <v>https://ovidsp.ovid.com/ovidweb.cgi?T=JS&amp;NEWS=n&amp;CSC=Y&amp;PAGE=toc&amp;D=yrovft&amp;AN=00044029-000000000-00000</v>
      </c>
      <c r="M290" t="s">
        <v>2627</v>
      </c>
      <c r="N290" t="s">
        <v>2424</v>
      </c>
      <c r="O290" t="s">
        <v>68</v>
      </c>
      <c r="P290" t="b">
        <v>1</v>
      </c>
      <c r="Q290" t="s">
        <v>3793</v>
      </c>
    </row>
    <row r="291" spans="1:17" x14ac:dyDescent="0.35">
      <c r="A291" t="s">
        <v>1872</v>
      </c>
      <c r="B291" t="s">
        <v>1484</v>
      </c>
      <c r="C291" t="s">
        <v>2486</v>
      </c>
      <c r="D291" t="s">
        <v>50</v>
      </c>
      <c r="E291">
        <v>33</v>
      </c>
      <c r="F291">
        <v>7</v>
      </c>
      <c r="G291">
        <v>47</v>
      </c>
      <c r="H291">
        <v>4</v>
      </c>
      <c r="I291" t="s">
        <v>530</v>
      </c>
      <c r="J291" t="s">
        <v>3608</v>
      </c>
      <c r="K291" t="s">
        <v>1640</v>
      </c>
      <c r="L291" s="1" t="str">
        <f>HYPERLINK("https://ovidsp.ovid.com/ovidweb.cgi?T=JS&amp;NEWS=n&amp;CSC=Y&amp;PAGE=toc&amp;D=yrovft&amp;AN=00005768-000000000-00000","https://ovidsp.ovid.com/ovidweb.cgi?T=JS&amp;NEWS=n&amp;CSC=Y&amp;PAGE=toc&amp;D=yrovft&amp;AN=00005768-000000000-00000")</f>
        <v>https://ovidsp.ovid.com/ovidweb.cgi?T=JS&amp;NEWS=n&amp;CSC=Y&amp;PAGE=toc&amp;D=yrovft&amp;AN=00005768-000000000-00000</v>
      </c>
      <c r="M291" t="s">
        <v>439</v>
      </c>
      <c r="N291" t="s">
        <v>2424</v>
      </c>
      <c r="O291" t="s">
        <v>623</v>
      </c>
      <c r="P291" t="b">
        <v>1</v>
      </c>
      <c r="Q291" t="s">
        <v>2037</v>
      </c>
    </row>
    <row r="292" spans="1:17" x14ac:dyDescent="0.35">
      <c r="A292" t="s">
        <v>3080</v>
      </c>
      <c r="B292" t="s">
        <v>1329</v>
      </c>
      <c r="C292" t="s">
        <v>3628</v>
      </c>
      <c r="D292" t="s">
        <v>50</v>
      </c>
      <c r="E292">
        <v>11</v>
      </c>
      <c r="F292">
        <v>3</v>
      </c>
      <c r="G292">
        <v>20</v>
      </c>
      <c r="H292">
        <v>2</v>
      </c>
      <c r="I292" t="s">
        <v>1687</v>
      </c>
      <c r="J292" t="s">
        <v>3481</v>
      </c>
      <c r="K292" t="s">
        <v>2461</v>
      </c>
      <c r="L292" s="1" t="str">
        <f>HYPERLINK("https://ovidsp.ovid.com/ovidweb.cgi?T=JS&amp;NEWS=n&amp;CSC=Y&amp;PAGE=toc&amp;D=yrovft&amp;AN=00008390-000000000-00000","https://ovidsp.ovid.com/ovidweb.cgi?T=JS&amp;NEWS=n&amp;CSC=Y&amp;PAGE=toc&amp;D=yrovft&amp;AN=00008390-000000000-00000")</f>
        <v>https://ovidsp.ovid.com/ovidweb.cgi?T=JS&amp;NEWS=n&amp;CSC=Y&amp;PAGE=toc&amp;D=yrovft&amp;AN=00008390-000000000-00000</v>
      </c>
      <c r="M292" t="s">
        <v>1796</v>
      </c>
      <c r="N292" t="s">
        <v>2424</v>
      </c>
      <c r="O292" t="s">
        <v>2020</v>
      </c>
      <c r="P292" t="b">
        <v>1</v>
      </c>
      <c r="Q292" t="s">
        <v>2362</v>
      </c>
    </row>
    <row r="293" spans="1:17" x14ac:dyDescent="0.35">
      <c r="A293" t="s">
        <v>2538</v>
      </c>
      <c r="B293" t="s">
        <v>3204</v>
      </c>
      <c r="C293" t="s">
        <v>160</v>
      </c>
      <c r="D293" t="s">
        <v>50</v>
      </c>
      <c r="E293">
        <v>1</v>
      </c>
      <c r="F293">
        <v>2</v>
      </c>
      <c r="G293">
        <v>3</v>
      </c>
      <c r="H293">
        <v>6</v>
      </c>
      <c r="I293" t="s">
        <v>264</v>
      </c>
      <c r="J293" t="s">
        <v>1314</v>
      </c>
      <c r="K293" t="s">
        <v>2923</v>
      </c>
      <c r="L293" s="1" t="str">
        <f>HYPERLINK("https://ovidsp.ovid.com/ovidweb.cgi?T=JS&amp;NEWS=n&amp;CSC=Y&amp;PAGE=toc&amp;D=yrovft&amp;AN=01244664-000000000-00000","https://ovidsp.ovid.com/ovidweb.cgi?T=JS&amp;NEWS=n&amp;CSC=Y&amp;PAGE=toc&amp;D=yrovft&amp;AN=01244664-000000000-00000")</f>
        <v>https://ovidsp.ovid.com/ovidweb.cgi?T=JS&amp;NEWS=n&amp;CSC=Y&amp;PAGE=toc&amp;D=yrovft&amp;AN=01244664-000000000-00000</v>
      </c>
      <c r="M293" t="s">
        <v>931</v>
      </c>
      <c r="N293" t="s">
        <v>2424</v>
      </c>
      <c r="O293" t="s">
        <v>2508</v>
      </c>
      <c r="P293" t="b">
        <v>0</v>
      </c>
      <c r="Q293" t="s">
        <v>2424</v>
      </c>
    </row>
    <row r="294" spans="1:17" x14ac:dyDescent="0.35">
      <c r="A294" t="s">
        <v>3254</v>
      </c>
      <c r="B294" t="s">
        <v>3405</v>
      </c>
      <c r="C294" t="s">
        <v>3374</v>
      </c>
      <c r="D294" t="s">
        <v>50</v>
      </c>
      <c r="E294">
        <v>8</v>
      </c>
      <c r="F294">
        <v>5</v>
      </c>
      <c r="G294">
        <v>17</v>
      </c>
      <c r="H294">
        <v>2</v>
      </c>
      <c r="I294" t="s">
        <v>1528</v>
      </c>
      <c r="J294" t="s">
        <v>1281</v>
      </c>
      <c r="K294" t="s">
        <v>2939</v>
      </c>
      <c r="L294" s="1" t="str">
        <f>HYPERLINK("https://ovidsp.ovid.com/ovidweb.cgi?T=JS&amp;NEWS=n&amp;CSC=Y&amp;PAGE=toc&amp;D=yrovft&amp;AN=00042192-000000000-00000","https://ovidsp.ovid.com/ovidweb.cgi?T=JS&amp;NEWS=n&amp;CSC=Y&amp;PAGE=toc&amp;D=yrovft&amp;AN=00042192-000000000-00000")</f>
        <v>https://ovidsp.ovid.com/ovidweb.cgi?T=JS&amp;NEWS=n&amp;CSC=Y&amp;PAGE=toc&amp;D=yrovft&amp;AN=00042192-000000000-00000</v>
      </c>
      <c r="M294" t="s">
        <v>3275</v>
      </c>
      <c r="N294" t="s">
        <v>2424</v>
      </c>
      <c r="O294" t="s">
        <v>2713</v>
      </c>
      <c r="P294" t="b">
        <v>1</v>
      </c>
      <c r="Q294" t="s">
        <v>3193</v>
      </c>
    </row>
    <row r="295" spans="1:17" x14ac:dyDescent="0.35">
      <c r="A295" t="s">
        <v>1497</v>
      </c>
      <c r="B295" t="s">
        <v>588</v>
      </c>
      <c r="C295" t="s">
        <v>406</v>
      </c>
      <c r="D295" t="s">
        <v>2855</v>
      </c>
      <c r="E295">
        <v>26</v>
      </c>
      <c r="F295">
        <v>2</v>
      </c>
      <c r="G295">
        <v>27</v>
      </c>
      <c r="H295">
        <v>1</v>
      </c>
      <c r="I295" t="s">
        <v>2485</v>
      </c>
      <c r="J295" t="s">
        <v>2568</v>
      </c>
      <c r="K295" t="s">
        <v>840</v>
      </c>
      <c r="L295" s="1" t="str">
        <f>HYPERLINK("https://ovidsp.ovid.com/ovidweb.cgi?T=JS&amp;NEWS=n&amp;CSC=Y&amp;PAGE=toc&amp;D=yrovft&amp;AN=00005793-000000000-00000","https://ovidsp.ovid.com/ovidweb.cgi?T=JS&amp;NEWS=n&amp;CSC=Y&amp;PAGE=toc&amp;D=yrovft&amp;AN=00005793-000000000-00000")</f>
        <v>https://ovidsp.ovid.com/ovidweb.cgi?T=JS&amp;NEWS=n&amp;CSC=Y&amp;PAGE=toc&amp;D=yrovft&amp;AN=00005793-000000000-00000</v>
      </c>
      <c r="M295" t="s">
        <v>3248</v>
      </c>
      <c r="N295" t="s">
        <v>2424</v>
      </c>
      <c r="O295" t="s">
        <v>1606</v>
      </c>
      <c r="P295" t="b">
        <v>1</v>
      </c>
      <c r="Q295" t="s">
        <v>3806</v>
      </c>
    </row>
    <row r="296" spans="1:17" x14ac:dyDescent="0.35">
      <c r="A296" t="s">
        <v>2710</v>
      </c>
      <c r="B296" t="s">
        <v>3735</v>
      </c>
      <c r="C296" t="s">
        <v>1680</v>
      </c>
      <c r="D296" t="s">
        <v>2855</v>
      </c>
      <c r="E296">
        <v>14</v>
      </c>
      <c r="F296">
        <v>12</v>
      </c>
      <c r="G296">
        <v>16</v>
      </c>
      <c r="H296">
        <v>1</v>
      </c>
      <c r="I296" t="s">
        <v>3226</v>
      </c>
      <c r="J296" t="s">
        <v>2923</v>
      </c>
      <c r="K296" t="s">
        <v>840</v>
      </c>
      <c r="L296" s="1" t="str">
        <f>HYPERLINK("https://ovidsp.ovid.com/ovidweb.cgi?T=JS&amp;NEWS=n&amp;CSC=Y&amp;PAGE=toc&amp;D=yrovft&amp;AN=00066763-000000000-00000","https://ovidsp.ovid.com/ovidweb.cgi?T=JS&amp;NEWS=n&amp;CSC=Y&amp;PAGE=toc&amp;D=yrovft&amp;AN=00066763-000000000-00000")</f>
        <v>https://ovidsp.ovid.com/ovidweb.cgi?T=JS&amp;NEWS=n&amp;CSC=Y&amp;PAGE=toc&amp;D=yrovft&amp;AN=00066763-000000000-00000</v>
      </c>
      <c r="M296" t="s">
        <v>601</v>
      </c>
      <c r="N296" t="s">
        <v>2424</v>
      </c>
      <c r="O296" t="s">
        <v>1426</v>
      </c>
      <c r="P296" t="b">
        <v>1</v>
      </c>
      <c r="Q296" t="s">
        <v>365</v>
      </c>
    </row>
    <row r="297" spans="1:17" x14ac:dyDescent="0.35">
      <c r="A297" t="s">
        <v>3736</v>
      </c>
      <c r="B297" t="s">
        <v>1438</v>
      </c>
      <c r="C297" t="s">
        <v>325</v>
      </c>
      <c r="D297" t="s">
        <v>2855</v>
      </c>
      <c r="E297">
        <v>24</v>
      </c>
      <c r="F297">
        <v>1</v>
      </c>
      <c r="G297">
        <v>25</v>
      </c>
      <c r="H297">
        <v>1</v>
      </c>
      <c r="I297" t="s">
        <v>3092</v>
      </c>
      <c r="J297" t="s">
        <v>3622</v>
      </c>
      <c r="K297" t="s">
        <v>840</v>
      </c>
      <c r="L297" s="1" t="str">
        <f>HYPERLINK("https://ovidsp.ovid.com/ovidweb.cgi?T=JS&amp;NEWS=n&amp;CSC=Y&amp;PAGE=toc&amp;D=yrovft&amp;AN=00005821-000000000-00000","https://ovidsp.ovid.com/ovidweb.cgi?T=JS&amp;NEWS=n&amp;CSC=Y&amp;PAGE=toc&amp;D=yrovft&amp;AN=00005821-000000000-00000")</f>
        <v>https://ovidsp.ovid.com/ovidweb.cgi?T=JS&amp;NEWS=n&amp;CSC=Y&amp;PAGE=toc&amp;D=yrovft&amp;AN=00005821-000000000-00000</v>
      </c>
      <c r="M297" t="s">
        <v>2090</v>
      </c>
      <c r="N297" t="s">
        <v>2424</v>
      </c>
      <c r="O297" t="s">
        <v>1060</v>
      </c>
      <c r="P297" t="b">
        <v>1</v>
      </c>
      <c r="Q297" t="s">
        <v>3598</v>
      </c>
    </row>
    <row r="298" spans="1:17" x14ac:dyDescent="0.35">
      <c r="A298" t="s">
        <v>1268</v>
      </c>
      <c r="B298" t="s">
        <v>2594</v>
      </c>
      <c r="C298" t="s">
        <v>3810</v>
      </c>
      <c r="D298" t="s">
        <v>1994</v>
      </c>
      <c r="E298">
        <v>6</v>
      </c>
      <c r="F298">
        <v>2</v>
      </c>
      <c r="G298">
        <v>6</v>
      </c>
      <c r="H298">
        <v>3</v>
      </c>
      <c r="I298" t="s">
        <v>2791</v>
      </c>
      <c r="J298" t="s">
        <v>2568</v>
      </c>
      <c r="K298" t="s">
        <v>2671</v>
      </c>
      <c r="L298" s="1" t="str">
        <f>HYPERLINK("https://ovidsp.ovid.com/ovidweb.cgi?T=JS&amp;NEWS=n&amp;CSC=Y&amp;PAGE=toc&amp;D=yrovft&amp;AN=01223017-000000000-00000","https://ovidsp.ovid.com/ovidweb.cgi?T=JS&amp;NEWS=n&amp;CSC=Y&amp;PAGE=toc&amp;D=yrovft&amp;AN=01223017-000000000-00000")</f>
        <v>https://ovidsp.ovid.com/ovidweb.cgi?T=JS&amp;NEWS=n&amp;CSC=Y&amp;PAGE=toc&amp;D=yrovft&amp;AN=01223017-000000000-00000</v>
      </c>
      <c r="M298" t="s">
        <v>674</v>
      </c>
      <c r="N298" t="s">
        <v>2424</v>
      </c>
      <c r="O298" t="s">
        <v>1955</v>
      </c>
      <c r="P298" t="b">
        <v>0</v>
      </c>
      <c r="Q298" t="s">
        <v>2424</v>
      </c>
    </row>
    <row r="299" spans="1:17" x14ac:dyDescent="0.35">
      <c r="A299" t="s">
        <v>3147</v>
      </c>
      <c r="B299" t="s">
        <v>2509</v>
      </c>
      <c r="C299" t="s">
        <v>804</v>
      </c>
      <c r="D299" t="s">
        <v>1994</v>
      </c>
      <c r="E299">
        <v>5</v>
      </c>
      <c r="F299">
        <v>2</v>
      </c>
      <c r="G299">
        <v>5</v>
      </c>
      <c r="H299">
        <v>4</v>
      </c>
      <c r="I299" t="s">
        <v>1655</v>
      </c>
      <c r="J299" t="s">
        <v>2568</v>
      </c>
      <c r="K299" t="s">
        <v>3533</v>
      </c>
      <c r="L299" s="1" t="str">
        <f>HYPERLINK("https://ovidsp.ovid.com/ovidweb.cgi?T=JS&amp;NEWS=n&amp;CSC=Y&amp;PAGE=toc&amp;D=yrovft&amp;AN=01253097-000000000-00000","https://ovidsp.ovid.com/ovidweb.cgi?T=JS&amp;NEWS=n&amp;CSC=Y&amp;PAGE=toc&amp;D=yrovft&amp;AN=01253097-000000000-00000")</f>
        <v>https://ovidsp.ovid.com/ovidweb.cgi?T=JS&amp;NEWS=n&amp;CSC=Y&amp;PAGE=toc&amp;D=yrovft&amp;AN=01253097-000000000-00000</v>
      </c>
      <c r="M299" t="s">
        <v>1249</v>
      </c>
      <c r="N299" t="s">
        <v>2424</v>
      </c>
      <c r="O299" t="s">
        <v>811</v>
      </c>
      <c r="P299" t="b">
        <v>0</v>
      </c>
      <c r="Q299" t="s">
        <v>2424</v>
      </c>
    </row>
    <row r="300" spans="1:17" x14ac:dyDescent="0.35">
      <c r="A300" t="s">
        <v>2447</v>
      </c>
      <c r="B300" t="s">
        <v>1041</v>
      </c>
      <c r="C300" t="s">
        <v>189</v>
      </c>
      <c r="D300" t="s">
        <v>1994</v>
      </c>
      <c r="E300">
        <v>6</v>
      </c>
      <c r="F300">
        <v>1</v>
      </c>
      <c r="G300">
        <v>6</v>
      </c>
      <c r="H300">
        <v>3</v>
      </c>
      <c r="I300" t="s">
        <v>3168</v>
      </c>
      <c r="J300" t="s">
        <v>3622</v>
      </c>
      <c r="K300" t="s">
        <v>2671</v>
      </c>
      <c r="L300" s="1" t="str">
        <f>HYPERLINK("https://ovidsp.ovid.com/ovidweb.cgi?T=JS&amp;NEWS=n&amp;CSC=Y&amp;PAGE=toc&amp;D=yrovft&amp;AN=01223018-000000000-00000","https://ovidsp.ovid.com/ovidweb.cgi?T=JS&amp;NEWS=n&amp;CSC=Y&amp;PAGE=toc&amp;D=yrovft&amp;AN=01223018-000000000-00000")</f>
        <v>https://ovidsp.ovid.com/ovidweb.cgi?T=JS&amp;NEWS=n&amp;CSC=Y&amp;PAGE=toc&amp;D=yrovft&amp;AN=01223018-000000000-00000</v>
      </c>
      <c r="M300" t="s">
        <v>3137</v>
      </c>
      <c r="N300" t="s">
        <v>2424</v>
      </c>
      <c r="O300" t="s">
        <v>477</v>
      </c>
      <c r="P300" t="b">
        <v>0</v>
      </c>
      <c r="Q300" t="s">
        <v>2424</v>
      </c>
    </row>
    <row r="301" spans="1:17" x14ac:dyDescent="0.35">
      <c r="A301" t="s">
        <v>2609</v>
      </c>
      <c r="B301" t="s">
        <v>3259</v>
      </c>
      <c r="C301" t="s">
        <v>1362</v>
      </c>
      <c r="D301" t="s">
        <v>1994</v>
      </c>
      <c r="E301">
        <v>5</v>
      </c>
      <c r="F301">
        <v>2</v>
      </c>
      <c r="G301">
        <v>5</v>
      </c>
      <c r="H301">
        <v>3</v>
      </c>
      <c r="I301" t="s">
        <v>2791</v>
      </c>
      <c r="J301" t="s">
        <v>2568</v>
      </c>
      <c r="K301" t="s">
        <v>2671</v>
      </c>
      <c r="L301" s="1" t="str">
        <f>HYPERLINK("https://ovidsp.ovid.com/ovidweb.cgi?T=JS&amp;NEWS=n&amp;CSC=Y&amp;PAGE=toc&amp;D=yrovft&amp;AN=01253098-000000000-00000","https://ovidsp.ovid.com/ovidweb.cgi?T=JS&amp;NEWS=n&amp;CSC=Y&amp;PAGE=toc&amp;D=yrovft&amp;AN=01253098-000000000-00000")</f>
        <v>https://ovidsp.ovid.com/ovidweb.cgi?T=JS&amp;NEWS=n&amp;CSC=Y&amp;PAGE=toc&amp;D=yrovft&amp;AN=01253098-000000000-00000</v>
      </c>
      <c r="M301" t="s">
        <v>2186</v>
      </c>
      <c r="N301" t="s">
        <v>2424</v>
      </c>
      <c r="O301" t="s">
        <v>170</v>
      </c>
      <c r="P301" t="b">
        <v>0</v>
      </c>
      <c r="Q301" t="s">
        <v>2424</v>
      </c>
    </row>
    <row r="302" spans="1:17" x14ac:dyDescent="0.35">
      <c r="A302" t="s">
        <v>319</v>
      </c>
      <c r="B302" t="s">
        <v>405</v>
      </c>
      <c r="C302" t="s">
        <v>3765</v>
      </c>
      <c r="D302" t="s">
        <v>1994</v>
      </c>
      <c r="E302">
        <v>5</v>
      </c>
      <c r="F302">
        <v>1</v>
      </c>
      <c r="G302">
        <v>5</v>
      </c>
      <c r="H302">
        <v>3</v>
      </c>
      <c r="I302" t="s">
        <v>3168</v>
      </c>
      <c r="J302" t="s">
        <v>3622</v>
      </c>
      <c r="K302" t="s">
        <v>2671</v>
      </c>
      <c r="L302" s="1" t="str">
        <f>HYPERLINK("https://ovidsp.ovid.com/ovidweb.cgi?T=JS&amp;NEWS=n&amp;CSC=Y&amp;PAGE=toc&amp;D=yrovft&amp;AN=01253099-000000000-00000","https://ovidsp.ovid.com/ovidweb.cgi?T=JS&amp;NEWS=n&amp;CSC=Y&amp;PAGE=toc&amp;D=yrovft&amp;AN=01253099-000000000-00000")</f>
        <v>https://ovidsp.ovid.com/ovidweb.cgi?T=JS&amp;NEWS=n&amp;CSC=Y&amp;PAGE=toc&amp;D=yrovft&amp;AN=01253099-000000000-00000</v>
      </c>
      <c r="M302" t="s">
        <v>1784</v>
      </c>
      <c r="N302" t="s">
        <v>2424</v>
      </c>
      <c r="O302" t="s">
        <v>143</v>
      </c>
      <c r="P302" t="b">
        <v>0</v>
      </c>
      <c r="Q302" t="s">
        <v>2424</v>
      </c>
    </row>
    <row r="303" spans="1:17" x14ac:dyDescent="0.35">
      <c r="A303" t="s">
        <v>1940</v>
      </c>
      <c r="B303" t="s">
        <v>3714</v>
      </c>
      <c r="C303" t="s">
        <v>3702</v>
      </c>
      <c r="D303" t="s">
        <v>1994</v>
      </c>
      <c r="E303">
        <v>6</v>
      </c>
      <c r="F303">
        <v>2</v>
      </c>
      <c r="G303">
        <v>6</v>
      </c>
      <c r="H303">
        <v>3</v>
      </c>
      <c r="I303" t="s">
        <v>2791</v>
      </c>
      <c r="J303" t="s">
        <v>2568</v>
      </c>
      <c r="K303" t="s">
        <v>2671</v>
      </c>
      <c r="L303" s="1" t="str">
        <f>HYPERLINK("https://ovidsp.ovid.com/ovidweb.cgi?T=JS&amp;NEWS=n&amp;CSC=Y&amp;PAGE=toc&amp;D=yrovft&amp;AN=01223060-000000000-00000","https://ovidsp.ovid.com/ovidweb.cgi?T=JS&amp;NEWS=n&amp;CSC=Y&amp;PAGE=toc&amp;D=yrovft&amp;AN=01223060-000000000-00000")</f>
        <v>https://ovidsp.ovid.com/ovidweb.cgi?T=JS&amp;NEWS=n&amp;CSC=Y&amp;PAGE=toc&amp;D=yrovft&amp;AN=01223060-000000000-00000</v>
      </c>
      <c r="M303" t="s">
        <v>3751</v>
      </c>
      <c r="N303" t="s">
        <v>2424</v>
      </c>
      <c r="O303" t="s">
        <v>3752</v>
      </c>
      <c r="P303" t="b">
        <v>0</v>
      </c>
      <c r="Q303" t="s">
        <v>2424</v>
      </c>
    </row>
    <row r="304" spans="1:17" x14ac:dyDescent="0.35">
      <c r="A304" t="s">
        <v>2350</v>
      </c>
      <c r="B304" t="s">
        <v>2847</v>
      </c>
      <c r="C304" t="s">
        <v>3399</v>
      </c>
      <c r="D304" t="s">
        <v>1994</v>
      </c>
      <c r="E304">
        <v>5</v>
      </c>
      <c r="F304">
        <v>1</v>
      </c>
      <c r="G304">
        <v>5</v>
      </c>
      <c r="H304">
        <v>3</v>
      </c>
      <c r="I304" t="s">
        <v>3168</v>
      </c>
      <c r="J304" t="s">
        <v>3622</v>
      </c>
      <c r="K304" t="s">
        <v>2671</v>
      </c>
      <c r="L304" s="1" t="str">
        <f>HYPERLINK("https://ovidsp.ovid.com/ovidweb.cgi?T=JS&amp;NEWS=n&amp;CSC=Y&amp;PAGE=toc&amp;D=yrovft&amp;AN=01253100-000000000-00000","https://ovidsp.ovid.com/ovidweb.cgi?T=JS&amp;NEWS=n&amp;CSC=Y&amp;PAGE=toc&amp;D=yrovft&amp;AN=01253100-000000000-00000")</f>
        <v>https://ovidsp.ovid.com/ovidweb.cgi?T=JS&amp;NEWS=n&amp;CSC=Y&amp;PAGE=toc&amp;D=yrovft&amp;AN=01253100-000000000-00000</v>
      </c>
      <c r="M304" t="s">
        <v>2577</v>
      </c>
      <c r="N304" t="s">
        <v>2424</v>
      </c>
      <c r="O304" t="s">
        <v>3499</v>
      </c>
      <c r="P304" t="b">
        <v>0</v>
      </c>
      <c r="Q304" t="s">
        <v>2424</v>
      </c>
    </row>
    <row r="305" spans="1:17" x14ac:dyDescent="0.35">
      <c r="A305" t="s">
        <v>3066</v>
      </c>
      <c r="B305" t="s">
        <v>2133</v>
      </c>
      <c r="C305" t="s">
        <v>2024</v>
      </c>
      <c r="D305" t="s">
        <v>1994</v>
      </c>
      <c r="E305">
        <v>6</v>
      </c>
      <c r="F305">
        <v>1</v>
      </c>
      <c r="G305">
        <v>6</v>
      </c>
      <c r="H305">
        <v>3</v>
      </c>
      <c r="I305" t="s">
        <v>3168</v>
      </c>
      <c r="J305" t="s">
        <v>3622</v>
      </c>
      <c r="K305" t="s">
        <v>2671</v>
      </c>
      <c r="L305" s="1" t="str">
        <f>HYPERLINK("https://ovidsp.ovid.com/ovidweb.cgi?T=JS&amp;NEWS=n&amp;CSC=Y&amp;PAGE=toc&amp;D=yrovft&amp;AN=01253085-000000000-00000","https://ovidsp.ovid.com/ovidweb.cgi?T=JS&amp;NEWS=n&amp;CSC=Y&amp;PAGE=toc&amp;D=yrovft&amp;AN=01253085-000000000-00000")</f>
        <v>https://ovidsp.ovid.com/ovidweb.cgi?T=JS&amp;NEWS=n&amp;CSC=Y&amp;PAGE=toc&amp;D=yrovft&amp;AN=01253085-000000000-00000</v>
      </c>
      <c r="M305" t="s">
        <v>2733</v>
      </c>
      <c r="N305" t="s">
        <v>2424</v>
      </c>
      <c r="O305" t="s">
        <v>2408</v>
      </c>
      <c r="P305" t="b">
        <v>0</v>
      </c>
      <c r="Q305" t="s">
        <v>2424</v>
      </c>
    </row>
    <row r="306" spans="1:17" x14ac:dyDescent="0.35">
      <c r="A306" t="s">
        <v>2319</v>
      </c>
      <c r="B306" t="s">
        <v>2813</v>
      </c>
      <c r="C306" t="s">
        <v>3810</v>
      </c>
      <c r="D306" t="s">
        <v>1994</v>
      </c>
      <c r="E306">
        <v>6</v>
      </c>
      <c r="F306">
        <v>4</v>
      </c>
      <c r="G306">
        <v>7</v>
      </c>
      <c r="H306">
        <v>1</v>
      </c>
      <c r="I306" t="s">
        <v>3041</v>
      </c>
      <c r="J306" t="s">
        <v>3533</v>
      </c>
      <c r="K306" t="s">
        <v>840</v>
      </c>
      <c r="L306" s="1" t="str">
        <f>HYPERLINK("https://ovidsp.ovid.com/ovidweb.cgi?T=JS&amp;NEWS=n&amp;CSC=Y&amp;PAGE=toc&amp;D=yrovft&amp;AN=01429652-000000000-00000","https://ovidsp.ovid.com/ovidweb.cgi?T=JS&amp;NEWS=n&amp;CSC=Y&amp;PAGE=toc&amp;D=yrovft&amp;AN=01429652-000000000-00000")</f>
        <v>https://ovidsp.ovid.com/ovidweb.cgi?T=JS&amp;NEWS=n&amp;CSC=Y&amp;PAGE=toc&amp;D=yrovft&amp;AN=01429652-000000000-00000</v>
      </c>
      <c r="M306" t="s">
        <v>1801</v>
      </c>
      <c r="N306" t="s">
        <v>2424</v>
      </c>
      <c r="O306" t="s">
        <v>1114</v>
      </c>
      <c r="P306" t="b">
        <v>1</v>
      </c>
      <c r="Q306" t="s">
        <v>3656</v>
      </c>
    </row>
    <row r="307" spans="1:17" x14ac:dyDescent="0.35">
      <c r="A307" t="s">
        <v>3009</v>
      </c>
      <c r="B307" t="s">
        <v>2946</v>
      </c>
      <c r="C307" t="s">
        <v>3702</v>
      </c>
      <c r="D307" t="s">
        <v>1994</v>
      </c>
      <c r="E307">
        <v>6</v>
      </c>
      <c r="F307">
        <v>4</v>
      </c>
      <c r="G307">
        <v>7</v>
      </c>
      <c r="H307">
        <v>1</v>
      </c>
      <c r="I307" t="s">
        <v>3041</v>
      </c>
      <c r="J307" t="s">
        <v>3533</v>
      </c>
      <c r="K307" t="s">
        <v>840</v>
      </c>
      <c r="L307" s="1" t="str">
        <f>HYPERLINK("https://ovidsp.ovid.com/ovidweb.cgi?T=JS&amp;NEWS=n&amp;CSC=Y&amp;PAGE=toc&amp;D=yrovft&amp;AN=01429653-000000000-00000","https://ovidsp.ovid.com/ovidweb.cgi?T=JS&amp;NEWS=n&amp;CSC=Y&amp;PAGE=toc&amp;D=yrovft&amp;AN=01429653-000000000-00000")</f>
        <v>https://ovidsp.ovid.com/ovidweb.cgi?T=JS&amp;NEWS=n&amp;CSC=Y&amp;PAGE=toc&amp;D=yrovft&amp;AN=01429653-000000000-00000</v>
      </c>
      <c r="M307" t="s">
        <v>2962</v>
      </c>
      <c r="N307" t="s">
        <v>2424</v>
      </c>
      <c r="O307" t="s">
        <v>624</v>
      </c>
      <c r="P307" t="b">
        <v>1</v>
      </c>
      <c r="Q307" t="s">
        <v>768</v>
      </c>
    </row>
    <row r="308" spans="1:17" x14ac:dyDescent="0.35">
      <c r="A308" t="s">
        <v>617</v>
      </c>
      <c r="B308" t="s">
        <v>505</v>
      </c>
      <c r="C308" t="s">
        <v>804</v>
      </c>
      <c r="D308" t="s">
        <v>1994</v>
      </c>
      <c r="E308">
        <v>5</v>
      </c>
      <c r="F308">
        <v>5</v>
      </c>
      <c r="G308">
        <v>6</v>
      </c>
      <c r="H308">
        <v>1</v>
      </c>
      <c r="I308" t="s">
        <v>1391</v>
      </c>
      <c r="J308" t="s">
        <v>3091</v>
      </c>
      <c r="K308" t="s">
        <v>840</v>
      </c>
      <c r="L308" s="1" t="str">
        <f>HYPERLINK("https://ovidsp.ovid.com/ovidweb.cgi?T=JS&amp;NEWS=n&amp;CSC=Y&amp;PAGE=toc&amp;D=yrovft&amp;AN=01429651-000000000-00000","https://ovidsp.ovid.com/ovidweb.cgi?T=JS&amp;NEWS=n&amp;CSC=Y&amp;PAGE=toc&amp;D=yrovft&amp;AN=01429651-000000000-00000")</f>
        <v>https://ovidsp.ovid.com/ovidweb.cgi?T=JS&amp;NEWS=n&amp;CSC=Y&amp;PAGE=toc&amp;D=yrovft&amp;AN=01429651-000000000-00000</v>
      </c>
      <c r="M308" t="s">
        <v>2610</v>
      </c>
      <c r="N308" t="s">
        <v>2424</v>
      </c>
      <c r="O308" t="s">
        <v>1359</v>
      </c>
      <c r="P308" t="b">
        <v>1</v>
      </c>
      <c r="Q308" t="s">
        <v>416</v>
      </c>
    </row>
    <row r="309" spans="1:17" x14ac:dyDescent="0.35">
      <c r="A309" t="s">
        <v>1076</v>
      </c>
      <c r="B309" t="s">
        <v>1475</v>
      </c>
      <c r="C309" t="s">
        <v>189</v>
      </c>
      <c r="D309" t="s">
        <v>1994</v>
      </c>
      <c r="E309">
        <v>6</v>
      </c>
      <c r="F309">
        <v>4</v>
      </c>
      <c r="G309">
        <v>6</v>
      </c>
      <c r="H309">
        <v>12</v>
      </c>
      <c r="I309" t="s">
        <v>98</v>
      </c>
      <c r="J309" t="s">
        <v>3533</v>
      </c>
      <c r="K309" t="s">
        <v>2957</v>
      </c>
      <c r="L309" s="1" t="str">
        <f>HYPERLINK("https://ovidsp.ovid.com/ovidweb.cgi?T=JS&amp;NEWS=n&amp;CSC=Y&amp;PAGE=toc&amp;D=yrovft&amp;AN=01429659-000000000-00000","https://ovidsp.ovid.com/ovidweb.cgi?T=JS&amp;NEWS=n&amp;CSC=Y&amp;PAGE=toc&amp;D=yrovft&amp;AN=01429659-000000000-00000")</f>
        <v>https://ovidsp.ovid.com/ovidweb.cgi?T=JS&amp;NEWS=n&amp;CSC=Y&amp;PAGE=toc&amp;D=yrovft&amp;AN=01429659-000000000-00000</v>
      </c>
      <c r="M309" t="s">
        <v>3431</v>
      </c>
      <c r="N309" t="s">
        <v>2424</v>
      </c>
      <c r="O309" t="s">
        <v>2092</v>
      </c>
      <c r="P309" t="b">
        <v>1</v>
      </c>
      <c r="Q309" t="s">
        <v>284</v>
      </c>
    </row>
    <row r="310" spans="1:17" x14ac:dyDescent="0.35">
      <c r="A310" t="s">
        <v>3473</v>
      </c>
      <c r="B310" t="s">
        <v>1699</v>
      </c>
      <c r="C310" t="s">
        <v>1362</v>
      </c>
      <c r="D310" t="s">
        <v>1994</v>
      </c>
      <c r="E310">
        <v>5</v>
      </c>
      <c r="F310">
        <v>4</v>
      </c>
      <c r="G310">
        <v>6</v>
      </c>
      <c r="H310">
        <v>1</v>
      </c>
      <c r="I310" t="s">
        <v>3041</v>
      </c>
      <c r="J310" t="s">
        <v>3533</v>
      </c>
      <c r="K310" t="s">
        <v>840</v>
      </c>
      <c r="L310" s="1" t="str">
        <f>HYPERLINK("https://ovidsp.ovid.com/ovidweb.cgi?T=JS&amp;NEWS=n&amp;CSC=Y&amp;PAGE=toc&amp;D=yrovft&amp;AN=01429649-000000000-00000","https://ovidsp.ovid.com/ovidweb.cgi?T=JS&amp;NEWS=n&amp;CSC=Y&amp;PAGE=toc&amp;D=yrovft&amp;AN=01429649-000000000-00000")</f>
        <v>https://ovidsp.ovid.com/ovidweb.cgi?T=JS&amp;NEWS=n&amp;CSC=Y&amp;PAGE=toc&amp;D=yrovft&amp;AN=01429649-000000000-00000</v>
      </c>
      <c r="M310" t="s">
        <v>1387</v>
      </c>
      <c r="N310" t="s">
        <v>2424</v>
      </c>
      <c r="O310" t="s">
        <v>1276</v>
      </c>
      <c r="P310" t="b">
        <v>1</v>
      </c>
      <c r="Q310" t="s">
        <v>231</v>
      </c>
    </row>
    <row r="311" spans="1:17" x14ac:dyDescent="0.35">
      <c r="A311" t="s">
        <v>3338</v>
      </c>
      <c r="B311" t="s">
        <v>1317</v>
      </c>
      <c r="C311" t="s">
        <v>3765</v>
      </c>
      <c r="D311" t="s">
        <v>1994</v>
      </c>
      <c r="E311">
        <v>5</v>
      </c>
      <c r="F311">
        <v>4</v>
      </c>
      <c r="G311">
        <v>5</v>
      </c>
      <c r="H311">
        <v>12</v>
      </c>
      <c r="I311" t="s">
        <v>98</v>
      </c>
      <c r="J311" t="s">
        <v>3533</v>
      </c>
      <c r="K311" t="s">
        <v>2957</v>
      </c>
      <c r="L311" s="1" t="str">
        <f>HYPERLINK("https://ovidsp.ovid.com/ovidweb.cgi?T=JS&amp;NEWS=n&amp;CSC=Y&amp;PAGE=toc&amp;D=yrovft&amp;AN=01429663-000000000-00000","https://ovidsp.ovid.com/ovidweb.cgi?T=JS&amp;NEWS=n&amp;CSC=Y&amp;PAGE=toc&amp;D=yrovft&amp;AN=01429663-000000000-00000")</f>
        <v>https://ovidsp.ovid.com/ovidweb.cgi?T=JS&amp;NEWS=n&amp;CSC=Y&amp;PAGE=toc&amp;D=yrovft&amp;AN=01429663-000000000-00000</v>
      </c>
      <c r="M311" t="s">
        <v>2322</v>
      </c>
      <c r="N311" t="s">
        <v>2424</v>
      </c>
      <c r="O311" t="s">
        <v>1311</v>
      </c>
      <c r="P311" t="b">
        <v>1</v>
      </c>
      <c r="Q311" t="s">
        <v>2785</v>
      </c>
    </row>
    <row r="312" spans="1:17" x14ac:dyDescent="0.35">
      <c r="A312" t="s">
        <v>626</v>
      </c>
      <c r="B312" t="s">
        <v>539</v>
      </c>
      <c r="C312" t="s">
        <v>3399</v>
      </c>
      <c r="D312" t="s">
        <v>1994</v>
      </c>
      <c r="E312">
        <v>5</v>
      </c>
      <c r="F312">
        <v>4</v>
      </c>
      <c r="G312">
        <v>5</v>
      </c>
      <c r="H312">
        <v>12</v>
      </c>
      <c r="I312" t="s">
        <v>98</v>
      </c>
      <c r="J312" t="s">
        <v>3533</v>
      </c>
      <c r="K312" t="s">
        <v>2957</v>
      </c>
      <c r="L312" s="1" t="str">
        <f>HYPERLINK("https://ovidsp.ovid.com/ovidweb.cgi?T=JS&amp;NEWS=n&amp;CSC=Y&amp;PAGE=toc&amp;D=yrovft&amp;AN=01429654-000000000-00000","https://ovidsp.ovid.com/ovidweb.cgi?T=JS&amp;NEWS=n&amp;CSC=Y&amp;PAGE=toc&amp;D=yrovft&amp;AN=01429654-000000000-00000")</f>
        <v>https://ovidsp.ovid.com/ovidweb.cgi?T=JS&amp;NEWS=n&amp;CSC=Y&amp;PAGE=toc&amp;D=yrovft&amp;AN=01429654-000000000-00000</v>
      </c>
      <c r="M312" t="s">
        <v>3537</v>
      </c>
      <c r="N312" t="s">
        <v>2424</v>
      </c>
      <c r="O312" t="s">
        <v>127</v>
      </c>
      <c r="P312" t="b">
        <v>1</v>
      </c>
      <c r="Q312" t="s">
        <v>1548</v>
      </c>
    </row>
    <row r="313" spans="1:17" x14ac:dyDescent="0.35">
      <c r="A313" t="s">
        <v>3292</v>
      </c>
      <c r="B313" t="s">
        <v>1811</v>
      </c>
      <c r="C313" t="s">
        <v>2024</v>
      </c>
      <c r="D313" t="s">
        <v>1994</v>
      </c>
      <c r="E313">
        <v>6</v>
      </c>
      <c r="F313">
        <v>4</v>
      </c>
      <c r="G313">
        <v>6</v>
      </c>
      <c r="H313">
        <v>12</v>
      </c>
      <c r="I313" t="s">
        <v>98</v>
      </c>
      <c r="J313" t="s">
        <v>3533</v>
      </c>
      <c r="K313" t="s">
        <v>2957</v>
      </c>
      <c r="L313" s="1" t="str">
        <f>HYPERLINK("https://ovidsp.ovid.com/ovidweb.cgi?T=JS&amp;NEWS=n&amp;CSC=Y&amp;PAGE=toc&amp;D=yrovft&amp;AN=01429668-000000000-00000","https://ovidsp.ovid.com/ovidweb.cgi?T=JS&amp;NEWS=n&amp;CSC=Y&amp;PAGE=toc&amp;D=yrovft&amp;AN=01429668-000000000-00000")</f>
        <v>https://ovidsp.ovid.com/ovidweb.cgi?T=JS&amp;NEWS=n&amp;CSC=Y&amp;PAGE=toc&amp;D=yrovft&amp;AN=01429668-000000000-00000</v>
      </c>
      <c r="M313" t="s">
        <v>2226</v>
      </c>
      <c r="N313" t="s">
        <v>2424</v>
      </c>
      <c r="O313" t="s">
        <v>1065</v>
      </c>
      <c r="P313" t="b">
        <v>1</v>
      </c>
      <c r="Q313" t="s">
        <v>3795</v>
      </c>
    </row>
    <row r="314" spans="1:17" x14ac:dyDescent="0.35">
      <c r="A314" t="s">
        <v>2430</v>
      </c>
      <c r="B314" t="s">
        <v>1135</v>
      </c>
      <c r="C314" t="s">
        <v>1986</v>
      </c>
      <c r="D314" t="s">
        <v>2855</v>
      </c>
      <c r="E314">
        <v>24</v>
      </c>
      <c r="F314">
        <v>1</v>
      </c>
      <c r="G314">
        <v>24</v>
      </c>
      <c r="H314">
        <v>12</v>
      </c>
      <c r="I314" t="s">
        <v>1517</v>
      </c>
      <c r="J314" t="s">
        <v>3622</v>
      </c>
      <c r="K314" t="s">
        <v>2957</v>
      </c>
      <c r="L314" s="1" t="str">
        <f>HYPERLINK("https://ovidsp.ovid.com/ovidweb.cgi?T=JS&amp;NEWS=n&amp;CSC=Y&amp;PAGE=toc&amp;D=yrovft&amp;AN=00005884-000000000-00000","https://ovidsp.ovid.com/ovidweb.cgi?T=JS&amp;NEWS=n&amp;CSC=Y&amp;PAGE=toc&amp;D=yrovft&amp;AN=00005884-000000000-00000")</f>
        <v>https://ovidsp.ovid.com/ovidweb.cgi?T=JS&amp;NEWS=n&amp;CSC=Y&amp;PAGE=toc&amp;D=yrovft&amp;AN=00005884-000000000-00000</v>
      </c>
      <c r="M314" t="s">
        <v>2452</v>
      </c>
      <c r="N314" t="s">
        <v>2424</v>
      </c>
      <c r="O314" t="s">
        <v>3530</v>
      </c>
      <c r="P314" t="b">
        <v>1</v>
      </c>
      <c r="Q314" t="s">
        <v>987</v>
      </c>
    </row>
    <row r="315" spans="1:17" x14ac:dyDescent="0.35">
      <c r="A315" t="s">
        <v>2413</v>
      </c>
      <c r="B315" t="s">
        <v>85</v>
      </c>
      <c r="C315" t="s">
        <v>2424</v>
      </c>
      <c r="D315" t="s">
        <v>50</v>
      </c>
      <c r="E315">
        <v>1</v>
      </c>
      <c r="F315">
        <v>1</v>
      </c>
      <c r="G315">
        <v>3</v>
      </c>
      <c r="H315">
        <v>4</v>
      </c>
      <c r="I315" t="s">
        <v>2254</v>
      </c>
      <c r="J315" t="s">
        <v>1657</v>
      </c>
      <c r="K315" t="s">
        <v>2461</v>
      </c>
      <c r="L315" s="1" t="str">
        <f>HYPERLINK("https://ovidsp.ovid.com/ovidweb.cgi?T=JS&amp;NEWS=n&amp;CSC=Y&amp;PAGE=toc&amp;D=yrovft&amp;AN=01337225-000000000-00000","https://ovidsp.ovid.com/ovidweb.cgi?T=JS&amp;NEWS=n&amp;CSC=Y&amp;PAGE=toc&amp;D=yrovft&amp;AN=01337225-000000000-00000")</f>
        <v>https://ovidsp.ovid.com/ovidweb.cgi?T=JS&amp;NEWS=n&amp;CSC=Y&amp;PAGE=toc&amp;D=yrovft&amp;AN=01337225-000000000-00000</v>
      </c>
      <c r="M315" t="s">
        <v>55</v>
      </c>
      <c r="N315" t="s">
        <v>2424</v>
      </c>
      <c r="O315" t="s">
        <v>824</v>
      </c>
      <c r="P315" t="b">
        <v>0</v>
      </c>
      <c r="Q315" t="s">
        <v>2424</v>
      </c>
    </row>
    <row r="316" spans="1:17" x14ac:dyDescent="0.35">
      <c r="A316" t="s">
        <v>478</v>
      </c>
      <c r="B316" t="s">
        <v>3500</v>
      </c>
      <c r="C316" t="s">
        <v>3729</v>
      </c>
      <c r="D316" t="s">
        <v>50</v>
      </c>
      <c r="E316">
        <v>14</v>
      </c>
      <c r="F316">
        <v>3</v>
      </c>
      <c r="G316">
        <v>21</v>
      </c>
      <c r="H316">
        <v>7</v>
      </c>
      <c r="I316" t="s">
        <v>907</v>
      </c>
      <c r="J316" t="s">
        <v>2472</v>
      </c>
      <c r="K316" t="s">
        <v>2072</v>
      </c>
      <c r="L316" s="1" t="str">
        <f>HYPERLINK("https://ovidsp.ovid.com/ovidweb.cgi?T=JS&amp;NEWS=n&amp;CSC=Y&amp;PAGE=toc&amp;D=yrovft&amp;AN=00001756-000000000-00000","https://ovidsp.ovid.com/ovidweb.cgi?T=JS&amp;NEWS=n&amp;CSC=Y&amp;PAGE=toc&amp;D=yrovft&amp;AN=00001756-000000000-00000")</f>
        <v>https://ovidsp.ovid.com/ovidweb.cgi?T=JS&amp;NEWS=n&amp;CSC=Y&amp;PAGE=toc&amp;D=yrovft&amp;AN=00001756-000000000-00000</v>
      </c>
      <c r="M316" t="s">
        <v>3387</v>
      </c>
      <c r="N316" t="s">
        <v>2424</v>
      </c>
      <c r="O316" t="s">
        <v>2417</v>
      </c>
      <c r="P316" t="b">
        <v>1</v>
      </c>
      <c r="Q316" t="s">
        <v>1</v>
      </c>
    </row>
    <row r="317" spans="1:17" x14ac:dyDescent="0.35">
      <c r="A317" t="s">
        <v>2583</v>
      </c>
      <c r="B317" t="s">
        <v>2053</v>
      </c>
      <c r="C317" t="s">
        <v>774</v>
      </c>
      <c r="D317" t="s">
        <v>50</v>
      </c>
      <c r="E317">
        <v>49</v>
      </c>
      <c r="F317">
        <v>1</v>
      </c>
      <c r="G317">
        <v>76</v>
      </c>
      <c r="H317">
        <v>4</v>
      </c>
      <c r="I317" t="s">
        <v>530</v>
      </c>
      <c r="J317" t="s">
        <v>3608</v>
      </c>
      <c r="K317" t="s">
        <v>1640</v>
      </c>
      <c r="L317" s="1" t="str">
        <f>HYPERLINK("https://ovidsp.ovid.com/ovidweb.cgi?T=JS&amp;NEWS=n&amp;CSC=Y&amp;PAGE=toc&amp;D=yrovft&amp;AN=00006123-000000000-00000","https://ovidsp.ovid.com/ovidweb.cgi?T=JS&amp;NEWS=n&amp;CSC=Y&amp;PAGE=toc&amp;D=yrovft&amp;AN=00006123-000000000-00000")</f>
        <v>https://ovidsp.ovid.com/ovidweb.cgi?T=JS&amp;NEWS=n&amp;CSC=Y&amp;PAGE=toc&amp;D=yrovft&amp;AN=00006123-000000000-00000</v>
      </c>
      <c r="M317" t="s">
        <v>995</v>
      </c>
      <c r="N317" t="s">
        <v>2424</v>
      </c>
      <c r="O317" t="s">
        <v>3448</v>
      </c>
      <c r="P317" t="b">
        <v>1</v>
      </c>
      <c r="Q317" t="s">
        <v>581</v>
      </c>
    </row>
    <row r="318" spans="1:17" x14ac:dyDescent="0.35">
      <c r="A318" t="s">
        <v>387</v>
      </c>
      <c r="B318" t="s">
        <v>1030</v>
      </c>
      <c r="C318" t="s">
        <v>2464</v>
      </c>
      <c r="D318" t="s">
        <v>50</v>
      </c>
      <c r="E318">
        <v>13</v>
      </c>
      <c r="F318">
        <v>2</v>
      </c>
      <c r="G318">
        <v>20</v>
      </c>
      <c r="H318">
        <v>1</v>
      </c>
      <c r="I318" t="s">
        <v>2924</v>
      </c>
      <c r="J318" t="s">
        <v>1895</v>
      </c>
      <c r="K318" t="s">
        <v>2939</v>
      </c>
      <c r="L318" s="1" t="str">
        <f>HYPERLINK("https://ovidsp.ovid.com/ovidweb.cgi?T=JS&amp;NEWS=n&amp;CSC=Y&amp;PAGE=toc&amp;D=yrovft&amp;AN=00013414-000000000-00000","https://ovidsp.ovid.com/ovidweb.cgi?T=JS&amp;NEWS=n&amp;CSC=Y&amp;PAGE=toc&amp;D=yrovft&amp;AN=00013414-000000000-00000")</f>
        <v>https://ovidsp.ovid.com/ovidweb.cgi?T=JS&amp;NEWS=n&amp;CSC=Y&amp;PAGE=toc&amp;D=yrovft&amp;AN=00013414-000000000-00000</v>
      </c>
      <c r="M318" t="s">
        <v>672</v>
      </c>
      <c r="N318" t="s">
        <v>2424</v>
      </c>
      <c r="O318" t="s">
        <v>1674</v>
      </c>
      <c r="P318" t="b">
        <v>1</v>
      </c>
      <c r="Q318" t="s">
        <v>2113</v>
      </c>
    </row>
    <row r="319" spans="1:17" x14ac:dyDescent="0.35">
      <c r="A319" t="s">
        <v>3569</v>
      </c>
      <c r="B319" t="s">
        <v>1491</v>
      </c>
      <c r="C319" t="s">
        <v>1250</v>
      </c>
      <c r="D319" t="s">
        <v>50</v>
      </c>
      <c r="E319">
        <v>22</v>
      </c>
      <c r="F319">
        <v>8</v>
      </c>
      <c r="G319">
        <v>31</v>
      </c>
      <c r="H319">
        <v>6</v>
      </c>
      <c r="I319" t="s">
        <v>2230</v>
      </c>
      <c r="J319" t="s">
        <v>374</v>
      </c>
      <c r="K319" t="s">
        <v>2972</v>
      </c>
      <c r="L319" s="1" t="str">
        <f>HYPERLINK("https://ovidsp.ovid.com/ovidweb.cgi?T=JS&amp;NEWS=n&amp;CSC=Y&amp;PAGE=toc&amp;D=yrovft&amp;AN=00006231-000000000-00000","https://ovidsp.ovid.com/ovidweb.cgi?T=JS&amp;NEWS=n&amp;CSC=Y&amp;PAGE=toc&amp;D=yrovft&amp;AN=00006231-000000000-00000")</f>
        <v>https://ovidsp.ovid.com/ovidweb.cgi?T=JS&amp;NEWS=n&amp;CSC=Y&amp;PAGE=toc&amp;D=yrovft&amp;AN=00006231-000000000-00000</v>
      </c>
      <c r="M319" t="s">
        <v>1346</v>
      </c>
      <c r="N319" t="s">
        <v>2424</v>
      </c>
      <c r="O319" t="s">
        <v>1989</v>
      </c>
      <c r="P319" t="b">
        <v>1</v>
      </c>
      <c r="Q319" t="s">
        <v>3181</v>
      </c>
    </row>
    <row r="320" spans="1:17" x14ac:dyDescent="0.35">
      <c r="A320" t="s">
        <v>1048</v>
      </c>
      <c r="B320" t="s">
        <v>2085</v>
      </c>
      <c r="C320" t="s">
        <v>2424</v>
      </c>
      <c r="D320" t="s">
        <v>50</v>
      </c>
      <c r="E320">
        <v>26</v>
      </c>
      <c r="F320">
        <v>4</v>
      </c>
      <c r="G320">
        <v>40</v>
      </c>
      <c r="H320">
        <v>2</v>
      </c>
      <c r="I320" t="s">
        <v>886</v>
      </c>
      <c r="J320" t="s">
        <v>3608</v>
      </c>
      <c r="K320" t="s">
        <v>2722</v>
      </c>
      <c r="L320" s="1" t="str">
        <f>HYPERLINK("https://ovidsp.ovid.com/ovidweb.cgi?T=JS&amp;NEWS=n&amp;CSC=Y&amp;PAGE=toc&amp;D=yrovft&amp;AN=00006223-000000000-00000","https://ovidsp.ovid.com/ovidweb.cgi?T=JS&amp;NEWS=n&amp;CSC=Y&amp;PAGE=toc&amp;D=yrovft&amp;AN=00006223-000000000-00000")</f>
        <v>https://ovidsp.ovid.com/ovidweb.cgi?T=JS&amp;NEWS=n&amp;CSC=Y&amp;PAGE=toc&amp;D=yrovft&amp;AN=00006223-000000000-00000</v>
      </c>
      <c r="M320" t="s">
        <v>1452</v>
      </c>
      <c r="N320" t="s">
        <v>2424</v>
      </c>
      <c r="O320" t="s">
        <v>3603</v>
      </c>
      <c r="P320" t="b">
        <v>1</v>
      </c>
      <c r="Q320" t="s">
        <v>910</v>
      </c>
    </row>
    <row r="321" spans="1:17" x14ac:dyDescent="0.35">
      <c r="A321" t="s">
        <v>1530</v>
      </c>
      <c r="B321" t="s">
        <v>2126</v>
      </c>
      <c r="C321" t="s">
        <v>2424</v>
      </c>
      <c r="D321" t="s">
        <v>1993</v>
      </c>
      <c r="E321">
        <v>9</v>
      </c>
      <c r="F321">
        <v>1</v>
      </c>
      <c r="G321">
        <v>11</v>
      </c>
      <c r="H321">
        <v>2</v>
      </c>
      <c r="I321" t="s">
        <v>3579</v>
      </c>
      <c r="J321" t="s">
        <v>2909</v>
      </c>
      <c r="K321" t="s">
        <v>1145</v>
      </c>
      <c r="L321" s="1" t="str">
        <f>HYPERLINK("https://ovidsp.ovid.com/ovidweb.cgi?T=JS&amp;NEWS=n&amp;CSC=Y&amp;PAGE=toc&amp;D=yrovft&amp;AN=00021768-000000000-00000","https://ovidsp.ovid.com/ovidweb.cgi?T=JS&amp;NEWS=n&amp;CSC=Y&amp;PAGE=toc&amp;D=yrovft&amp;AN=00021768-000000000-00000")</f>
        <v>https://ovidsp.ovid.com/ovidweb.cgi?T=JS&amp;NEWS=n&amp;CSC=Y&amp;PAGE=toc&amp;D=yrovft&amp;AN=00021768-000000000-00000</v>
      </c>
      <c r="M321" t="s">
        <v>2180</v>
      </c>
      <c r="N321" t="s">
        <v>2424</v>
      </c>
      <c r="O321" t="s">
        <v>1500</v>
      </c>
      <c r="P321" t="b">
        <v>0</v>
      </c>
      <c r="Q321" t="s">
        <v>2424</v>
      </c>
    </row>
    <row r="322" spans="1:17" x14ac:dyDescent="0.35">
      <c r="A322" t="s">
        <v>578</v>
      </c>
      <c r="B322" t="s">
        <v>3002</v>
      </c>
      <c r="C322" t="s">
        <v>160</v>
      </c>
      <c r="D322" t="s">
        <v>50</v>
      </c>
      <c r="E322">
        <v>32</v>
      </c>
      <c r="F322">
        <v>1</v>
      </c>
      <c r="G322">
        <v>45</v>
      </c>
      <c r="H322">
        <v>4</v>
      </c>
      <c r="I322" t="s">
        <v>971</v>
      </c>
      <c r="J322" t="s">
        <v>2209</v>
      </c>
      <c r="K322" t="s">
        <v>1640</v>
      </c>
      <c r="L322" s="1" t="str">
        <f>HYPERLINK("https://ovidsp.ovid.com/ovidweb.cgi?T=JS&amp;NEWS=n&amp;CSC=Y&amp;PAGE=toc&amp;D=yrovft&amp;AN=00152193-000000000-00000","https://ovidsp.ovid.com/ovidweb.cgi?T=JS&amp;NEWS=n&amp;CSC=Y&amp;PAGE=toc&amp;D=yrovft&amp;AN=00152193-000000000-00000")</f>
        <v>https://ovidsp.ovid.com/ovidweb.cgi?T=JS&amp;NEWS=n&amp;CSC=Y&amp;PAGE=toc&amp;D=yrovft&amp;AN=00152193-000000000-00000</v>
      </c>
      <c r="M322" t="s">
        <v>2649</v>
      </c>
      <c r="N322" t="s">
        <v>2424</v>
      </c>
      <c r="O322" t="s">
        <v>207</v>
      </c>
      <c r="P322" t="b">
        <v>0</v>
      </c>
      <c r="Q322" t="s">
        <v>2424</v>
      </c>
    </row>
    <row r="323" spans="1:17" x14ac:dyDescent="0.35">
      <c r="A323" t="s">
        <v>1427</v>
      </c>
      <c r="B323" t="s">
        <v>1593</v>
      </c>
      <c r="C323" t="s">
        <v>2424</v>
      </c>
      <c r="D323" t="s">
        <v>50</v>
      </c>
      <c r="E323">
        <v>27</v>
      </c>
      <c r="F323">
        <v>2</v>
      </c>
      <c r="G323">
        <v>34</v>
      </c>
      <c r="H323">
        <v>2</v>
      </c>
      <c r="I323" t="s">
        <v>3594</v>
      </c>
      <c r="J323" t="s">
        <v>2069</v>
      </c>
      <c r="K323" t="s">
        <v>2461</v>
      </c>
      <c r="L323" s="1" t="str">
        <f>HYPERLINK("https://ovidsp.ovid.com/ovidweb.cgi?T=JS&amp;NEWS=n&amp;CSC=Y&amp;PAGE=toc&amp;D=yrovft&amp;AN=00006216-000000000-00000","https://ovidsp.ovid.com/ovidweb.cgi?T=JS&amp;NEWS=n&amp;CSC=Y&amp;PAGE=toc&amp;D=yrovft&amp;AN=00006216-000000000-00000")</f>
        <v>https://ovidsp.ovid.com/ovidweb.cgi?T=JS&amp;NEWS=n&amp;CSC=Y&amp;PAGE=toc&amp;D=yrovft&amp;AN=00006216-000000000-00000</v>
      </c>
      <c r="M323" t="s">
        <v>1066</v>
      </c>
      <c r="N323" t="s">
        <v>2424</v>
      </c>
      <c r="O323" t="s">
        <v>1382</v>
      </c>
      <c r="P323" t="b">
        <v>1</v>
      </c>
      <c r="Q323" t="s">
        <v>3449</v>
      </c>
    </row>
    <row r="324" spans="1:17" x14ac:dyDescent="0.35">
      <c r="A324" t="s">
        <v>2903</v>
      </c>
      <c r="B324" t="s">
        <v>3784</v>
      </c>
      <c r="C324" t="s">
        <v>732</v>
      </c>
      <c r="D324" t="s">
        <v>50</v>
      </c>
      <c r="E324">
        <v>2</v>
      </c>
      <c r="F324">
        <v>1</v>
      </c>
      <c r="G324">
        <v>5</v>
      </c>
      <c r="H324">
        <v>3</v>
      </c>
      <c r="I324" t="s">
        <v>1675</v>
      </c>
      <c r="J324" t="s">
        <v>666</v>
      </c>
      <c r="K324" t="s">
        <v>3523</v>
      </c>
      <c r="L324" s="1" t="str">
        <f>HYPERLINK("https://ovidsp.ovid.com/ovidweb.cgi?T=JS&amp;NEWS=n&amp;CSC=Y&amp;PAGE=toc&amp;D=yrovft&amp;AN=01244666-000000000-00000","https://ovidsp.ovid.com/ovidweb.cgi?T=JS&amp;NEWS=n&amp;CSC=Y&amp;PAGE=toc&amp;D=yrovft&amp;AN=01244666-000000000-00000")</f>
        <v>https://ovidsp.ovid.com/ovidweb.cgi?T=JS&amp;NEWS=n&amp;CSC=Y&amp;PAGE=toc&amp;D=yrovft&amp;AN=01244666-000000000-00000</v>
      </c>
      <c r="M324" t="s">
        <v>427</v>
      </c>
      <c r="N324" t="s">
        <v>2424</v>
      </c>
      <c r="O324" t="s">
        <v>293</v>
      </c>
      <c r="P324" t="b">
        <v>0</v>
      </c>
      <c r="Q324" t="s">
        <v>2424</v>
      </c>
    </row>
    <row r="325" spans="1:17" x14ac:dyDescent="0.35">
      <c r="A325" t="s">
        <v>1115</v>
      </c>
      <c r="B325" t="s">
        <v>1513</v>
      </c>
      <c r="C325" t="s">
        <v>2424</v>
      </c>
      <c r="D325" t="s">
        <v>50</v>
      </c>
      <c r="E325">
        <v>1</v>
      </c>
      <c r="F325">
        <v>1</v>
      </c>
      <c r="G325">
        <v>8</v>
      </c>
      <c r="H325">
        <v>3</v>
      </c>
      <c r="I325" t="s">
        <v>2704</v>
      </c>
      <c r="J325" t="s">
        <v>396</v>
      </c>
      <c r="K325" t="s">
        <v>3523</v>
      </c>
      <c r="L325" s="1" t="str">
        <f>HYPERLINK("https://ovidsp.ovid.com/ovidweb.cgi?T=JS&amp;NEWS=n&amp;CSC=Y&amp;PAGE=toc&amp;D=yrovft&amp;AN=00152258-000000000-00000","https://ovidsp.ovid.com/ovidweb.cgi?T=JS&amp;NEWS=n&amp;CSC=Y&amp;PAGE=toc&amp;D=yrovft&amp;AN=00152258-000000000-00000")</f>
        <v>https://ovidsp.ovid.com/ovidweb.cgi?T=JS&amp;NEWS=n&amp;CSC=Y&amp;PAGE=toc&amp;D=yrovft&amp;AN=00152258-000000000-00000</v>
      </c>
      <c r="M325" t="s">
        <v>2198</v>
      </c>
      <c r="N325" t="s">
        <v>2424</v>
      </c>
      <c r="O325" t="s">
        <v>1596</v>
      </c>
      <c r="P325" t="b">
        <v>1</v>
      </c>
      <c r="Q325" t="s">
        <v>2277</v>
      </c>
    </row>
    <row r="326" spans="1:17" x14ac:dyDescent="0.35">
      <c r="A326" t="s">
        <v>253</v>
      </c>
      <c r="B326" t="s">
        <v>362</v>
      </c>
      <c r="C326" t="s">
        <v>649</v>
      </c>
      <c r="D326" t="s">
        <v>50</v>
      </c>
      <c r="E326">
        <v>34</v>
      </c>
      <c r="F326">
        <v>1</v>
      </c>
      <c r="G326">
        <v>41</v>
      </c>
      <c r="H326">
        <v>5</v>
      </c>
      <c r="I326" t="s">
        <v>1464</v>
      </c>
      <c r="J326" t="s">
        <v>2581</v>
      </c>
      <c r="K326" t="s">
        <v>3523</v>
      </c>
      <c r="L326" s="1" t="str">
        <f>HYPERLINK("https://ovidsp.ovid.com/ovidweb.cgi?T=JS&amp;NEWS=n&amp;CSC=Y&amp;PAGE=toc&amp;D=yrovft&amp;AN=00006247-000000000-00000","https://ovidsp.ovid.com/ovidweb.cgi?T=JS&amp;NEWS=n&amp;CSC=Y&amp;PAGE=toc&amp;D=yrovft&amp;AN=00006247-000000000-00000")</f>
        <v>https://ovidsp.ovid.com/ovidweb.cgi?T=JS&amp;NEWS=n&amp;CSC=Y&amp;PAGE=toc&amp;D=yrovft&amp;AN=00006247-000000000-00000</v>
      </c>
      <c r="M326" t="s">
        <v>128</v>
      </c>
      <c r="N326" t="s">
        <v>2424</v>
      </c>
      <c r="O326" t="s">
        <v>1642</v>
      </c>
      <c r="P326" t="b">
        <v>1</v>
      </c>
      <c r="Q326" t="s">
        <v>3097</v>
      </c>
    </row>
    <row r="327" spans="1:17" x14ac:dyDescent="0.35">
      <c r="A327" t="s">
        <v>2041</v>
      </c>
      <c r="B327" t="s">
        <v>3488</v>
      </c>
      <c r="C327" t="s">
        <v>2424</v>
      </c>
      <c r="D327" t="s">
        <v>1993</v>
      </c>
      <c r="E327">
        <v>8</v>
      </c>
      <c r="F327">
        <v>7</v>
      </c>
      <c r="G327">
        <v>10</v>
      </c>
      <c r="H327">
        <v>10</v>
      </c>
      <c r="I327" t="s">
        <v>1180</v>
      </c>
      <c r="J327" t="s">
        <v>3298</v>
      </c>
      <c r="K327" t="s">
        <v>1992</v>
      </c>
      <c r="L327" s="1" t="str">
        <f>HYPERLINK("https://ovidsp.ovid.com/ovidweb.cgi?T=JS&amp;NEWS=n&amp;CSC=Y&amp;PAGE=toc&amp;D=yrovft&amp;AN=00043623-000000000-00000","https://ovidsp.ovid.com/ovidweb.cgi?T=JS&amp;NEWS=n&amp;CSC=Y&amp;PAGE=toc&amp;D=yrovft&amp;AN=00043623-000000000-00000")</f>
        <v>https://ovidsp.ovid.com/ovidweb.cgi?T=JS&amp;NEWS=n&amp;CSC=Y&amp;PAGE=toc&amp;D=yrovft&amp;AN=00043623-000000000-00000</v>
      </c>
      <c r="M327" t="s">
        <v>3042</v>
      </c>
      <c r="N327" t="s">
        <v>2424</v>
      </c>
      <c r="O327" t="s">
        <v>2876</v>
      </c>
      <c r="P327" t="b">
        <v>0</v>
      </c>
      <c r="Q327" t="s">
        <v>2424</v>
      </c>
    </row>
    <row r="328" spans="1:17" x14ac:dyDescent="0.35">
      <c r="A328" t="s">
        <v>1851</v>
      </c>
      <c r="B328" t="s">
        <v>605</v>
      </c>
      <c r="C328" t="s">
        <v>2424</v>
      </c>
      <c r="D328" t="s">
        <v>50</v>
      </c>
      <c r="E328">
        <v>50</v>
      </c>
      <c r="F328">
        <v>4</v>
      </c>
      <c r="G328">
        <v>59</v>
      </c>
      <c r="H328">
        <v>2</v>
      </c>
      <c r="I328" t="s">
        <v>2599</v>
      </c>
      <c r="J328" t="s">
        <v>3608</v>
      </c>
      <c r="K328" t="s">
        <v>2939</v>
      </c>
      <c r="L328" s="1" t="str">
        <f>HYPERLINK("https://ovidsp.ovid.com/ovidweb.cgi?T=JS&amp;NEWS=n&amp;CSC=Y&amp;PAGE=toc&amp;D=yrovft&amp;AN=00006199-000000000-00000","https://ovidsp.ovid.com/ovidweb.cgi?T=JS&amp;NEWS=n&amp;CSC=Y&amp;PAGE=toc&amp;D=yrovft&amp;AN=00006199-000000000-00000")</f>
        <v>https://ovidsp.ovid.com/ovidweb.cgi?T=JS&amp;NEWS=n&amp;CSC=Y&amp;PAGE=toc&amp;D=yrovft&amp;AN=00006199-000000000-00000</v>
      </c>
      <c r="M328" t="s">
        <v>3804</v>
      </c>
      <c r="N328" t="s">
        <v>2424</v>
      </c>
      <c r="O328" t="s">
        <v>3506</v>
      </c>
      <c r="P328" t="b">
        <v>1</v>
      </c>
      <c r="Q328" t="s">
        <v>3679</v>
      </c>
    </row>
    <row r="329" spans="1:17" x14ac:dyDescent="0.35">
      <c r="A329" t="s">
        <v>2794</v>
      </c>
      <c r="B329" t="s">
        <v>777</v>
      </c>
      <c r="C329" t="s">
        <v>2424</v>
      </c>
      <c r="D329" t="s">
        <v>1993</v>
      </c>
      <c r="E329">
        <v>16</v>
      </c>
      <c r="F329">
        <v>4</v>
      </c>
      <c r="G329">
        <v>18</v>
      </c>
      <c r="H329">
        <v>25</v>
      </c>
      <c r="I329" t="s">
        <v>2162</v>
      </c>
      <c r="J329" t="s">
        <v>3637</v>
      </c>
      <c r="K329" t="s">
        <v>693</v>
      </c>
      <c r="L329" s="1" t="str">
        <f>HYPERLINK("https://ovidsp.ovid.com/ovidweb.cgi?T=JS&amp;NEWS=n&amp;CSC=Y&amp;PAGE=toc&amp;D=yrovft&amp;AN=00002311-000000000-00000","https://ovidsp.ovid.com/ovidweb.cgi?T=JS&amp;NEWS=n&amp;CSC=Y&amp;PAGE=toc&amp;D=yrovft&amp;AN=00002311-000000000-00000")</f>
        <v>https://ovidsp.ovid.com/ovidweb.cgi?T=JS&amp;NEWS=n&amp;CSC=Y&amp;PAGE=toc&amp;D=yrovft&amp;AN=00002311-000000000-00000</v>
      </c>
      <c r="M329" t="s">
        <v>1279</v>
      </c>
      <c r="N329" t="s">
        <v>2424</v>
      </c>
      <c r="O329" t="s">
        <v>951</v>
      </c>
      <c r="P329" t="b">
        <v>0</v>
      </c>
      <c r="Q329" t="s">
        <v>2424</v>
      </c>
    </row>
    <row r="330" spans="1:17" x14ac:dyDescent="0.35">
      <c r="A330" t="s">
        <v>713</v>
      </c>
      <c r="B330" t="s">
        <v>2424</v>
      </c>
      <c r="C330" t="s">
        <v>2424</v>
      </c>
      <c r="D330" t="s">
        <v>2048</v>
      </c>
      <c r="E330">
        <v>107</v>
      </c>
      <c r="F330">
        <v>1</v>
      </c>
      <c r="G330">
        <v>116</v>
      </c>
      <c r="H330">
        <v>3</v>
      </c>
      <c r="I330" t="s">
        <v>1326</v>
      </c>
      <c r="J330" t="s">
        <v>2276</v>
      </c>
      <c r="K330" t="s">
        <v>1894</v>
      </c>
      <c r="L330" s="1" t="str">
        <f>HYPERLINK("https://ovidsp.ovid.com/ovidweb.cgi?T=JS&amp;NEWS=n&amp;CSC=Y&amp;PAGE=toc&amp;D=yrovft&amp;AN=00006203-000000000-00000","https://ovidsp.ovid.com/ovidweb.cgi?T=JS&amp;NEWS=n&amp;CSC=Y&amp;PAGE=toc&amp;D=yrovft&amp;AN=00006203-000000000-00000")</f>
        <v>https://ovidsp.ovid.com/ovidweb.cgi?T=JS&amp;NEWS=n&amp;CSC=Y&amp;PAGE=toc&amp;D=yrovft&amp;AN=00006203-000000000-00000</v>
      </c>
      <c r="M330" t="s">
        <v>2744</v>
      </c>
      <c r="N330" t="s">
        <v>2424</v>
      </c>
      <c r="O330" t="s">
        <v>3630</v>
      </c>
      <c r="P330" t="b">
        <v>0</v>
      </c>
      <c r="Q330" t="s">
        <v>2424</v>
      </c>
    </row>
    <row r="331" spans="1:17" x14ac:dyDescent="0.35">
      <c r="A331" t="s">
        <v>2602</v>
      </c>
      <c r="B331" t="s">
        <v>3626</v>
      </c>
      <c r="C331" t="s">
        <v>2424</v>
      </c>
      <c r="D331" t="s">
        <v>50</v>
      </c>
      <c r="E331">
        <v>33</v>
      </c>
      <c r="F331">
        <v>2</v>
      </c>
      <c r="G331">
        <v>33</v>
      </c>
      <c r="H331">
        <v>7</v>
      </c>
      <c r="I331" t="s">
        <v>2637</v>
      </c>
      <c r="J331" t="s">
        <v>2668</v>
      </c>
      <c r="K331" t="s">
        <v>1516</v>
      </c>
      <c r="L331" s="1" t="str">
        <f>HYPERLINK("https://ovidsp.ovid.com/ovidweb.cgi?T=JS&amp;NEWS=n&amp;CSC=Y&amp;PAGE=toc&amp;D=yrovft&amp;AN=00065443-000000000-00000","https://ovidsp.ovid.com/ovidweb.cgi?T=JS&amp;NEWS=n&amp;CSC=Y&amp;PAGE=toc&amp;D=yrovft&amp;AN=00065443-000000000-00000")</f>
        <v>https://ovidsp.ovid.com/ovidweb.cgi?T=JS&amp;NEWS=n&amp;CSC=Y&amp;PAGE=toc&amp;D=yrovft&amp;AN=00065443-000000000-00000</v>
      </c>
      <c r="M331" t="s">
        <v>902</v>
      </c>
      <c r="N331" t="s">
        <v>2424</v>
      </c>
      <c r="O331" t="s">
        <v>91</v>
      </c>
      <c r="P331" t="b">
        <v>0</v>
      </c>
      <c r="Q331" t="s">
        <v>2424</v>
      </c>
    </row>
    <row r="332" spans="1:17" x14ac:dyDescent="0.35">
      <c r="A332" t="s">
        <v>36</v>
      </c>
      <c r="B332" t="s">
        <v>3197</v>
      </c>
      <c r="C332" t="s">
        <v>2424</v>
      </c>
      <c r="D332" t="s">
        <v>50</v>
      </c>
      <c r="E332">
        <v>38</v>
      </c>
      <c r="F332">
        <v>2</v>
      </c>
      <c r="G332">
        <v>45</v>
      </c>
      <c r="H332">
        <v>2</v>
      </c>
      <c r="I332" t="s">
        <v>1714</v>
      </c>
      <c r="J332" t="s">
        <v>2581</v>
      </c>
      <c r="K332" t="s">
        <v>2939</v>
      </c>
      <c r="L332" s="1" t="str">
        <f>HYPERLINK("https://ovidsp.ovid.com/ovidweb.cgi?T=JS&amp;NEWS=n&amp;CSC=Y&amp;PAGE=toc&amp;D=yrovft&amp;AN=00017285-000000000-00000","https://ovidsp.ovid.com/ovidweb.cgi?T=JS&amp;NEWS=n&amp;CSC=Y&amp;PAGE=toc&amp;D=yrovft&amp;AN=00017285-000000000-00000")</f>
        <v>https://ovidsp.ovid.com/ovidweb.cgi?T=JS&amp;NEWS=n&amp;CSC=Y&amp;PAGE=toc&amp;D=yrovft&amp;AN=00017285-000000000-00000</v>
      </c>
      <c r="M332" t="s">
        <v>2227</v>
      </c>
      <c r="N332" t="s">
        <v>2424</v>
      </c>
      <c r="O332" t="s">
        <v>475</v>
      </c>
      <c r="P332" t="b">
        <v>0</v>
      </c>
      <c r="Q332" t="s">
        <v>2424</v>
      </c>
    </row>
    <row r="333" spans="1:17" x14ac:dyDescent="0.35">
      <c r="A333" t="s">
        <v>5</v>
      </c>
      <c r="B333" t="s">
        <v>3707</v>
      </c>
      <c r="C333" t="s">
        <v>2700</v>
      </c>
      <c r="D333" t="s">
        <v>50</v>
      </c>
      <c r="E333">
        <v>23</v>
      </c>
      <c r="F333">
        <v>2</v>
      </c>
      <c r="G333">
        <v>30</v>
      </c>
      <c r="H333">
        <v>1</v>
      </c>
      <c r="I333" t="s">
        <v>877</v>
      </c>
      <c r="J333" t="s">
        <v>2069</v>
      </c>
      <c r="K333" t="s">
        <v>2939</v>
      </c>
      <c r="L333" s="1" t="str">
        <f>HYPERLINK("https://ovidsp.ovid.com/ovidweb.cgi?T=JS&amp;NEWS=n&amp;CSC=Y&amp;PAGE=toc&amp;D=yrovft&amp;AN=00132582-000000000-00000","https://ovidsp.ovid.com/ovidweb.cgi?T=JS&amp;NEWS=n&amp;CSC=Y&amp;PAGE=toc&amp;D=yrovft&amp;AN=00132582-000000000-00000")</f>
        <v>https://ovidsp.ovid.com/ovidweb.cgi?T=JS&amp;NEWS=n&amp;CSC=Y&amp;PAGE=toc&amp;D=yrovft&amp;AN=00132582-000000000-00000</v>
      </c>
      <c r="M333" t="s">
        <v>2575</v>
      </c>
      <c r="N333" t="s">
        <v>2424</v>
      </c>
      <c r="O333" t="s">
        <v>2615</v>
      </c>
      <c r="P333" t="b">
        <v>0</v>
      </c>
      <c r="Q333" t="s">
        <v>2424</v>
      </c>
    </row>
    <row r="334" spans="1:17" x14ac:dyDescent="0.35">
      <c r="A334" t="s">
        <v>3627</v>
      </c>
      <c r="B334" t="s">
        <v>1973</v>
      </c>
      <c r="C334" t="s">
        <v>1739</v>
      </c>
      <c r="D334" t="s">
        <v>50</v>
      </c>
      <c r="E334">
        <v>56</v>
      </c>
      <c r="F334">
        <v>8</v>
      </c>
      <c r="G334">
        <v>70</v>
      </c>
      <c r="H334">
        <v>3</v>
      </c>
      <c r="I334" t="s">
        <v>2130</v>
      </c>
      <c r="J334" t="s">
        <v>374</v>
      </c>
      <c r="K334" t="s">
        <v>2722</v>
      </c>
      <c r="L334" s="1" t="str">
        <f>HYPERLINK("https://ovidsp.ovid.com/ovidweb.cgi?T=JS&amp;NEWS=n&amp;CSC=Y&amp;PAGE=toc&amp;D=yrovft&amp;AN=00006254-000000000-00000","https://ovidsp.ovid.com/ovidweb.cgi?T=JS&amp;NEWS=n&amp;CSC=Y&amp;PAGE=toc&amp;D=yrovft&amp;AN=00006254-000000000-00000")</f>
        <v>https://ovidsp.ovid.com/ovidweb.cgi?T=JS&amp;NEWS=n&amp;CSC=Y&amp;PAGE=toc&amp;D=yrovft&amp;AN=00006254-000000000-00000</v>
      </c>
      <c r="M334" t="s">
        <v>1858</v>
      </c>
      <c r="N334" t="s">
        <v>2424</v>
      </c>
      <c r="O334" t="s">
        <v>219</v>
      </c>
      <c r="P334" t="b">
        <v>0</v>
      </c>
      <c r="Q334" t="s">
        <v>2424</v>
      </c>
    </row>
    <row r="335" spans="1:17" x14ac:dyDescent="0.35">
      <c r="A335" t="s">
        <v>1282</v>
      </c>
      <c r="B335" t="s">
        <v>660</v>
      </c>
      <c r="C335" t="s">
        <v>2424</v>
      </c>
      <c r="D335" t="s">
        <v>50</v>
      </c>
      <c r="E335">
        <v>95</v>
      </c>
      <c r="F335">
        <v>1</v>
      </c>
      <c r="G335">
        <v>125</v>
      </c>
      <c r="H335">
        <v>4</v>
      </c>
      <c r="I335" t="s">
        <v>413</v>
      </c>
      <c r="J335" t="s">
        <v>382</v>
      </c>
      <c r="K335" t="s">
        <v>1640</v>
      </c>
      <c r="L335" s="1" t="str">
        <f>HYPERLINK("https://ovidsp.ovid.com/ovidweb.cgi?T=JS&amp;NEWS=n&amp;CSC=Y&amp;PAGE=toc&amp;D=yrovft&amp;AN=00006250-000000000-00000","https://ovidsp.ovid.com/ovidweb.cgi?T=JS&amp;NEWS=n&amp;CSC=Y&amp;PAGE=toc&amp;D=yrovft&amp;AN=00006250-000000000-00000")</f>
        <v>https://ovidsp.ovid.com/ovidweb.cgi?T=JS&amp;NEWS=n&amp;CSC=Y&amp;PAGE=toc&amp;D=yrovft&amp;AN=00006250-000000000-00000</v>
      </c>
      <c r="M335" t="s">
        <v>1274</v>
      </c>
      <c r="N335" t="s">
        <v>2424</v>
      </c>
      <c r="O335" t="s">
        <v>372</v>
      </c>
      <c r="P335" t="b">
        <v>1</v>
      </c>
      <c r="Q335" t="s">
        <v>547</v>
      </c>
    </row>
    <row r="336" spans="1:17" x14ac:dyDescent="0.35">
      <c r="A336" t="s">
        <v>1985</v>
      </c>
      <c r="B336" t="s">
        <v>2032</v>
      </c>
      <c r="C336" t="s">
        <v>3507</v>
      </c>
      <c r="D336" t="s">
        <v>2855</v>
      </c>
      <c r="E336">
        <v>59</v>
      </c>
      <c r="F336">
        <v>1</v>
      </c>
      <c r="G336">
        <v>59</v>
      </c>
      <c r="H336">
        <v>8</v>
      </c>
      <c r="I336" t="s">
        <v>1517</v>
      </c>
      <c r="J336" t="s">
        <v>3622</v>
      </c>
      <c r="K336" t="s">
        <v>2957</v>
      </c>
      <c r="L336" s="1" t="str">
        <f>HYPERLINK("https://ovidsp.ovid.com/ovidweb.cgi?T=JS&amp;NEWS=n&amp;CSC=Y&amp;PAGE=toc&amp;D=yrovft&amp;AN=00001774-000000000-00000","https://ovidsp.ovid.com/ovidweb.cgi?T=JS&amp;NEWS=n&amp;CSC=Y&amp;PAGE=toc&amp;D=yrovft&amp;AN=00001774-000000000-00000")</f>
        <v>https://ovidsp.ovid.com/ovidweb.cgi?T=JS&amp;NEWS=n&amp;CSC=Y&amp;PAGE=toc&amp;D=yrovft&amp;AN=00001774-000000000-00000</v>
      </c>
      <c r="M336" t="s">
        <v>1522</v>
      </c>
      <c r="N336" t="s">
        <v>2424</v>
      </c>
      <c r="O336" t="s">
        <v>642</v>
      </c>
      <c r="P336" t="b">
        <v>1</v>
      </c>
      <c r="Q336" t="s">
        <v>2470</v>
      </c>
    </row>
    <row r="337" spans="1:17" x14ac:dyDescent="0.35">
      <c r="A337" t="s">
        <v>1725</v>
      </c>
      <c r="B337" t="s">
        <v>633</v>
      </c>
      <c r="C337" t="s">
        <v>792</v>
      </c>
      <c r="D337" t="s">
        <v>50</v>
      </c>
      <c r="E337">
        <v>23</v>
      </c>
      <c r="F337">
        <v>1</v>
      </c>
      <c r="G337">
        <v>32</v>
      </c>
      <c r="H337">
        <v>8</v>
      </c>
      <c r="I337" t="s">
        <v>2589</v>
      </c>
      <c r="J337" t="s">
        <v>2909</v>
      </c>
      <c r="K337" t="s">
        <v>2665</v>
      </c>
      <c r="L337" s="1" t="str">
        <f>HYPERLINK("https://ovidsp.ovid.com/ovidweb.cgi?T=JS&amp;NEWS=n&amp;CSC=Y&amp;PAGE=toc&amp;D=yrovft&amp;AN=00130989-000000000-00000","https://ovidsp.ovid.com/ovidweb.cgi?T=JS&amp;NEWS=n&amp;CSC=Y&amp;PAGE=toc&amp;D=yrovft&amp;AN=00130989-000000000-00000")</f>
        <v>https://ovidsp.ovid.com/ovidweb.cgi?T=JS&amp;NEWS=n&amp;CSC=Y&amp;PAGE=toc&amp;D=yrovft&amp;AN=00130989-000000000-00000</v>
      </c>
      <c r="M337" t="s">
        <v>2670</v>
      </c>
      <c r="N337" t="s">
        <v>2424</v>
      </c>
      <c r="O337" t="s">
        <v>3281</v>
      </c>
      <c r="P337" t="b">
        <v>0</v>
      </c>
      <c r="Q337" t="s">
        <v>2424</v>
      </c>
    </row>
    <row r="338" spans="1:17" x14ac:dyDescent="0.35">
      <c r="A338" t="s">
        <v>3526</v>
      </c>
      <c r="B338" t="s">
        <v>2662</v>
      </c>
      <c r="C338" t="s">
        <v>2424</v>
      </c>
      <c r="D338" t="s">
        <v>50</v>
      </c>
      <c r="E338">
        <v>1</v>
      </c>
      <c r="F338">
        <v>2</v>
      </c>
      <c r="G338">
        <v>6</v>
      </c>
      <c r="H338">
        <v>12</v>
      </c>
      <c r="I338" t="s">
        <v>3134</v>
      </c>
      <c r="J338" t="s">
        <v>1992</v>
      </c>
      <c r="K338" t="s">
        <v>2957</v>
      </c>
      <c r="L338" s="1" t="str">
        <f>HYPERLINK("https://ovidsp.ovid.com/ovidweb.cgi?T=JS&amp;NEWS=n&amp;CSC=Y&amp;PAGE=toc&amp;D=yrovft&amp;AN=01434893-000000000-00000","https://ovidsp.ovid.com/ovidweb.cgi?T=JS&amp;NEWS=n&amp;CSC=Y&amp;PAGE=toc&amp;D=yrovft&amp;AN=01434893-000000000-00000")</f>
        <v>https://ovidsp.ovid.com/ovidweb.cgi?T=JS&amp;NEWS=n&amp;CSC=Y&amp;PAGE=toc&amp;D=yrovft&amp;AN=01434893-000000000-00000</v>
      </c>
      <c r="M338" t="s">
        <v>701</v>
      </c>
      <c r="N338" t="s">
        <v>2424</v>
      </c>
      <c r="O338" t="s">
        <v>1936</v>
      </c>
      <c r="P338" t="b">
        <v>0</v>
      </c>
      <c r="Q338" t="s">
        <v>2424</v>
      </c>
    </row>
    <row r="339" spans="1:17" x14ac:dyDescent="0.35">
      <c r="A339" t="s">
        <v>2372</v>
      </c>
      <c r="B339" t="s">
        <v>954</v>
      </c>
      <c r="C339" t="s">
        <v>774</v>
      </c>
      <c r="D339" t="s">
        <v>50</v>
      </c>
      <c r="E339">
        <v>56</v>
      </c>
      <c r="F339">
        <v>4</v>
      </c>
      <c r="G339">
        <v>11</v>
      </c>
      <c r="H339">
        <v>1</v>
      </c>
      <c r="I339" t="s">
        <v>2996</v>
      </c>
      <c r="J339" t="s">
        <v>3252</v>
      </c>
      <c r="K339" t="s">
        <v>2722</v>
      </c>
      <c r="L339" s="1" t="str">
        <f>HYPERLINK("https://ovidsp.ovid.com/ovidweb.cgi?T=JS&amp;NEWS=n&amp;CSC=Y&amp;PAGE=toc&amp;D=yrovft&amp;AN=01787389-000000000-00000","https://ovidsp.ovid.com/ovidweb.cgi?T=JS&amp;NEWS=n&amp;CSC=Y&amp;PAGE=toc&amp;D=yrovft&amp;AN=01787389-000000000-00000")</f>
        <v>https://ovidsp.ovid.com/ovidweb.cgi?T=JS&amp;NEWS=n&amp;CSC=Y&amp;PAGE=toc&amp;D=yrovft&amp;AN=01787389-000000000-00000</v>
      </c>
      <c r="M339" t="s">
        <v>2116</v>
      </c>
      <c r="N339" t="s">
        <v>2424</v>
      </c>
      <c r="O339" t="s">
        <v>1103</v>
      </c>
      <c r="P339" t="b">
        <v>1</v>
      </c>
      <c r="Q339" t="s">
        <v>1804</v>
      </c>
    </row>
    <row r="340" spans="1:17" x14ac:dyDescent="0.35">
      <c r="A340" t="s">
        <v>1974</v>
      </c>
      <c r="B340" t="s">
        <v>593</v>
      </c>
      <c r="C340" t="s">
        <v>2160</v>
      </c>
      <c r="D340" t="s">
        <v>50</v>
      </c>
      <c r="E340">
        <v>17</v>
      </c>
      <c r="F340">
        <v>4</v>
      </c>
      <c r="G340">
        <v>26</v>
      </c>
      <c r="H340">
        <v>2</v>
      </c>
      <c r="I340" t="s">
        <v>2599</v>
      </c>
      <c r="J340" t="s">
        <v>3608</v>
      </c>
      <c r="K340" t="s">
        <v>2939</v>
      </c>
      <c r="L340" s="1" t="str">
        <f>HYPERLINK("https://ovidsp.ovid.com/ovidweb.cgi?T=JS&amp;NEWS=n&amp;CSC=Y&amp;PAGE=toc&amp;D=yrovft&amp;AN=00002341-000000000-00000","https://ovidsp.ovid.com/ovidweb.cgi?T=JS&amp;NEWS=n&amp;CSC=Y&amp;PAGE=toc&amp;D=yrovft&amp;AN=00002341-000000000-00000")</f>
        <v>https://ovidsp.ovid.com/ovidweb.cgi?T=JS&amp;NEWS=n&amp;CSC=Y&amp;PAGE=toc&amp;D=yrovft&amp;AN=00002341-000000000-00000</v>
      </c>
      <c r="M340" t="s">
        <v>1882</v>
      </c>
      <c r="N340" t="s">
        <v>2424</v>
      </c>
      <c r="O340" t="s">
        <v>3045</v>
      </c>
      <c r="P340" t="b">
        <v>1</v>
      </c>
      <c r="Q340" t="s">
        <v>3662</v>
      </c>
    </row>
    <row r="341" spans="1:17" x14ac:dyDescent="0.35">
      <c r="A341" t="s">
        <v>3786</v>
      </c>
      <c r="B341" t="s">
        <v>3179</v>
      </c>
      <c r="C341" t="s">
        <v>2424</v>
      </c>
      <c r="D341" t="s">
        <v>50</v>
      </c>
      <c r="E341">
        <v>7</v>
      </c>
      <c r="F341">
        <v>1</v>
      </c>
      <c r="G341">
        <v>14</v>
      </c>
      <c r="H341">
        <v>4</v>
      </c>
      <c r="I341" t="s">
        <v>397</v>
      </c>
      <c r="J341" t="s">
        <v>1145</v>
      </c>
      <c r="K341" t="s">
        <v>2461</v>
      </c>
      <c r="L341" s="1" t="str">
        <f>HYPERLINK("https://ovidsp.ovid.com/ovidweb.cgi?T=JS&amp;NEWS=n&amp;CSC=Y&amp;PAGE=toc&amp;D=yrovft&amp;AN=01078520-000000000-00000","https://ovidsp.ovid.com/ovidweb.cgi?T=JS&amp;NEWS=n&amp;CSC=Y&amp;PAGE=toc&amp;D=yrovft&amp;AN=01078520-000000000-00000")</f>
        <v>https://ovidsp.ovid.com/ovidweb.cgi?T=JS&amp;NEWS=n&amp;CSC=Y&amp;PAGE=toc&amp;D=yrovft&amp;AN=01078520-000000000-00000</v>
      </c>
      <c r="M341" t="s">
        <v>2181</v>
      </c>
      <c r="N341" t="s">
        <v>2424</v>
      </c>
      <c r="O341" t="s">
        <v>2345</v>
      </c>
      <c r="P341" t="b">
        <v>0</v>
      </c>
      <c r="Q341" t="s">
        <v>2424</v>
      </c>
    </row>
    <row r="342" spans="1:17" x14ac:dyDescent="0.35">
      <c r="A342" t="s">
        <v>3096</v>
      </c>
      <c r="B342" t="s">
        <v>2884</v>
      </c>
      <c r="C342" t="s">
        <v>2424</v>
      </c>
      <c r="D342" t="s">
        <v>50</v>
      </c>
      <c r="E342">
        <v>38</v>
      </c>
      <c r="F342">
        <v>1</v>
      </c>
      <c r="G342">
        <v>45</v>
      </c>
      <c r="H342">
        <v>4</v>
      </c>
      <c r="I342" t="s">
        <v>397</v>
      </c>
      <c r="J342" t="s">
        <v>1145</v>
      </c>
      <c r="K342" t="s">
        <v>2461</v>
      </c>
      <c r="L342" s="1" t="str">
        <f>HYPERLINK("https://ovidsp.ovid.com/ovidweb.cgi?T=JS&amp;NEWS=n&amp;CSC=Y&amp;PAGE=toc&amp;D=yrovft&amp;AN=00163626-000000000-00000","https://ovidsp.ovid.com/ovidweb.cgi?T=JS&amp;NEWS=n&amp;CSC=Y&amp;PAGE=toc&amp;D=yrovft&amp;AN=00163626-000000000-00000")</f>
        <v>https://ovidsp.ovid.com/ovidweb.cgi?T=JS&amp;NEWS=n&amp;CSC=Y&amp;PAGE=toc&amp;D=yrovft&amp;AN=00163626-000000000-00000</v>
      </c>
      <c r="M342" t="s">
        <v>243</v>
      </c>
      <c r="N342" t="s">
        <v>2424</v>
      </c>
      <c r="O342" t="s">
        <v>1132</v>
      </c>
      <c r="P342" t="b">
        <v>0</v>
      </c>
      <c r="Q342" t="s">
        <v>2424</v>
      </c>
    </row>
    <row r="343" spans="1:17" x14ac:dyDescent="0.35">
      <c r="A343" t="s">
        <v>3496</v>
      </c>
      <c r="B343" t="s">
        <v>1785</v>
      </c>
      <c r="C343" t="s">
        <v>3222</v>
      </c>
      <c r="D343" t="s">
        <v>50</v>
      </c>
      <c r="E343">
        <v>78</v>
      </c>
      <c r="F343">
        <v>6</v>
      </c>
      <c r="G343">
        <v>87</v>
      </c>
      <c r="H343">
        <v>5</v>
      </c>
      <c r="I343" t="s">
        <v>262</v>
      </c>
      <c r="J343" t="s">
        <v>3481</v>
      </c>
      <c r="K343" t="s">
        <v>3523</v>
      </c>
      <c r="L343" s="1" t="str">
        <f>HYPERLINK("https://ovidsp.ovid.com/ovidweb.cgi?T=JS&amp;NEWS=n&amp;CSC=Y&amp;PAGE=toc&amp;D=yrovft&amp;AN=00006324-000000000-00000","https://ovidsp.ovid.com/ovidweb.cgi?T=JS&amp;NEWS=n&amp;CSC=Y&amp;PAGE=toc&amp;D=yrovft&amp;AN=00006324-000000000-00000")</f>
        <v>https://ovidsp.ovid.com/ovidweb.cgi?T=JS&amp;NEWS=n&amp;CSC=Y&amp;PAGE=toc&amp;D=yrovft&amp;AN=00006324-000000000-00000</v>
      </c>
      <c r="M343" t="s">
        <v>2968</v>
      </c>
      <c r="N343" t="s">
        <v>2424</v>
      </c>
      <c r="O343" t="s">
        <v>842</v>
      </c>
      <c r="P343" t="b">
        <v>1</v>
      </c>
      <c r="Q343" t="s">
        <v>2905</v>
      </c>
    </row>
    <row r="344" spans="1:17" x14ac:dyDescent="0.35">
      <c r="A344" t="s">
        <v>3459</v>
      </c>
      <c r="B344" t="s">
        <v>3163</v>
      </c>
      <c r="C344" t="s">
        <v>2424</v>
      </c>
      <c r="D344" t="s">
        <v>50</v>
      </c>
      <c r="E344">
        <v>1</v>
      </c>
      <c r="F344">
        <v>1</v>
      </c>
      <c r="G344">
        <v>4</v>
      </c>
      <c r="H344">
        <v>2</v>
      </c>
      <c r="I344" t="s">
        <v>1502</v>
      </c>
      <c r="J344" t="s">
        <v>666</v>
      </c>
      <c r="K344" t="s">
        <v>2939</v>
      </c>
      <c r="L344" s="1" t="str">
        <f>HYPERLINK("https://ovidsp.ovid.com/ovidweb.cgi?T=JS&amp;NEWS=n&amp;CSC=Y&amp;PAGE=toc&amp;D=yrovft&amp;AN=01271211-000000000-00000","https://ovidsp.ovid.com/ovidweb.cgi?T=JS&amp;NEWS=n&amp;CSC=Y&amp;PAGE=toc&amp;D=yrovft&amp;AN=01271211-000000000-00000")</f>
        <v>https://ovidsp.ovid.com/ovidweb.cgi?T=JS&amp;NEWS=n&amp;CSC=Y&amp;PAGE=toc&amp;D=yrovft&amp;AN=01271211-000000000-00000</v>
      </c>
      <c r="M344" t="s">
        <v>2342</v>
      </c>
      <c r="N344" t="s">
        <v>2424</v>
      </c>
      <c r="O344" t="s">
        <v>3190</v>
      </c>
      <c r="P344" t="b">
        <v>0</v>
      </c>
      <c r="Q344" t="s">
        <v>2424</v>
      </c>
    </row>
    <row r="345" spans="1:17" x14ac:dyDescent="0.35">
      <c r="A345" t="s">
        <v>918</v>
      </c>
      <c r="B345" t="s">
        <v>3346</v>
      </c>
      <c r="C345" t="s">
        <v>2424</v>
      </c>
      <c r="D345" t="s">
        <v>50</v>
      </c>
      <c r="E345">
        <v>22</v>
      </c>
      <c r="F345">
        <v>2</v>
      </c>
      <c r="G345">
        <v>29</v>
      </c>
      <c r="H345">
        <v>2</v>
      </c>
      <c r="I345" t="s">
        <v>1714</v>
      </c>
      <c r="J345" t="s">
        <v>2581</v>
      </c>
      <c r="K345" t="s">
        <v>2939</v>
      </c>
      <c r="L345" s="1" t="str">
        <f>HYPERLINK("https://ovidsp.ovid.com/ovidweb.cgi?T=JS&amp;NEWS=n&amp;CSC=Y&amp;PAGE=toc&amp;D=yrovft&amp;AN=00006416-000000000-00000","https://ovidsp.ovid.com/ovidweb.cgi?T=JS&amp;NEWS=n&amp;CSC=Y&amp;PAGE=toc&amp;D=yrovft&amp;AN=00006416-000000000-00000")</f>
        <v>https://ovidsp.ovid.com/ovidweb.cgi?T=JS&amp;NEWS=n&amp;CSC=Y&amp;PAGE=toc&amp;D=yrovft&amp;AN=00006416-000000000-00000</v>
      </c>
      <c r="M345" t="s">
        <v>3057</v>
      </c>
      <c r="N345" t="s">
        <v>2424</v>
      </c>
      <c r="O345" t="s">
        <v>2936</v>
      </c>
      <c r="P345" t="b">
        <v>1</v>
      </c>
      <c r="Q345" t="s">
        <v>1196</v>
      </c>
    </row>
    <row r="346" spans="1:17" x14ac:dyDescent="0.35">
      <c r="A346" t="s">
        <v>462</v>
      </c>
      <c r="B346" t="s">
        <v>3264</v>
      </c>
      <c r="C346" t="s">
        <v>793</v>
      </c>
      <c r="D346" t="s">
        <v>50</v>
      </c>
      <c r="E346">
        <v>22</v>
      </c>
      <c r="F346">
        <v>4</v>
      </c>
      <c r="G346">
        <v>31</v>
      </c>
      <c r="H346">
        <v>3</v>
      </c>
      <c r="I346" t="s">
        <v>1794</v>
      </c>
      <c r="J346" t="s">
        <v>3608</v>
      </c>
      <c r="K346" t="s">
        <v>2461</v>
      </c>
      <c r="L346" s="1" t="str">
        <f>HYPERLINK("https://ovidsp.ovid.com/ovidweb.cgi?T=JS&amp;NEWS=n&amp;CSC=Y&amp;PAGE=toc&amp;D=yrovft&amp;AN=00129492-000000000-00000","https://ovidsp.ovid.com/ovidweb.cgi?T=JS&amp;NEWS=n&amp;CSC=Y&amp;PAGE=toc&amp;D=yrovft&amp;AN=00129492-000000000-00000")</f>
        <v>https://ovidsp.ovid.com/ovidweb.cgi?T=JS&amp;NEWS=n&amp;CSC=Y&amp;PAGE=toc&amp;D=yrovft&amp;AN=00129492-000000000-00000</v>
      </c>
      <c r="M346" t="s">
        <v>752</v>
      </c>
      <c r="N346" t="s">
        <v>2424</v>
      </c>
      <c r="O346" t="s">
        <v>3098</v>
      </c>
      <c r="P346" t="b">
        <v>1</v>
      </c>
      <c r="Q346" t="s">
        <v>2633</v>
      </c>
    </row>
    <row r="347" spans="1:17" x14ac:dyDescent="0.35">
      <c r="A347" t="s">
        <v>878</v>
      </c>
      <c r="B347" t="s">
        <v>2896</v>
      </c>
      <c r="C347" t="s">
        <v>2424</v>
      </c>
      <c r="D347" t="s">
        <v>50</v>
      </c>
      <c r="E347">
        <v>7</v>
      </c>
      <c r="F347">
        <v>2</v>
      </c>
      <c r="G347">
        <v>8</v>
      </c>
      <c r="H347">
        <v>1</v>
      </c>
      <c r="I347" t="s">
        <v>1546</v>
      </c>
      <c r="J347" t="s">
        <v>2069</v>
      </c>
      <c r="K347" t="s">
        <v>1903</v>
      </c>
      <c r="L347" s="1" t="str">
        <f>HYPERLINK("https://ovidsp.ovid.com/ovidweb.cgi?T=JS&amp;NEWS=n&amp;CSC=Y&amp;PAGE=toc&amp;D=yrovft&amp;AN=00134511-000000000-00000","https://ovidsp.ovid.com/ovidweb.cgi?T=JS&amp;NEWS=n&amp;CSC=Y&amp;PAGE=toc&amp;D=yrovft&amp;AN=00134511-000000000-00000")</f>
        <v>https://ovidsp.ovid.com/ovidweb.cgi?T=JS&amp;NEWS=n&amp;CSC=Y&amp;PAGE=toc&amp;D=yrovft&amp;AN=00134511-000000000-00000</v>
      </c>
      <c r="M347" t="s">
        <v>75</v>
      </c>
      <c r="N347" t="s">
        <v>2424</v>
      </c>
      <c r="O347" t="s">
        <v>1813</v>
      </c>
      <c r="P347" t="b">
        <v>0</v>
      </c>
      <c r="Q347" t="s">
        <v>2424</v>
      </c>
    </row>
    <row r="348" spans="1:17" x14ac:dyDescent="0.35">
      <c r="A348" t="s">
        <v>3195</v>
      </c>
      <c r="B348" t="s">
        <v>3249</v>
      </c>
      <c r="C348" t="s">
        <v>1303</v>
      </c>
      <c r="D348" t="s">
        <v>50</v>
      </c>
      <c r="E348">
        <v>141</v>
      </c>
      <c r="F348">
        <v>3</v>
      </c>
      <c r="G348">
        <v>156</v>
      </c>
      <c r="H348">
        <v>0</v>
      </c>
      <c r="I348" t="s">
        <v>1184</v>
      </c>
      <c r="J348" t="s">
        <v>2568</v>
      </c>
      <c r="K348" t="s">
        <v>1640</v>
      </c>
      <c r="L348" s="1" t="str">
        <f>HYPERLINK("https://ovidsp.ovid.com/ovidweb.cgi?T=JS&amp;NEWS=n&amp;CSC=Y&amp;PAGE=toc&amp;D=yrovft&amp;AN=00006396-000000000-00000","https://ovidsp.ovid.com/ovidweb.cgi?T=JS&amp;NEWS=n&amp;CSC=Y&amp;PAGE=toc&amp;D=yrovft&amp;AN=00006396-000000000-00000")</f>
        <v>https://ovidsp.ovid.com/ovidweb.cgi?T=JS&amp;NEWS=n&amp;CSC=Y&amp;PAGE=toc&amp;D=yrovft&amp;AN=00006396-000000000-00000</v>
      </c>
      <c r="M348" t="s">
        <v>3186</v>
      </c>
      <c r="N348" t="s">
        <v>2424</v>
      </c>
      <c r="O348" t="s">
        <v>2994</v>
      </c>
      <c r="P348" t="b">
        <v>1</v>
      </c>
      <c r="Q348" t="s">
        <v>2483</v>
      </c>
    </row>
    <row r="349" spans="1:17" x14ac:dyDescent="0.35">
      <c r="A349" t="s">
        <v>3288</v>
      </c>
      <c r="B349" t="s">
        <v>2652</v>
      </c>
      <c r="C349" t="s">
        <v>1149</v>
      </c>
      <c r="D349" t="s">
        <v>50</v>
      </c>
      <c r="E349">
        <v>23</v>
      </c>
      <c r="F349">
        <v>2</v>
      </c>
      <c r="G349">
        <v>39</v>
      </c>
      <c r="H349">
        <v>4</v>
      </c>
      <c r="I349" t="s">
        <v>96</v>
      </c>
      <c r="J349" t="s">
        <v>374</v>
      </c>
      <c r="K349" t="s">
        <v>3523</v>
      </c>
      <c r="L349" s="1" t="str">
        <f>HYPERLINK("https://ovidsp.ovid.com/ovidweb.cgi?T=JS&amp;NEWS=n&amp;CSC=Y&amp;PAGE=toc&amp;D=yrovft&amp;AN=00006676-000000000-00000","https://ovidsp.ovid.com/ovidweb.cgi?T=JS&amp;NEWS=n&amp;CSC=Y&amp;PAGE=toc&amp;D=yrovft&amp;AN=00006676-000000000-00000")</f>
        <v>https://ovidsp.ovid.com/ovidweb.cgi?T=JS&amp;NEWS=n&amp;CSC=Y&amp;PAGE=toc&amp;D=yrovft&amp;AN=00006676-000000000-00000</v>
      </c>
      <c r="M349" t="s">
        <v>2163</v>
      </c>
      <c r="N349" t="s">
        <v>2424</v>
      </c>
      <c r="O349" t="s">
        <v>350</v>
      </c>
      <c r="P349" t="b">
        <v>0</v>
      </c>
      <c r="Q349" t="s">
        <v>2424</v>
      </c>
    </row>
    <row r="350" spans="1:17" x14ac:dyDescent="0.35">
      <c r="A350" t="s">
        <v>1840</v>
      </c>
      <c r="B350" t="s">
        <v>2395</v>
      </c>
      <c r="C350" t="s">
        <v>1209</v>
      </c>
      <c r="D350" t="s">
        <v>50</v>
      </c>
      <c r="E350">
        <v>41</v>
      </c>
      <c r="F350">
        <v>0</v>
      </c>
      <c r="G350">
        <v>47</v>
      </c>
      <c r="H350">
        <v>3</v>
      </c>
      <c r="I350" t="s">
        <v>2103</v>
      </c>
      <c r="J350" t="s">
        <v>3622</v>
      </c>
      <c r="K350" t="s">
        <v>1640</v>
      </c>
      <c r="L350" s="1" t="str">
        <f>HYPERLINK("https://ovidsp.ovid.com/ovidweb.cgi?T=JS&amp;NEWS=n&amp;CSC=Y&amp;PAGE=toc&amp;D=yrovft&amp;AN=01268031-000000000-00000","https://ovidsp.ovid.com/ovidweb.cgi?T=JS&amp;NEWS=n&amp;CSC=Y&amp;PAGE=toc&amp;D=yrovft&amp;AN=01268031-000000000-00000")</f>
        <v>https://ovidsp.ovid.com/ovidweb.cgi?T=JS&amp;NEWS=n&amp;CSC=Y&amp;PAGE=toc&amp;D=yrovft&amp;AN=01268031-000000000-00000</v>
      </c>
      <c r="M350" t="s">
        <v>800</v>
      </c>
      <c r="N350" t="s">
        <v>2424</v>
      </c>
      <c r="O350" t="s">
        <v>1471</v>
      </c>
      <c r="P350" t="b">
        <v>0</v>
      </c>
      <c r="Q350" t="s">
        <v>2424</v>
      </c>
    </row>
    <row r="351" spans="1:17" x14ac:dyDescent="0.35">
      <c r="A351" t="s">
        <v>796</v>
      </c>
      <c r="B351" t="s">
        <v>1061</v>
      </c>
      <c r="C351" t="s">
        <v>3482</v>
      </c>
      <c r="D351" t="s">
        <v>50</v>
      </c>
      <c r="E351">
        <v>8</v>
      </c>
      <c r="F351">
        <v>3</v>
      </c>
      <c r="G351">
        <v>15</v>
      </c>
      <c r="H351">
        <v>2</v>
      </c>
      <c r="I351" t="s">
        <v>2040</v>
      </c>
      <c r="J351" t="s">
        <v>1034</v>
      </c>
      <c r="K351" t="s">
        <v>2939</v>
      </c>
      <c r="L351" s="1" t="str">
        <f>HYPERLINK("https://ovidsp.ovid.com/ovidweb.cgi?T=JS&amp;NEWS=n&amp;CSC=Y&amp;PAGE=toc&amp;D=yrovft&amp;AN=00132583-000000000-00000","https://ovidsp.ovid.com/ovidweb.cgi?T=JS&amp;NEWS=n&amp;CSC=Y&amp;PAGE=toc&amp;D=yrovft&amp;AN=00132583-000000000-00000")</f>
        <v>https://ovidsp.ovid.com/ovidweb.cgi?T=JS&amp;NEWS=n&amp;CSC=Y&amp;PAGE=toc&amp;D=yrovft&amp;AN=00132583-000000000-00000</v>
      </c>
      <c r="M351" t="s">
        <v>286</v>
      </c>
      <c r="N351" t="s">
        <v>2424</v>
      </c>
      <c r="O351" t="s">
        <v>534</v>
      </c>
      <c r="P351" t="b">
        <v>0</v>
      </c>
      <c r="Q351" t="s">
        <v>2424</v>
      </c>
    </row>
    <row r="352" spans="1:17" x14ac:dyDescent="0.35">
      <c r="A352" t="s">
        <v>1661</v>
      </c>
      <c r="B352" t="s">
        <v>2323</v>
      </c>
      <c r="C352" t="s">
        <v>3388</v>
      </c>
      <c r="D352" t="s">
        <v>50</v>
      </c>
      <c r="E352">
        <v>3</v>
      </c>
      <c r="F352">
        <v>2</v>
      </c>
      <c r="G352">
        <v>3</v>
      </c>
      <c r="H352">
        <v>4</v>
      </c>
      <c r="I352" t="s">
        <v>3469</v>
      </c>
      <c r="J352" t="s">
        <v>2069</v>
      </c>
      <c r="K352" t="s">
        <v>2268</v>
      </c>
      <c r="L352" s="1" t="str">
        <f>HYPERLINK("https://ovidsp.ovid.com/ovidweb.cgi?T=JS&amp;NEWS=n&amp;CSC=Y&amp;PAGE=toc&amp;D=yrovft&amp;AN=00132584-000000000-00000","https://ovidsp.ovid.com/ovidweb.cgi?T=JS&amp;NEWS=n&amp;CSC=Y&amp;PAGE=toc&amp;D=yrovft&amp;AN=00132584-000000000-00000")</f>
        <v>https://ovidsp.ovid.com/ovidweb.cgi?T=JS&amp;NEWS=n&amp;CSC=Y&amp;PAGE=toc&amp;D=yrovft&amp;AN=00132584-000000000-00000</v>
      </c>
      <c r="M352" t="s">
        <v>291</v>
      </c>
      <c r="N352" t="s">
        <v>2424</v>
      </c>
      <c r="O352" t="s">
        <v>3505</v>
      </c>
      <c r="P352" t="b">
        <v>0</v>
      </c>
      <c r="Q352" t="s">
        <v>2424</v>
      </c>
    </row>
    <row r="353" spans="1:17" x14ac:dyDescent="0.35">
      <c r="A353" t="s">
        <v>1057</v>
      </c>
      <c r="B353" t="s">
        <v>985</v>
      </c>
      <c r="C353" t="s">
        <v>2424</v>
      </c>
      <c r="D353" t="s">
        <v>50</v>
      </c>
      <c r="E353">
        <v>4</v>
      </c>
      <c r="F353">
        <v>2</v>
      </c>
      <c r="G353">
        <v>11</v>
      </c>
      <c r="H353">
        <v>0</v>
      </c>
      <c r="I353" t="s">
        <v>877</v>
      </c>
      <c r="J353" t="s">
        <v>2069</v>
      </c>
      <c r="K353" t="s">
        <v>2939</v>
      </c>
      <c r="L353" s="1" t="str">
        <f>HYPERLINK("https://ovidsp.ovid.com/ovidweb.cgi?T=JS&amp;NEWS=n&amp;CSC=Y&amp;PAGE=toc&amp;D=yrovft&amp;AN=00130478-000000000-00000","https://ovidsp.ovid.com/ovidweb.cgi?T=JS&amp;NEWS=n&amp;CSC=Y&amp;PAGE=toc&amp;D=yrovft&amp;AN=00130478-000000000-00000")</f>
        <v>https://ovidsp.ovid.com/ovidweb.cgi?T=JS&amp;NEWS=n&amp;CSC=Y&amp;PAGE=toc&amp;D=yrovft&amp;AN=00130478-000000000-00000</v>
      </c>
      <c r="M353" t="s">
        <v>1230</v>
      </c>
      <c r="N353" t="s">
        <v>2424</v>
      </c>
      <c r="O353" t="s">
        <v>936</v>
      </c>
      <c r="P353" t="b">
        <v>1</v>
      </c>
      <c r="Q353" t="s">
        <v>3434</v>
      </c>
    </row>
    <row r="354" spans="1:17" x14ac:dyDescent="0.35">
      <c r="A354" t="s">
        <v>2312</v>
      </c>
      <c r="B354" t="s">
        <v>2943</v>
      </c>
      <c r="C354" t="s">
        <v>2780</v>
      </c>
      <c r="D354" t="s">
        <v>50</v>
      </c>
      <c r="E354">
        <v>17</v>
      </c>
      <c r="F354">
        <v>3</v>
      </c>
      <c r="G354">
        <v>26</v>
      </c>
      <c r="H354">
        <v>4</v>
      </c>
      <c r="I354" t="s">
        <v>1687</v>
      </c>
      <c r="J354" t="s">
        <v>3481</v>
      </c>
      <c r="K354" t="s">
        <v>2461</v>
      </c>
      <c r="L354" s="1" t="str">
        <f>HYPERLINK("https://ovidsp.ovid.com/ovidweb.cgi?T=JS&amp;NEWS=n&amp;CSC=Y&amp;PAGE=toc&amp;D=yrovft&amp;AN=00006565-000000000-00000","https://ovidsp.ovid.com/ovidweb.cgi?T=JS&amp;NEWS=n&amp;CSC=Y&amp;PAGE=toc&amp;D=yrovft&amp;AN=00006565-000000000-00000")</f>
        <v>https://ovidsp.ovid.com/ovidweb.cgi?T=JS&amp;NEWS=n&amp;CSC=Y&amp;PAGE=toc&amp;D=yrovft&amp;AN=00006565-000000000-00000</v>
      </c>
      <c r="M354" t="s">
        <v>1288</v>
      </c>
      <c r="N354" t="s">
        <v>2424</v>
      </c>
      <c r="O354" t="s">
        <v>2666</v>
      </c>
      <c r="P354" t="b">
        <v>1</v>
      </c>
      <c r="Q354" t="s">
        <v>273</v>
      </c>
    </row>
    <row r="355" spans="1:17" x14ac:dyDescent="0.35">
      <c r="A355" t="s">
        <v>1902</v>
      </c>
      <c r="B355" t="s">
        <v>3756</v>
      </c>
      <c r="C355" t="s">
        <v>3613</v>
      </c>
      <c r="D355" t="s">
        <v>50</v>
      </c>
      <c r="E355">
        <v>20</v>
      </c>
      <c r="F355">
        <v>7</v>
      </c>
      <c r="G355">
        <v>34</v>
      </c>
      <c r="H355">
        <v>4</v>
      </c>
      <c r="I355" t="s">
        <v>530</v>
      </c>
      <c r="J355" t="s">
        <v>3608</v>
      </c>
      <c r="K355" t="s">
        <v>1640</v>
      </c>
      <c r="L355" s="1" t="str">
        <f>HYPERLINK("https://ovidsp.ovid.com/ovidweb.cgi?T=JS&amp;NEWS=n&amp;CSC=Y&amp;PAGE=toc&amp;D=yrovft&amp;AN=00006454-000000000-00000","https://ovidsp.ovid.com/ovidweb.cgi?T=JS&amp;NEWS=n&amp;CSC=Y&amp;PAGE=toc&amp;D=yrovft&amp;AN=00006454-000000000-00000")</f>
        <v>https://ovidsp.ovid.com/ovidweb.cgi?T=JS&amp;NEWS=n&amp;CSC=Y&amp;PAGE=toc&amp;D=yrovft&amp;AN=00006454-000000000-00000</v>
      </c>
      <c r="M355" t="s">
        <v>1519</v>
      </c>
      <c r="N355" t="s">
        <v>2424</v>
      </c>
      <c r="O355" t="s">
        <v>1401</v>
      </c>
      <c r="P355" t="b">
        <v>1</v>
      </c>
      <c r="Q355" t="s">
        <v>3114</v>
      </c>
    </row>
    <row r="356" spans="1:17" x14ac:dyDescent="0.35">
      <c r="A356" t="s">
        <v>1651</v>
      </c>
      <c r="B356" t="s">
        <v>3536</v>
      </c>
      <c r="C356" t="s">
        <v>1492</v>
      </c>
      <c r="D356" t="s">
        <v>50</v>
      </c>
      <c r="E356">
        <v>15</v>
      </c>
      <c r="F356">
        <v>2</v>
      </c>
      <c r="G356">
        <v>22</v>
      </c>
      <c r="H356">
        <v>1</v>
      </c>
      <c r="I356" t="s">
        <v>1505</v>
      </c>
      <c r="J356" t="s">
        <v>398</v>
      </c>
      <c r="K356" t="s">
        <v>2461</v>
      </c>
      <c r="L356" s="1" t="str">
        <f>HYPERLINK("https://ovidsp.ovid.com/ovidweb.cgi?T=JS&amp;NEWS=n&amp;CSC=Y&amp;PAGE=toc&amp;D=yrovft&amp;AN=00001577-000000000-00000","https://ovidsp.ovid.com/ovidweb.cgi?T=JS&amp;NEWS=n&amp;CSC=Y&amp;PAGE=toc&amp;D=yrovft&amp;AN=00001577-000000000-00000")</f>
        <v>https://ovidsp.ovid.com/ovidweb.cgi?T=JS&amp;NEWS=n&amp;CSC=Y&amp;PAGE=toc&amp;D=yrovft&amp;AN=00001577-000000000-00000</v>
      </c>
      <c r="M356" t="s">
        <v>2062</v>
      </c>
      <c r="N356" t="s">
        <v>2424</v>
      </c>
      <c r="O356" t="s">
        <v>2243</v>
      </c>
      <c r="P356" t="b">
        <v>1</v>
      </c>
      <c r="Q356" t="s">
        <v>59</v>
      </c>
    </row>
    <row r="357" spans="1:17" x14ac:dyDescent="0.35">
      <c r="A357" t="s">
        <v>3020</v>
      </c>
      <c r="B357" t="s">
        <v>527</v>
      </c>
      <c r="C357" t="s">
        <v>420</v>
      </c>
      <c r="D357" t="s">
        <v>50</v>
      </c>
      <c r="E357">
        <v>50</v>
      </c>
      <c r="F357">
        <v>0</v>
      </c>
      <c r="G357">
        <v>70</v>
      </c>
      <c r="H357">
        <v>6</v>
      </c>
      <c r="I357" t="s">
        <v>3221</v>
      </c>
      <c r="J357" t="s">
        <v>3608</v>
      </c>
      <c r="K357" t="s">
        <v>584</v>
      </c>
      <c r="L357" s="1" t="str">
        <f>HYPERLINK("https://ovidsp.ovid.com/ovidweb.cgi?T=JS&amp;NEWS=n&amp;CSC=Y&amp;PAGE=toc&amp;D=yrovft&amp;AN=00006450-000000000-00000","https://ovidsp.ovid.com/ovidweb.cgi?T=JS&amp;NEWS=n&amp;CSC=Y&amp;PAGE=toc&amp;D=yrovft&amp;AN=00006450-000000000-00000")</f>
        <v>https://ovidsp.ovid.com/ovidweb.cgi?T=JS&amp;NEWS=n&amp;CSC=Y&amp;PAGE=toc&amp;D=yrovft&amp;AN=00006450-000000000-00000</v>
      </c>
      <c r="M357" t="s">
        <v>3404</v>
      </c>
      <c r="N357" t="s">
        <v>2424</v>
      </c>
      <c r="O357" t="s">
        <v>3385</v>
      </c>
      <c r="P357" t="b">
        <v>0</v>
      </c>
      <c r="Q357" t="s">
        <v>2424</v>
      </c>
    </row>
    <row r="358" spans="1:17" x14ac:dyDescent="0.35">
      <c r="A358" t="s">
        <v>825</v>
      </c>
      <c r="B358" t="s">
        <v>3814</v>
      </c>
      <c r="C358" t="s">
        <v>1415</v>
      </c>
      <c r="D358" t="s">
        <v>50</v>
      </c>
      <c r="E358">
        <v>11</v>
      </c>
      <c r="F358">
        <v>4</v>
      </c>
      <c r="G358">
        <v>14</v>
      </c>
      <c r="H358">
        <v>12</v>
      </c>
      <c r="I358" t="s">
        <v>1672</v>
      </c>
      <c r="J358" t="s">
        <v>3481</v>
      </c>
      <c r="K358" t="s">
        <v>3343</v>
      </c>
      <c r="L358" s="1" t="str">
        <f>HYPERLINK("https://ovidsp.ovid.com/ovidweb.cgi?T=JS&amp;NEWS=n&amp;CSC=Y&amp;PAGE=toc&amp;D=yrovft&amp;AN=00008571-000000000-00000","https://ovidsp.ovid.com/ovidweb.cgi?T=JS&amp;NEWS=n&amp;CSC=Y&amp;PAGE=toc&amp;D=yrovft&amp;AN=00008571-000000000-00000")</f>
        <v>https://ovidsp.ovid.com/ovidweb.cgi?T=JS&amp;NEWS=n&amp;CSC=Y&amp;PAGE=toc&amp;D=yrovft&amp;AN=00008571-000000000-00000</v>
      </c>
      <c r="M358" t="s">
        <v>1470</v>
      </c>
      <c r="N358" t="s">
        <v>2424</v>
      </c>
      <c r="O358" t="s">
        <v>1755</v>
      </c>
      <c r="P358" t="b">
        <v>0</v>
      </c>
      <c r="Q358" t="s">
        <v>2424</v>
      </c>
    </row>
    <row r="359" spans="1:17" x14ac:dyDescent="0.35">
      <c r="A359" t="s">
        <v>3623</v>
      </c>
      <c r="B359" t="s">
        <v>1434</v>
      </c>
      <c r="C359" t="s">
        <v>1415</v>
      </c>
      <c r="D359" t="s">
        <v>50</v>
      </c>
      <c r="E359">
        <v>17</v>
      </c>
      <c r="F359">
        <v>1</v>
      </c>
      <c r="G359">
        <v>20</v>
      </c>
      <c r="H359">
        <v>5</v>
      </c>
      <c r="I359" t="s">
        <v>1675</v>
      </c>
      <c r="J359" t="s">
        <v>666</v>
      </c>
      <c r="K359" t="s">
        <v>3523</v>
      </c>
      <c r="L359" s="1" t="str">
        <f>HYPERLINK("https://ovidsp.ovid.com/ovidweb.cgi?T=JS&amp;NEWS=n&amp;CSC=Y&amp;PAGE=toc&amp;D=yrovft&amp;AN=01213011-000000000-00000","https://ovidsp.ovid.com/ovidweb.cgi?T=JS&amp;NEWS=n&amp;CSC=Y&amp;PAGE=toc&amp;D=yrovft&amp;AN=01213011-000000000-00000")</f>
        <v>https://ovidsp.ovid.com/ovidweb.cgi?T=JS&amp;NEWS=n&amp;CSC=Y&amp;PAGE=toc&amp;D=yrovft&amp;AN=01213011-000000000-00000</v>
      </c>
      <c r="M359" t="s">
        <v>1883</v>
      </c>
      <c r="N359" t="s">
        <v>2424</v>
      </c>
      <c r="O359" t="s">
        <v>1348</v>
      </c>
      <c r="P359" t="b">
        <v>1</v>
      </c>
      <c r="Q359" t="s">
        <v>625</v>
      </c>
    </row>
    <row r="360" spans="1:17" x14ac:dyDescent="0.35">
      <c r="A360" t="s">
        <v>2617</v>
      </c>
      <c r="B360" t="s">
        <v>2739</v>
      </c>
      <c r="C360" t="s">
        <v>2424</v>
      </c>
      <c r="D360" t="s">
        <v>50</v>
      </c>
      <c r="E360">
        <v>27</v>
      </c>
      <c r="F360">
        <v>3</v>
      </c>
      <c r="G360">
        <v>27</v>
      </c>
      <c r="H360">
        <v>9</v>
      </c>
      <c r="I360" t="s">
        <v>3010</v>
      </c>
      <c r="J360" t="s">
        <v>2581</v>
      </c>
      <c r="K360" t="s">
        <v>396</v>
      </c>
      <c r="L360" s="1" t="str">
        <f>HYPERLINK("https://ovidsp.ovid.com/ovidweb.cgi?T=JS&amp;NEWS=n&amp;CSC=Y&amp;PAGE=toc&amp;D=yrovft&amp;AN=00006512-000000000-00000","https://ovidsp.ovid.com/ovidweb.cgi?T=JS&amp;NEWS=n&amp;CSC=Y&amp;PAGE=toc&amp;D=yrovft&amp;AN=00006512-000000000-00000")</f>
        <v>https://ovidsp.ovid.com/ovidweb.cgi?T=JS&amp;NEWS=n&amp;CSC=Y&amp;PAGE=toc&amp;D=yrovft&amp;AN=00006512-000000000-00000</v>
      </c>
      <c r="M360" t="s">
        <v>456</v>
      </c>
      <c r="N360" t="s">
        <v>2424</v>
      </c>
      <c r="O360" t="s">
        <v>1439</v>
      </c>
      <c r="P360" t="b">
        <v>0</v>
      </c>
      <c r="Q360" t="s">
        <v>2424</v>
      </c>
    </row>
    <row r="361" spans="1:17" x14ac:dyDescent="0.35">
      <c r="A361" t="s">
        <v>2690</v>
      </c>
      <c r="B361" t="s">
        <v>3744</v>
      </c>
      <c r="C361" t="s">
        <v>155</v>
      </c>
      <c r="D361" t="s">
        <v>50</v>
      </c>
      <c r="E361">
        <v>108</v>
      </c>
      <c r="F361">
        <v>2</v>
      </c>
      <c r="G361">
        <v>135</v>
      </c>
      <c r="H361" t="s">
        <v>3715</v>
      </c>
      <c r="I361" t="s">
        <v>696</v>
      </c>
      <c r="J361" t="s">
        <v>374</v>
      </c>
      <c r="K361" t="s">
        <v>1640</v>
      </c>
      <c r="L361" s="1" t="str">
        <f>HYPERLINK("https://ovidsp.ovid.com/ovidweb.cgi?T=JS&amp;NEWS=n&amp;CSC=Y&amp;PAGE=toc&amp;D=yrovft&amp;AN=00006534-000000000-00000","https://ovidsp.ovid.com/ovidweb.cgi?T=JS&amp;NEWS=n&amp;CSC=Y&amp;PAGE=toc&amp;D=yrovft&amp;AN=00006534-000000000-00000")</f>
        <v>https://ovidsp.ovid.com/ovidweb.cgi?T=JS&amp;NEWS=n&amp;CSC=Y&amp;PAGE=toc&amp;D=yrovft&amp;AN=00006534-000000000-00000</v>
      </c>
      <c r="M361" t="s">
        <v>3088</v>
      </c>
      <c r="N361" t="s">
        <v>2424</v>
      </c>
      <c r="O361" t="s">
        <v>783</v>
      </c>
      <c r="P361" t="b">
        <v>1</v>
      </c>
      <c r="Q361" t="s">
        <v>3034</v>
      </c>
    </row>
    <row r="362" spans="1:17" x14ac:dyDescent="0.35">
      <c r="A362" t="s">
        <v>806</v>
      </c>
      <c r="B362" t="s">
        <v>2449</v>
      </c>
      <c r="C362" t="s">
        <v>2424</v>
      </c>
      <c r="D362" t="s">
        <v>50</v>
      </c>
      <c r="E362">
        <v>24</v>
      </c>
      <c r="F362">
        <v>2</v>
      </c>
      <c r="G362">
        <v>30</v>
      </c>
      <c r="H362">
        <v>1</v>
      </c>
      <c r="I362" t="s">
        <v>745</v>
      </c>
      <c r="J362" t="s">
        <v>2026</v>
      </c>
      <c r="K362" t="s">
        <v>840</v>
      </c>
      <c r="L362" s="1" t="str">
        <f>HYPERLINK("https://ovidsp.ovid.com/ovidweb.cgi?T=JS&amp;NEWS=n&amp;CSC=Y&amp;PAGE=toc&amp;D=yrovft&amp;AN=00006527-000000000-00000","https://ovidsp.ovid.com/ovidweb.cgi?T=JS&amp;NEWS=n&amp;CSC=Y&amp;PAGE=toc&amp;D=yrovft&amp;AN=00006527-000000000-00000")</f>
        <v>https://ovidsp.ovid.com/ovidweb.cgi?T=JS&amp;NEWS=n&amp;CSC=Y&amp;PAGE=toc&amp;D=yrovft&amp;AN=00006527-000000000-00000</v>
      </c>
      <c r="M362" t="s">
        <v>982</v>
      </c>
      <c r="N362" t="s">
        <v>2424</v>
      </c>
      <c r="O362" t="s">
        <v>1166</v>
      </c>
      <c r="P362" t="b">
        <v>0</v>
      </c>
      <c r="Q362" t="s">
        <v>2424</v>
      </c>
    </row>
    <row r="363" spans="1:17" x14ac:dyDescent="0.35">
      <c r="A363" t="s">
        <v>2917</v>
      </c>
      <c r="B363" t="s">
        <v>1749</v>
      </c>
      <c r="C363" t="s">
        <v>1691</v>
      </c>
      <c r="D363" t="s">
        <v>50</v>
      </c>
      <c r="E363">
        <v>2</v>
      </c>
      <c r="F363">
        <v>1</v>
      </c>
      <c r="G363">
        <v>9</v>
      </c>
      <c r="H363">
        <v>1</v>
      </c>
      <c r="I363" t="s">
        <v>1714</v>
      </c>
      <c r="J363" t="s">
        <v>2581</v>
      </c>
      <c r="K363" t="s">
        <v>2939</v>
      </c>
      <c r="L363" s="1" t="str">
        <f>HYPERLINK("https://ovidsp.ovid.com/ovidweb.cgi?T=JS&amp;NEWS=n&amp;CSC=Y&amp;PAGE=toc&amp;D=yrovft&amp;AN=00134384-000000000-00000","https://ovidsp.ovid.com/ovidweb.cgi?T=JS&amp;NEWS=n&amp;CSC=Y&amp;PAGE=toc&amp;D=yrovft&amp;AN=00134384-000000000-00000")</f>
        <v>https://ovidsp.ovid.com/ovidweb.cgi?T=JS&amp;NEWS=n&amp;CSC=Y&amp;PAGE=toc&amp;D=yrovft&amp;AN=00134384-000000000-00000</v>
      </c>
      <c r="M363" t="s">
        <v>3402</v>
      </c>
      <c r="N363" t="s">
        <v>2424</v>
      </c>
      <c r="O363" t="s">
        <v>1461</v>
      </c>
      <c r="P363" t="b">
        <v>0</v>
      </c>
      <c r="Q363" t="s">
        <v>2424</v>
      </c>
    </row>
    <row r="364" spans="1:17" x14ac:dyDescent="0.35">
      <c r="A364" t="s">
        <v>509</v>
      </c>
      <c r="B364" t="s">
        <v>481</v>
      </c>
      <c r="C364" t="s">
        <v>2424</v>
      </c>
      <c r="D364" t="s">
        <v>50</v>
      </c>
      <c r="E364">
        <v>27</v>
      </c>
      <c r="F364">
        <v>2</v>
      </c>
      <c r="G364">
        <v>30</v>
      </c>
      <c r="H364">
        <v>10</v>
      </c>
      <c r="I364" t="s">
        <v>92</v>
      </c>
      <c r="J364" t="s">
        <v>682</v>
      </c>
      <c r="K364" t="s">
        <v>281</v>
      </c>
      <c r="L364" s="1" t="str">
        <f>HYPERLINK("https://ovidsp.ovid.com/ovidweb.cgi?T=JS&amp;NEWS=n&amp;CSC=Y&amp;PAGE=toc&amp;D=yrovft&amp;AN=00256406-000000000-00000","https://ovidsp.ovid.com/ovidweb.cgi?T=JS&amp;NEWS=n&amp;CSC=Y&amp;PAGE=toc&amp;D=yrovft&amp;AN=00256406-000000000-00000")</f>
        <v>https://ovidsp.ovid.com/ovidweb.cgi?T=JS&amp;NEWS=n&amp;CSC=Y&amp;PAGE=toc&amp;D=yrovft&amp;AN=00256406-000000000-00000</v>
      </c>
      <c r="M364" t="s">
        <v>2630</v>
      </c>
      <c r="N364" t="s">
        <v>2424</v>
      </c>
      <c r="O364" t="s">
        <v>2173</v>
      </c>
      <c r="P364" t="b">
        <v>0</v>
      </c>
      <c r="Q364" t="s">
        <v>2424</v>
      </c>
    </row>
    <row r="365" spans="1:17" x14ac:dyDescent="0.35">
      <c r="A365" t="s">
        <v>76</v>
      </c>
      <c r="B365" t="s">
        <v>3778</v>
      </c>
      <c r="C365" t="s">
        <v>2424</v>
      </c>
      <c r="D365" t="s">
        <v>50</v>
      </c>
      <c r="E365">
        <v>6</v>
      </c>
      <c r="F365">
        <v>1</v>
      </c>
      <c r="G365">
        <v>6</v>
      </c>
      <c r="H365">
        <v>4</v>
      </c>
      <c r="I365" t="s">
        <v>3512</v>
      </c>
      <c r="J365" t="s">
        <v>2581</v>
      </c>
      <c r="K365" t="s">
        <v>3783</v>
      </c>
      <c r="L365" s="1" t="str">
        <f>HYPERLINK("https://ovidsp.ovid.com/ovidweb.cgi?T=JS&amp;NEWS=n&amp;CSC=Y&amp;PAGE=toc&amp;D=yrovft&amp;AN=00129300-000000000-00000","https://ovidsp.ovid.com/ovidweb.cgi?T=JS&amp;NEWS=n&amp;CSC=Y&amp;PAGE=toc&amp;D=yrovft&amp;AN=00129300-000000000-00000")</f>
        <v>https://ovidsp.ovid.com/ovidweb.cgi?T=JS&amp;NEWS=n&amp;CSC=Y&amp;PAGE=toc&amp;D=yrovft&amp;AN=00129300-000000000-00000</v>
      </c>
      <c r="M365" t="s">
        <v>3540</v>
      </c>
      <c r="N365" t="s">
        <v>2424</v>
      </c>
      <c r="O365" t="s">
        <v>302</v>
      </c>
      <c r="P365" t="b">
        <v>0</v>
      </c>
      <c r="Q365" t="s">
        <v>2424</v>
      </c>
    </row>
    <row r="366" spans="1:17" x14ac:dyDescent="0.35">
      <c r="A366" t="s">
        <v>467</v>
      </c>
      <c r="B366" t="s">
        <v>2231</v>
      </c>
      <c r="C366" t="s">
        <v>2424</v>
      </c>
      <c r="D366" t="s">
        <v>50</v>
      </c>
      <c r="E366">
        <v>20</v>
      </c>
      <c r="F366">
        <v>2</v>
      </c>
      <c r="G366">
        <v>20</v>
      </c>
      <c r="H366">
        <v>4</v>
      </c>
      <c r="I366" t="s">
        <v>1559</v>
      </c>
      <c r="J366" t="s">
        <v>1895</v>
      </c>
      <c r="K366" t="s">
        <v>3783</v>
      </c>
      <c r="L366" s="1" t="str">
        <f>HYPERLINK("https://ovidsp.ovid.com/ovidweb.cgi?T=JS&amp;NEWS=n&amp;CSC=Y&amp;PAGE=toc&amp;D=yrovft&amp;AN=00013452-000000000-00000","https://ovidsp.ovid.com/ovidweb.cgi?T=JS&amp;NEWS=n&amp;CSC=Y&amp;PAGE=toc&amp;D=yrovft&amp;AN=00013452-000000000-00000")</f>
        <v>https://ovidsp.ovid.com/ovidweb.cgi?T=JS&amp;NEWS=n&amp;CSC=Y&amp;PAGE=toc&amp;D=yrovft&amp;AN=00013452-000000000-00000</v>
      </c>
      <c r="M366" t="s">
        <v>351</v>
      </c>
      <c r="N366" t="s">
        <v>2424</v>
      </c>
      <c r="O366" t="s">
        <v>959</v>
      </c>
      <c r="P366" t="b">
        <v>0</v>
      </c>
      <c r="Q366" t="s">
        <v>2424</v>
      </c>
    </row>
    <row r="367" spans="1:17" x14ac:dyDescent="0.35">
      <c r="A367" t="s">
        <v>1814</v>
      </c>
      <c r="B367" t="s">
        <v>1198</v>
      </c>
      <c r="C367" t="s">
        <v>2562</v>
      </c>
      <c r="D367" t="s">
        <v>50</v>
      </c>
      <c r="E367">
        <v>12</v>
      </c>
      <c r="F367">
        <v>1</v>
      </c>
      <c r="G367">
        <v>15</v>
      </c>
      <c r="H367">
        <v>2</v>
      </c>
      <c r="I367" t="s">
        <v>1502</v>
      </c>
      <c r="J367" t="s">
        <v>666</v>
      </c>
      <c r="K367" t="s">
        <v>2939</v>
      </c>
      <c r="L367" s="1" t="str">
        <f>HYPERLINK("https://ovidsp.ovid.com/ovidweb.cgi?T=JS&amp;NEWS=n&amp;CSC=Y&amp;PAGE=toc&amp;D=yrovft&amp;AN=01269241-000000000-00000","https://ovidsp.ovid.com/ovidweb.cgi?T=JS&amp;NEWS=n&amp;CSC=Y&amp;PAGE=toc&amp;D=yrovft&amp;AN=01269241-000000000-00000")</f>
        <v>https://ovidsp.ovid.com/ovidweb.cgi?T=JS&amp;NEWS=n&amp;CSC=Y&amp;PAGE=toc&amp;D=yrovft&amp;AN=01269241-000000000-00000</v>
      </c>
      <c r="M367" t="s">
        <v>3306</v>
      </c>
      <c r="N367" t="s">
        <v>2424</v>
      </c>
      <c r="O367" t="s">
        <v>3807</v>
      </c>
      <c r="P367" t="b">
        <v>0</v>
      </c>
      <c r="Q367" t="s">
        <v>2424</v>
      </c>
    </row>
    <row r="368" spans="1:17" x14ac:dyDescent="0.35">
      <c r="A368" t="s">
        <v>344</v>
      </c>
      <c r="B368" t="s">
        <v>1192</v>
      </c>
      <c r="C368" t="s">
        <v>998</v>
      </c>
      <c r="D368" t="s">
        <v>2855</v>
      </c>
      <c r="E368">
        <v>22</v>
      </c>
      <c r="F368">
        <v>1</v>
      </c>
      <c r="G368">
        <v>23</v>
      </c>
      <c r="H368">
        <v>1</v>
      </c>
      <c r="I368" t="s">
        <v>3092</v>
      </c>
      <c r="J368" t="s">
        <v>3622</v>
      </c>
      <c r="K368" t="s">
        <v>840</v>
      </c>
      <c r="L368" s="1" t="str">
        <f>HYPERLINK("https://ovidsp.ovid.com/ovidweb.cgi?T=JS&amp;NEWS=n&amp;CSC=Y&amp;PAGE=toc&amp;D=yrovft&amp;AN=00152236-000000000-00000","https://ovidsp.ovid.com/ovidweb.cgi?T=JS&amp;NEWS=n&amp;CSC=Y&amp;PAGE=toc&amp;D=yrovft&amp;AN=00152236-000000000-00000")</f>
        <v>https://ovidsp.ovid.com/ovidweb.cgi?T=JS&amp;NEWS=n&amp;CSC=Y&amp;PAGE=toc&amp;D=yrovft&amp;AN=00152236-000000000-00000</v>
      </c>
      <c r="M368" t="s">
        <v>3229</v>
      </c>
      <c r="N368" t="s">
        <v>2424</v>
      </c>
      <c r="O368" t="s">
        <v>2792</v>
      </c>
      <c r="P368" t="b">
        <v>1</v>
      </c>
      <c r="Q368" t="s">
        <v>2803</v>
      </c>
    </row>
    <row r="369" spans="1:17" x14ac:dyDescent="0.35">
      <c r="A369" t="s">
        <v>647</v>
      </c>
      <c r="B369" t="s">
        <v>749</v>
      </c>
      <c r="C369" t="s">
        <v>43</v>
      </c>
      <c r="D369" t="s">
        <v>50</v>
      </c>
      <c r="E369">
        <v>11</v>
      </c>
      <c r="F369">
        <v>1</v>
      </c>
      <c r="G369">
        <v>20</v>
      </c>
      <c r="H369">
        <v>3</v>
      </c>
      <c r="I369" t="s">
        <v>468</v>
      </c>
      <c r="J369" t="s">
        <v>839</v>
      </c>
      <c r="K369" t="s">
        <v>2972</v>
      </c>
      <c r="L369" s="1" t="str">
        <f>HYPERLINK("https://ovidsp.ovid.com/ovidweb.cgi?T=JS&amp;NEWS=n&amp;CSC=Y&amp;PAGE=toc&amp;D=yrovft&amp;AN=00041444-000000000-00000","https://ovidsp.ovid.com/ovidweb.cgi?T=JS&amp;NEWS=n&amp;CSC=Y&amp;PAGE=toc&amp;D=yrovft&amp;AN=00041444-000000000-00000")</f>
        <v>https://ovidsp.ovid.com/ovidweb.cgi?T=JS&amp;NEWS=n&amp;CSC=Y&amp;PAGE=toc&amp;D=yrovft&amp;AN=00041444-000000000-00000</v>
      </c>
      <c r="M369" t="s">
        <v>1947</v>
      </c>
      <c r="N369" t="s">
        <v>2424</v>
      </c>
      <c r="O369" t="s">
        <v>2346</v>
      </c>
      <c r="P369" t="b">
        <v>0</v>
      </c>
      <c r="Q369" t="s">
        <v>2424</v>
      </c>
    </row>
    <row r="370" spans="1:17" x14ac:dyDescent="0.35">
      <c r="A370" t="s">
        <v>596</v>
      </c>
      <c r="B370" t="s">
        <v>3099</v>
      </c>
      <c r="C370" t="s">
        <v>2424</v>
      </c>
      <c r="D370" t="s">
        <v>50</v>
      </c>
      <c r="E370">
        <v>42</v>
      </c>
      <c r="F370">
        <v>6</v>
      </c>
      <c r="G370">
        <v>45</v>
      </c>
      <c r="H370">
        <v>6</v>
      </c>
      <c r="I370" t="s">
        <v>1792</v>
      </c>
      <c r="J370" t="s">
        <v>1003</v>
      </c>
      <c r="K370" t="s">
        <v>2972</v>
      </c>
      <c r="L370" s="1" t="str">
        <f>HYPERLINK("https://ovidsp.ovid.com/ovidweb.cgi?T=JS&amp;NEWS=n&amp;CSC=Y&amp;PAGE=toc&amp;D=yrovft&amp;AN=01300408-000000000-00000","https://ovidsp.ovid.com/ovidweb.cgi?T=JS&amp;NEWS=n&amp;CSC=Y&amp;PAGE=toc&amp;D=yrovft&amp;AN=01300408-000000000-00000")</f>
        <v>https://ovidsp.ovid.com/ovidweb.cgi?T=JS&amp;NEWS=n&amp;CSC=Y&amp;PAGE=toc&amp;D=yrovft&amp;AN=01300408-000000000-00000</v>
      </c>
      <c r="M370" t="s">
        <v>223</v>
      </c>
      <c r="N370" t="s">
        <v>2424</v>
      </c>
      <c r="O370" t="s">
        <v>2941</v>
      </c>
      <c r="P370" t="b">
        <v>0</v>
      </c>
      <c r="Q370" t="s">
        <v>2424</v>
      </c>
    </row>
    <row r="371" spans="1:17" x14ac:dyDescent="0.35">
      <c r="A371" t="s">
        <v>1873</v>
      </c>
      <c r="B371" t="s">
        <v>2685</v>
      </c>
      <c r="C371" t="s">
        <v>337</v>
      </c>
      <c r="D371" t="s">
        <v>50</v>
      </c>
      <c r="E371">
        <v>63</v>
      </c>
      <c r="F371">
        <v>4</v>
      </c>
      <c r="G371">
        <v>77</v>
      </c>
      <c r="H371">
        <v>2</v>
      </c>
      <c r="I371" t="s">
        <v>1459</v>
      </c>
      <c r="J371" t="s">
        <v>3608</v>
      </c>
      <c r="K371" t="s">
        <v>1786</v>
      </c>
      <c r="L371" s="1" t="str">
        <f>HYPERLINK("https://ovidsp.ovid.com/ovidweb.cgi?T=JS&amp;NEWS=n&amp;CSC=Y&amp;PAGE=toc&amp;D=yrovft&amp;AN=00006842-000000000-00000","https://ovidsp.ovid.com/ovidweb.cgi?T=JS&amp;NEWS=n&amp;CSC=Y&amp;PAGE=toc&amp;D=yrovft&amp;AN=00006842-000000000-00000")</f>
        <v>https://ovidsp.ovid.com/ovidweb.cgi?T=JS&amp;NEWS=n&amp;CSC=Y&amp;PAGE=toc&amp;D=yrovft&amp;AN=00006842-000000000-00000</v>
      </c>
      <c r="M371" t="s">
        <v>1555</v>
      </c>
      <c r="N371" t="s">
        <v>2424</v>
      </c>
      <c r="O371" t="s">
        <v>1406</v>
      </c>
      <c r="P371" t="b">
        <v>1</v>
      </c>
      <c r="Q371" t="s">
        <v>2109</v>
      </c>
    </row>
    <row r="372" spans="1:17" x14ac:dyDescent="0.35">
      <c r="A372" t="s">
        <v>3502</v>
      </c>
      <c r="B372" t="s">
        <v>2930</v>
      </c>
      <c r="C372" t="s">
        <v>2937</v>
      </c>
      <c r="D372" t="s">
        <v>3649</v>
      </c>
      <c r="E372">
        <v>19</v>
      </c>
      <c r="F372">
        <v>1</v>
      </c>
      <c r="G372">
        <v>21</v>
      </c>
      <c r="H372">
        <v>2</v>
      </c>
      <c r="I372" t="s">
        <v>259</v>
      </c>
      <c r="J372" t="s">
        <v>2209</v>
      </c>
      <c r="K372" t="s">
        <v>1992</v>
      </c>
      <c r="L372" s="1" t="str">
        <f>HYPERLINK("https://ovidsp.ovid.com/ovidweb.cgi?T=JS&amp;NEWS=n&amp;CSC=Y&amp;PAGE=toc&amp;D=yrovft&amp;AN=00006620-000000000-00000","https://ovidsp.ovid.com/ovidweb.cgi?T=JS&amp;NEWS=n&amp;CSC=Y&amp;PAGE=toc&amp;D=yrovft&amp;AN=00006620-000000000-00000")</f>
        <v>https://ovidsp.ovid.com/ovidweb.cgi?T=JS&amp;NEWS=n&amp;CSC=Y&amp;PAGE=toc&amp;D=yrovft&amp;AN=00006620-000000000-00000</v>
      </c>
      <c r="M372" t="s">
        <v>3187</v>
      </c>
      <c r="N372" t="s">
        <v>2424</v>
      </c>
      <c r="O372" t="s">
        <v>1455</v>
      </c>
      <c r="P372" t="b">
        <v>1</v>
      </c>
      <c r="Q372" t="s">
        <v>1584</v>
      </c>
    </row>
    <row r="373" spans="1:17" x14ac:dyDescent="0.35">
      <c r="A373" t="s">
        <v>3216</v>
      </c>
      <c r="B373" t="s">
        <v>3474</v>
      </c>
      <c r="C373" t="s">
        <v>2424</v>
      </c>
      <c r="D373" t="s">
        <v>50</v>
      </c>
      <c r="E373">
        <v>17</v>
      </c>
      <c r="F373">
        <v>3</v>
      </c>
      <c r="G373">
        <v>17</v>
      </c>
      <c r="H373">
        <v>11</v>
      </c>
      <c r="I373" t="s">
        <v>1815</v>
      </c>
      <c r="J373" t="s">
        <v>1031</v>
      </c>
      <c r="K373" t="s">
        <v>1954</v>
      </c>
      <c r="L373" s="1" t="str">
        <f>HYPERLINK("https://ovidsp.ovid.com/ovidweb.cgi?T=JS&amp;NEWS=n&amp;CSC=Y&amp;PAGE=toc&amp;D=yrovft&amp;AN=00010948-000000000-00000","https://ovidsp.ovid.com/ovidweb.cgi?T=JS&amp;NEWS=n&amp;CSC=Y&amp;PAGE=toc&amp;D=yrovft&amp;AN=00010948-000000000-00000")</f>
        <v>https://ovidsp.ovid.com/ovidweb.cgi?T=JS&amp;NEWS=n&amp;CSC=Y&amp;PAGE=toc&amp;D=yrovft&amp;AN=00010948-000000000-00000</v>
      </c>
      <c r="M373" t="s">
        <v>872</v>
      </c>
      <c r="N373" t="s">
        <v>2424</v>
      </c>
      <c r="O373" t="s">
        <v>3043</v>
      </c>
      <c r="P373" t="b">
        <v>0</v>
      </c>
      <c r="Q373" t="s">
        <v>2424</v>
      </c>
    </row>
    <row r="374" spans="1:17" x14ac:dyDescent="0.35">
      <c r="A374" t="s">
        <v>2244</v>
      </c>
      <c r="B374" t="s">
        <v>3155</v>
      </c>
      <c r="C374" t="s">
        <v>2424</v>
      </c>
      <c r="D374" t="s">
        <v>50</v>
      </c>
      <c r="E374">
        <v>10</v>
      </c>
      <c r="F374">
        <v>1</v>
      </c>
      <c r="G374">
        <v>19</v>
      </c>
      <c r="H374">
        <v>2</v>
      </c>
      <c r="I374" t="s">
        <v>3753</v>
      </c>
      <c r="J374" t="s">
        <v>3802</v>
      </c>
      <c r="K374" t="s">
        <v>2461</v>
      </c>
      <c r="L374" s="1" t="str">
        <f>HYPERLINK("https://ovidsp.ovid.com/ovidweb.cgi?T=JS&amp;NEWS=n&amp;CSC=Y&amp;PAGE=toc&amp;D=yrovft&amp;AN=00019514-000000000-00000","https://ovidsp.ovid.com/ovidweb.cgi?T=JS&amp;NEWS=n&amp;CSC=Y&amp;PAGE=toc&amp;D=yrovft&amp;AN=00019514-000000000-00000")</f>
        <v>https://ovidsp.ovid.com/ovidweb.cgi?T=JS&amp;NEWS=n&amp;CSC=Y&amp;PAGE=toc&amp;D=yrovft&amp;AN=00019514-000000000-00000</v>
      </c>
      <c r="M374" t="s">
        <v>2292</v>
      </c>
      <c r="N374" t="s">
        <v>2424</v>
      </c>
      <c r="O374" t="s">
        <v>2932</v>
      </c>
      <c r="P374" t="b">
        <v>1</v>
      </c>
      <c r="Q374" t="s">
        <v>3730</v>
      </c>
    </row>
    <row r="375" spans="1:17" x14ac:dyDescent="0.35">
      <c r="A375" t="s">
        <v>1141</v>
      </c>
      <c r="B375" t="s">
        <v>845</v>
      </c>
      <c r="C375" t="s">
        <v>1818</v>
      </c>
      <c r="D375" t="s">
        <v>2855</v>
      </c>
      <c r="E375">
        <v>102</v>
      </c>
      <c r="F375">
        <v>1</v>
      </c>
      <c r="G375">
        <v>103</v>
      </c>
      <c r="H375">
        <v>1</v>
      </c>
      <c r="I375" t="s">
        <v>3092</v>
      </c>
      <c r="J375" t="s">
        <v>3622</v>
      </c>
      <c r="K375" t="s">
        <v>840</v>
      </c>
      <c r="L375" s="1" t="str">
        <f>HYPERLINK("https://ovidsp.ovid.com/ovidweb.cgi?T=JS&amp;NEWS=n&amp;CSC=Y&amp;PAGE=toc&amp;D=yrovft&amp;AN=00042106-000000000-00000","https://ovidsp.ovid.com/ovidweb.cgi?T=JS&amp;NEWS=n&amp;CSC=Y&amp;PAGE=toc&amp;D=yrovft&amp;AN=00042106-000000000-00000")</f>
        <v>https://ovidsp.ovid.com/ovidweb.cgi?T=JS&amp;NEWS=n&amp;CSC=Y&amp;PAGE=toc&amp;D=yrovft&amp;AN=00042106-000000000-00000</v>
      </c>
      <c r="M375" t="s">
        <v>3272</v>
      </c>
      <c r="N375" t="s">
        <v>2424</v>
      </c>
      <c r="O375" t="s">
        <v>2457</v>
      </c>
      <c r="P375" t="b">
        <v>1</v>
      </c>
      <c r="Q375" t="s">
        <v>528</v>
      </c>
    </row>
    <row r="376" spans="1:17" x14ac:dyDescent="0.35">
      <c r="A376" t="s">
        <v>1892</v>
      </c>
      <c r="B376" t="s">
        <v>2620</v>
      </c>
      <c r="C376" t="s">
        <v>2424</v>
      </c>
      <c r="D376" t="s">
        <v>50</v>
      </c>
      <c r="E376">
        <v>10</v>
      </c>
      <c r="F376">
        <v>3</v>
      </c>
      <c r="G376">
        <v>17</v>
      </c>
      <c r="H376">
        <v>2</v>
      </c>
      <c r="I376" t="s">
        <v>1714</v>
      </c>
      <c r="J376" t="s">
        <v>2581</v>
      </c>
      <c r="K376" t="s">
        <v>2939</v>
      </c>
      <c r="L376" s="1" t="str">
        <f>HYPERLINK("https://ovidsp.ovid.com/ovidweb.cgi?T=JS&amp;NEWS=n&amp;CSC=Y&amp;PAGE=toc&amp;D=yrovft&amp;AN=00132986-000000000-00000","https://ovidsp.ovid.com/ovidweb.cgi?T=JS&amp;NEWS=n&amp;CSC=Y&amp;PAGE=toc&amp;D=yrovft&amp;AN=00132986-000000000-00000")</f>
        <v>https://ovidsp.ovid.com/ovidweb.cgi?T=JS&amp;NEWS=n&amp;CSC=Y&amp;PAGE=toc&amp;D=yrovft&amp;AN=00132986-000000000-00000</v>
      </c>
      <c r="M376" t="s">
        <v>3062</v>
      </c>
      <c r="N376" t="s">
        <v>2424</v>
      </c>
      <c r="O376" t="s">
        <v>1930</v>
      </c>
      <c r="P376" t="b">
        <v>0</v>
      </c>
      <c r="Q376" t="s">
        <v>2424</v>
      </c>
    </row>
    <row r="377" spans="1:17" x14ac:dyDescent="0.35">
      <c r="A377" t="s">
        <v>3300</v>
      </c>
      <c r="B377" t="s">
        <v>1720</v>
      </c>
      <c r="C377" t="s">
        <v>939</v>
      </c>
      <c r="D377" t="s">
        <v>158</v>
      </c>
      <c r="E377">
        <v>29</v>
      </c>
      <c r="F377">
        <v>1</v>
      </c>
      <c r="G377">
        <v>35</v>
      </c>
      <c r="H377">
        <v>2</v>
      </c>
      <c r="I377" t="s">
        <v>675</v>
      </c>
      <c r="J377" t="s">
        <v>1903</v>
      </c>
      <c r="K377" t="s">
        <v>2939</v>
      </c>
      <c r="L377" s="1" t="str">
        <f>HYPERLINK("https://ovidsp.ovid.com/ovidweb.cgi?T=JS&amp;NEWS=n&amp;CSC=Y&amp;PAGE=toc&amp;D=yrovft&amp;AN=00115550-000000000-00000","https://ovidsp.ovid.com/ovidweb.cgi?T=JS&amp;NEWS=n&amp;CSC=Y&amp;PAGE=toc&amp;D=yrovft&amp;AN=00115550-000000000-00000")</f>
        <v>https://ovidsp.ovid.com/ovidweb.cgi?T=JS&amp;NEWS=n&amp;CSC=Y&amp;PAGE=toc&amp;D=yrovft&amp;AN=00115550-000000000-00000</v>
      </c>
      <c r="M377" t="s">
        <v>3604</v>
      </c>
      <c r="N377" t="s">
        <v>2424</v>
      </c>
      <c r="O377" t="s">
        <v>266</v>
      </c>
      <c r="P377" t="b">
        <v>0</v>
      </c>
      <c r="Q377" t="s">
        <v>2424</v>
      </c>
    </row>
    <row r="378" spans="1:17" x14ac:dyDescent="0.35">
      <c r="A378" t="s">
        <v>1512</v>
      </c>
      <c r="B378" t="s">
        <v>144</v>
      </c>
      <c r="C378" t="s">
        <v>2424</v>
      </c>
      <c r="D378" t="s">
        <v>50</v>
      </c>
      <c r="E378">
        <v>1</v>
      </c>
      <c r="F378">
        <v>1</v>
      </c>
      <c r="G378">
        <v>7</v>
      </c>
      <c r="H378">
        <v>3</v>
      </c>
      <c r="I378" t="s">
        <v>270</v>
      </c>
      <c r="J378" t="s">
        <v>1816</v>
      </c>
      <c r="K378" t="s">
        <v>2461</v>
      </c>
      <c r="L378" s="1" t="str">
        <f>HYPERLINK("https://ovidsp.ovid.com/ovidweb.cgi?T=JS&amp;NEWS=n&amp;CSC=Y&amp;PAGE=toc&amp;D=yrovft&amp;AN=01220507-000000000-00000","https://ovidsp.ovid.com/ovidweb.cgi?T=JS&amp;NEWS=n&amp;CSC=Y&amp;PAGE=toc&amp;D=yrovft&amp;AN=01220507-000000000-00000")</f>
        <v>https://ovidsp.ovid.com/ovidweb.cgi?T=JS&amp;NEWS=n&amp;CSC=Y&amp;PAGE=toc&amp;D=yrovft&amp;AN=01220507-000000000-00000</v>
      </c>
      <c r="M378" t="s">
        <v>1206</v>
      </c>
      <c r="N378" t="s">
        <v>2424</v>
      </c>
      <c r="O378" t="s">
        <v>549</v>
      </c>
      <c r="P378" t="b">
        <v>0</v>
      </c>
      <c r="Q378" t="s">
        <v>2424</v>
      </c>
    </row>
    <row r="379" spans="1:17" x14ac:dyDescent="0.35">
      <c r="A379" t="s">
        <v>3113</v>
      </c>
      <c r="B379" t="s">
        <v>1392</v>
      </c>
      <c r="C379" t="s">
        <v>1833</v>
      </c>
      <c r="D379" t="s">
        <v>50</v>
      </c>
      <c r="E379">
        <v>12</v>
      </c>
      <c r="F379">
        <v>1</v>
      </c>
      <c r="G379">
        <v>21</v>
      </c>
      <c r="H379">
        <v>2</v>
      </c>
      <c r="I379" t="s">
        <v>256</v>
      </c>
      <c r="J379" t="s">
        <v>2909</v>
      </c>
      <c r="K379" t="s">
        <v>2461</v>
      </c>
      <c r="L379" s="1" t="str">
        <f>HYPERLINK("https://ovidsp.ovid.com/ovidweb.cgi?T=JS&amp;NEWS=n&amp;CSC=Y&amp;PAGE=toc&amp;D=yrovft&amp;AN=00013542-000000000-00000","https://ovidsp.ovid.com/ovidweb.cgi?T=JS&amp;NEWS=n&amp;CSC=Y&amp;PAGE=toc&amp;D=yrovft&amp;AN=00013542-000000000-00000")</f>
        <v>https://ovidsp.ovid.com/ovidweb.cgi?T=JS&amp;NEWS=n&amp;CSC=Y&amp;PAGE=toc&amp;D=yrovft&amp;AN=00013542-000000000-00000</v>
      </c>
      <c r="M379" t="s">
        <v>2639</v>
      </c>
      <c r="N379" t="s">
        <v>2424</v>
      </c>
      <c r="O379" t="s">
        <v>1534</v>
      </c>
      <c r="P379" t="b">
        <v>1</v>
      </c>
      <c r="Q379" t="s">
        <v>3090</v>
      </c>
    </row>
    <row r="380" spans="1:17" x14ac:dyDescent="0.35">
      <c r="A380" t="s">
        <v>1462</v>
      </c>
      <c r="B380" t="s">
        <v>2967</v>
      </c>
      <c r="C380" t="s">
        <v>1614</v>
      </c>
      <c r="D380" t="s">
        <v>2855</v>
      </c>
      <c r="E380">
        <v>48</v>
      </c>
      <c r="F380">
        <v>2</v>
      </c>
      <c r="G380">
        <v>49</v>
      </c>
      <c r="H380">
        <v>1</v>
      </c>
      <c r="I380" t="s">
        <v>2485</v>
      </c>
      <c r="J380" t="s">
        <v>2568</v>
      </c>
      <c r="K380" t="s">
        <v>840</v>
      </c>
      <c r="L380" s="1" t="str">
        <f>HYPERLINK("https://ovidsp.ovid.com/ovidweb.cgi?T=JS&amp;NEWS=n&amp;CSC=Y&amp;PAGE=toc&amp;D=yrovft&amp;AN=00126062-000000000-00000","https://ovidsp.ovid.com/ovidweb.cgi?T=JS&amp;NEWS=n&amp;CSC=Y&amp;PAGE=toc&amp;D=yrovft&amp;AN=00126062-000000000-00000")</f>
        <v>https://ovidsp.ovid.com/ovidweb.cgi?T=JS&amp;NEWS=n&amp;CSC=Y&amp;PAGE=toc&amp;D=yrovft&amp;AN=00126062-000000000-00000</v>
      </c>
      <c r="M380" t="s">
        <v>1297</v>
      </c>
      <c r="N380" t="s">
        <v>2424</v>
      </c>
      <c r="O380" t="s">
        <v>1776</v>
      </c>
      <c r="P380" t="b">
        <v>1</v>
      </c>
      <c r="Q380" t="s">
        <v>3104</v>
      </c>
    </row>
    <row r="381" spans="1:17" x14ac:dyDescent="0.35">
      <c r="A381" t="s">
        <v>1007</v>
      </c>
      <c r="B381" t="s">
        <v>2551</v>
      </c>
      <c r="C381" t="s">
        <v>1777</v>
      </c>
      <c r="D381" t="s">
        <v>2855</v>
      </c>
      <c r="E381">
        <v>35</v>
      </c>
      <c r="F381">
        <v>2</v>
      </c>
      <c r="G381">
        <v>35</v>
      </c>
      <c r="H381">
        <v>6</v>
      </c>
      <c r="I381" t="s">
        <v>135</v>
      </c>
      <c r="J381" t="s">
        <v>2671</v>
      </c>
      <c r="K381" t="s">
        <v>2837</v>
      </c>
      <c r="L381" s="1" t="str">
        <f>HYPERLINK("https://ovidsp.ovid.com/ovidweb.cgi?T=JS&amp;NEWS=n&amp;CSC=Y&amp;PAGE=toc&amp;D=yrovft&amp;AN=00007489-000000000-00000","https://ovidsp.ovid.com/ovidweb.cgi?T=JS&amp;NEWS=n&amp;CSC=Y&amp;PAGE=toc&amp;D=yrovft&amp;AN=00007489-000000000-00000")</f>
        <v>https://ovidsp.ovid.com/ovidweb.cgi?T=JS&amp;NEWS=n&amp;CSC=Y&amp;PAGE=toc&amp;D=yrovft&amp;AN=00007489-000000000-00000</v>
      </c>
      <c r="M381" t="s">
        <v>2039</v>
      </c>
      <c r="N381" t="s">
        <v>2424</v>
      </c>
      <c r="O381" t="s">
        <v>2720</v>
      </c>
      <c r="P381" t="b">
        <v>1</v>
      </c>
      <c r="Q381" t="s">
        <v>1294</v>
      </c>
    </row>
    <row r="382" spans="1:17" x14ac:dyDescent="0.35">
      <c r="A382" t="s">
        <v>457</v>
      </c>
      <c r="B382" t="s">
        <v>3541</v>
      </c>
      <c r="C382" t="s">
        <v>597</v>
      </c>
      <c r="D382" t="s">
        <v>3560</v>
      </c>
      <c r="E382">
        <v>26</v>
      </c>
      <c r="F382">
        <v>1</v>
      </c>
      <c r="G382">
        <v>26</v>
      </c>
      <c r="H382">
        <v>4</v>
      </c>
      <c r="I382" t="s">
        <v>342</v>
      </c>
      <c r="J382" t="s">
        <v>2671</v>
      </c>
      <c r="K382" t="s">
        <v>2957</v>
      </c>
      <c r="L382" s="1" t="str">
        <f>HYPERLINK("https://ovidsp.ovid.com/ovidweb.cgi?T=JS&amp;NEWS=n&amp;CSC=Y&amp;PAGE=toc&amp;D=yrovft&amp;AN=00010658-000000000-00000","https://ovidsp.ovid.com/ovidweb.cgi?T=JS&amp;NEWS=n&amp;CSC=Y&amp;PAGE=toc&amp;D=yrovft&amp;AN=00010658-000000000-00000")</f>
        <v>https://ovidsp.ovid.com/ovidweb.cgi?T=JS&amp;NEWS=n&amp;CSC=Y&amp;PAGE=toc&amp;D=yrovft&amp;AN=00010658-000000000-00000</v>
      </c>
      <c r="M382" t="s">
        <v>2753</v>
      </c>
      <c r="N382" t="s">
        <v>2424</v>
      </c>
      <c r="O382" t="s">
        <v>1797</v>
      </c>
      <c r="P382" t="b">
        <v>0</v>
      </c>
      <c r="Q382" t="s">
        <v>2424</v>
      </c>
    </row>
    <row r="383" spans="1:17" x14ac:dyDescent="0.35">
      <c r="A383" t="s">
        <v>1927</v>
      </c>
      <c r="B383" t="s">
        <v>996</v>
      </c>
      <c r="C383" t="s">
        <v>3367</v>
      </c>
      <c r="D383" t="s">
        <v>50</v>
      </c>
      <c r="E383">
        <v>28</v>
      </c>
      <c r="F383">
        <v>8</v>
      </c>
      <c r="G383">
        <v>42</v>
      </c>
      <c r="H383">
        <v>4</v>
      </c>
      <c r="I383" t="s">
        <v>696</v>
      </c>
      <c r="J383" t="s">
        <v>374</v>
      </c>
      <c r="K383" t="s">
        <v>1640</v>
      </c>
      <c r="L383" s="1" t="str">
        <f>HYPERLINK("https://ovidsp.ovid.com/ovidweb.cgi?T=JS&amp;NEWS=n&amp;CSC=Y&amp;PAGE=toc&amp;D=yrovft&amp;AN=00007435-000000000-00000","https://ovidsp.ovid.com/ovidweb.cgi?T=JS&amp;NEWS=n&amp;CSC=Y&amp;PAGE=toc&amp;D=yrovft&amp;AN=00007435-000000000-00000")</f>
        <v>https://ovidsp.ovid.com/ovidweb.cgi?T=JS&amp;NEWS=n&amp;CSC=Y&amp;PAGE=toc&amp;D=yrovft&amp;AN=00007435-000000000-00000</v>
      </c>
      <c r="M383" t="s">
        <v>401</v>
      </c>
      <c r="N383" t="s">
        <v>2424</v>
      </c>
      <c r="O383" t="s">
        <v>3143</v>
      </c>
      <c r="P383" t="b">
        <v>1</v>
      </c>
      <c r="Q383" t="s">
        <v>3022</v>
      </c>
    </row>
    <row r="384" spans="1:17" x14ac:dyDescent="0.35">
      <c r="A384" t="s">
        <v>1925</v>
      </c>
      <c r="B384" t="s">
        <v>1859</v>
      </c>
      <c r="C384" t="s">
        <v>2424</v>
      </c>
      <c r="D384" t="s">
        <v>50</v>
      </c>
      <c r="E384">
        <v>19</v>
      </c>
      <c r="F384">
        <v>5</v>
      </c>
      <c r="G384">
        <v>33</v>
      </c>
      <c r="H384">
        <v>5</v>
      </c>
      <c r="I384" t="s">
        <v>2135</v>
      </c>
      <c r="J384" t="s">
        <v>1034</v>
      </c>
      <c r="K384" t="s">
        <v>3523</v>
      </c>
      <c r="L384" s="1" t="str">
        <f>HYPERLINK("https://ovidsp.ovid.com/ovidweb.cgi?T=JS&amp;NEWS=n&amp;CSC=Y&amp;PAGE=toc&amp;D=yrovft&amp;AN=00024382-000000000-00000","https://ovidsp.ovid.com/ovidweb.cgi?T=JS&amp;NEWS=n&amp;CSC=Y&amp;PAGE=toc&amp;D=yrovft&amp;AN=00024382-000000000-00000")</f>
        <v>https://ovidsp.ovid.com/ovidweb.cgi?T=JS&amp;NEWS=n&amp;CSC=Y&amp;PAGE=toc&amp;D=yrovft&amp;AN=00024382-000000000-00000</v>
      </c>
      <c r="M384" t="s">
        <v>627</v>
      </c>
      <c r="N384" t="s">
        <v>2424</v>
      </c>
      <c r="O384" t="s">
        <v>2247</v>
      </c>
      <c r="P384" t="b">
        <v>1</v>
      </c>
      <c r="Q384" t="s">
        <v>210</v>
      </c>
    </row>
    <row r="385" spans="1:17" x14ac:dyDescent="0.35">
      <c r="A385" t="s">
        <v>1788</v>
      </c>
      <c r="B385" t="s">
        <v>1920</v>
      </c>
      <c r="C385" t="s">
        <v>2424</v>
      </c>
      <c r="D385" t="s">
        <v>50</v>
      </c>
      <c r="E385">
        <v>2</v>
      </c>
      <c r="F385">
        <v>1</v>
      </c>
      <c r="G385">
        <v>5</v>
      </c>
      <c r="H385">
        <v>2</v>
      </c>
      <c r="I385" t="s">
        <v>2121</v>
      </c>
      <c r="J385" t="s">
        <v>1773</v>
      </c>
      <c r="K385" t="s">
        <v>2461</v>
      </c>
      <c r="L385" s="1" t="str">
        <f>HYPERLINK("https://ovidsp.ovid.com/ovidweb.cgi?T=JS&amp;NEWS=n&amp;CSC=Y&amp;PAGE=toc&amp;D=yrovft&amp;AN=01266021-000000000-00000","https://ovidsp.ovid.com/ovidweb.cgi?T=JS&amp;NEWS=n&amp;CSC=Y&amp;PAGE=toc&amp;D=yrovft&amp;AN=01266021-000000000-00000")</f>
        <v>https://ovidsp.ovid.com/ovidweb.cgi?T=JS&amp;NEWS=n&amp;CSC=Y&amp;PAGE=toc&amp;D=yrovft&amp;AN=01266021-000000000-00000</v>
      </c>
      <c r="M385" t="s">
        <v>3265</v>
      </c>
      <c r="N385" t="s">
        <v>2424</v>
      </c>
      <c r="O385" t="s">
        <v>267</v>
      </c>
      <c r="P385" t="b">
        <v>1</v>
      </c>
      <c r="Q385" t="s">
        <v>1171</v>
      </c>
    </row>
    <row r="386" spans="1:17" x14ac:dyDescent="0.35">
      <c r="A386" t="s">
        <v>571</v>
      </c>
      <c r="B386" t="s">
        <v>1219</v>
      </c>
      <c r="C386" t="s">
        <v>1213</v>
      </c>
      <c r="D386" t="s">
        <v>50</v>
      </c>
      <c r="E386">
        <v>168</v>
      </c>
      <c r="F386">
        <v>3</v>
      </c>
      <c r="G386">
        <v>175</v>
      </c>
      <c r="H386">
        <v>4</v>
      </c>
      <c r="I386" t="s">
        <v>1779</v>
      </c>
      <c r="J386" t="s">
        <v>2581</v>
      </c>
      <c r="K386" t="s">
        <v>2461</v>
      </c>
      <c r="L386" s="1" t="str">
        <f>HYPERLINK("https://ovidsp.ovid.com/ovidweb.cgi?T=JS&amp;NEWS=n&amp;CSC=Y&amp;PAGE=toc&amp;D=yrovft&amp;AN=00010694-000000000-00000","https://ovidsp.ovid.com/ovidweb.cgi?T=JS&amp;NEWS=n&amp;CSC=Y&amp;PAGE=toc&amp;D=yrovft&amp;AN=00010694-000000000-00000")</f>
        <v>https://ovidsp.ovid.com/ovidweb.cgi?T=JS&amp;NEWS=n&amp;CSC=Y&amp;PAGE=toc&amp;D=yrovft&amp;AN=00010694-000000000-00000</v>
      </c>
      <c r="M386" t="s">
        <v>2110</v>
      </c>
      <c r="N386" t="s">
        <v>2424</v>
      </c>
      <c r="O386" t="s">
        <v>3174</v>
      </c>
      <c r="P386" t="b">
        <v>0</v>
      </c>
      <c r="Q386" t="s">
        <v>2424</v>
      </c>
    </row>
    <row r="387" spans="1:17" x14ac:dyDescent="0.35">
      <c r="A387" t="s">
        <v>2358</v>
      </c>
      <c r="B387" t="s">
        <v>3609</v>
      </c>
      <c r="C387" t="s">
        <v>2424</v>
      </c>
      <c r="D387" t="s">
        <v>50</v>
      </c>
      <c r="E387">
        <v>93</v>
      </c>
      <c r="F387">
        <v>2</v>
      </c>
      <c r="G387">
        <v>103</v>
      </c>
      <c r="H387">
        <v>5</v>
      </c>
      <c r="I387" t="s">
        <v>340</v>
      </c>
      <c r="J387" t="s">
        <v>913</v>
      </c>
      <c r="K387" t="s">
        <v>3523</v>
      </c>
      <c r="L387" s="1" t="str">
        <f>HYPERLINK("https://ovidsp.ovid.com/ovidweb.cgi?T=JS&amp;NEWS=n&amp;CSC=Y&amp;PAGE=toc&amp;D=yrovft&amp;AN=00007611-000000000-00000","https://ovidsp.ovid.com/ovidweb.cgi?T=JS&amp;NEWS=n&amp;CSC=Y&amp;PAGE=toc&amp;D=yrovft&amp;AN=00007611-000000000-00000")</f>
        <v>https://ovidsp.ovid.com/ovidweb.cgi?T=JS&amp;NEWS=n&amp;CSC=Y&amp;PAGE=toc&amp;D=yrovft&amp;AN=00007611-000000000-00000</v>
      </c>
      <c r="M387" t="s">
        <v>2552</v>
      </c>
      <c r="N387" t="s">
        <v>2424</v>
      </c>
      <c r="O387" t="s">
        <v>814</v>
      </c>
      <c r="P387" t="b">
        <v>0</v>
      </c>
      <c r="Q387" t="s">
        <v>2424</v>
      </c>
    </row>
    <row r="388" spans="1:17" x14ac:dyDescent="0.35">
      <c r="A388" t="s">
        <v>112</v>
      </c>
      <c r="B388" t="s">
        <v>2621</v>
      </c>
      <c r="C388" t="s">
        <v>544</v>
      </c>
      <c r="D388" t="s">
        <v>50</v>
      </c>
      <c r="E388">
        <v>26</v>
      </c>
      <c r="F388">
        <v>3</v>
      </c>
      <c r="G388">
        <v>40</v>
      </c>
      <c r="H388">
        <v>7</v>
      </c>
      <c r="I388" t="s">
        <v>1885</v>
      </c>
      <c r="J388" t="s">
        <v>3777</v>
      </c>
      <c r="K388" t="s">
        <v>1640</v>
      </c>
      <c r="L388" s="1" t="str">
        <f>HYPERLINK("https://ovidsp.ovid.com/ovidweb.cgi?T=JS&amp;NEWS=n&amp;CSC=Y&amp;PAGE=toc&amp;D=yrovft&amp;AN=00007632-000000000-00000","https://ovidsp.ovid.com/ovidweb.cgi?T=JS&amp;NEWS=n&amp;CSC=Y&amp;PAGE=toc&amp;D=yrovft&amp;AN=00007632-000000000-00000")</f>
        <v>https://ovidsp.ovid.com/ovidweb.cgi?T=JS&amp;NEWS=n&amp;CSC=Y&amp;PAGE=toc&amp;D=yrovft&amp;AN=00007632-000000000-00000</v>
      </c>
      <c r="M388" t="s">
        <v>1335</v>
      </c>
      <c r="N388" t="s">
        <v>2424</v>
      </c>
      <c r="O388" t="s">
        <v>1479</v>
      </c>
      <c r="P388" t="b">
        <v>1</v>
      </c>
      <c r="Q388" t="s">
        <v>129</v>
      </c>
    </row>
    <row r="389" spans="1:17" x14ac:dyDescent="0.35">
      <c r="A389" t="s">
        <v>51</v>
      </c>
      <c r="B389" t="s">
        <v>2125</v>
      </c>
      <c r="C389" t="s">
        <v>544</v>
      </c>
      <c r="D389" t="s">
        <v>50</v>
      </c>
      <c r="E389">
        <v>0</v>
      </c>
      <c r="F389">
        <v>0</v>
      </c>
      <c r="G389">
        <v>0</v>
      </c>
      <c r="H389">
        <v>0</v>
      </c>
      <c r="I389" t="s">
        <v>2749</v>
      </c>
      <c r="J389" t="s">
        <v>2909</v>
      </c>
      <c r="K389" t="s">
        <v>2756</v>
      </c>
      <c r="L389" s="1" t="str">
        <f>HYPERLINK("https://ovidsp.ovid.com/ovidweb.cgi?T=JS&amp;NEWS=n&amp;CSC=Y&amp;PAGE=toc&amp;D=yrovft&amp;AN=00152232-000000000-00000","https://ovidsp.ovid.com/ovidweb.cgi?T=JS&amp;NEWS=n&amp;CSC=Y&amp;PAGE=toc&amp;D=yrovft&amp;AN=00152232-000000000-00000")</f>
        <v>https://ovidsp.ovid.com/ovidweb.cgi?T=JS&amp;NEWS=n&amp;CSC=Y&amp;PAGE=toc&amp;D=yrovft&amp;AN=00152232-000000000-00000</v>
      </c>
      <c r="M389" t="s">
        <v>1724</v>
      </c>
      <c r="N389" t="s">
        <v>2424</v>
      </c>
      <c r="O389" t="s">
        <v>2777</v>
      </c>
      <c r="P389" t="b">
        <v>0</v>
      </c>
      <c r="Q389" t="s">
        <v>2424</v>
      </c>
    </row>
    <row r="390" spans="1:17" x14ac:dyDescent="0.35">
      <c r="A390" t="s">
        <v>2263</v>
      </c>
      <c r="B390" t="s">
        <v>2022</v>
      </c>
      <c r="C390" t="s">
        <v>1416</v>
      </c>
      <c r="D390" t="s">
        <v>50</v>
      </c>
      <c r="E390">
        <v>11</v>
      </c>
      <c r="F390">
        <v>1</v>
      </c>
      <c r="G390">
        <v>18</v>
      </c>
      <c r="H390">
        <v>1</v>
      </c>
      <c r="I390" t="s">
        <v>1714</v>
      </c>
      <c r="J390" t="s">
        <v>2581</v>
      </c>
      <c r="K390" t="s">
        <v>2939</v>
      </c>
      <c r="L390" s="1" t="str">
        <f>HYPERLINK("https://ovidsp.ovid.com/ovidweb.cgi?T=JS&amp;NEWS=n&amp;CSC=Y&amp;PAGE=toc&amp;D=yrovft&amp;AN=00132585-000000000-00000","https://ovidsp.ovid.com/ovidweb.cgi?T=JS&amp;NEWS=n&amp;CSC=Y&amp;PAGE=toc&amp;D=yrovft&amp;AN=00132585-000000000-00000")</f>
        <v>https://ovidsp.ovid.com/ovidweb.cgi?T=JS&amp;NEWS=n&amp;CSC=Y&amp;PAGE=toc&amp;D=yrovft&amp;AN=00132585-000000000-00000</v>
      </c>
      <c r="M390" t="s">
        <v>1890</v>
      </c>
      <c r="N390" t="s">
        <v>2424</v>
      </c>
      <c r="O390" t="s">
        <v>506</v>
      </c>
      <c r="P390" t="b">
        <v>0</v>
      </c>
      <c r="Q390" t="s">
        <v>2424</v>
      </c>
    </row>
    <row r="391" spans="1:17" x14ac:dyDescent="0.35">
      <c r="A391" t="s">
        <v>738</v>
      </c>
      <c r="B391" t="s">
        <v>3293</v>
      </c>
      <c r="C391" t="s">
        <v>2424</v>
      </c>
      <c r="D391" t="s">
        <v>50</v>
      </c>
      <c r="E391">
        <v>29</v>
      </c>
      <c r="F391">
        <v>1</v>
      </c>
      <c r="G391">
        <v>32</v>
      </c>
      <c r="H391">
        <v>2</v>
      </c>
      <c r="I391" t="s">
        <v>2064</v>
      </c>
      <c r="J391" t="s">
        <v>2668</v>
      </c>
      <c r="K391" t="s">
        <v>2461</v>
      </c>
      <c r="L391" s="1" t="str">
        <f>HYPERLINK("https://ovidsp.ovid.com/ovidweb.cgi?T=JS&amp;NEWS=n&amp;CSC=Y&amp;PAGE=toc&amp;D=yrovft&amp;AN=00126548-000000000-00000","https://ovidsp.ovid.com/ovidweb.cgi?T=JS&amp;NEWS=n&amp;CSC=Y&amp;PAGE=toc&amp;D=yrovft&amp;AN=00126548-000000000-00000")</f>
        <v>https://ovidsp.ovid.com/ovidweb.cgi?T=JS&amp;NEWS=n&amp;CSC=Y&amp;PAGE=toc&amp;D=yrovft&amp;AN=00126548-000000000-00000</v>
      </c>
      <c r="M391" t="s">
        <v>2498</v>
      </c>
      <c r="N391" t="s">
        <v>2424</v>
      </c>
      <c r="O391" t="s">
        <v>857</v>
      </c>
      <c r="P391" t="b">
        <v>1</v>
      </c>
      <c r="Q391" t="s">
        <v>1852</v>
      </c>
    </row>
    <row r="392" spans="1:17" x14ac:dyDescent="0.35">
      <c r="A392" t="s">
        <v>3521</v>
      </c>
      <c r="B392" t="s">
        <v>3105</v>
      </c>
      <c r="C392" t="s">
        <v>279</v>
      </c>
      <c r="D392" t="s">
        <v>50</v>
      </c>
      <c r="E392">
        <v>32</v>
      </c>
      <c r="F392">
        <v>7</v>
      </c>
      <c r="G392">
        <v>46</v>
      </c>
      <c r="H392">
        <v>4</v>
      </c>
      <c r="I392" t="s">
        <v>530</v>
      </c>
      <c r="J392" t="s">
        <v>3608</v>
      </c>
      <c r="K392" t="s">
        <v>1640</v>
      </c>
      <c r="L392" s="1" t="str">
        <f>HYPERLINK("https://ovidsp.ovid.com/ovidweb.cgi?T=JS&amp;NEWS=n&amp;CSC=Y&amp;PAGE=toc&amp;D=yrovft&amp;AN=00007670-000000000-00000","https://ovidsp.ovid.com/ovidweb.cgi?T=JS&amp;NEWS=n&amp;CSC=Y&amp;PAGE=toc&amp;D=yrovft&amp;AN=00007670-000000000-00000")</f>
        <v>https://ovidsp.ovid.com/ovidweb.cgi?T=JS&amp;NEWS=n&amp;CSC=Y&amp;PAGE=toc&amp;D=yrovft&amp;AN=00007670-000000000-00000</v>
      </c>
      <c r="M392" t="s">
        <v>1712</v>
      </c>
      <c r="N392" t="s">
        <v>2424</v>
      </c>
      <c r="O392" t="s">
        <v>3645</v>
      </c>
      <c r="P392" t="b">
        <v>1</v>
      </c>
      <c r="Q392" t="s">
        <v>3077</v>
      </c>
    </row>
    <row r="393" spans="1:17" x14ac:dyDescent="0.35">
      <c r="A393" t="s">
        <v>1340</v>
      </c>
      <c r="B393" t="s">
        <v>1611</v>
      </c>
      <c r="C393" t="s">
        <v>2078</v>
      </c>
      <c r="D393" t="s">
        <v>50</v>
      </c>
      <c r="E393">
        <v>9</v>
      </c>
      <c r="F393">
        <v>3</v>
      </c>
      <c r="G393">
        <v>20</v>
      </c>
      <c r="H393">
        <v>2</v>
      </c>
      <c r="I393" t="s">
        <v>1225</v>
      </c>
      <c r="J393" t="s">
        <v>2010</v>
      </c>
      <c r="K393" t="s">
        <v>2461</v>
      </c>
      <c r="L393" s="1" t="str">
        <f>HYPERLINK("https://ovidsp.ovid.com/ovidweb.cgi?T=JS&amp;NEWS=n&amp;CSC=Y&amp;PAGE=toc&amp;D=yrovft&amp;AN=00129689-000000000-00000","https://ovidsp.ovid.com/ovidweb.cgi?T=JS&amp;NEWS=n&amp;CSC=Y&amp;PAGE=toc&amp;D=yrovft&amp;AN=00129689-000000000-00000")</f>
        <v>https://ovidsp.ovid.com/ovidweb.cgi?T=JS&amp;NEWS=n&amp;CSC=Y&amp;PAGE=toc&amp;D=yrovft&amp;AN=00129689-000000000-00000</v>
      </c>
      <c r="M393" t="s">
        <v>2740</v>
      </c>
      <c r="N393" t="s">
        <v>2424</v>
      </c>
      <c r="O393" t="s">
        <v>1015</v>
      </c>
      <c r="P393" t="b">
        <v>1</v>
      </c>
      <c r="Q393" t="s">
        <v>3665</v>
      </c>
    </row>
    <row r="394" spans="1:17" x14ac:dyDescent="0.35">
      <c r="A394" t="s">
        <v>2068</v>
      </c>
      <c r="B394" t="s">
        <v>1472</v>
      </c>
      <c r="C394" t="s">
        <v>2174</v>
      </c>
      <c r="D394" t="s">
        <v>50</v>
      </c>
      <c r="E394">
        <v>47</v>
      </c>
      <c r="F394">
        <v>2</v>
      </c>
      <c r="G394">
        <v>54</v>
      </c>
      <c r="H394">
        <v>2</v>
      </c>
      <c r="I394" t="s">
        <v>3594</v>
      </c>
      <c r="J394" t="s">
        <v>2069</v>
      </c>
      <c r="K394" t="s">
        <v>2461</v>
      </c>
      <c r="L394" s="1" t="str">
        <f>HYPERLINK("https://ovidsp.ovid.com/ovidweb.cgi?T=JS&amp;NEWS=n&amp;CSC=Y&amp;PAGE=toc&amp;D=yrovft&amp;AN=00132586-000000000-00000","https://ovidsp.ovid.com/ovidweb.cgi?T=JS&amp;NEWS=n&amp;CSC=Y&amp;PAGE=toc&amp;D=yrovft&amp;AN=00132586-000000000-00000")</f>
        <v>https://ovidsp.ovid.com/ovidweb.cgi?T=JS&amp;NEWS=n&amp;CSC=Y&amp;PAGE=toc&amp;D=yrovft&amp;AN=00132586-000000000-00000</v>
      </c>
      <c r="M394" t="s">
        <v>522</v>
      </c>
      <c r="N394" t="s">
        <v>2424</v>
      </c>
      <c r="O394" t="s">
        <v>3641</v>
      </c>
      <c r="P394" t="b">
        <v>0</v>
      </c>
      <c r="Q394" t="s">
        <v>2424</v>
      </c>
    </row>
    <row r="395" spans="1:17" x14ac:dyDescent="0.35">
      <c r="A395" t="s">
        <v>20</v>
      </c>
      <c r="B395" t="s">
        <v>2086</v>
      </c>
      <c r="C395" t="s">
        <v>190</v>
      </c>
      <c r="D395" t="s">
        <v>50</v>
      </c>
      <c r="E395">
        <v>2</v>
      </c>
      <c r="F395">
        <v>2</v>
      </c>
      <c r="G395">
        <v>9</v>
      </c>
      <c r="H395">
        <v>1</v>
      </c>
      <c r="I395" t="s">
        <v>2924</v>
      </c>
      <c r="J395" t="s">
        <v>1895</v>
      </c>
      <c r="K395" t="s">
        <v>2939</v>
      </c>
      <c r="L395" s="1" t="str">
        <f>HYPERLINK("https://ovidsp.ovid.com/ovidweb.cgi?T=JS&amp;NEWS=n&amp;CSC=Y&amp;PAGE=toc&amp;D=yrovft&amp;AN=00132587-000000000-00000","https://ovidsp.ovid.com/ovidweb.cgi?T=JS&amp;NEWS=n&amp;CSC=Y&amp;PAGE=toc&amp;D=yrovft&amp;AN=00132587-000000000-00000")</f>
        <v>https://ovidsp.ovid.com/ovidweb.cgi?T=JS&amp;NEWS=n&amp;CSC=Y&amp;PAGE=toc&amp;D=yrovft&amp;AN=00132587-000000000-00000</v>
      </c>
      <c r="M395" t="s">
        <v>2438</v>
      </c>
      <c r="N395" t="s">
        <v>2424</v>
      </c>
      <c r="O395" t="s">
        <v>1679</v>
      </c>
      <c r="P395" t="b">
        <v>1</v>
      </c>
      <c r="Q395" t="s">
        <v>3284</v>
      </c>
    </row>
    <row r="396" spans="1:17" x14ac:dyDescent="0.35">
      <c r="A396" t="s">
        <v>978</v>
      </c>
      <c r="B396" t="s">
        <v>2663</v>
      </c>
      <c r="C396" t="s">
        <v>366</v>
      </c>
      <c r="D396" t="s">
        <v>50</v>
      </c>
      <c r="E396">
        <v>7</v>
      </c>
      <c r="F396">
        <v>2</v>
      </c>
      <c r="G396">
        <v>14</v>
      </c>
      <c r="H396">
        <v>1</v>
      </c>
      <c r="I396" t="s">
        <v>2924</v>
      </c>
      <c r="J396" t="s">
        <v>1895</v>
      </c>
      <c r="K396" t="s">
        <v>2939</v>
      </c>
      <c r="L396" s="1" t="str">
        <f>HYPERLINK("https://ovidsp.ovid.com/ovidweb.cgi?T=JS&amp;NEWS=n&amp;CSC=Y&amp;PAGE=toc&amp;D=yrovft&amp;AN=00130911-000000000-00000","https://ovidsp.ovid.com/ovidweb.cgi?T=JS&amp;NEWS=n&amp;CSC=Y&amp;PAGE=toc&amp;D=yrovft&amp;AN=00130911-000000000-00000")</f>
        <v>https://ovidsp.ovid.com/ovidweb.cgi?T=JS&amp;NEWS=n&amp;CSC=Y&amp;PAGE=toc&amp;D=yrovft&amp;AN=00130911-000000000-00000</v>
      </c>
      <c r="M396" t="s">
        <v>1944</v>
      </c>
      <c r="N396" t="s">
        <v>2424</v>
      </c>
      <c r="O396" t="s">
        <v>86</v>
      </c>
      <c r="P396" t="b">
        <v>1</v>
      </c>
      <c r="Q396" t="s">
        <v>3453</v>
      </c>
    </row>
    <row r="397" spans="1:17" x14ac:dyDescent="0.35">
      <c r="A397" t="s">
        <v>26</v>
      </c>
      <c r="B397" t="s">
        <v>638</v>
      </c>
      <c r="C397" t="s">
        <v>3563</v>
      </c>
      <c r="D397" t="s">
        <v>50</v>
      </c>
      <c r="E397">
        <v>2</v>
      </c>
      <c r="F397">
        <v>2</v>
      </c>
      <c r="G397">
        <v>9</v>
      </c>
      <c r="H397">
        <v>1</v>
      </c>
      <c r="I397" t="s">
        <v>2924</v>
      </c>
      <c r="J397" t="s">
        <v>1895</v>
      </c>
      <c r="K397" t="s">
        <v>2939</v>
      </c>
      <c r="L397" s="1" t="str">
        <f>HYPERLINK("https://ovidsp.ovid.com/ovidweb.cgi?T=JS&amp;NEWS=n&amp;CSC=Y&amp;PAGE=toc&amp;D=yrovft&amp;AN=00132588-000000000-00000","https://ovidsp.ovid.com/ovidweb.cgi?T=JS&amp;NEWS=n&amp;CSC=Y&amp;PAGE=toc&amp;D=yrovft&amp;AN=00132588-000000000-00000")</f>
        <v>https://ovidsp.ovid.com/ovidweb.cgi?T=JS&amp;NEWS=n&amp;CSC=Y&amp;PAGE=toc&amp;D=yrovft&amp;AN=00132588-000000000-00000</v>
      </c>
      <c r="M397" t="s">
        <v>3078</v>
      </c>
      <c r="N397" t="s">
        <v>2424</v>
      </c>
      <c r="O397" t="s">
        <v>2420</v>
      </c>
      <c r="P397" t="b">
        <v>0</v>
      </c>
      <c r="Q397" t="s">
        <v>2424</v>
      </c>
    </row>
    <row r="398" spans="1:17" x14ac:dyDescent="0.35">
      <c r="A398" t="s">
        <v>1351</v>
      </c>
      <c r="B398" t="s">
        <v>1181</v>
      </c>
      <c r="C398" t="s">
        <v>2424</v>
      </c>
      <c r="D398" t="s">
        <v>50</v>
      </c>
      <c r="E398">
        <v>8</v>
      </c>
      <c r="F398">
        <v>2</v>
      </c>
      <c r="G398">
        <v>9</v>
      </c>
      <c r="H398">
        <v>3</v>
      </c>
      <c r="I398" t="s">
        <v>1476</v>
      </c>
      <c r="J398" t="s">
        <v>1895</v>
      </c>
      <c r="K398" t="s">
        <v>396</v>
      </c>
      <c r="L398" s="1" t="str">
        <f>HYPERLINK("https://ovidsp.ovid.com/ovidweb.cgi?T=JS&amp;NEWS=n&amp;CSC=Y&amp;PAGE=toc&amp;D=yrovft&amp;AN=00127927-000000000-00000","https://ovidsp.ovid.com/ovidweb.cgi?T=JS&amp;NEWS=n&amp;CSC=Y&amp;PAGE=toc&amp;D=yrovft&amp;AN=00127927-000000000-00000")</f>
        <v>https://ovidsp.ovid.com/ovidweb.cgi?T=JS&amp;NEWS=n&amp;CSC=Y&amp;PAGE=toc&amp;D=yrovft&amp;AN=00127927-000000000-00000</v>
      </c>
      <c r="M398" t="s">
        <v>3111</v>
      </c>
      <c r="N398" t="s">
        <v>2424</v>
      </c>
      <c r="O398" t="s">
        <v>2313</v>
      </c>
      <c r="P398" t="b">
        <v>0</v>
      </c>
      <c r="Q398" t="s">
        <v>2424</v>
      </c>
    </row>
    <row r="399" spans="1:17" x14ac:dyDescent="0.35">
      <c r="A399" t="s">
        <v>3001</v>
      </c>
      <c r="B399" t="s">
        <v>608</v>
      </c>
      <c r="C399" t="s">
        <v>1058</v>
      </c>
      <c r="D399" t="s">
        <v>50</v>
      </c>
      <c r="E399">
        <v>1</v>
      </c>
      <c r="F399">
        <v>1</v>
      </c>
      <c r="G399">
        <v>8</v>
      </c>
      <c r="H399">
        <v>1</v>
      </c>
      <c r="I399" t="s">
        <v>1714</v>
      </c>
      <c r="J399" t="s">
        <v>2581</v>
      </c>
      <c r="K399" t="s">
        <v>2939</v>
      </c>
      <c r="L399" s="1" t="str">
        <f>HYPERLINK("https://ovidsp.ovid.com/ovidweb.cgi?T=JS&amp;NEWS=n&amp;CSC=Y&amp;PAGE=toc&amp;D=yrovft&amp;AN=00145756-000000000-00000","https://ovidsp.ovid.com/ovidweb.cgi?T=JS&amp;NEWS=n&amp;CSC=Y&amp;PAGE=toc&amp;D=yrovft&amp;AN=00145756-000000000-00000")</f>
        <v>https://ovidsp.ovid.com/ovidweb.cgi?T=JS&amp;NEWS=n&amp;CSC=Y&amp;PAGE=toc&amp;D=yrovft&amp;AN=00145756-000000000-00000</v>
      </c>
      <c r="M399" t="s">
        <v>2799</v>
      </c>
      <c r="N399" t="s">
        <v>2424</v>
      </c>
      <c r="O399" t="s">
        <v>240</v>
      </c>
      <c r="P399" t="b">
        <v>0</v>
      </c>
      <c r="Q399" t="s">
        <v>2424</v>
      </c>
    </row>
    <row r="400" spans="1:17" x14ac:dyDescent="0.35">
      <c r="A400" t="s">
        <v>1688</v>
      </c>
      <c r="B400" t="s">
        <v>891</v>
      </c>
      <c r="C400" t="s">
        <v>891</v>
      </c>
      <c r="D400" t="s">
        <v>50</v>
      </c>
      <c r="E400">
        <v>17</v>
      </c>
      <c r="F400">
        <v>3</v>
      </c>
      <c r="G400">
        <v>25</v>
      </c>
      <c r="H400">
        <v>1</v>
      </c>
      <c r="I400" t="s">
        <v>3232</v>
      </c>
      <c r="J400" t="s">
        <v>222</v>
      </c>
      <c r="K400" t="s">
        <v>2939</v>
      </c>
      <c r="L400" s="1" t="str">
        <f>HYPERLINK("https://ovidsp.ovid.com/ovidweb.cgi?T=JS&amp;NEWS=n&amp;CSC=Y&amp;PAGE=toc&amp;D=yrovft&amp;AN=00013611-000000000-00000","https://ovidsp.ovid.com/ovidweb.cgi?T=JS&amp;NEWS=n&amp;CSC=Y&amp;PAGE=toc&amp;D=yrovft&amp;AN=00013611-000000000-00000")</f>
        <v>https://ovidsp.ovid.com/ovidweb.cgi?T=JS&amp;NEWS=n&amp;CSC=Y&amp;PAGE=toc&amp;D=yrovft&amp;AN=00013611-000000000-00000</v>
      </c>
      <c r="M400" t="s">
        <v>306</v>
      </c>
      <c r="N400" t="s">
        <v>2424</v>
      </c>
      <c r="O400" t="s">
        <v>1160</v>
      </c>
      <c r="P400" t="b">
        <v>1</v>
      </c>
      <c r="Q400" t="s">
        <v>1178</v>
      </c>
    </row>
    <row r="401" spans="1:17" x14ac:dyDescent="0.35">
      <c r="A401" t="s">
        <v>463</v>
      </c>
      <c r="B401" t="s">
        <v>1016</v>
      </c>
      <c r="C401" t="s">
        <v>2841</v>
      </c>
      <c r="D401" t="s">
        <v>50</v>
      </c>
      <c r="E401">
        <v>4</v>
      </c>
      <c r="F401">
        <v>1</v>
      </c>
      <c r="G401">
        <v>11</v>
      </c>
      <c r="H401">
        <v>1</v>
      </c>
      <c r="I401" t="s">
        <v>1714</v>
      </c>
      <c r="J401" t="s">
        <v>2581</v>
      </c>
      <c r="K401" t="s">
        <v>2939</v>
      </c>
      <c r="L401" s="1" t="str">
        <f>HYPERLINK("https://ovidsp.ovid.com/ovidweb.cgi?T=JS&amp;NEWS=n&amp;CSC=Y&amp;PAGE=toc&amp;D=yrovft&amp;AN=00132589-000000000-00000","https://ovidsp.ovid.com/ovidweb.cgi?T=JS&amp;NEWS=n&amp;CSC=Y&amp;PAGE=toc&amp;D=yrovft&amp;AN=00132589-000000000-00000")</f>
        <v>https://ovidsp.ovid.com/ovidweb.cgi?T=JS&amp;NEWS=n&amp;CSC=Y&amp;PAGE=toc&amp;D=yrovft&amp;AN=00132589-000000000-00000</v>
      </c>
      <c r="M401" t="s">
        <v>909</v>
      </c>
      <c r="N401" t="s">
        <v>2424</v>
      </c>
      <c r="O401" t="s">
        <v>1360</v>
      </c>
      <c r="P401" t="b">
        <v>0</v>
      </c>
      <c r="Q401" t="s">
        <v>2424</v>
      </c>
    </row>
    <row r="402" spans="1:17" x14ac:dyDescent="0.35">
      <c r="A402" t="s">
        <v>1385</v>
      </c>
      <c r="B402" t="s">
        <v>564</v>
      </c>
      <c r="C402" t="s">
        <v>3203</v>
      </c>
      <c r="D402" t="s">
        <v>50</v>
      </c>
      <c r="E402">
        <v>23</v>
      </c>
      <c r="F402">
        <v>4</v>
      </c>
      <c r="G402">
        <v>32</v>
      </c>
      <c r="H402">
        <v>3</v>
      </c>
      <c r="I402" t="s">
        <v>96</v>
      </c>
      <c r="J402" t="s">
        <v>374</v>
      </c>
      <c r="K402" t="s">
        <v>3523</v>
      </c>
      <c r="L402" s="1" t="str">
        <f>HYPERLINK("https://ovidsp.ovid.com/ovidweb.cgi?T=JS&amp;NEWS=n&amp;CSC=Y&amp;PAGE=toc&amp;D=yrovft&amp;AN=00000372-000000000-00000","https://ovidsp.ovid.com/ovidweb.cgi?T=JS&amp;NEWS=n&amp;CSC=Y&amp;PAGE=toc&amp;D=yrovft&amp;AN=00000372-000000000-00000")</f>
        <v>https://ovidsp.ovid.com/ovidweb.cgi?T=JS&amp;NEWS=n&amp;CSC=Y&amp;PAGE=toc&amp;D=yrovft&amp;AN=00000372-000000000-00000</v>
      </c>
      <c r="M402" t="s">
        <v>161</v>
      </c>
      <c r="N402" t="s">
        <v>2424</v>
      </c>
      <c r="O402" t="s">
        <v>896</v>
      </c>
      <c r="P402" t="b">
        <v>1</v>
      </c>
      <c r="Q402" t="s">
        <v>2697</v>
      </c>
    </row>
    <row r="403" spans="1:17" x14ac:dyDescent="0.35">
      <c r="A403" t="s">
        <v>2258</v>
      </c>
      <c r="B403" t="s">
        <v>1603</v>
      </c>
      <c r="C403" t="s">
        <v>2424</v>
      </c>
      <c r="D403" t="s">
        <v>50</v>
      </c>
      <c r="E403">
        <v>21</v>
      </c>
      <c r="F403">
        <v>12</v>
      </c>
      <c r="G403">
        <v>25</v>
      </c>
      <c r="H403">
        <v>5</v>
      </c>
      <c r="I403" t="s">
        <v>2383</v>
      </c>
      <c r="J403" t="s">
        <v>1308</v>
      </c>
      <c r="K403" t="s">
        <v>3523</v>
      </c>
      <c r="L403" s="1" t="str">
        <f>HYPERLINK("https://ovidsp.ovid.com/ovidweb.cgi?T=JS&amp;NEWS=n&amp;CSC=Y&amp;PAGE=toc&amp;D=yrovft&amp;AN=00130561-000000000-00000","https://ovidsp.ovid.com/ovidweb.cgi?T=JS&amp;NEWS=n&amp;CSC=Y&amp;PAGE=toc&amp;D=yrovft&amp;AN=00130561-000000000-00000")</f>
        <v>https://ovidsp.ovid.com/ovidweb.cgi?T=JS&amp;NEWS=n&amp;CSC=Y&amp;PAGE=toc&amp;D=yrovft&amp;AN=00130561-000000000-00000</v>
      </c>
      <c r="M403" t="s">
        <v>1277</v>
      </c>
      <c r="N403" t="s">
        <v>2424</v>
      </c>
      <c r="O403" t="s">
        <v>2422</v>
      </c>
      <c r="P403" t="b">
        <v>0</v>
      </c>
      <c r="Q403" t="s">
        <v>2424</v>
      </c>
    </row>
    <row r="404" spans="1:17" x14ac:dyDescent="0.35">
      <c r="A404" t="s">
        <v>770</v>
      </c>
      <c r="B404" t="s">
        <v>2922</v>
      </c>
      <c r="C404" t="s">
        <v>3585</v>
      </c>
      <c r="D404" t="s">
        <v>50</v>
      </c>
      <c r="E404" t="s">
        <v>213</v>
      </c>
      <c r="F404">
        <v>1</v>
      </c>
      <c r="G404" t="s">
        <v>216</v>
      </c>
      <c r="H404">
        <v>3</v>
      </c>
      <c r="I404" t="s">
        <v>1070</v>
      </c>
      <c r="J404" t="s">
        <v>2756</v>
      </c>
      <c r="K404" t="s">
        <v>2722</v>
      </c>
      <c r="L404" s="1" t="str">
        <f>HYPERLINK("https://ovidsp.ovid.com/ovidweb.cgi?T=JS&amp;NEWS=n&amp;CSC=Y&amp;PAGE=toc&amp;D=yrovft&amp;AN=01714648-000000000-00000","https://ovidsp.ovid.com/ovidweb.cgi?T=JS&amp;NEWS=n&amp;CSC=Y&amp;PAGE=toc&amp;D=yrovft&amp;AN=01714648-000000000-00000")</f>
        <v>https://ovidsp.ovid.com/ovidweb.cgi?T=JS&amp;NEWS=n&amp;CSC=Y&amp;PAGE=toc&amp;D=yrovft&amp;AN=01714648-000000000-00000</v>
      </c>
      <c r="M404" t="s">
        <v>1422</v>
      </c>
      <c r="N404" t="s">
        <v>2424</v>
      </c>
      <c r="O404" t="s">
        <v>1982</v>
      </c>
      <c r="P404" t="b">
        <v>0</v>
      </c>
      <c r="Q404" t="s">
        <v>2424</v>
      </c>
    </row>
    <row r="405" spans="1:17" x14ac:dyDescent="0.35">
      <c r="A405" t="s">
        <v>1685</v>
      </c>
      <c r="B405" t="s">
        <v>388</v>
      </c>
      <c r="C405" t="s">
        <v>3366</v>
      </c>
      <c r="D405" t="s">
        <v>50</v>
      </c>
      <c r="E405">
        <v>8</v>
      </c>
      <c r="F405">
        <v>1</v>
      </c>
      <c r="G405">
        <v>16</v>
      </c>
      <c r="H405">
        <v>2</v>
      </c>
      <c r="I405" t="s">
        <v>1911</v>
      </c>
      <c r="J405" t="s">
        <v>2209</v>
      </c>
      <c r="K405" t="s">
        <v>2939</v>
      </c>
      <c r="L405" s="1" t="str">
        <f>HYPERLINK("https://ovidsp.ovid.com/ovidweb.cgi?T=JS&amp;NEWS=n&amp;CSC=Y&amp;PAGE=toc&amp;D=yrovft&amp;AN=00130404-000000000-00000","https://ovidsp.ovid.com/ovidweb.cgi?T=JS&amp;NEWS=n&amp;CSC=Y&amp;PAGE=toc&amp;D=yrovft&amp;AN=00130404-000000000-00000")</f>
        <v>https://ovidsp.ovid.com/ovidweb.cgi?T=JS&amp;NEWS=n&amp;CSC=Y&amp;PAGE=toc&amp;D=yrovft&amp;AN=00130404-000000000-00000</v>
      </c>
      <c r="M405" t="s">
        <v>905</v>
      </c>
      <c r="N405" t="s">
        <v>2424</v>
      </c>
      <c r="O405" t="s">
        <v>3483</v>
      </c>
      <c r="P405" t="b">
        <v>0</v>
      </c>
      <c r="Q405" t="s">
        <v>2424</v>
      </c>
    </row>
    <row r="406" spans="1:17" x14ac:dyDescent="0.35">
      <c r="A406" t="s">
        <v>3012</v>
      </c>
      <c r="B406" t="s">
        <v>168</v>
      </c>
      <c r="C406" t="s">
        <v>3552</v>
      </c>
      <c r="D406" t="s">
        <v>50</v>
      </c>
      <c r="E406">
        <v>17</v>
      </c>
      <c r="F406">
        <v>3</v>
      </c>
      <c r="G406">
        <v>31</v>
      </c>
      <c r="H406">
        <v>4</v>
      </c>
      <c r="I406" t="s">
        <v>3282</v>
      </c>
      <c r="J406" t="s">
        <v>1281</v>
      </c>
      <c r="K406" t="s">
        <v>1640</v>
      </c>
      <c r="L406" s="1" t="str">
        <f>HYPERLINK("https://ovidsp.ovid.com/ovidweb.cgi?T=JS&amp;NEWS=n&amp;CSC=Y&amp;PAGE=toc&amp;D=yrovft&amp;AN=00002508-000000000-00000","https://ovidsp.ovid.com/ovidweb.cgi?T=JS&amp;NEWS=n&amp;CSC=Y&amp;PAGE=toc&amp;D=yrovft&amp;AN=00002508-000000000-00000")</f>
        <v>https://ovidsp.ovid.com/ovidweb.cgi?T=JS&amp;NEWS=n&amp;CSC=Y&amp;PAGE=toc&amp;D=yrovft&amp;AN=00002508-000000000-00000</v>
      </c>
      <c r="M406" t="s">
        <v>827</v>
      </c>
      <c r="N406" t="s">
        <v>2424</v>
      </c>
      <c r="O406" t="s">
        <v>1231</v>
      </c>
      <c r="P406" t="b">
        <v>1</v>
      </c>
      <c r="Q406" t="s">
        <v>2718</v>
      </c>
    </row>
    <row r="407" spans="1:17" x14ac:dyDescent="0.35">
      <c r="A407" t="s">
        <v>1175</v>
      </c>
      <c r="B407" t="s">
        <v>784</v>
      </c>
      <c r="C407" t="s">
        <v>2424</v>
      </c>
      <c r="D407" t="s">
        <v>50</v>
      </c>
      <c r="E407">
        <v>11</v>
      </c>
      <c r="F407">
        <v>1</v>
      </c>
      <c r="G407">
        <v>20</v>
      </c>
      <c r="H407">
        <v>2</v>
      </c>
      <c r="I407" t="s">
        <v>1795</v>
      </c>
      <c r="J407" t="s">
        <v>2909</v>
      </c>
      <c r="K407" t="s">
        <v>2939</v>
      </c>
      <c r="L407" s="1" t="str">
        <f>HYPERLINK("https://ovidsp.ovid.com/ovidweb.cgi?T=JS&amp;NEWS=n&amp;CSC=Y&amp;PAGE=toc&amp;D=yrovft&amp;AN=00019616-000000000-00000","https://ovidsp.ovid.com/ovidweb.cgi?T=JS&amp;NEWS=n&amp;CSC=Y&amp;PAGE=toc&amp;D=yrovft&amp;AN=00019616-000000000-00000")</f>
        <v>https://ovidsp.ovid.com/ovidweb.cgi?T=JS&amp;NEWS=n&amp;CSC=Y&amp;PAGE=toc&amp;D=yrovft&amp;AN=00019616-000000000-00000</v>
      </c>
      <c r="M407" t="s">
        <v>2201</v>
      </c>
      <c r="N407" t="s">
        <v>2424</v>
      </c>
      <c r="O407" t="s">
        <v>3450</v>
      </c>
      <c r="P407" t="b">
        <v>0</v>
      </c>
      <c r="Q407" t="s">
        <v>2424</v>
      </c>
    </row>
    <row r="408" spans="1:17" x14ac:dyDescent="0.35">
      <c r="A408" t="s">
        <v>2234</v>
      </c>
      <c r="B408" t="s">
        <v>236</v>
      </c>
      <c r="C408" t="s">
        <v>2675</v>
      </c>
      <c r="D408" t="s">
        <v>50</v>
      </c>
      <c r="E408">
        <v>20</v>
      </c>
      <c r="F408">
        <v>3</v>
      </c>
      <c r="G408">
        <v>29</v>
      </c>
      <c r="H408">
        <v>2</v>
      </c>
      <c r="I408" t="s">
        <v>3294</v>
      </c>
      <c r="J408" t="s">
        <v>2249</v>
      </c>
      <c r="K408" t="s">
        <v>2461</v>
      </c>
      <c r="L408" s="1" t="str">
        <f>HYPERLINK("https://ovidsp.ovid.com/ovidweb.cgi?T=JS&amp;NEWS=n&amp;CSC=Y&amp;PAGE=toc&amp;D=yrovft&amp;AN=00126450-000000000-00000","https://ovidsp.ovid.com/ovidweb.cgi?T=JS&amp;NEWS=n&amp;CSC=Y&amp;PAGE=toc&amp;D=yrovft&amp;AN=00126450-000000000-00000")</f>
        <v>https://ovidsp.ovid.com/ovidweb.cgi?T=JS&amp;NEWS=n&amp;CSC=Y&amp;PAGE=toc&amp;D=yrovft&amp;AN=00126450-000000000-00000</v>
      </c>
      <c r="M408" t="s">
        <v>1550</v>
      </c>
      <c r="N408" t="s">
        <v>2424</v>
      </c>
      <c r="O408" t="s">
        <v>139</v>
      </c>
      <c r="P408" t="b">
        <v>0</v>
      </c>
      <c r="Q408" t="s">
        <v>2424</v>
      </c>
    </row>
    <row r="409" spans="1:17" x14ac:dyDescent="0.35">
      <c r="A409" t="s">
        <v>3243</v>
      </c>
      <c r="B409" t="s">
        <v>862</v>
      </c>
      <c r="C409" t="s">
        <v>2424</v>
      </c>
      <c r="D409" t="s">
        <v>50</v>
      </c>
      <c r="E409">
        <v>47</v>
      </c>
      <c r="F409">
        <v>1</v>
      </c>
      <c r="G409">
        <v>63</v>
      </c>
      <c r="H409">
        <v>4</v>
      </c>
      <c r="I409" t="s">
        <v>703</v>
      </c>
      <c r="J409" t="s">
        <v>16</v>
      </c>
      <c r="K409" t="s">
        <v>2461</v>
      </c>
      <c r="L409" s="1" t="str">
        <f>HYPERLINK("https://ovidsp.ovid.com/ovidweb.cgi?T=JS&amp;NEWS=n&amp;CSC=Y&amp;PAGE=toc&amp;D=yrovft&amp;AN=00025572-000000000-00000","https://ovidsp.ovid.com/ovidweb.cgi?T=JS&amp;NEWS=n&amp;CSC=Y&amp;PAGE=toc&amp;D=yrovft&amp;AN=00025572-000000000-00000")</f>
        <v>https://ovidsp.ovid.com/ovidweb.cgi?T=JS&amp;NEWS=n&amp;CSC=Y&amp;PAGE=toc&amp;D=yrovft&amp;AN=00025572-000000000-00000</v>
      </c>
      <c r="M409" t="s">
        <v>2835</v>
      </c>
      <c r="N409" t="s">
        <v>2424</v>
      </c>
      <c r="O409" t="s">
        <v>1866</v>
      </c>
      <c r="P409" t="b">
        <v>0</v>
      </c>
      <c r="Q409" t="s">
        <v>2424</v>
      </c>
    </row>
    <row r="410" spans="1:17" x14ac:dyDescent="0.35">
      <c r="A410" t="s">
        <v>990</v>
      </c>
      <c r="B410" t="s">
        <v>3724</v>
      </c>
      <c r="C410" t="s">
        <v>2424</v>
      </c>
      <c r="D410" t="s">
        <v>654</v>
      </c>
      <c r="E410">
        <v>30</v>
      </c>
      <c r="F410">
        <v>2</v>
      </c>
      <c r="G410">
        <v>31</v>
      </c>
      <c r="H410">
        <v>4</v>
      </c>
      <c r="I410" t="s">
        <v>3595</v>
      </c>
      <c r="J410" t="s">
        <v>2069</v>
      </c>
      <c r="K410" t="s">
        <v>280</v>
      </c>
      <c r="L410" s="1" t="str">
        <f>HYPERLINK("https://ovidsp.ovid.com/ovidweb.cgi?T=JS&amp;NEWS=n&amp;CSC=Y&amp;PAGE=toc&amp;D=yrovft&amp;AN=00075484-000000000-00000","https://ovidsp.ovid.com/ovidweb.cgi?T=JS&amp;NEWS=n&amp;CSC=Y&amp;PAGE=toc&amp;D=yrovft&amp;AN=00075484-000000000-00000")</f>
        <v>https://ovidsp.ovid.com/ovidweb.cgi?T=JS&amp;NEWS=n&amp;CSC=Y&amp;PAGE=toc&amp;D=yrovft&amp;AN=00075484-000000000-00000</v>
      </c>
      <c r="M410" t="s">
        <v>1322</v>
      </c>
      <c r="N410" t="s">
        <v>2424</v>
      </c>
      <c r="O410" t="s">
        <v>2507</v>
      </c>
      <c r="P410" t="b">
        <v>0</v>
      </c>
      <c r="Q410" t="s">
        <v>2424</v>
      </c>
    </row>
    <row r="411" spans="1:17" x14ac:dyDescent="0.35">
      <c r="A411" t="s">
        <v>3548</v>
      </c>
      <c r="B411" t="s">
        <v>1185</v>
      </c>
      <c r="C411" t="s">
        <v>2793</v>
      </c>
      <c r="D411" t="s">
        <v>50</v>
      </c>
      <c r="E411">
        <v>17</v>
      </c>
      <c r="F411">
        <v>3</v>
      </c>
      <c r="G411">
        <v>26</v>
      </c>
      <c r="H411">
        <v>1</v>
      </c>
      <c r="I411" t="s">
        <v>1528</v>
      </c>
      <c r="J411" t="s">
        <v>1281</v>
      </c>
      <c r="K411" t="s">
        <v>2939</v>
      </c>
      <c r="L411" s="1" t="str">
        <f>HYPERLINK("https://ovidsp.ovid.com/ovidweb.cgi?T=JS&amp;NEWS=n&amp;CSC=Y&amp;PAGE=toc&amp;D=yrovft&amp;AN=00124509-000000000-00000","https://ovidsp.ovid.com/ovidweb.cgi?T=JS&amp;NEWS=n&amp;CSC=Y&amp;PAGE=toc&amp;D=yrovft&amp;AN=00124509-000000000-00000")</f>
        <v>https://ovidsp.ovid.com/ovidweb.cgi?T=JS&amp;NEWS=n&amp;CSC=Y&amp;PAGE=toc&amp;D=yrovft&amp;AN=00124509-000000000-00000</v>
      </c>
      <c r="M411" t="s">
        <v>3575</v>
      </c>
      <c r="N411" t="s">
        <v>2424</v>
      </c>
      <c r="O411" t="s">
        <v>3423</v>
      </c>
      <c r="P411" t="b">
        <v>1</v>
      </c>
      <c r="Q411" t="s">
        <v>1280</v>
      </c>
    </row>
    <row r="412" spans="1:17" x14ac:dyDescent="0.35">
      <c r="A412" t="s">
        <v>3576</v>
      </c>
      <c r="B412" t="s">
        <v>1828</v>
      </c>
      <c r="C412" t="s">
        <v>2424</v>
      </c>
      <c r="D412" t="s">
        <v>1615</v>
      </c>
      <c r="E412">
        <v>51</v>
      </c>
      <c r="F412">
        <v>3</v>
      </c>
      <c r="G412">
        <v>53</v>
      </c>
      <c r="H412">
        <v>4</v>
      </c>
      <c r="I412" t="s">
        <v>1138</v>
      </c>
      <c r="J412" t="s">
        <v>2249</v>
      </c>
      <c r="K412" t="s">
        <v>2026</v>
      </c>
      <c r="L412" s="1" t="str">
        <f>HYPERLINK("https://ovidsp.ovid.com/ovidweb.cgi?T=JS&amp;NEWS=n&amp;CSC=Y&amp;PAGE=toc&amp;D=yrovft&amp;AN=00004790-000000000-00000","https://ovidsp.ovid.com/ovidweb.cgi?T=JS&amp;NEWS=n&amp;CSC=Y&amp;PAGE=toc&amp;D=yrovft&amp;AN=00004790-000000000-00000")</f>
        <v>https://ovidsp.ovid.com/ovidweb.cgi?T=JS&amp;NEWS=n&amp;CSC=Y&amp;PAGE=toc&amp;D=yrovft&amp;AN=00004790-000000000-00000</v>
      </c>
      <c r="M412" t="s">
        <v>1441</v>
      </c>
      <c r="N412" t="s">
        <v>2424</v>
      </c>
      <c r="O412" t="s">
        <v>2252</v>
      </c>
      <c r="P412" t="b">
        <v>0</v>
      </c>
      <c r="Q412" t="s">
        <v>2424</v>
      </c>
    </row>
    <row r="413" spans="1:17" x14ac:dyDescent="0.35">
      <c r="A413" t="s">
        <v>3286</v>
      </c>
      <c r="B413" t="s">
        <v>2424</v>
      </c>
      <c r="C413" t="s">
        <v>2424</v>
      </c>
      <c r="D413" t="s">
        <v>50</v>
      </c>
      <c r="E413">
        <v>9</v>
      </c>
      <c r="F413">
        <v>2</v>
      </c>
      <c r="G413">
        <v>16</v>
      </c>
      <c r="H413">
        <v>2</v>
      </c>
      <c r="I413" t="s">
        <v>1714</v>
      </c>
      <c r="J413" t="s">
        <v>2581</v>
      </c>
      <c r="K413" t="s">
        <v>2939</v>
      </c>
      <c r="L413" s="1" t="str">
        <f>HYPERLINK("https://ovidsp.ovid.com/ovidweb.cgi?T=JS&amp;NEWS=n&amp;CSC=Y&amp;PAGE=toc&amp;D=yrovft&amp;AN=00127893-000000000-00000","https://ovidsp.ovid.com/ovidweb.cgi?T=JS&amp;NEWS=n&amp;CSC=Y&amp;PAGE=toc&amp;D=yrovft&amp;AN=00127893-000000000-00000")</f>
        <v>https://ovidsp.ovid.com/ovidweb.cgi?T=JS&amp;NEWS=n&amp;CSC=Y&amp;PAGE=toc&amp;D=yrovft&amp;AN=00127893-000000000-00000</v>
      </c>
      <c r="M413" t="s">
        <v>664</v>
      </c>
      <c r="N413" t="s">
        <v>2424</v>
      </c>
      <c r="O413" t="s">
        <v>77</v>
      </c>
      <c r="P413" t="b">
        <v>1</v>
      </c>
      <c r="Q413" t="s">
        <v>1156</v>
      </c>
    </row>
    <row r="414" spans="1:17" x14ac:dyDescent="0.35">
      <c r="A414" t="s">
        <v>705</v>
      </c>
      <c r="B414" t="s">
        <v>2414</v>
      </c>
      <c r="C414" t="s">
        <v>2424</v>
      </c>
      <c r="D414" t="s">
        <v>50</v>
      </c>
      <c r="E414">
        <v>29</v>
      </c>
      <c r="F414">
        <v>1</v>
      </c>
      <c r="G414">
        <v>35</v>
      </c>
      <c r="H414">
        <v>5</v>
      </c>
      <c r="I414" t="s">
        <v>1527</v>
      </c>
      <c r="J414" t="s">
        <v>1903</v>
      </c>
      <c r="K414" t="s">
        <v>3523</v>
      </c>
      <c r="L414" s="1" t="str">
        <f>HYPERLINK("https://ovidsp.ovid.com/ovidweb.cgi?T=JS&amp;NEWS=n&amp;CSC=Y&amp;PAGE=toc&amp;D=yrovft&amp;AN=00006205-000000000-00000","https://ovidsp.ovid.com/ovidweb.cgi?T=JS&amp;NEWS=n&amp;CSC=Y&amp;PAGE=toc&amp;D=yrovft&amp;AN=00006205-000000000-00000")</f>
        <v>https://ovidsp.ovid.com/ovidweb.cgi?T=JS&amp;NEWS=n&amp;CSC=Y&amp;PAGE=toc&amp;D=yrovft&amp;AN=00006205-000000000-00000</v>
      </c>
      <c r="M414" t="s">
        <v>934</v>
      </c>
      <c r="N414" t="s">
        <v>2424</v>
      </c>
      <c r="O414" t="s">
        <v>430</v>
      </c>
      <c r="P414" t="b">
        <v>0</v>
      </c>
      <c r="Q414" t="s">
        <v>2424</v>
      </c>
    </row>
    <row r="415" spans="1:17" x14ac:dyDescent="0.35">
      <c r="A415" t="s">
        <v>479</v>
      </c>
      <c r="B415" t="s">
        <v>83</v>
      </c>
      <c r="C415" t="s">
        <v>2424</v>
      </c>
      <c r="D415" t="s">
        <v>50</v>
      </c>
      <c r="E415">
        <v>10</v>
      </c>
      <c r="F415">
        <v>3</v>
      </c>
      <c r="G415">
        <v>11</v>
      </c>
      <c r="H415">
        <v>1</v>
      </c>
      <c r="I415" t="s">
        <v>2657</v>
      </c>
      <c r="J415" t="s">
        <v>1034</v>
      </c>
      <c r="K415" t="s">
        <v>1903</v>
      </c>
      <c r="L415" s="1" t="str">
        <f>HYPERLINK("https://ovidsp.ovid.com/ovidweb.cgi?T=JS&amp;NEWS=n&amp;CSC=Y&amp;PAGE=toc&amp;D=yrovft&amp;AN=00042423-000000000-00000","https://ovidsp.ovid.com/ovidweb.cgi?T=JS&amp;NEWS=n&amp;CSC=Y&amp;PAGE=toc&amp;D=yrovft&amp;AN=00042423-000000000-00000")</f>
        <v>https://ovidsp.ovid.com/ovidweb.cgi?T=JS&amp;NEWS=n&amp;CSC=Y&amp;PAGE=toc&amp;D=yrovft&amp;AN=00042423-000000000-00000</v>
      </c>
      <c r="M415" t="s">
        <v>3378</v>
      </c>
      <c r="N415" t="s">
        <v>2424</v>
      </c>
      <c r="O415" t="s">
        <v>843</v>
      </c>
      <c r="P415" t="b">
        <v>0</v>
      </c>
      <c r="Q415" t="s">
        <v>2424</v>
      </c>
    </row>
    <row r="416" spans="1:17" x14ac:dyDescent="0.35">
      <c r="A416" t="s">
        <v>864</v>
      </c>
      <c r="B416" t="s">
        <v>709</v>
      </c>
      <c r="C416" t="s">
        <v>3266</v>
      </c>
      <c r="D416" t="s">
        <v>158</v>
      </c>
      <c r="E416">
        <v>56</v>
      </c>
      <c r="F416">
        <v>11</v>
      </c>
      <c r="G416">
        <v>59</v>
      </c>
      <c r="H416">
        <v>4</v>
      </c>
      <c r="I416" t="s">
        <v>1510</v>
      </c>
      <c r="J416" t="s">
        <v>3298</v>
      </c>
      <c r="K416" t="s">
        <v>2026</v>
      </c>
      <c r="L416" s="1" t="str">
        <f>HYPERLINK("https://ovidsp.ovid.com/ovidweb.cgi?T=JS&amp;NEWS=n&amp;CSC=Y&amp;PAGE=toc&amp;D=yrovft&amp;AN=00007783-000000000-00000","https://ovidsp.ovid.com/ovidweb.cgi?T=JS&amp;NEWS=n&amp;CSC=Y&amp;PAGE=toc&amp;D=yrovft&amp;AN=00007783-000000000-00000")</f>
        <v>https://ovidsp.ovid.com/ovidweb.cgi?T=JS&amp;NEWS=n&amp;CSC=Y&amp;PAGE=toc&amp;D=yrovft&amp;AN=00007783-000000000-00000</v>
      </c>
      <c r="M416" t="s">
        <v>1498</v>
      </c>
      <c r="N416" t="s">
        <v>2424</v>
      </c>
      <c r="O416" t="s">
        <v>1190</v>
      </c>
      <c r="P416" t="b">
        <v>1</v>
      </c>
      <c r="Q416" t="s">
        <v>3322</v>
      </c>
    </row>
    <row r="417" spans="1:17" x14ac:dyDescent="0.35">
      <c r="A417" t="s">
        <v>2543</v>
      </c>
      <c r="B417" t="s">
        <v>1254</v>
      </c>
      <c r="C417" t="s">
        <v>2424</v>
      </c>
      <c r="D417" t="s">
        <v>50</v>
      </c>
      <c r="E417">
        <v>17</v>
      </c>
      <c r="F417">
        <v>2</v>
      </c>
      <c r="G417">
        <v>25</v>
      </c>
      <c r="H417">
        <v>1</v>
      </c>
      <c r="I417" t="s">
        <v>3118</v>
      </c>
      <c r="J417" t="s">
        <v>2249</v>
      </c>
      <c r="K417" t="s">
        <v>840</v>
      </c>
      <c r="L417" s="1" t="str">
        <f>HYPERLINK("https://ovidsp.ovid.com/ovidweb.cgi?T=JS&amp;NEWS=n&amp;CSC=Y&amp;PAGE=toc&amp;D=yrovft&amp;AN=00008486-000000000-00000","https://ovidsp.ovid.com/ovidweb.cgi?T=JS&amp;NEWS=n&amp;CSC=Y&amp;PAGE=toc&amp;D=yrovft&amp;AN=00008486-000000000-00000")</f>
        <v>https://ovidsp.ovid.com/ovidweb.cgi?T=JS&amp;NEWS=n&amp;CSC=Y&amp;PAGE=toc&amp;D=yrovft&amp;AN=00008486-000000000-00000</v>
      </c>
      <c r="M417" t="s">
        <v>1215</v>
      </c>
      <c r="N417" t="s">
        <v>2424</v>
      </c>
      <c r="O417" t="s">
        <v>3182</v>
      </c>
      <c r="P417" t="b">
        <v>0</v>
      </c>
      <c r="Q417" t="s">
        <v>2424</v>
      </c>
    </row>
    <row r="418" spans="1:17" x14ac:dyDescent="0.35">
      <c r="A418" t="s">
        <v>1732</v>
      </c>
      <c r="B418" t="s">
        <v>3191</v>
      </c>
      <c r="C418" t="s">
        <v>2424</v>
      </c>
      <c r="D418" t="s">
        <v>50</v>
      </c>
      <c r="E418">
        <v>25</v>
      </c>
      <c r="F418">
        <v>1</v>
      </c>
      <c r="G418">
        <v>26</v>
      </c>
      <c r="H418">
        <v>4</v>
      </c>
      <c r="I418" t="s">
        <v>2590</v>
      </c>
      <c r="J418" t="s">
        <v>1145</v>
      </c>
      <c r="K418" t="s">
        <v>280</v>
      </c>
      <c r="L418" s="1" t="str">
        <f>HYPERLINK("https://ovidsp.ovid.com/ovidweb.cgi?T=JS&amp;NEWS=n&amp;CSC=Y&amp;PAGE=toc&amp;D=yrovft&amp;AN=00007815-000000000-00000","https://ovidsp.ovid.com/ovidweb.cgi?T=JS&amp;NEWS=n&amp;CSC=Y&amp;PAGE=toc&amp;D=yrovft&amp;AN=00007815-000000000-00000")</f>
        <v>https://ovidsp.ovid.com/ovidweb.cgi?T=JS&amp;NEWS=n&amp;CSC=Y&amp;PAGE=toc&amp;D=yrovft&amp;AN=00007815-000000000-00000</v>
      </c>
      <c r="M418" t="s">
        <v>3650</v>
      </c>
      <c r="N418" t="s">
        <v>2424</v>
      </c>
      <c r="O418" t="s">
        <v>780</v>
      </c>
      <c r="P418" t="b">
        <v>0</v>
      </c>
      <c r="Q418" t="s">
        <v>2424</v>
      </c>
    </row>
    <row r="419" spans="1:17" x14ac:dyDescent="0.35">
      <c r="A419" t="s">
        <v>2144</v>
      </c>
      <c r="B419" t="s">
        <v>501</v>
      </c>
      <c r="C419" t="s">
        <v>2424</v>
      </c>
      <c r="D419" t="s">
        <v>50</v>
      </c>
      <c r="E419">
        <v>19</v>
      </c>
      <c r="F419">
        <v>1</v>
      </c>
      <c r="G419">
        <v>26</v>
      </c>
      <c r="H419">
        <v>1</v>
      </c>
      <c r="I419" t="s">
        <v>1553</v>
      </c>
      <c r="J419" t="s">
        <v>1145</v>
      </c>
      <c r="K419" t="s">
        <v>840</v>
      </c>
      <c r="L419" s="1" t="str">
        <f>HYPERLINK("https://ovidsp.ovid.com/ovidweb.cgi?T=JS&amp;NEWS=n&amp;CSC=Y&amp;PAGE=toc&amp;D=yrovft&amp;AN=00013614-000000000-00000","https://ovidsp.ovid.com/ovidweb.cgi?T=JS&amp;NEWS=n&amp;CSC=Y&amp;PAGE=toc&amp;D=yrovft&amp;AN=00013614-000000000-00000")</f>
        <v>https://ovidsp.ovid.com/ovidweb.cgi?T=JS&amp;NEWS=n&amp;CSC=Y&amp;PAGE=toc&amp;D=yrovft&amp;AN=00013614-000000000-00000</v>
      </c>
      <c r="M419" t="s">
        <v>238</v>
      </c>
      <c r="N419" t="s">
        <v>2424</v>
      </c>
      <c r="O419" t="s">
        <v>3519</v>
      </c>
      <c r="P419" t="b">
        <v>0</v>
      </c>
      <c r="Q419" t="s">
        <v>2424</v>
      </c>
    </row>
    <row r="420" spans="1:17" x14ac:dyDescent="0.35">
      <c r="A420" t="s">
        <v>855</v>
      </c>
      <c r="B420" t="s">
        <v>1761</v>
      </c>
      <c r="C420" t="s">
        <v>2424</v>
      </c>
      <c r="D420" t="s">
        <v>50</v>
      </c>
      <c r="E420">
        <v>22</v>
      </c>
      <c r="F420">
        <v>1</v>
      </c>
      <c r="G420">
        <v>30</v>
      </c>
      <c r="H420">
        <v>1</v>
      </c>
      <c r="I420" t="s">
        <v>2443</v>
      </c>
      <c r="J420" t="s">
        <v>3298</v>
      </c>
      <c r="K420" t="s">
        <v>840</v>
      </c>
      <c r="L420" s="1" t="str">
        <f>HYPERLINK("https://ovidsp.ovid.com/ovidweb.cgi?T=JS&amp;NEWS=n&amp;CSC=Y&amp;PAGE=toc&amp;D=yrovft&amp;AN=00011363-000000000-00000","https://ovidsp.ovid.com/ovidweb.cgi?T=JS&amp;NEWS=n&amp;CSC=Y&amp;PAGE=toc&amp;D=yrovft&amp;AN=00011363-000000000-00000")</f>
        <v>https://ovidsp.ovid.com/ovidweb.cgi?T=JS&amp;NEWS=n&amp;CSC=Y&amp;PAGE=toc&amp;D=yrovft&amp;AN=00011363-000000000-00000</v>
      </c>
      <c r="M420" t="s">
        <v>3384</v>
      </c>
      <c r="N420" t="s">
        <v>2424</v>
      </c>
      <c r="O420" t="s">
        <v>2264</v>
      </c>
      <c r="P420" t="b">
        <v>0</v>
      </c>
      <c r="Q420" t="s">
        <v>2424</v>
      </c>
    </row>
    <row r="421" spans="1:17" x14ac:dyDescent="0.35">
      <c r="A421" t="s">
        <v>227</v>
      </c>
      <c r="B421" t="s">
        <v>1806</v>
      </c>
      <c r="C421" t="s">
        <v>2424</v>
      </c>
      <c r="D421" t="s">
        <v>50</v>
      </c>
      <c r="E421">
        <v>22</v>
      </c>
      <c r="F421">
        <v>6</v>
      </c>
      <c r="G421">
        <v>25</v>
      </c>
      <c r="H421">
        <v>10</v>
      </c>
      <c r="I421" t="s">
        <v>1675</v>
      </c>
      <c r="J421" t="s">
        <v>666</v>
      </c>
      <c r="K421" t="s">
        <v>3523</v>
      </c>
      <c r="L421" s="1" t="str">
        <f>HYPERLINK("https://ovidsp.ovid.com/ovidweb.cgi?T=JS&amp;NEWS=n&amp;CSC=Y&amp;PAGE=toc&amp;D=yrovft&amp;AN=00587875-000000000-00000","https://ovidsp.ovid.com/ovidweb.cgi?T=JS&amp;NEWS=n&amp;CSC=Y&amp;PAGE=toc&amp;D=yrovft&amp;AN=00587875-000000000-00000")</f>
        <v>https://ovidsp.ovid.com/ovidweb.cgi?T=JS&amp;NEWS=n&amp;CSC=Y&amp;PAGE=toc&amp;D=yrovft&amp;AN=00587875-000000000-00000</v>
      </c>
      <c r="M421" t="s">
        <v>3060</v>
      </c>
      <c r="N421" t="s">
        <v>2424</v>
      </c>
      <c r="O421" t="s">
        <v>3180</v>
      </c>
      <c r="P421" t="b">
        <v>0</v>
      </c>
      <c r="Q421" t="s">
        <v>2424</v>
      </c>
    </row>
    <row r="422" spans="1:17" x14ac:dyDescent="0.35">
      <c r="A422" t="s">
        <v>72</v>
      </c>
      <c r="B422" t="s">
        <v>3676</v>
      </c>
      <c r="C422" t="s">
        <v>1656</v>
      </c>
      <c r="D422" t="s">
        <v>2855</v>
      </c>
      <c r="E422">
        <v>107</v>
      </c>
      <c r="F422">
        <v>1</v>
      </c>
      <c r="G422">
        <v>112</v>
      </c>
      <c r="H422">
        <v>2</v>
      </c>
      <c r="I422" t="s">
        <v>1517</v>
      </c>
      <c r="J422" t="s">
        <v>3622</v>
      </c>
      <c r="K422" t="s">
        <v>2957</v>
      </c>
      <c r="L422" s="1" t="str">
        <f>HYPERLINK("https://ovidsp.ovid.com/ovidweb.cgi?T=JS&amp;NEWS=n&amp;CSC=Y&amp;PAGE=toc&amp;D=yrovft&amp;AN=00115742-000000000-00000","https://ovidsp.ovid.com/ovidweb.cgi?T=JS&amp;NEWS=n&amp;CSC=Y&amp;PAGE=toc&amp;D=yrovft&amp;AN=00115742-000000000-00000")</f>
        <v>https://ovidsp.ovid.com/ovidweb.cgi?T=JS&amp;NEWS=n&amp;CSC=Y&amp;PAGE=toc&amp;D=yrovft&amp;AN=00115742-000000000-00000</v>
      </c>
      <c r="M422" t="s">
        <v>852</v>
      </c>
      <c r="N422" t="s">
        <v>2424</v>
      </c>
      <c r="O422" t="s">
        <v>3617</v>
      </c>
      <c r="P422" t="b">
        <v>1</v>
      </c>
      <c r="Q422" t="s">
        <v>470</v>
      </c>
    </row>
    <row r="423" spans="1:17" x14ac:dyDescent="0.35">
      <c r="A423" t="s">
        <v>2290</v>
      </c>
      <c r="B423" t="s">
        <v>2567</v>
      </c>
      <c r="C423" t="s">
        <v>1565</v>
      </c>
      <c r="D423" t="s">
        <v>50</v>
      </c>
      <c r="E423">
        <v>121</v>
      </c>
      <c r="F423">
        <v>0</v>
      </c>
      <c r="G423">
        <v>128</v>
      </c>
      <c r="H423">
        <v>0</v>
      </c>
      <c r="I423" t="s">
        <v>1553</v>
      </c>
      <c r="J423" t="s">
        <v>1145</v>
      </c>
      <c r="K423" t="s">
        <v>840</v>
      </c>
      <c r="L423" s="1" t="str">
        <f>HYPERLINK("https://ovidsp.ovid.com/ovidweb.cgi?T=JS&amp;NEWS=n&amp;CSC=Y&amp;PAGE=toc&amp;D=yrovft&amp;AN=00153307-000000000-00000","https://ovidsp.ovid.com/ovidweb.cgi?T=JS&amp;NEWS=n&amp;CSC=Y&amp;PAGE=toc&amp;D=yrovft&amp;AN=00153307-000000000-00000")</f>
        <v>https://ovidsp.ovid.com/ovidweb.cgi?T=JS&amp;NEWS=n&amp;CSC=Y&amp;PAGE=toc&amp;D=yrovft&amp;AN=00153307-000000000-00000</v>
      </c>
      <c r="M423" t="s">
        <v>2607</v>
      </c>
      <c r="N423" t="s">
        <v>2424</v>
      </c>
      <c r="O423" t="s">
        <v>3309</v>
      </c>
      <c r="P423" t="b">
        <v>0</v>
      </c>
      <c r="Q423" t="s">
        <v>2424</v>
      </c>
    </row>
    <row r="424" spans="1:17" x14ac:dyDescent="0.35">
      <c r="A424" t="s">
        <v>1535</v>
      </c>
      <c r="B424" t="s">
        <v>2351</v>
      </c>
      <c r="C424" t="s">
        <v>1565</v>
      </c>
      <c r="D424" t="s">
        <v>50</v>
      </c>
      <c r="E424">
        <v>115</v>
      </c>
      <c r="F424">
        <v>0</v>
      </c>
      <c r="G424">
        <v>115</v>
      </c>
      <c r="H424">
        <v>0</v>
      </c>
      <c r="I424" t="s">
        <v>781</v>
      </c>
      <c r="J424" t="s">
        <v>1145</v>
      </c>
      <c r="K424" t="s">
        <v>1145</v>
      </c>
      <c r="L424" s="1" t="str">
        <f>HYPERLINK("https://ovidsp.ovid.com/ovidweb.cgi?T=JS&amp;NEWS=n&amp;CSC=Y&amp;PAGE=toc&amp;D=yrovft&amp;AN=00594858-000000000-00000","https://ovidsp.ovid.com/ovidweb.cgi?T=JS&amp;NEWS=n&amp;CSC=Y&amp;PAGE=toc&amp;D=yrovft&amp;AN=00594858-000000000-00000")</f>
        <v>https://ovidsp.ovid.com/ovidweb.cgi?T=JS&amp;NEWS=n&amp;CSC=Y&amp;PAGE=toc&amp;D=yrovft&amp;AN=00594858-000000000-00000</v>
      </c>
      <c r="M424" t="s">
        <v>1388</v>
      </c>
      <c r="N424" t="s">
        <v>2424</v>
      </c>
      <c r="O424" t="s">
        <v>3759</v>
      </c>
      <c r="P424" t="b">
        <v>0</v>
      </c>
      <c r="Q424" t="s">
        <v>2424</v>
      </c>
    </row>
    <row r="425" spans="1:17" x14ac:dyDescent="0.35">
      <c r="A425" t="s">
        <v>1884</v>
      </c>
      <c r="B425" t="s">
        <v>2301</v>
      </c>
      <c r="C425" t="s">
        <v>1435</v>
      </c>
      <c r="D425" t="s">
        <v>50</v>
      </c>
      <c r="E425">
        <v>72</v>
      </c>
      <c r="F425">
        <v>1</v>
      </c>
      <c r="G425">
        <v>99</v>
      </c>
      <c r="H425">
        <v>4</v>
      </c>
      <c r="I425" t="s">
        <v>1436</v>
      </c>
      <c r="J425" t="s">
        <v>299</v>
      </c>
      <c r="K425" t="s">
        <v>1640</v>
      </c>
      <c r="L425" s="1" t="str">
        <f>HYPERLINK("https://ovidsp.ovid.com/ovidweb.cgi?T=JS&amp;NEWS=n&amp;CSC=Y&amp;PAGE=toc&amp;D=yrovft&amp;AN=00007890-000000000-00000","https://ovidsp.ovid.com/ovidweb.cgi?T=JS&amp;NEWS=n&amp;CSC=Y&amp;PAGE=toc&amp;D=yrovft&amp;AN=00007890-000000000-00000")</f>
        <v>https://ovidsp.ovid.com/ovidweb.cgi?T=JS&amp;NEWS=n&amp;CSC=Y&amp;PAGE=toc&amp;D=yrovft&amp;AN=00007890-000000000-00000</v>
      </c>
      <c r="M425" t="s">
        <v>512</v>
      </c>
      <c r="N425" t="s">
        <v>2424</v>
      </c>
      <c r="O425" t="s">
        <v>3791</v>
      </c>
      <c r="P425" t="b">
        <v>1</v>
      </c>
      <c r="Q425" t="s">
        <v>194</v>
      </c>
    </row>
    <row r="426" spans="1:17" x14ac:dyDescent="0.35">
      <c r="A426" t="s">
        <v>399</v>
      </c>
      <c r="B426" t="s">
        <v>858</v>
      </c>
      <c r="C426" t="s">
        <v>3358</v>
      </c>
      <c r="D426" t="s">
        <v>50</v>
      </c>
      <c r="E426">
        <v>19</v>
      </c>
      <c r="F426">
        <v>1</v>
      </c>
      <c r="G426">
        <v>26</v>
      </c>
      <c r="H426">
        <v>1</v>
      </c>
      <c r="I426" t="s">
        <v>1714</v>
      </c>
      <c r="J426" t="s">
        <v>2581</v>
      </c>
      <c r="K426" t="s">
        <v>2939</v>
      </c>
      <c r="L426" s="1" t="str">
        <f>HYPERLINK("https://ovidsp.ovid.com/ovidweb.cgi?T=JS&amp;NEWS=n&amp;CSC=Y&amp;PAGE=toc&amp;D=yrovft&amp;AN=00013644-000000000-00000","https://ovidsp.ovid.com/ovidweb.cgi?T=JS&amp;NEWS=n&amp;CSC=Y&amp;PAGE=toc&amp;D=yrovft&amp;AN=00013644-000000000-00000")</f>
        <v>https://ovidsp.ovid.com/ovidweb.cgi?T=JS&amp;NEWS=n&amp;CSC=Y&amp;PAGE=toc&amp;D=yrovft&amp;AN=00013644-000000000-00000</v>
      </c>
      <c r="M426" t="s">
        <v>1580</v>
      </c>
      <c r="N426" t="s">
        <v>2424</v>
      </c>
      <c r="O426" t="s">
        <v>1834</v>
      </c>
      <c r="P426" t="b">
        <v>1</v>
      </c>
      <c r="Q426" t="s">
        <v>375</v>
      </c>
    </row>
    <row r="427" spans="1:17" x14ac:dyDescent="0.35">
      <c r="A427" t="s">
        <v>2127</v>
      </c>
      <c r="B427" t="s">
        <v>3025</v>
      </c>
      <c r="C427" t="s">
        <v>2424</v>
      </c>
      <c r="D427" t="s">
        <v>50</v>
      </c>
      <c r="E427">
        <v>0</v>
      </c>
      <c r="F427">
        <v>0</v>
      </c>
      <c r="G427">
        <v>3</v>
      </c>
      <c r="H427">
        <v>4</v>
      </c>
      <c r="I427" t="s">
        <v>2660</v>
      </c>
      <c r="J427" t="s">
        <v>38</v>
      </c>
      <c r="K427" t="s">
        <v>2461</v>
      </c>
      <c r="L427" s="1" t="str">
        <f>HYPERLINK("https://ovidsp.ovid.com/ovidweb.cgi?T=JS&amp;NEWS=n&amp;CSC=Y&amp;PAGE=toc&amp;D=yrovft&amp;AN=01312070-000000000-00000","https://ovidsp.ovid.com/ovidweb.cgi?T=JS&amp;NEWS=n&amp;CSC=Y&amp;PAGE=toc&amp;D=yrovft&amp;AN=01312070-000000000-00000")</f>
        <v>https://ovidsp.ovid.com/ovidweb.cgi?T=JS&amp;NEWS=n&amp;CSC=Y&amp;PAGE=toc&amp;D=yrovft&amp;AN=01312070-000000000-00000</v>
      </c>
      <c r="M427" t="s">
        <v>2285</v>
      </c>
      <c r="N427" t="s">
        <v>2424</v>
      </c>
      <c r="O427" t="s">
        <v>2549</v>
      </c>
      <c r="P427" t="b">
        <v>0</v>
      </c>
      <c r="Q427" t="s">
        <v>2424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32"/>
  <sheetViews>
    <sheetView zoomScaleNormal="100" workbookViewId="0">
      <pane ySplit="1" topLeftCell="A2" activePane="bottomLeft" state="frozen"/>
      <selection pane="bottomLeft"/>
    </sheetView>
  </sheetViews>
  <sheetFormatPr defaultColWidth="9.1796875" defaultRowHeight="14.5" x14ac:dyDescent="0.35"/>
  <cols>
    <col min="1" max="1" width="54.7265625" customWidth="1"/>
    <col min="2" max="2" width="19.7265625" customWidth="1"/>
    <col min="3" max="3" width="14.7265625" customWidth="1"/>
    <col min="4" max="4" width="44.7265625" customWidth="1"/>
    <col min="5" max="5" width="14.7265625" customWidth="1"/>
    <col min="6" max="6" width="64.7265625" customWidth="1"/>
    <col min="7" max="7" width="34.7265625" customWidth="1"/>
    <col min="8" max="8" width="19.7265625" customWidth="1"/>
  </cols>
  <sheetData>
    <row r="1" spans="1:8" x14ac:dyDescent="0.35">
      <c r="A1" s="2" t="s">
        <v>661</v>
      </c>
      <c r="B1" s="2" t="s">
        <v>3718</v>
      </c>
      <c r="C1" s="2" t="s">
        <v>3192</v>
      </c>
      <c r="D1" s="2" t="s">
        <v>2650</v>
      </c>
      <c r="E1" s="2" t="s">
        <v>1330</v>
      </c>
      <c r="F1" s="2" t="s">
        <v>3251</v>
      </c>
      <c r="G1" s="2" t="s">
        <v>707</v>
      </c>
      <c r="H1" s="2" t="s">
        <v>2002</v>
      </c>
    </row>
    <row r="2" spans="1:8" x14ac:dyDescent="0.35">
      <c r="A2" t="s">
        <v>2814</v>
      </c>
      <c r="B2" t="s">
        <v>3028</v>
      </c>
      <c r="C2" t="s">
        <v>2741</v>
      </c>
      <c r="D2" t="s">
        <v>2402</v>
      </c>
      <c r="E2" t="s">
        <v>346</v>
      </c>
      <c r="F2" s="1" t="str">
        <f>HYPERLINK("https://ovidsp.ovid.com/ovidweb.cgi?T=JS&amp;NEWS=n&amp;CSC=Y&amp;PAGE=booktext&amp;D=books&amp;AN=02134375$&amp;XPATH=/PG(0)&amp;EPUB=Y","https://ovidsp.ovid.com/ovidweb.cgi?T=JS&amp;NEWS=n&amp;CSC=Y&amp;PAGE=booktext&amp;D=books&amp;AN=02134375$&amp;XPATH=/PG(0)&amp;EPUB=Y")</f>
        <v>https://ovidsp.ovid.com/ovidweb.cgi?T=JS&amp;NEWS=n&amp;CSC=Y&amp;PAGE=booktext&amp;D=books&amp;AN=02134375$&amp;XPATH=/PG(0)&amp;EPUB=Y</v>
      </c>
      <c r="G2" t="s">
        <v>1912</v>
      </c>
      <c r="H2" t="s">
        <v>2866</v>
      </c>
    </row>
    <row r="3" spans="1:8" x14ac:dyDescent="0.35">
      <c r="A3" t="s">
        <v>2814</v>
      </c>
      <c r="B3" t="s">
        <v>775</v>
      </c>
      <c r="C3" t="s">
        <v>2778</v>
      </c>
      <c r="D3" t="s">
        <v>2402</v>
      </c>
      <c r="E3" t="s">
        <v>1809</v>
      </c>
      <c r="F3" s="1" t="str">
        <f>HYPERLINK("https://ovidsp.ovid.com/ovidweb.cgi?T=JS&amp;NEWS=n&amp;CSC=Y&amp;PAGE=booktext&amp;D=books&amp;AN=01438549$&amp;XPATH=/PG(0)&amp;EPUB=Y","https://ovidsp.ovid.com/ovidweb.cgi?T=JS&amp;NEWS=n&amp;CSC=Y&amp;PAGE=booktext&amp;D=books&amp;AN=01438549$&amp;XPATH=/PG(0)&amp;EPUB=Y")</f>
        <v>https://ovidsp.ovid.com/ovidweb.cgi?T=JS&amp;NEWS=n&amp;CSC=Y&amp;PAGE=booktext&amp;D=books&amp;AN=01438549$&amp;XPATH=/PG(0)&amp;EPUB=Y</v>
      </c>
      <c r="G3" t="s">
        <v>2958</v>
      </c>
      <c r="H3" t="s">
        <v>2645</v>
      </c>
    </row>
    <row r="4" spans="1:8" x14ac:dyDescent="0.35">
      <c r="A4" t="s">
        <v>1962</v>
      </c>
      <c r="B4" t="s">
        <v>2786</v>
      </c>
      <c r="C4" t="s">
        <v>2232</v>
      </c>
      <c r="D4" t="s">
        <v>2402</v>
      </c>
      <c r="E4" t="s">
        <v>1809</v>
      </c>
      <c r="F4" s="1" t="str">
        <f>HYPERLINK("https://ovidsp.ovid.com/ovidweb.cgi?T=JS&amp;NEWS=n&amp;CSC=Y&amp;PAGE=booktext&amp;D=books&amp;AN=01438551$&amp;XPATH=/PG(0)&amp;EPUB=Y","https://ovidsp.ovid.com/ovidweb.cgi?T=JS&amp;NEWS=n&amp;CSC=Y&amp;PAGE=booktext&amp;D=books&amp;AN=01438551$&amp;XPATH=/PG(0)&amp;EPUB=Y")</f>
        <v>https://ovidsp.ovid.com/ovidweb.cgi?T=JS&amp;NEWS=n&amp;CSC=Y&amp;PAGE=booktext&amp;D=books&amp;AN=01438551$&amp;XPATH=/PG(0)&amp;EPUB=Y</v>
      </c>
      <c r="G4" t="s">
        <v>722</v>
      </c>
      <c r="H4" t="s">
        <v>2645</v>
      </c>
    </row>
    <row r="5" spans="1:8" x14ac:dyDescent="0.35">
      <c r="A5" t="s">
        <v>1962</v>
      </c>
      <c r="B5" t="s">
        <v>1009</v>
      </c>
      <c r="C5" t="s">
        <v>2240</v>
      </c>
      <c r="D5" t="s">
        <v>2402</v>
      </c>
      <c r="E5" t="s">
        <v>346</v>
      </c>
      <c r="F5" s="1" t="str">
        <f>HYPERLINK("https://ovidsp.ovid.com/ovidweb.cgi?T=JS&amp;NEWS=n&amp;CSC=Y&amp;PAGE=booktext&amp;D=books&amp;AN=02008465$&amp;XPATH=/PG(0)&amp;EPUB=Y","https://ovidsp.ovid.com/ovidweb.cgi?T=JS&amp;NEWS=n&amp;CSC=Y&amp;PAGE=booktext&amp;D=books&amp;AN=02008465$&amp;XPATH=/PG(0)&amp;EPUB=Y")</f>
        <v>https://ovidsp.ovid.com/ovidweb.cgi?T=JS&amp;NEWS=n&amp;CSC=Y&amp;PAGE=booktext&amp;D=books&amp;AN=02008465$&amp;XPATH=/PG(0)&amp;EPUB=Y</v>
      </c>
      <c r="G5" t="s">
        <v>2502</v>
      </c>
      <c r="H5" t="s">
        <v>2866</v>
      </c>
    </row>
    <row r="6" spans="1:8" x14ac:dyDescent="0.35">
      <c r="A6" t="s">
        <v>543</v>
      </c>
      <c r="B6" t="s">
        <v>942</v>
      </c>
      <c r="C6" t="s">
        <v>2701</v>
      </c>
      <c r="D6" t="s">
        <v>3327</v>
      </c>
      <c r="E6" t="s">
        <v>1809</v>
      </c>
      <c r="F6" s="1" t="str">
        <f>HYPERLINK("https://ovidsp.ovid.com/ovidweb.cgi?T=JS&amp;NEWS=n&amp;CSC=Y&amp;PAGE=booktext&amp;D=books&amp;AN=01867010$&amp;XPATH=/PG(0)&amp;EPUB=Y","https://ovidsp.ovid.com/ovidweb.cgi?T=JS&amp;NEWS=n&amp;CSC=Y&amp;PAGE=booktext&amp;D=books&amp;AN=01867010$&amp;XPATH=/PG(0)&amp;EPUB=Y")</f>
        <v>https://ovidsp.ovid.com/ovidweb.cgi?T=JS&amp;NEWS=n&amp;CSC=Y&amp;PAGE=booktext&amp;D=books&amp;AN=01867010$&amp;XPATH=/PG(0)&amp;EPUB=Y</v>
      </c>
      <c r="G6" t="s">
        <v>789</v>
      </c>
      <c r="H6" t="s">
        <v>2645</v>
      </c>
    </row>
    <row r="7" spans="1:8" x14ac:dyDescent="0.35">
      <c r="A7" t="s">
        <v>1443</v>
      </c>
      <c r="B7" t="s">
        <v>1983</v>
      </c>
      <c r="C7" t="s">
        <v>32</v>
      </c>
      <c r="D7" t="s">
        <v>3327</v>
      </c>
      <c r="E7" t="s">
        <v>1809</v>
      </c>
      <c r="F7" s="1" t="str">
        <f>HYPERLINK("https://ovidsp.ovid.com/ovidweb.cgi?T=JS&amp;NEWS=n&amp;CSC=Y&amp;PAGE=booktext&amp;D=books&amp;AN=01867011$&amp;XPATH=/PG(0)&amp;EPUB=Y","https://ovidsp.ovid.com/ovidweb.cgi?T=JS&amp;NEWS=n&amp;CSC=Y&amp;PAGE=booktext&amp;D=books&amp;AN=01867011$&amp;XPATH=/PG(0)&amp;EPUB=Y")</f>
        <v>https://ovidsp.ovid.com/ovidweb.cgi?T=JS&amp;NEWS=n&amp;CSC=Y&amp;PAGE=booktext&amp;D=books&amp;AN=01867011$&amp;XPATH=/PG(0)&amp;EPUB=Y</v>
      </c>
      <c r="G7" t="s">
        <v>1636</v>
      </c>
      <c r="H7" t="s">
        <v>2645</v>
      </c>
    </row>
    <row r="8" spans="1:8" x14ac:dyDescent="0.35">
      <c r="A8" t="s">
        <v>525</v>
      </c>
      <c r="B8" t="s">
        <v>2488</v>
      </c>
      <c r="C8" t="s">
        <v>2542</v>
      </c>
      <c r="D8" t="s">
        <v>2071</v>
      </c>
      <c r="E8" t="s">
        <v>2510</v>
      </c>
      <c r="F8" s="1" t="str">
        <f>HYPERLINK("https://ovidsp.ovid.com/ovidweb.cgi?T=JS&amp;NEWS=n&amp;CSC=Y&amp;PAGE=booktext&amp;D=books&amp;AN=01305987$&amp;XPATH=/PG(0)&amp;EPUB=Y","https://ovidsp.ovid.com/ovidweb.cgi?T=JS&amp;NEWS=n&amp;CSC=Y&amp;PAGE=booktext&amp;D=books&amp;AN=01305987$&amp;XPATH=/PG(0)&amp;EPUB=Y")</f>
        <v>https://ovidsp.ovid.com/ovidweb.cgi?T=JS&amp;NEWS=n&amp;CSC=Y&amp;PAGE=booktext&amp;D=books&amp;AN=01305987$&amp;XPATH=/PG(0)&amp;EPUB=Y</v>
      </c>
      <c r="G8" t="s">
        <v>2394</v>
      </c>
      <c r="H8" t="s">
        <v>2645</v>
      </c>
    </row>
    <row r="9" spans="1:8" x14ac:dyDescent="0.35">
      <c r="A9" t="s">
        <v>464</v>
      </c>
      <c r="B9" t="s">
        <v>3353</v>
      </c>
      <c r="C9" t="s">
        <v>2561</v>
      </c>
      <c r="D9" t="s">
        <v>3327</v>
      </c>
      <c r="E9" t="s">
        <v>1809</v>
      </c>
      <c r="F9" s="1" t="str">
        <f>HYPERLINK("https://ovidsp.ovid.com/ovidweb.cgi?T=JS&amp;NEWS=n&amp;CSC=Y&amp;PAGE=booktext&amp;D=books&amp;AN=01867013$&amp;XPATH=/PG(0)&amp;EPUB=Y","https://ovidsp.ovid.com/ovidweb.cgi?T=JS&amp;NEWS=n&amp;CSC=Y&amp;PAGE=booktext&amp;D=books&amp;AN=01867013$&amp;XPATH=/PG(0)&amp;EPUB=Y")</f>
        <v>https://ovidsp.ovid.com/ovidweb.cgi?T=JS&amp;NEWS=n&amp;CSC=Y&amp;PAGE=booktext&amp;D=books&amp;AN=01867013$&amp;XPATH=/PG(0)&amp;EPUB=Y</v>
      </c>
      <c r="G9" t="s">
        <v>1182</v>
      </c>
      <c r="H9" t="s">
        <v>2645</v>
      </c>
    </row>
    <row r="10" spans="1:8" x14ac:dyDescent="0.35">
      <c r="A10" t="s">
        <v>812</v>
      </c>
      <c r="B10" t="s">
        <v>3126</v>
      </c>
      <c r="C10" t="s">
        <v>1261</v>
      </c>
      <c r="D10" t="s">
        <v>2402</v>
      </c>
      <c r="E10" t="s">
        <v>2510</v>
      </c>
      <c r="F10" s="1" t="str">
        <f>HYPERLINK("https://ovidsp.ovid.com/ovidweb.cgi?T=JS&amp;NEWS=n&amp;CSC=Y&amp;PAGE=booktext&amp;D=books&amp;AN=01438577$&amp;XPATH=/PG(0)&amp;EPUB=Y","https://ovidsp.ovid.com/ovidweb.cgi?T=JS&amp;NEWS=n&amp;CSC=Y&amp;PAGE=booktext&amp;D=books&amp;AN=01438577$&amp;XPATH=/PG(0)&amp;EPUB=Y")</f>
        <v>https://ovidsp.ovid.com/ovidweb.cgi?T=JS&amp;NEWS=n&amp;CSC=Y&amp;PAGE=booktext&amp;D=books&amp;AN=01438577$&amp;XPATH=/PG(0)&amp;EPUB=Y</v>
      </c>
      <c r="G10" t="s">
        <v>2773</v>
      </c>
      <c r="H10" t="s">
        <v>2645</v>
      </c>
    </row>
    <row r="11" spans="1:8" x14ac:dyDescent="0.35">
      <c r="A11" t="s">
        <v>3527</v>
      </c>
      <c r="B11" t="s">
        <v>2302</v>
      </c>
      <c r="C11" t="s">
        <v>2336</v>
      </c>
      <c r="D11" t="s">
        <v>846</v>
      </c>
      <c r="E11" t="s">
        <v>346</v>
      </c>
      <c r="F11" s="1" t="str">
        <f>HYPERLINK("https://ovidsp.ovid.com/ovidweb.cgi?T=JS&amp;NEWS=n&amp;CSC=Y&amp;PAGE=booktext&amp;D=books&amp;AN=01439334$&amp;XPATH=/PG(0)&amp;EPUB=Y","https://ovidsp.ovid.com/ovidweb.cgi?T=JS&amp;NEWS=n&amp;CSC=Y&amp;PAGE=booktext&amp;D=books&amp;AN=01439334$&amp;XPATH=/PG(0)&amp;EPUB=Y")</f>
        <v>https://ovidsp.ovid.com/ovidweb.cgi?T=JS&amp;NEWS=n&amp;CSC=Y&amp;PAGE=booktext&amp;D=books&amp;AN=01439334$&amp;XPATH=/PG(0)&amp;EPUB=Y</v>
      </c>
      <c r="G11" t="s">
        <v>3239</v>
      </c>
      <c r="H11" t="s">
        <v>2645</v>
      </c>
    </row>
    <row r="12" spans="1:8" x14ac:dyDescent="0.35">
      <c r="A12" t="s">
        <v>3646</v>
      </c>
      <c r="B12" t="s">
        <v>3558</v>
      </c>
      <c r="C12" t="s">
        <v>3553</v>
      </c>
      <c r="D12" t="s">
        <v>846</v>
      </c>
      <c r="E12" t="s">
        <v>1809</v>
      </c>
      <c r="F12" s="1" t="str">
        <f>HYPERLINK("https://ovidsp.ovid.com/ovidweb.cgi?T=JS&amp;NEWS=n&amp;CSC=Y&amp;PAGE=booktext&amp;D=books&amp;AN=01439067$&amp;XPATH=/PG(0)&amp;EPUB=Y","https://ovidsp.ovid.com/ovidweb.cgi?T=JS&amp;NEWS=n&amp;CSC=Y&amp;PAGE=booktext&amp;D=books&amp;AN=01439067$&amp;XPATH=/PG(0)&amp;EPUB=Y")</f>
        <v>https://ovidsp.ovid.com/ovidweb.cgi?T=JS&amp;NEWS=n&amp;CSC=Y&amp;PAGE=booktext&amp;D=books&amp;AN=01439067$&amp;XPATH=/PG(0)&amp;EPUB=Y</v>
      </c>
      <c r="G12" t="s">
        <v>3212</v>
      </c>
      <c r="H12" t="s">
        <v>2645</v>
      </c>
    </row>
    <row r="13" spans="1:8" x14ac:dyDescent="0.35">
      <c r="A13" t="s">
        <v>3614</v>
      </c>
      <c r="B13" t="s">
        <v>2727</v>
      </c>
      <c r="C13" t="s">
        <v>2997</v>
      </c>
      <c r="D13" t="s">
        <v>846</v>
      </c>
      <c r="E13" t="s">
        <v>1809</v>
      </c>
      <c r="F13" s="1" t="str">
        <f>HYPERLINK("https://ovidsp.ovid.com/ovidweb.cgi?T=JS&amp;NEWS=n&amp;CSC=Y&amp;PAGE=booktext&amp;D=books&amp;AN=01439102$&amp;XPATH=/PG(0)&amp;EPUB=Y","https://ovidsp.ovid.com/ovidweb.cgi?T=JS&amp;NEWS=n&amp;CSC=Y&amp;PAGE=booktext&amp;D=books&amp;AN=01439102$&amp;XPATH=/PG(0)&amp;EPUB=Y")</f>
        <v>https://ovidsp.ovid.com/ovidweb.cgi?T=JS&amp;NEWS=n&amp;CSC=Y&amp;PAGE=booktext&amp;D=books&amp;AN=01439102$&amp;XPATH=/PG(0)&amp;EPUB=Y</v>
      </c>
      <c r="G13" t="s">
        <v>2139</v>
      </c>
      <c r="H13" t="s">
        <v>2645</v>
      </c>
    </row>
    <row r="14" spans="1:8" x14ac:dyDescent="0.35">
      <c r="A14" t="s">
        <v>1358</v>
      </c>
      <c r="B14" t="s">
        <v>856</v>
      </c>
      <c r="C14" t="s">
        <v>2642</v>
      </c>
      <c r="D14" t="s">
        <v>3327</v>
      </c>
      <c r="E14" t="s">
        <v>2137</v>
      </c>
      <c r="F14" s="1" t="str">
        <f>HYPERLINK("https://ovidsp.ovid.com/ovidweb.cgi?T=JS&amp;NEWS=n&amp;CSC=Y&amp;PAGE=booktext&amp;D=books&amp;AN=01979445$&amp;XPATH=/PG(0)&amp;EPUB=Y","https://ovidsp.ovid.com/ovidweb.cgi?T=JS&amp;NEWS=n&amp;CSC=Y&amp;PAGE=booktext&amp;D=books&amp;AN=01979445$&amp;XPATH=/PG(0)&amp;EPUB=Y")</f>
        <v>https://ovidsp.ovid.com/ovidweb.cgi?T=JS&amp;NEWS=n&amp;CSC=Y&amp;PAGE=booktext&amp;D=books&amp;AN=01979445$&amp;XPATH=/PG(0)&amp;EPUB=Y</v>
      </c>
      <c r="G14" t="s">
        <v>2503</v>
      </c>
      <c r="H14" t="s">
        <v>2645</v>
      </c>
    </row>
    <row r="15" spans="1:8" x14ac:dyDescent="0.35">
      <c r="A15" t="s">
        <v>1358</v>
      </c>
      <c r="B15" t="s">
        <v>3295</v>
      </c>
      <c r="C15" t="s">
        <v>1520</v>
      </c>
      <c r="D15" t="s">
        <v>3327</v>
      </c>
      <c r="E15" t="s">
        <v>3432</v>
      </c>
      <c r="F15" s="1" t="str">
        <f>HYPERLINK("https://ovidsp.ovid.com/ovidweb.cgi?T=JS&amp;NEWS=n&amp;CSC=Y&amp;PAGE=booktext&amp;D=books&amp;AN=01412563$&amp;XPATH=/PG(0)&amp;EPUB=Y","https://ovidsp.ovid.com/ovidweb.cgi?T=JS&amp;NEWS=n&amp;CSC=Y&amp;PAGE=booktext&amp;D=books&amp;AN=01412563$&amp;XPATH=/PG(0)&amp;EPUB=Y")</f>
        <v>https://ovidsp.ovid.com/ovidweb.cgi?T=JS&amp;NEWS=n&amp;CSC=Y&amp;PAGE=booktext&amp;D=books&amp;AN=01412563$&amp;XPATH=/PG(0)&amp;EPUB=Y</v>
      </c>
      <c r="G15" t="s">
        <v>809</v>
      </c>
      <c r="H15" t="s">
        <v>2645</v>
      </c>
    </row>
    <row r="16" spans="1:8" x14ac:dyDescent="0.35">
      <c r="A16" t="s">
        <v>93</v>
      </c>
      <c r="B16" t="s">
        <v>739</v>
      </c>
      <c r="C16" t="s">
        <v>2385</v>
      </c>
      <c r="D16" t="s">
        <v>3327</v>
      </c>
      <c r="E16" t="s">
        <v>2708</v>
      </c>
      <c r="F16" s="1" t="str">
        <f>HYPERLINK("https://ovidsp.ovid.com/ovidweb.cgi?T=JS&amp;NEWS=n&amp;CSC=Y&amp;PAGE=booktext&amp;D=books&amp;AN=02238075$&amp;XPATH=/PG(0)&amp;EPUB=Y","https://ovidsp.ovid.com/ovidweb.cgi?T=JS&amp;NEWS=n&amp;CSC=Y&amp;PAGE=booktext&amp;D=books&amp;AN=02238075$&amp;XPATH=/PG(0)&amp;EPUB=Y")</f>
        <v>https://ovidsp.ovid.com/ovidweb.cgi?T=JS&amp;NEWS=n&amp;CSC=Y&amp;PAGE=booktext&amp;D=books&amp;AN=02238075$&amp;XPATH=/PG(0)&amp;EPUB=Y</v>
      </c>
      <c r="G16" t="s">
        <v>1202</v>
      </c>
      <c r="H16" t="s">
        <v>2645</v>
      </c>
    </row>
    <row r="17" spans="1:8" x14ac:dyDescent="0.35">
      <c r="A17" t="s">
        <v>2117</v>
      </c>
      <c r="B17" t="s">
        <v>3100</v>
      </c>
      <c r="C17" t="s">
        <v>3789</v>
      </c>
      <c r="D17" t="s">
        <v>3327</v>
      </c>
      <c r="E17" t="s">
        <v>2368</v>
      </c>
      <c r="F17" s="1" t="str">
        <f>HYPERLINK("https://ovidsp.ovid.com/ovidweb.cgi?T=JS&amp;NEWS=n&amp;CSC=Y&amp;PAGE=booktext&amp;D=books&amp;AN=01996175$&amp;XPATH=/PG(0)&amp;EPUB=Y","https://ovidsp.ovid.com/ovidweb.cgi?T=JS&amp;NEWS=n&amp;CSC=Y&amp;PAGE=booktext&amp;D=books&amp;AN=01996175$&amp;XPATH=/PG(0)&amp;EPUB=Y")</f>
        <v>https://ovidsp.ovid.com/ovidweb.cgi?T=JS&amp;NEWS=n&amp;CSC=Y&amp;PAGE=booktext&amp;D=books&amp;AN=01996175$&amp;XPATH=/PG(0)&amp;EPUB=Y</v>
      </c>
      <c r="G17" t="s">
        <v>1862</v>
      </c>
      <c r="H17" t="s">
        <v>2866</v>
      </c>
    </row>
    <row r="18" spans="1:8" x14ac:dyDescent="0.35">
      <c r="A18" t="s">
        <v>2117</v>
      </c>
      <c r="B18" t="s">
        <v>2418</v>
      </c>
      <c r="C18" t="s">
        <v>3347</v>
      </c>
      <c r="D18" t="s">
        <v>3327</v>
      </c>
      <c r="E18" t="s">
        <v>2510</v>
      </c>
      <c r="F18" s="1" t="str">
        <f>HYPERLINK("https://ovidsp.ovid.com/ovidweb.cgi?T=JS&amp;NEWS=n&amp;CSC=Y&amp;PAGE=booktext&amp;D=books&amp;AN=01273126$&amp;XPATH=/PG(0)&amp;EPUB=Y","https://ovidsp.ovid.com/ovidweb.cgi?T=JS&amp;NEWS=n&amp;CSC=Y&amp;PAGE=booktext&amp;D=books&amp;AN=01273126$&amp;XPATH=/PG(0)&amp;EPUB=Y")</f>
        <v>https://ovidsp.ovid.com/ovidweb.cgi?T=JS&amp;NEWS=n&amp;CSC=Y&amp;PAGE=booktext&amp;D=books&amp;AN=01273126$&amp;XPATH=/PG(0)&amp;EPUB=Y</v>
      </c>
      <c r="G18" t="s">
        <v>2366</v>
      </c>
      <c r="H18" t="s">
        <v>2645</v>
      </c>
    </row>
    <row r="19" spans="1:8" x14ac:dyDescent="0.35">
      <c r="A19" t="s">
        <v>2255</v>
      </c>
      <c r="B19" t="s">
        <v>940</v>
      </c>
      <c r="C19" t="s">
        <v>78</v>
      </c>
      <c r="D19" t="s">
        <v>3327</v>
      </c>
      <c r="E19" t="s">
        <v>1809</v>
      </c>
      <c r="F19" s="1" t="str">
        <f>HYPERLINK("https://ovidsp.ovid.com/ovidweb.cgi?T=JS&amp;NEWS=n&amp;CSC=Y&amp;PAGE=booktext&amp;D=books&amp;AN=01867022$&amp;XPATH=/PG(0)&amp;EPUB=Y","https://ovidsp.ovid.com/ovidweb.cgi?T=JS&amp;NEWS=n&amp;CSC=Y&amp;PAGE=booktext&amp;D=books&amp;AN=01867022$&amp;XPATH=/PG(0)&amp;EPUB=Y")</f>
        <v>https://ovidsp.ovid.com/ovidweb.cgi?T=JS&amp;NEWS=n&amp;CSC=Y&amp;PAGE=booktext&amp;D=books&amp;AN=01867022$&amp;XPATH=/PG(0)&amp;EPUB=Y</v>
      </c>
      <c r="G19" t="s">
        <v>447</v>
      </c>
      <c r="H19" t="s">
        <v>2645</v>
      </c>
    </row>
    <row r="20" spans="1:8" x14ac:dyDescent="0.35">
      <c r="A20" t="s">
        <v>541</v>
      </c>
      <c r="B20" t="s">
        <v>2537</v>
      </c>
      <c r="C20" t="s">
        <v>1380</v>
      </c>
      <c r="D20" t="s">
        <v>2402</v>
      </c>
      <c r="E20" t="s">
        <v>1809</v>
      </c>
      <c r="F20" s="1" t="str">
        <f>HYPERLINK("https://ovidsp.ovid.com/ovidweb.cgi?T=JS&amp;NEWS=n&amp;CSC=Y&amp;PAGE=booktext&amp;D=books&amp;AN=01438607$&amp;XPATH=/PG(0)&amp;EPUB=Y","https://ovidsp.ovid.com/ovidweb.cgi?T=JS&amp;NEWS=n&amp;CSC=Y&amp;PAGE=booktext&amp;D=books&amp;AN=01438607$&amp;XPATH=/PG(0)&amp;EPUB=Y")</f>
        <v>https://ovidsp.ovid.com/ovidweb.cgi?T=JS&amp;NEWS=n&amp;CSC=Y&amp;PAGE=booktext&amp;D=books&amp;AN=01438607$&amp;XPATH=/PG(0)&amp;EPUB=Y</v>
      </c>
      <c r="G20" t="s">
        <v>900</v>
      </c>
      <c r="H20" t="s">
        <v>2645</v>
      </c>
    </row>
    <row r="21" spans="1:8" x14ac:dyDescent="0.35">
      <c r="A21" t="s">
        <v>2431</v>
      </c>
      <c r="B21" t="s">
        <v>454</v>
      </c>
      <c r="C21" t="s">
        <v>147</v>
      </c>
      <c r="D21" t="s">
        <v>2071</v>
      </c>
      <c r="E21" t="s">
        <v>346</v>
      </c>
      <c r="F21" s="1" t="str">
        <f>HYPERLINK("https://ovidsp.ovid.com/ovidweb.cgi?T=JS&amp;NEWS=n&amp;CSC=Y&amp;PAGE=booktext&amp;D=books&amp;AN=01435353$&amp;XPATH=/PG(0)&amp;EPUB=Y","https://ovidsp.ovid.com/ovidweb.cgi?T=JS&amp;NEWS=n&amp;CSC=Y&amp;PAGE=booktext&amp;D=books&amp;AN=01435353$&amp;XPATH=/PG(0)&amp;EPUB=Y")</f>
        <v>https://ovidsp.ovid.com/ovidweb.cgi?T=JS&amp;NEWS=n&amp;CSC=Y&amp;PAGE=booktext&amp;D=books&amp;AN=01435353$&amp;XPATH=/PG(0)&amp;EPUB=Y</v>
      </c>
      <c r="G21" t="s">
        <v>3436</v>
      </c>
      <c r="H21" t="s">
        <v>2645</v>
      </c>
    </row>
    <row r="22" spans="1:8" x14ac:dyDescent="0.35">
      <c r="A22" t="s">
        <v>487</v>
      </c>
      <c r="B22" t="s">
        <v>2528</v>
      </c>
      <c r="C22" t="s">
        <v>2831</v>
      </c>
      <c r="D22" t="s">
        <v>3327</v>
      </c>
      <c r="E22" t="s">
        <v>1809</v>
      </c>
      <c r="F22" s="1" t="str">
        <f>HYPERLINK("https://ovidsp.ovid.com/ovidweb.cgi?T=JS&amp;NEWS=n&amp;CSC=Y&amp;PAGE=booktext&amp;D=books&amp;AN=01867025$&amp;XPATH=/PG(0)&amp;EPUB=Y","https://ovidsp.ovid.com/ovidweb.cgi?T=JS&amp;NEWS=n&amp;CSC=Y&amp;PAGE=booktext&amp;D=books&amp;AN=01867025$&amp;XPATH=/PG(0)&amp;EPUB=Y")</f>
        <v>https://ovidsp.ovid.com/ovidweb.cgi?T=JS&amp;NEWS=n&amp;CSC=Y&amp;PAGE=booktext&amp;D=books&amp;AN=01867025$&amp;XPATH=/PG(0)&amp;EPUB=Y</v>
      </c>
      <c r="G22" t="s">
        <v>305</v>
      </c>
      <c r="H22" t="s">
        <v>2645</v>
      </c>
    </row>
    <row r="23" spans="1:8" x14ac:dyDescent="0.35">
      <c r="A23" t="s">
        <v>169</v>
      </c>
      <c r="B23" t="s">
        <v>1538</v>
      </c>
      <c r="C23" t="s">
        <v>648</v>
      </c>
      <c r="D23" t="s">
        <v>2071</v>
      </c>
      <c r="E23" t="s">
        <v>1809</v>
      </c>
      <c r="F23" s="1" t="str">
        <f>HYPERLINK("https://ovidsp.ovid.com/ovidweb.cgi?T=JS&amp;NEWS=n&amp;CSC=Y&amp;PAGE=booktext&amp;D=books&amp;AN=01434814$&amp;XPATH=/PG(0)&amp;EPUB=Y","https://ovidsp.ovid.com/ovidweb.cgi?T=JS&amp;NEWS=n&amp;CSC=Y&amp;PAGE=booktext&amp;D=books&amp;AN=01434814$&amp;XPATH=/PG(0)&amp;EPUB=Y")</f>
        <v>https://ovidsp.ovid.com/ovidweb.cgi?T=JS&amp;NEWS=n&amp;CSC=Y&amp;PAGE=booktext&amp;D=books&amp;AN=01434814$&amp;XPATH=/PG(0)&amp;EPUB=Y</v>
      </c>
      <c r="G23" t="s">
        <v>747</v>
      </c>
      <c r="H23" t="s">
        <v>2645</v>
      </c>
    </row>
    <row r="24" spans="1:8" x14ac:dyDescent="0.35">
      <c r="A24" t="s">
        <v>3223</v>
      </c>
      <c r="B24" t="s">
        <v>763</v>
      </c>
      <c r="C24" t="s">
        <v>239</v>
      </c>
      <c r="D24" t="s">
        <v>2071</v>
      </c>
      <c r="E24" t="s">
        <v>346</v>
      </c>
      <c r="F24" s="1" t="str">
        <f>HYPERLINK("https://ovidsp.ovid.com/ovidweb.cgi?T=JS&amp;NEWS=n&amp;CSC=Y&amp;PAGE=booktext&amp;D=books&amp;AN=01434872$&amp;XPATH=/PG(0)&amp;EPUB=Y","https://ovidsp.ovid.com/ovidweb.cgi?T=JS&amp;NEWS=n&amp;CSC=Y&amp;PAGE=booktext&amp;D=books&amp;AN=01434872$&amp;XPATH=/PG(0)&amp;EPUB=Y")</f>
        <v>https://ovidsp.ovid.com/ovidweb.cgi?T=JS&amp;NEWS=n&amp;CSC=Y&amp;PAGE=booktext&amp;D=books&amp;AN=01434872$&amp;XPATH=/PG(0)&amp;EPUB=Y</v>
      </c>
      <c r="G24" t="s">
        <v>758</v>
      </c>
      <c r="H24" t="s">
        <v>2645</v>
      </c>
    </row>
    <row r="25" spans="1:8" x14ac:dyDescent="0.35">
      <c r="A25" t="s">
        <v>2023</v>
      </c>
      <c r="B25" t="s">
        <v>1978</v>
      </c>
      <c r="C25" t="s">
        <v>3737</v>
      </c>
      <c r="D25" t="s">
        <v>2071</v>
      </c>
      <c r="E25" t="s">
        <v>1809</v>
      </c>
      <c r="F25" s="1" t="str">
        <f>HYPERLINK("https://ovidsp.ovid.com/ovidweb.cgi?T=JS&amp;NEWS=n&amp;CSC=Y&amp;PAGE=booktext&amp;D=books&amp;AN=01434863$&amp;XPATH=/PG(0)&amp;EPUB=Y","https://ovidsp.ovid.com/ovidweb.cgi?T=JS&amp;NEWS=n&amp;CSC=Y&amp;PAGE=booktext&amp;D=books&amp;AN=01434863$&amp;XPATH=/PG(0)&amp;EPUB=Y")</f>
        <v>https://ovidsp.ovid.com/ovidweb.cgi?T=JS&amp;NEWS=n&amp;CSC=Y&amp;PAGE=booktext&amp;D=books&amp;AN=01434863$&amp;XPATH=/PG(0)&amp;EPUB=Y</v>
      </c>
      <c r="G25" t="s">
        <v>1789</v>
      </c>
      <c r="H25" t="s">
        <v>2645</v>
      </c>
    </row>
    <row r="26" spans="1:8" x14ac:dyDescent="0.35">
      <c r="A26" t="s">
        <v>2628</v>
      </c>
      <c r="B26" t="s">
        <v>1302</v>
      </c>
      <c r="C26" t="s">
        <v>2424</v>
      </c>
      <c r="D26" t="s">
        <v>2071</v>
      </c>
      <c r="E26" t="s">
        <v>1809</v>
      </c>
      <c r="F26" s="1" t="str">
        <f>HYPERLINK("https://ovidsp.ovid.com/ovidweb.cgi?T=JS&amp;NEWS=n&amp;CSC=Y&amp;PAGE=booktext&amp;D=books&amp;AN=01223055$&amp;XPATH=/PG(0)&amp;EPUB=Y","https://ovidsp.ovid.com/ovidweb.cgi?T=JS&amp;NEWS=n&amp;CSC=Y&amp;PAGE=booktext&amp;D=books&amp;AN=01223055$&amp;XPATH=/PG(0)&amp;EPUB=Y")</f>
        <v>https://ovidsp.ovid.com/ovidweb.cgi?T=JS&amp;NEWS=n&amp;CSC=Y&amp;PAGE=booktext&amp;D=books&amp;AN=01223055$&amp;XPATH=/PG(0)&amp;EPUB=Y</v>
      </c>
      <c r="G26" t="s">
        <v>152</v>
      </c>
      <c r="H26" t="s">
        <v>2645</v>
      </c>
    </row>
    <row r="27" spans="1:8" x14ac:dyDescent="0.35">
      <c r="A27" t="s">
        <v>2973</v>
      </c>
      <c r="B27" t="s">
        <v>821</v>
      </c>
      <c r="C27" t="s">
        <v>2572</v>
      </c>
      <c r="D27" t="s">
        <v>3327</v>
      </c>
      <c r="E27" t="s">
        <v>1809</v>
      </c>
      <c r="F27" s="1" t="str">
        <f>HYPERLINK("https://ovidsp.ovid.com/ovidweb.cgi?T=JS&amp;NEWS=n&amp;CSC=Y&amp;PAGE=booktext&amp;D=books&amp;AN=01382777$&amp;XPATH=/PG(0)&amp;EPUB=Y","https://ovidsp.ovid.com/ovidweb.cgi?T=JS&amp;NEWS=n&amp;CSC=Y&amp;PAGE=booktext&amp;D=books&amp;AN=01382777$&amp;XPATH=/PG(0)&amp;EPUB=Y")</f>
        <v>https://ovidsp.ovid.com/ovidweb.cgi?T=JS&amp;NEWS=n&amp;CSC=Y&amp;PAGE=booktext&amp;D=books&amp;AN=01382777$&amp;XPATH=/PG(0)&amp;EPUB=Y</v>
      </c>
      <c r="G27" t="s">
        <v>924</v>
      </c>
      <c r="H27" t="s">
        <v>2645</v>
      </c>
    </row>
    <row r="28" spans="1:8" x14ac:dyDescent="0.35">
      <c r="A28" t="s">
        <v>613</v>
      </c>
      <c r="B28" t="s">
        <v>1167</v>
      </c>
      <c r="C28" t="s">
        <v>2051</v>
      </c>
      <c r="D28" t="s">
        <v>2402</v>
      </c>
      <c r="E28" t="s">
        <v>1809</v>
      </c>
      <c r="F28" s="1" t="str">
        <f>HYPERLINK("https://ovidsp.ovid.com/ovidweb.cgi?T=JS&amp;NEWS=n&amp;CSC=Y&amp;PAGE=booktext&amp;D=books&amp;AN=01438635$&amp;XPATH=/PG(0)&amp;EPUB=Y","https://ovidsp.ovid.com/ovidweb.cgi?T=JS&amp;NEWS=n&amp;CSC=Y&amp;PAGE=booktext&amp;D=books&amp;AN=01438635$&amp;XPATH=/PG(0)&amp;EPUB=Y")</f>
        <v>https://ovidsp.ovid.com/ovidweb.cgi?T=JS&amp;NEWS=n&amp;CSC=Y&amp;PAGE=booktext&amp;D=books&amp;AN=01438635$&amp;XPATH=/PG(0)&amp;EPUB=Y</v>
      </c>
      <c r="G28" t="s">
        <v>949</v>
      </c>
      <c r="H28" t="s">
        <v>2645</v>
      </c>
    </row>
    <row r="29" spans="1:8" x14ac:dyDescent="0.35">
      <c r="A29" t="s">
        <v>3211</v>
      </c>
      <c r="B29" t="s">
        <v>1355</v>
      </c>
      <c r="C29" t="s">
        <v>2499</v>
      </c>
      <c r="D29" t="s">
        <v>846</v>
      </c>
      <c r="E29" t="s">
        <v>1809</v>
      </c>
      <c r="F29" s="1" t="str">
        <f>HYPERLINK("https://ovidsp.ovid.com/ovidweb.cgi?T=JS&amp;NEWS=n&amp;CSC=Y&amp;PAGE=booktext&amp;D=books&amp;AN=01439295$&amp;XPATH=/PG(0)&amp;EPUB=Y","https://ovidsp.ovid.com/ovidweb.cgi?T=JS&amp;NEWS=n&amp;CSC=Y&amp;PAGE=booktext&amp;D=books&amp;AN=01439295$&amp;XPATH=/PG(0)&amp;EPUB=Y")</f>
        <v>https://ovidsp.ovid.com/ovidweb.cgi?T=JS&amp;NEWS=n&amp;CSC=Y&amp;PAGE=booktext&amp;D=books&amp;AN=01439295$&amp;XPATH=/PG(0)&amp;EPUB=Y</v>
      </c>
      <c r="G29" t="s">
        <v>1309</v>
      </c>
      <c r="H29" t="s">
        <v>2645</v>
      </c>
    </row>
    <row r="30" spans="1:8" x14ac:dyDescent="0.35">
      <c r="A30" t="s">
        <v>495</v>
      </c>
      <c r="B30" t="s">
        <v>195</v>
      </c>
      <c r="C30" t="s">
        <v>853</v>
      </c>
      <c r="D30" t="s">
        <v>846</v>
      </c>
      <c r="E30" t="s">
        <v>1809</v>
      </c>
      <c r="F30" s="1" t="str">
        <f>HYPERLINK("https://ovidsp.ovid.com/ovidweb.cgi?T=JS&amp;NEWS=n&amp;CSC=Y&amp;PAGE=booktext&amp;D=books&amp;AN=01439302$&amp;XPATH=/PG(0)&amp;EPUB=Y","https://ovidsp.ovid.com/ovidweb.cgi?T=JS&amp;NEWS=n&amp;CSC=Y&amp;PAGE=booktext&amp;D=books&amp;AN=01439302$&amp;XPATH=/PG(0)&amp;EPUB=Y")</f>
        <v>https://ovidsp.ovid.com/ovidweb.cgi?T=JS&amp;NEWS=n&amp;CSC=Y&amp;PAGE=booktext&amp;D=books&amp;AN=01439302$&amp;XPATH=/PG(0)&amp;EPUB=Y</v>
      </c>
      <c r="G30" t="s">
        <v>2820</v>
      </c>
      <c r="H30" t="s">
        <v>2645</v>
      </c>
    </row>
    <row r="31" spans="1:8" x14ac:dyDescent="0.35">
      <c r="A31" t="s">
        <v>2156</v>
      </c>
      <c r="B31" t="s">
        <v>973</v>
      </c>
      <c r="C31" t="s">
        <v>119</v>
      </c>
      <c r="D31" t="s">
        <v>846</v>
      </c>
      <c r="E31" t="s">
        <v>1809</v>
      </c>
      <c r="F31" s="1" t="str">
        <f>HYPERLINK("https://ovidsp.ovid.com/ovidweb.cgi?T=JS&amp;NEWS=n&amp;CSC=Y&amp;PAGE=booktext&amp;D=books&amp;AN=01439379$&amp;XPATH=/PG(0)&amp;EPUB=Y","https://ovidsp.ovid.com/ovidweb.cgi?T=JS&amp;NEWS=n&amp;CSC=Y&amp;PAGE=booktext&amp;D=books&amp;AN=01439379$&amp;XPATH=/PG(0)&amp;EPUB=Y")</f>
        <v>https://ovidsp.ovid.com/ovidweb.cgi?T=JS&amp;NEWS=n&amp;CSC=Y&amp;PAGE=booktext&amp;D=books&amp;AN=01439379$&amp;XPATH=/PG(0)&amp;EPUB=Y</v>
      </c>
      <c r="G31" t="s">
        <v>1933</v>
      </c>
      <c r="H31" t="s">
        <v>2645</v>
      </c>
    </row>
    <row r="32" spans="1:8" x14ac:dyDescent="0.35">
      <c r="A32" t="s">
        <v>2489</v>
      </c>
      <c r="B32" t="s">
        <v>428</v>
      </c>
      <c r="C32" t="s">
        <v>2265</v>
      </c>
      <c r="D32" t="s">
        <v>3327</v>
      </c>
      <c r="E32" t="s">
        <v>1809</v>
      </c>
      <c r="F32" s="1" t="str">
        <f>HYPERLINK("https://ovidsp.ovid.com/ovidweb.cgi?T=JS&amp;NEWS=n&amp;CSC=Y&amp;PAGE=booktext&amp;D=books&amp;AN=01867027$&amp;XPATH=/PG(0)&amp;EPUB=Y","https://ovidsp.ovid.com/ovidweb.cgi?T=JS&amp;NEWS=n&amp;CSC=Y&amp;PAGE=booktext&amp;D=books&amp;AN=01867027$&amp;XPATH=/PG(0)&amp;EPUB=Y")</f>
        <v>https://ovidsp.ovid.com/ovidweb.cgi?T=JS&amp;NEWS=n&amp;CSC=Y&amp;PAGE=booktext&amp;D=books&amp;AN=01867027$&amp;XPATH=/PG(0)&amp;EPUB=Y</v>
      </c>
      <c r="G32" t="s">
        <v>1561</v>
      </c>
      <c r="H32" t="s">
        <v>2645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83"/>
  <sheetViews>
    <sheetView zoomScaleNormal="100" workbookViewId="0">
      <pane ySplit="1" topLeftCell="A2" activePane="bottomLeft" state="frozen"/>
      <selection pane="bottomLeft"/>
    </sheetView>
  </sheetViews>
  <sheetFormatPr defaultColWidth="9.1796875" defaultRowHeight="14.5" x14ac:dyDescent="0.35"/>
  <cols>
    <col min="1" max="1" width="50.7265625" customWidth="1"/>
    <col min="2" max="2" width="44.7265625" customWidth="1"/>
    <col min="3" max="3" width="14.7265625" customWidth="1"/>
    <col min="4" max="4" width="12.7265625" customWidth="1"/>
    <col min="5" max="5" width="34.7265625" customWidth="1"/>
  </cols>
  <sheetData>
    <row r="1" spans="1:5" x14ac:dyDescent="0.35">
      <c r="A1" s="2" t="s">
        <v>2219</v>
      </c>
      <c r="B1" s="2" t="s">
        <v>2650</v>
      </c>
      <c r="C1" s="2" t="s">
        <v>1330</v>
      </c>
      <c r="D1" s="2" t="s">
        <v>3040</v>
      </c>
      <c r="E1" s="2" t="s">
        <v>707</v>
      </c>
    </row>
    <row r="2" spans="1:5" x14ac:dyDescent="0.35">
      <c r="A2" t="s">
        <v>2248</v>
      </c>
      <c r="B2" t="s">
        <v>1841</v>
      </c>
      <c r="C2" t="s">
        <v>2424</v>
      </c>
      <c r="D2">
        <v>0</v>
      </c>
      <c r="E2" t="s">
        <v>3101</v>
      </c>
    </row>
    <row r="3" spans="1:5" x14ac:dyDescent="0.35">
      <c r="A3" t="s">
        <v>542</v>
      </c>
      <c r="B3" t="s">
        <v>1841</v>
      </c>
      <c r="C3" t="s">
        <v>2424</v>
      </c>
      <c r="D3">
        <v>0</v>
      </c>
      <c r="E3" t="s">
        <v>1637</v>
      </c>
    </row>
    <row r="4" spans="1:5" x14ac:dyDescent="0.35">
      <c r="A4" t="s">
        <v>2919</v>
      </c>
      <c r="B4" t="s">
        <v>2658</v>
      </c>
      <c r="C4" t="s">
        <v>2424</v>
      </c>
      <c r="D4">
        <v>0</v>
      </c>
      <c r="E4" t="s">
        <v>2684</v>
      </c>
    </row>
    <row r="5" spans="1:5" x14ac:dyDescent="0.35">
      <c r="A5" t="s">
        <v>710</v>
      </c>
      <c r="B5" t="s">
        <v>1841</v>
      </c>
      <c r="C5" t="s">
        <v>2424</v>
      </c>
      <c r="D5">
        <v>0</v>
      </c>
      <c r="E5" t="s">
        <v>2441</v>
      </c>
    </row>
    <row r="6" spans="1:5" x14ac:dyDescent="0.35">
      <c r="A6" t="s">
        <v>2500</v>
      </c>
      <c r="B6" t="s">
        <v>1841</v>
      </c>
      <c r="C6" t="s">
        <v>2424</v>
      </c>
      <c r="D6">
        <v>0</v>
      </c>
      <c r="E6" t="s">
        <v>2073</v>
      </c>
    </row>
    <row r="7" spans="1:5" x14ac:dyDescent="0.35">
      <c r="A7" t="s">
        <v>1021</v>
      </c>
      <c r="B7" t="s">
        <v>1841</v>
      </c>
      <c r="C7" t="s">
        <v>2424</v>
      </c>
      <c r="D7">
        <v>0</v>
      </c>
      <c r="E7" t="s">
        <v>2782</v>
      </c>
    </row>
    <row r="8" spans="1:5" x14ac:dyDescent="0.35">
      <c r="A8" t="s">
        <v>2435</v>
      </c>
      <c r="B8" t="s">
        <v>1841</v>
      </c>
      <c r="C8" t="s">
        <v>2424</v>
      </c>
      <c r="D8">
        <v>0</v>
      </c>
      <c r="E8" t="s">
        <v>1342</v>
      </c>
    </row>
    <row r="9" spans="1:5" x14ac:dyDescent="0.35">
      <c r="A9" t="s">
        <v>2512</v>
      </c>
      <c r="B9" t="s">
        <v>1841</v>
      </c>
      <c r="C9" t="s">
        <v>2424</v>
      </c>
      <c r="D9">
        <v>0</v>
      </c>
      <c r="E9" t="s">
        <v>1271</v>
      </c>
    </row>
    <row r="10" spans="1:5" x14ac:dyDescent="0.35">
      <c r="A10" t="s">
        <v>826</v>
      </c>
      <c r="B10" t="s">
        <v>1841</v>
      </c>
      <c r="C10" t="s">
        <v>2424</v>
      </c>
      <c r="D10">
        <v>0</v>
      </c>
      <c r="E10" t="s">
        <v>347</v>
      </c>
    </row>
    <row r="11" spans="1:5" x14ac:dyDescent="0.35">
      <c r="A11" t="s">
        <v>2157</v>
      </c>
      <c r="B11" t="s">
        <v>1841</v>
      </c>
      <c r="C11" t="s">
        <v>2424</v>
      </c>
      <c r="D11">
        <v>0</v>
      </c>
      <c r="E11" t="s">
        <v>560</v>
      </c>
    </row>
    <row r="12" spans="1:5" x14ac:dyDescent="0.35">
      <c r="A12" t="s">
        <v>615</v>
      </c>
      <c r="B12" t="s">
        <v>1841</v>
      </c>
      <c r="C12" t="s">
        <v>2424</v>
      </c>
      <c r="D12">
        <v>0</v>
      </c>
      <c r="E12" t="s">
        <v>1399</v>
      </c>
    </row>
    <row r="13" spans="1:5" x14ac:dyDescent="0.35">
      <c r="A13" t="s">
        <v>2100</v>
      </c>
      <c r="B13" t="s">
        <v>1841</v>
      </c>
      <c r="C13" t="s">
        <v>2424</v>
      </c>
      <c r="D13">
        <v>0</v>
      </c>
      <c r="E13" t="s">
        <v>3304</v>
      </c>
    </row>
    <row r="14" spans="1:5" x14ac:dyDescent="0.35">
      <c r="A14" t="s">
        <v>3244</v>
      </c>
      <c r="B14" t="s">
        <v>1841</v>
      </c>
      <c r="C14" t="s">
        <v>2424</v>
      </c>
      <c r="D14">
        <v>0</v>
      </c>
      <c r="E14" t="s">
        <v>3685</v>
      </c>
    </row>
    <row r="15" spans="1:5" x14ac:dyDescent="0.35">
      <c r="A15" t="s">
        <v>650</v>
      </c>
      <c r="B15" t="s">
        <v>1841</v>
      </c>
      <c r="C15" t="s">
        <v>2424</v>
      </c>
      <c r="D15">
        <v>0</v>
      </c>
      <c r="E15" t="s">
        <v>1975</v>
      </c>
    </row>
    <row r="16" spans="1:5" x14ac:dyDescent="0.35">
      <c r="A16" t="s">
        <v>2101</v>
      </c>
      <c r="B16" t="s">
        <v>1841</v>
      </c>
      <c r="C16" t="s">
        <v>2424</v>
      </c>
      <c r="D16">
        <v>0</v>
      </c>
      <c r="E16" t="s">
        <v>731</v>
      </c>
    </row>
    <row r="17" spans="1:5" x14ac:dyDescent="0.35">
      <c r="A17" t="s">
        <v>1855</v>
      </c>
      <c r="B17" t="s">
        <v>1841</v>
      </c>
      <c r="C17" t="s">
        <v>2424</v>
      </c>
      <c r="D17">
        <v>0</v>
      </c>
      <c r="E17" t="s">
        <v>99</v>
      </c>
    </row>
    <row r="18" spans="1:5" x14ac:dyDescent="0.35">
      <c r="A18" t="s">
        <v>1934</v>
      </c>
      <c r="B18" t="s">
        <v>1841</v>
      </c>
      <c r="C18" t="s">
        <v>2424</v>
      </c>
      <c r="D18">
        <v>0</v>
      </c>
      <c r="E18" t="s">
        <v>2892</v>
      </c>
    </row>
    <row r="19" spans="1:5" x14ac:dyDescent="0.35">
      <c r="A19" t="s">
        <v>3117</v>
      </c>
      <c r="B19" t="s">
        <v>1841</v>
      </c>
      <c r="C19" t="s">
        <v>2424</v>
      </c>
      <c r="D19">
        <v>0</v>
      </c>
      <c r="E19" t="s">
        <v>3798</v>
      </c>
    </row>
    <row r="20" spans="1:5" x14ac:dyDescent="0.35">
      <c r="A20" t="s">
        <v>1629</v>
      </c>
      <c r="B20" t="s">
        <v>1841</v>
      </c>
      <c r="C20" t="s">
        <v>2424</v>
      </c>
      <c r="D20">
        <v>0</v>
      </c>
      <c r="E20" t="s">
        <v>1597</v>
      </c>
    </row>
    <row r="21" spans="1:5" x14ac:dyDescent="0.35">
      <c r="A21" t="s">
        <v>3549</v>
      </c>
      <c r="B21" t="s">
        <v>1841</v>
      </c>
      <c r="C21" t="s">
        <v>2424</v>
      </c>
      <c r="D21">
        <v>0</v>
      </c>
      <c r="E21" t="s">
        <v>1750</v>
      </c>
    </row>
    <row r="22" spans="1:5" x14ac:dyDescent="0.35">
      <c r="A22" t="s">
        <v>1142</v>
      </c>
      <c r="B22" t="s">
        <v>1841</v>
      </c>
      <c r="C22" t="s">
        <v>2424</v>
      </c>
      <c r="D22">
        <v>0</v>
      </c>
      <c r="E22" t="s">
        <v>1400</v>
      </c>
    </row>
    <row r="23" spans="1:5" x14ac:dyDescent="0.35">
      <c r="A23" t="s">
        <v>2613</v>
      </c>
      <c r="B23" t="s">
        <v>1841</v>
      </c>
      <c r="C23" t="s">
        <v>2424</v>
      </c>
      <c r="D23">
        <v>0</v>
      </c>
      <c r="E23" t="s">
        <v>422</v>
      </c>
    </row>
    <row r="24" spans="1:5" x14ac:dyDescent="0.35">
      <c r="A24" t="s">
        <v>1252</v>
      </c>
      <c r="B24" t="s">
        <v>1841</v>
      </c>
      <c r="C24" t="s">
        <v>2424</v>
      </c>
      <c r="D24">
        <v>0</v>
      </c>
      <c r="E24" t="s">
        <v>2514</v>
      </c>
    </row>
    <row r="25" spans="1:5" x14ac:dyDescent="0.35">
      <c r="A25" t="s">
        <v>1252</v>
      </c>
      <c r="B25" t="s">
        <v>1841</v>
      </c>
      <c r="C25" t="s">
        <v>2424</v>
      </c>
      <c r="D25">
        <v>0</v>
      </c>
      <c r="E25" t="s">
        <v>1948</v>
      </c>
    </row>
    <row r="26" spans="1:5" x14ac:dyDescent="0.35">
      <c r="A26" t="s">
        <v>594</v>
      </c>
      <c r="B26" t="s">
        <v>1841</v>
      </c>
      <c r="C26" t="s">
        <v>2424</v>
      </c>
      <c r="D26">
        <v>0</v>
      </c>
      <c r="E26" t="s">
        <v>2975</v>
      </c>
    </row>
    <row r="27" spans="1:5" x14ac:dyDescent="0.35">
      <c r="A27" t="s">
        <v>2989</v>
      </c>
      <c r="B27" t="s">
        <v>1841</v>
      </c>
      <c r="C27" t="s">
        <v>2424</v>
      </c>
      <c r="D27">
        <v>0</v>
      </c>
      <c r="E27" t="s">
        <v>2370</v>
      </c>
    </row>
    <row r="28" spans="1:5" x14ac:dyDescent="0.35">
      <c r="A28" t="s">
        <v>1411</v>
      </c>
      <c r="B28" t="s">
        <v>1841</v>
      </c>
      <c r="C28" t="s">
        <v>2424</v>
      </c>
      <c r="D28">
        <v>0</v>
      </c>
      <c r="E28" t="s">
        <v>175</v>
      </c>
    </row>
    <row r="29" spans="1:5" x14ac:dyDescent="0.35">
      <c r="A29" t="s">
        <v>3691</v>
      </c>
      <c r="B29" t="s">
        <v>1841</v>
      </c>
      <c r="C29" t="s">
        <v>2424</v>
      </c>
      <c r="D29">
        <v>0</v>
      </c>
      <c r="E29" t="s">
        <v>2900</v>
      </c>
    </row>
    <row r="30" spans="1:5" x14ac:dyDescent="0.35">
      <c r="A30" t="s">
        <v>3129</v>
      </c>
      <c r="B30" t="s">
        <v>1841</v>
      </c>
      <c r="C30" t="s">
        <v>2424</v>
      </c>
      <c r="D30">
        <v>0</v>
      </c>
      <c r="E30" t="s">
        <v>3255</v>
      </c>
    </row>
    <row r="31" spans="1:5" x14ac:dyDescent="0.35">
      <c r="A31" t="s">
        <v>2334</v>
      </c>
      <c r="B31" t="s">
        <v>1841</v>
      </c>
      <c r="C31" t="s">
        <v>2424</v>
      </c>
      <c r="D31">
        <v>0</v>
      </c>
      <c r="E31" t="s">
        <v>3763</v>
      </c>
    </row>
    <row r="32" spans="1:5" x14ac:dyDescent="0.35">
      <c r="A32" t="s">
        <v>2870</v>
      </c>
      <c r="B32" t="s">
        <v>2531</v>
      </c>
      <c r="C32" t="s">
        <v>2424</v>
      </c>
      <c r="D32">
        <v>0</v>
      </c>
      <c r="E32" t="s">
        <v>3550</v>
      </c>
    </row>
    <row r="33" spans="1:5" x14ac:dyDescent="0.35">
      <c r="A33" t="s">
        <v>2898</v>
      </c>
      <c r="B33" t="s">
        <v>1144</v>
      </c>
      <c r="C33" t="s">
        <v>2424</v>
      </c>
      <c r="D33">
        <v>0</v>
      </c>
      <c r="E33" t="s">
        <v>178</v>
      </c>
    </row>
    <row r="34" spans="1:5" x14ac:dyDescent="0.35">
      <c r="A34" t="s">
        <v>2898</v>
      </c>
      <c r="B34" t="s">
        <v>1144</v>
      </c>
      <c r="C34" t="s">
        <v>2424</v>
      </c>
      <c r="D34">
        <v>0</v>
      </c>
      <c r="E34" t="s">
        <v>2273</v>
      </c>
    </row>
    <row r="35" spans="1:5" x14ac:dyDescent="0.35">
      <c r="A35" t="s">
        <v>1958</v>
      </c>
      <c r="B35" t="s">
        <v>1532</v>
      </c>
      <c r="C35" t="s">
        <v>2424</v>
      </c>
      <c r="D35">
        <v>0</v>
      </c>
      <c r="E35" t="s">
        <v>252</v>
      </c>
    </row>
    <row r="36" spans="1:5" x14ac:dyDescent="0.35">
      <c r="A36" t="s">
        <v>1157</v>
      </c>
      <c r="B36" t="s">
        <v>1532</v>
      </c>
      <c r="C36" t="s">
        <v>2424</v>
      </c>
      <c r="D36">
        <v>0</v>
      </c>
      <c r="E36" t="s">
        <v>1823</v>
      </c>
    </row>
    <row r="37" spans="1:5" x14ac:dyDescent="0.35">
      <c r="A37" t="s">
        <v>586</v>
      </c>
      <c r="B37" t="s">
        <v>1532</v>
      </c>
      <c r="C37" t="s">
        <v>2424</v>
      </c>
      <c r="D37">
        <v>0</v>
      </c>
      <c r="E37" t="s">
        <v>2592</v>
      </c>
    </row>
    <row r="38" spans="1:5" x14ac:dyDescent="0.35">
      <c r="A38" t="s">
        <v>1150</v>
      </c>
      <c r="B38" t="s">
        <v>1532</v>
      </c>
      <c r="C38" t="s">
        <v>2424</v>
      </c>
      <c r="D38">
        <v>0</v>
      </c>
      <c r="E38" t="s">
        <v>97</v>
      </c>
    </row>
    <row r="39" spans="1:5" x14ac:dyDescent="0.35">
      <c r="A39" t="s">
        <v>3245</v>
      </c>
      <c r="B39" t="s">
        <v>1532</v>
      </c>
      <c r="C39" t="s">
        <v>2424</v>
      </c>
      <c r="D39">
        <v>0</v>
      </c>
      <c r="E39" t="s">
        <v>2102</v>
      </c>
    </row>
    <row r="40" spans="1:5" x14ac:dyDescent="0.35">
      <c r="A40" t="s">
        <v>2985</v>
      </c>
      <c r="B40" t="s">
        <v>1532</v>
      </c>
      <c r="C40" t="s">
        <v>2424</v>
      </c>
      <c r="D40">
        <v>0</v>
      </c>
      <c r="E40" t="s">
        <v>1652</v>
      </c>
    </row>
    <row r="41" spans="1:5" x14ac:dyDescent="0.35">
      <c r="A41" t="s">
        <v>44</v>
      </c>
      <c r="B41" t="s">
        <v>1532</v>
      </c>
      <c r="C41" t="s">
        <v>2424</v>
      </c>
      <c r="D41">
        <v>0</v>
      </c>
      <c r="E41" t="s">
        <v>3491</v>
      </c>
    </row>
    <row r="42" spans="1:5" x14ac:dyDescent="0.35">
      <c r="A42" t="s">
        <v>3359</v>
      </c>
      <c r="B42" t="s">
        <v>1532</v>
      </c>
      <c r="C42" t="s">
        <v>2424</v>
      </c>
      <c r="D42">
        <v>0</v>
      </c>
      <c r="E42" t="s">
        <v>3599</v>
      </c>
    </row>
    <row r="43" spans="1:5" x14ac:dyDescent="0.35">
      <c r="A43" t="s">
        <v>496</v>
      </c>
      <c r="B43" t="s">
        <v>1532</v>
      </c>
      <c r="C43" t="s">
        <v>2424</v>
      </c>
      <c r="D43">
        <v>0</v>
      </c>
      <c r="E43" t="s">
        <v>2726</v>
      </c>
    </row>
    <row r="44" spans="1:5" x14ac:dyDescent="0.35">
      <c r="A44" t="s">
        <v>29</v>
      </c>
      <c r="B44" t="s">
        <v>1532</v>
      </c>
      <c r="C44" t="s">
        <v>2424</v>
      </c>
      <c r="D44">
        <v>0</v>
      </c>
      <c r="E44" t="s">
        <v>2585</v>
      </c>
    </row>
    <row r="45" spans="1:5" x14ac:dyDescent="0.35">
      <c r="A45" t="s">
        <v>283</v>
      </c>
      <c r="B45" t="s">
        <v>1532</v>
      </c>
      <c r="C45" t="s">
        <v>2424</v>
      </c>
      <c r="D45">
        <v>0</v>
      </c>
      <c r="E45" t="s">
        <v>30</v>
      </c>
    </row>
    <row r="46" spans="1:5" x14ac:dyDescent="0.35">
      <c r="A46" t="s">
        <v>3516</v>
      </c>
      <c r="B46" t="s">
        <v>1532</v>
      </c>
      <c r="C46" t="s">
        <v>2424</v>
      </c>
      <c r="D46">
        <v>0</v>
      </c>
      <c r="E46" t="s">
        <v>1726</v>
      </c>
    </row>
    <row r="47" spans="1:5" x14ac:dyDescent="0.35">
      <c r="A47" t="s">
        <v>274</v>
      </c>
      <c r="B47" t="s">
        <v>1532</v>
      </c>
      <c r="C47" t="s">
        <v>2424</v>
      </c>
      <c r="D47">
        <v>0</v>
      </c>
      <c r="E47" t="s">
        <v>450</v>
      </c>
    </row>
    <row r="48" spans="1:5" x14ac:dyDescent="0.35">
      <c r="A48" t="s">
        <v>1336</v>
      </c>
      <c r="B48" t="s">
        <v>1532</v>
      </c>
      <c r="C48" t="s">
        <v>2424</v>
      </c>
      <c r="D48">
        <v>0</v>
      </c>
      <c r="E48" t="s">
        <v>282</v>
      </c>
    </row>
    <row r="49" spans="1:5" x14ac:dyDescent="0.35">
      <c r="A49" t="s">
        <v>3703</v>
      </c>
      <c r="B49" t="s">
        <v>1532</v>
      </c>
      <c r="C49" t="s">
        <v>2424</v>
      </c>
      <c r="D49">
        <v>0</v>
      </c>
      <c r="E49" t="s">
        <v>2012</v>
      </c>
    </row>
    <row r="50" spans="1:5" x14ac:dyDescent="0.35">
      <c r="A50" t="s">
        <v>3678</v>
      </c>
      <c r="B50" t="s">
        <v>1532</v>
      </c>
      <c r="C50" t="s">
        <v>2424</v>
      </c>
      <c r="D50">
        <v>0</v>
      </c>
      <c r="E50" t="s">
        <v>640</v>
      </c>
    </row>
    <row r="51" spans="1:5" x14ac:dyDescent="0.35">
      <c r="A51" t="s">
        <v>3312</v>
      </c>
      <c r="B51" t="s">
        <v>1532</v>
      </c>
      <c r="C51" t="s">
        <v>2424</v>
      </c>
      <c r="D51">
        <v>0</v>
      </c>
      <c r="E51" t="s">
        <v>3790</v>
      </c>
    </row>
    <row r="52" spans="1:5" x14ac:dyDescent="0.35">
      <c r="A52" t="s">
        <v>1630</v>
      </c>
      <c r="B52" t="s">
        <v>1532</v>
      </c>
      <c r="C52" t="s">
        <v>2424</v>
      </c>
      <c r="D52">
        <v>0</v>
      </c>
      <c r="E52" t="s">
        <v>333</v>
      </c>
    </row>
    <row r="53" spans="1:5" x14ac:dyDescent="0.35">
      <c r="A53" t="s">
        <v>2033</v>
      </c>
      <c r="B53" t="s">
        <v>1532</v>
      </c>
      <c r="C53" t="s">
        <v>2424</v>
      </c>
      <c r="D53">
        <v>0</v>
      </c>
      <c r="E53" t="s">
        <v>2410</v>
      </c>
    </row>
    <row r="54" spans="1:5" x14ac:dyDescent="0.35">
      <c r="A54" t="s">
        <v>1445</v>
      </c>
      <c r="B54" t="s">
        <v>1532</v>
      </c>
      <c r="C54" t="s">
        <v>2424</v>
      </c>
      <c r="D54">
        <v>0</v>
      </c>
      <c r="E54" t="s">
        <v>1692</v>
      </c>
    </row>
    <row r="55" spans="1:5" x14ac:dyDescent="0.35">
      <c r="A55" t="s">
        <v>2890</v>
      </c>
      <c r="B55" t="s">
        <v>1532</v>
      </c>
      <c r="C55" t="s">
        <v>2424</v>
      </c>
      <c r="D55">
        <v>0</v>
      </c>
      <c r="E55" t="s">
        <v>27</v>
      </c>
    </row>
    <row r="56" spans="1:5" x14ac:dyDescent="0.35">
      <c r="A56" t="s">
        <v>669</v>
      </c>
      <c r="B56" t="s">
        <v>1532</v>
      </c>
      <c r="C56" t="s">
        <v>2424</v>
      </c>
      <c r="D56">
        <v>0</v>
      </c>
      <c r="E56" t="s">
        <v>3441</v>
      </c>
    </row>
    <row r="57" spans="1:5" x14ac:dyDescent="0.35">
      <c r="A57" t="s">
        <v>3140</v>
      </c>
      <c r="B57" t="s">
        <v>1532</v>
      </c>
      <c r="C57" t="s">
        <v>2424</v>
      </c>
      <c r="D57">
        <v>0</v>
      </c>
      <c r="E57" t="s">
        <v>3153</v>
      </c>
    </row>
    <row r="58" spans="1:5" x14ac:dyDescent="0.35">
      <c r="A58" t="s">
        <v>1704</v>
      </c>
      <c r="B58" t="s">
        <v>1532</v>
      </c>
      <c r="C58" t="s">
        <v>2424</v>
      </c>
      <c r="D58">
        <v>0</v>
      </c>
      <c r="E58" t="s">
        <v>950</v>
      </c>
    </row>
    <row r="59" spans="1:5" x14ac:dyDescent="0.35">
      <c r="A59" t="s">
        <v>3667</v>
      </c>
      <c r="B59" t="s">
        <v>1532</v>
      </c>
      <c r="C59" t="s">
        <v>2424</v>
      </c>
      <c r="D59">
        <v>0</v>
      </c>
      <c r="E59" t="s">
        <v>576</v>
      </c>
    </row>
    <row r="60" spans="1:5" x14ac:dyDescent="0.35">
      <c r="A60" t="s">
        <v>621</v>
      </c>
      <c r="B60" t="s">
        <v>1532</v>
      </c>
      <c r="C60" t="s">
        <v>2424</v>
      </c>
      <c r="D60">
        <v>0</v>
      </c>
      <c r="E60" t="s">
        <v>662</v>
      </c>
    </row>
    <row r="61" spans="1:5" x14ac:dyDescent="0.35">
      <c r="A61" t="s">
        <v>1449</v>
      </c>
      <c r="B61" t="s">
        <v>1841</v>
      </c>
      <c r="C61" t="s">
        <v>2424</v>
      </c>
      <c r="D61">
        <v>0</v>
      </c>
      <c r="E61" t="s">
        <v>1242</v>
      </c>
    </row>
    <row r="62" spans="1:5" x14ac:dyDescent="0.35">
      <c r="A62" t="s">
        <v>482</v>
      </c>
      <c r="B62" t="s">
        <v>1841</v>
      </c>
      <c r="C62" t="s">
        <v>2424</v>
      </c>
      <c r="D62">
        <v>0</v>
      </c>
      <c r="E62" t="s">
        <v>2570</v>
      </c>
    </row>
    <row r="63" spans="1:5" x14ac:dyDescent="0.35">
      <c r="A63" t="s">
        <v>3687</v>
      </c>
      <c r="B63" t="s">
        <v>1841</v>
      </c>
      <c r="C63" t="s">
        <v>2424</v>
      </c>
      <c r="D63">
        <v>0</v>
      </c>
      <c r="E63" t="s">
        <v>734</v>
      </c>
    </row>
    <row r="64" spans="1:5" x14ac:dyDescent="0.35">
      <c r="A64" t="s">
        <v>2730</v>
      </c>
      <c r="B64" t="s">
        <v>1841</v>
      </c>
      <c r="C64" t="s">
        <v>2424</v>
      </c>
      <c r="D64">
        <v>0</v>
      </c>
      <c r="E64" t="s">
        <v>3721</v>
      </c>
    </row>
    <row r="65" spans="1:5" x14ac:dyDescent="0.35">
      <c r="A65" t="s">
        <v>628</v>
      </c>
      <c r="B65" t="s">
        <v>1532</v>
      </c>
      <c r="C65" t="s">
        <v>2424</v>
      </c>
      <c r="D65">
        <v>0</v>
      </c>
      <c r="E65" t="s">
        <v>848</v>
      </c>
    </row>
    <row r="66" spans="1:5" x14ac:dyDescent="0.35">
      <c r="A66" t="s">
        <v>3256</v>
      </c>
      <c r="B66" t="s">
        <v>1532</v>
      </c>
      <c r="C66" t="s">
        <v>2424</v>
      </c>
      <c r="D66">
        <v>0</v>
      </c>
      <c r="E66" t="s">
        <v>1079</v>
      </c>
    </row>
    <row r="67" spans="1:5" x14ac:dyDescent="0.35">
      <c r="A67" t="s">
        <v>136</v>
      </c>
      <c r="B67" t="s">
        <v>1532</v>
      </c>
      <c r="C67" t="s">
        <v>2424</v>
      </c>
      <c r="D67">
        <v>0</v>
      </c>
      <c r="E67" t="s">
        <v>3727</v>
      </c>
    </row>
    <row r="68" spans="1:5" x14ac:dyDescent="0.35">
      <c r="A68" t="s">
        <v>3489</v>
      </c>
      <c r="B68" t="s">
        <v>1532</v>
      </c>
      <c r="C68" t="s">
        <v>2424</v>
      </c>
      <c r="D68">
        <v>0</v>
      </c>
      <c r="E68" t="s">
        <v>335</v>
      </c>
    </row>
    <row r="69" spans="1:5" x14ac:dyDescent="0.35">
      <c r="A69" t="s">
        <v>471</v>
      </c>
      <c r="B69" t="s">
        <v>1532</v>
      </c>
      <c r="C69" t="s">
        <v>2424</v>
      </c>
      <c r="D69">
        <v>0</v>
      </c>
      <c r="E69" t="s">
        <v>220</v>
      </c>
    </row>
    <row r="70" spans="1:5" x14ac:dyDescent="0.35">
      <c r="A70" t="s">
        <v>3420</v>
      </c>
      <c r="B70" t="s">
        <v>1532</v>
      </c>
      <c r="C70" t="s">
        <v>2424</v>
      </c>
      <c r="D70">
        <v>0</v>
      </c>
      <c r="E70" t="s">
        <v>1018</v>
      </c>
    </row>
    <row r="71" spans="1:5" x14ac:dyDescent="0.35">
      <c r="A71" t="s">
        <v>3227</v>
      </c>
      <c r="B71" t="s">
        <v>1532</v>
      </c>
      <c r="C71" t="s">
        <v>2424</v>
      </c>
      <c r="D71">
        <v>0</v>
      </c>
      <c r="E71" t="s">
        <v>723</v>
      </c>
    </row>
    <row r="72" spans="1:5" x14ac:dyDescent="0.35">
      <c r="A72" t="s">
        <v>1619</v>
      </c>
      <c r="B72" t="s">
        <v>1532</v>
      </c>
      <c r="C72" t="s">
        <v>2424</v>
      </c>
      <c r="D72">
        <v>0</v>
      </c>
      <c r="E72" t="s">
        <v>3580</v>
      </c>
    </row>
    <row r="73" spans="1:5" x14ac:dyDescent="0.35">
      <c r="A73" t="s">
        <v>3064</v>
      </c>
      <c r="B73" t="s">
        <v>1532</v>
      </c>
      <c r="C73" t="s">
        <v>2424</v>
      </c>
      <c r="D73">
        <v>0</v>
      </c>
      <c r="E73" t="s">
        <v>932</v>
      </c>
    </row>
    <row r="74" spans="1:5" x14ac:dyDescent="0.35">
      <c r="A74" t="s">
        <v>330</v>
      </c>
      <c r="B74" t="s">
        <v>1532</v>
      </c>
      <c r="C74" t="s">
        <v>2424</v>
      </c>
      <c r="D74">
        <v>0</v>
      </c>
      <c r="E74" t="s">
        <v>967</v>
      </c>
    </row>
    <row r="75" spans="1:5" x14ac:dyDescent="0.35">
      <c r="A75" t="s">
        <v>1544</v>
      </c>
      <c r="B75" t="s">
        <v>1532</v>
      </c>
      <c r="C75" t="s">
        <v>2424</v>
      </c>
      <c r="D75">
        <v>0</v>
      </c>
      <c r="E75" t="s">
        <v>2532</v>
      </c>
    </row>
    <row r="76" spans="1:5" x14ac:dyDescent="0.35">
      <c r="A76" t="s">
        <v>3362</v>
      </c>
      <c r="B76" t="s">
        <v>1532</v>
      </c>
      <c r="C76" t="s">
        <v>2424</v>
      </c>
      <c r="D76">
        <v>0</v>
      </c>
      <c r="E76" t="s">
        <v>3389</v>
      </c>
    </row>
    <row r="77" spans="1:5" x14ac:dyDescent="0.35">
      <c r="A77" t="s">
        <v>2114</v>
      </c>
      <c r="B77" t="s">
        <v>1532</v>
      </c>
      <c r="C77" t="s">
        <v>2424</v>
      </c>
      <c r="D77">
        <v>0</v>
      </c>
      <c r="E77" t="s">
        <v>2964</v>
      </c>
    </row>
    <row r="78" spans="1:5" x14ac:dyDescent="0.35">
      <c r="A78" t="s">
        <v>3119</v>
      </c>
      <c r="B78" t="s">
        <v>1532</v>
      </c>
      <c r="C78" t="s">
        <v>2424</v>
      </c>
      <c r="D78">
        <v>0</v>
      </c>
      <c r="E78" t="s">
        <v>1431</v>
      </c>
    </row>
    <row r="79" spans="1:5" x14ac:dyDescent="0.35">
      <c r="A79" t="s">
        <v>782</v>
      </c>
      <c r="B79" t="s">
        <v>1532</v>
      </c>
      <c r="C79" t="s">
        <v>2424</v>
      </c>
      <c r="D79">
        <v>0</v>
      </c>
      <c r="E79" t="s">
        <v>2635</v>
      </c>
    </row>
    <row r="80" spans="1:5" x14ac:dyDescent="0.35">
      <c r="A80" t="s">
        <v>2724</v>
      </c>
      <c r="B80" t="s">
        <v>1532</v>
      </c>
      <c r="C80" t="s">
        <v>2424</v>
      </c>
      <c r="D80">
        <v>0</v>
      </c>
      <c r="E80" t="s">
        <v>162</v>
      </c>
    </row>
    <row r="81" spans="1:5" x14ac:dyDescent="0.35">
      <c r="A81" t="s">
        <v>2142</v>
      </c>
      <c r="B81" t="s">
        <v>1532</v>
      </c>
      <c r="C81" t="s">
        <v>2424</v>
      </c>
      <c r="D81">
        <v>0</v>
      </c>
      <c r="E81" t="s">
        <v>3144</v>
      </c>
    </row>
    <row r="82" spans="1:5" x14ac:dyDescent="0.35">
      <c r="A82" t="s">
        <v>2921</v>
      </c>
      <c r="B82" t="s">
        <v>1532</v>
      </c>
      <c r="C82" t="s">
        <v>2424</v>
      </c>
      <c r="D82">
        <v>0</v>
      </c>
      <c r="E82" t="s">
        <v>1216</v>
      </c>
    </row>
    <row r="83" spans="1:5" x14ac:dyDescent="0.35">
      <c r="A83" t="s">
        <v>2187</v>
      </c>
      <c r="B83" t="s">
        <v>2531</v>
      </c>
      <c r="C83" t="s">
        <v>2424</v>
      </c>
      <c r="D83">
        <v>0</v>
      </c>
      <c r="E83" t="s">
        <v>3171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C13"/>
  <sheetViews>
    <sheetView zoomScaleNormal="100" workbookViewId="0">
      <pane ySplit="1" topLeftCell="A2" activePane="bottomLeft" state="frozen"/>
      <selection pane="bottomLeft"/>
    </sheetView>
  </sheetViews>
  <sheetFormatPr defaultColWidth="9.1796875" defaultRowHeight="14.5" x14ac:dyDescent="0.35"/>
  <cols>
    <col min="1" max="2" width="64.7265625" customWidth="1"/>
    <col min="3" max="3" width="34.7265625" customWidth="1"/>
  </cols>
  <sheetData>
    <row r="1" spans="1:3" x14ac:dyDescent="0.35">
      <c r="A1" s="2" t="s">
        <v>2454</v>
      </c>
      <c r="B1" s="2" t="s">
        <v>3251</v>
      </c>
      <c r="C1" s="2" t="s">
        <v>707</v>
      </c>
    </row>
    <row r="2" spans="1:3" x14ac:dyDescent="0.35">
      <c r="A2" t="s">
        <v>3538</v>
      </c>
      <c r="B2" s="1" t="str">
        <f>HYPERLINK("https://ovidsp.ovid.com/ovidweb.cgi?T=JS&amp;NEWS=n&amp;CSC=Y&amp;PAGE=main&amp;D=amed","https://ovidsp.ovid.com/ovidweb.cgi?T=JS&amp;NEWS=n&amp;CSC=Y&amp;PAGE=main&amp;D=amed")</f>
        <v>https://ovidsp.ovid.com/ovidweb.cgi?T=JS&amp;NEWS=n&amp;CSC=Y&amp;PAGE=main&amp;D=amed</v>
      </c>
      <c r="C2" t="s">
        <v>2684</v>
      </c>
    </row>
    <row r="3" spans="1:3" x14ac:dyDescent="0.35">
      <c r="A3" t="s">
        <v>95</v>
      </c>
      <c r="B3" s="1" t="str">
        <f>HYPERLINK("https://ovidsp.ovid.com/ovidweb.cgi?T=JS&amp;NEWS=n&amp;CSC=Y&amp;PAGE=main&amp;D=oemezd","https://ovidsp.ovid.com/ovidweb.cgi?T=JS&amp;NEWS=n&amp;CSC=Y&amp;PAGE=main&amp;D=oemezd")</f>
        <v>https://ovidsp.ovid.com/ovidweb.cgi?T=JS&amp;NEWS=n&amp;CSC=Y&amp;PAGE=main&amp;D=oemezd</v>
      </c>
      <c r="C3" t="s">
        <v>191</v>
      </c>
    </row>
    <row r="4" spans="1:3" x14ac:dyDescent="0.35">
      <c r="A4" t="s">
        <v>760</v>
      </c>
      <c r="B4" s="1" t="str">
        <f>HYPERLINK("https://ovidsp.ovid.com/ovidweb.cgi?T=JS&amp;NEWS=n&amp;CSC=Y&amp;PAGE=main&amp;D=hmiz","https://ovidsp.ovid.com/ovidweb.cgi?T=JS&amp;NEWS=n&amp;CSC=Y&amp;PAGE=main&amp;D=hmiz")</f>
        <v>https://ovidsp.ovid.com/ovidweb.cgi?T=JS&amp;NEWS=n&amp;CSC=Y&amp;PAGE=main&amp;D=hmiz</v>
      </c>
      <c r="C4" t="s">
        <v>378</v>
      </c>
    </row>
    <row r="5" spans="1:3" x14ac:dyDescent="0.35">
      <c r="A5" t="s">
        <v>2898</v>
      </c>
      <c r="B5" s="1" t="str">
        <f>HYPERLINK("https://ovidsp.ovid.com/ovidweb.cgi?T=JS&amp;NEWS=n&amp;CSC=Y&amp;PAGE=main&amp;D=huaa17","https://ovidsp.ovid.com/ovidweb.cgi?T=JS&amp;NEWS=n&amp;CSC=Y&amp;PAGE=main&amp;D=huaa17")</f>
        <v>https://ovidsp.ovid.com/ovidweb.cgi?T=JS&amp;NEWS=n&amp;CSC=Y&amp;PAGE=main&amp;D=huaa17</v>
      </c>
      <c r="C5" t="s">
        <v>2273</v>
      </c>
    </row>
    <row r="6" spans="1:3" x14ac:dyDescent="0.35">
      <c r="A6" t="s">
        <v>2898</v>
      </c>
      <c r="B6" s="1" t="str">
        <f>HYPERLINK("https://ovidsp.ovid.com/ovidweb.cgi?T=JS&amp;NEWS=n&amp;CSC=Y&amp;PAGE=main&amp;D=huaa21","https://ovidsp.ovid.com/ovidweb.cgi?T=JS&amp;NEWS=n&amp;CSC=Y&amp;PAGE=main&amp;D=huaa21")</f>
        <v>https://ovidsp.ovid.com/ovidweb.cgi?T=JS&amp;NEWS=n&amp;CSC=Y&amp;PAGE=main&amp;D=huaa21</v>
      </c>
      <c r="C6" t="s">
        <v>178</v>
      </c>
    </row>
    <row r="7" spans="1:3" x14ac:dyDescent="0.35">
      <c r="A7" t="s">
        <v>1700</v>
      </c>
      <c r="B7" s="1" t="str">
        <f>HYPERLINK("https://ovidsp.ovid.com/ovidweb.cgi?T=JS&amp;NEWS=n&amp;CSC=Y&amp;PAGE=main&amp;D=emcr","https://ovidsp.ovid.com/ovidweb.cgi?T=JS&amp;NEWS=n&amp;CSC=Y&amp;PAGE=main&amp;D=emcr")</f>
        <v>https://ovidsp.ovid.com/ovidweb.cgi?T=JS&amp;NEWS=n&amp;CSC=Y&amp;PAGE=main&amp;D=emcr</v>
      </c>
      <c r="C7" t="s">
        <v>1036</v>
      </c>
    </row>
    <row r="8" spans="1:3" x14ac:dyDescent="0.35">
      <c r="A8" t="s">
        <v>3596</v>
      </c>
      <c r="B8" s="1" t="str">
        <f>HYPERLINK("https://ovidsp.ovid.com/ovidweb.cgi?T=JS&amp;NEWS=n&amp;CSC=Y&amp;PAGE=main&amp;D=mezz","https://ovidsp.ovid.com/ovidweb.cgi?T=JS&amp;NEWS=n&amp;CSC=Y&amp;PAGE=main&amp;D=mezz")</f>
        <v>https://ovidsp.ovid.com/ovidweb.cgi?T=JS&amp;NEWS=n&amp;CSC=Y&amp;PAGE=main&amp;D=mezz</v>
      </c>
      <c r="C8" t="s">
        <v>2754</v>
      </c>
    </row>
    <row r="9" spans="1:3" x14ac:dyDescent="0.35">
      <c r="A9" t="s">
        <v>2477</v>
      </c>
      <c r="B9" s="1" t="str">
        <f>HYPERLINK("https://ovidsp.ovid.com/ovidweb.cgi?T=JS&amp;NEWS=n&amp;CSC=Y&amp;PAGE=main&amp;D=medall","https://ovidsp.ovid.com/ovidweb.cgi?T=JS&amp;NEWS=n&amp;CSC=Y&amp;PAGE=main&amp;D=medall")</f>
        <v>https://ovidsp.ovid.com/ovidweb.cgi?T=JS&amp;NEWS=n&amp;CSC=Y&amp;PAGE=main&amp;D=medall</v>
      </c>
      <c r="C9" t="s">
        <v>3544</v>
      </c>
    </row>
    <row r="10" spans="1:3" x14ac:dyDescent="0.35">
      <c r="A10" t="s">
        <v>3492</v>
      </c>
      <c r="B10" s="1" t="str">
        <f>HYPERLINK("https://ovidsp.ovid.com/ovidweb.cgi?T=JS&amp;NEWS=n&amp;CSC=Y&amp;PAGE=main&amp;D=pomm","https://ovidsp.ovid.com/ovidweb.cgi?T=JS&amp;NEWS=n&amp;CSC=Y&amp;PAGE=main&amp;D=pomm")</f>
        <v>https://ovidsp.ovid.com/ovidweb.cgi?T=JS&amp;NEWS=n&amp;CSC=Y&amp;PAGE=main&amp;D=pomm</v>
      </c>
      <c r="C10" t="s">
        <v>3067</v>
      </c>
    </row>
    <row r="11" spans="1:3" x14ac:dyDescent="0.35">
      <c r="A11" t="s">
        <v>218</v>
      </c>
      <c r="B11" s="1" t="str">
        <f>HYPERLINK("https://ovidsp.ovid.com/ovidweb.cgi?T=JS&amp;NEWS=n&amp;CSC=Y&amp;PAGE=main&amp;D=pmoz","https://ovidsp.ovid.com/ovidweb.cgi?T=JS&amp;NEWS=n&amp;CSC=Y&amp;PAGE=main&amp;D=pmoz")</f>
        <v>https://ovidsp.ovid.com/ovidweb.cgi?T=JS&amp;NEWS=n&amp;CSC=Y&amp;PAGE=main&amp;D=pmoz</v>
      </c>
      <c r="C11" t="s">
        <v>1092</v>
      </c>
    </row>
    <row r="12" spans="1:3" x14ac:dyDescent="0.35">
      <c r="A12" t="s">
        <v>550</v>
      </c>
      <c r="B12" s="1" t="str">
        <f>HYPERLINK("https://ovidsp.ovid.com/ovidweb.cgi?T=JS&amp;NEWS=n&amp;CSC=Y&amp;PAGE=main&amp;D=prew","https://ovidsp.ovid.com/ovidweb.cgi?T=JS&amp;NEWS=n&amp;CSC=Y&amp;PAGE=main&amp;D=prew")</f>
        <v>https://ovidsp.ovid.com/ovidweb.cgi?T=JS&amp;NEWS=n&amp;CSC=Y&amp;PAGE=main&amp;D=prew</v>
      </c>
      <c r="C12" t="s">
        <v>3115</v>
      </c>
    </row>
    <row r="13" spans="1:3" x14ac:dyDescent="0.35">
      <c r="A13" t="s">
        <v>3323</v>
      </c>
      <c r="B13" s="1" t="str">
        <f>HYPERLINK("https://ovidsp.ovid.com/ovidweb.cgi?T=JS&amp;NEWS=n&amp;CSC=Y&amp;PAGE=main&amp;D=sopp","https://ovidsp.ovid.com/ovidweb.cgi?T=JS&amp;NEWS=n&amp;CSC=Y&amp;PAGE=main&amp;D=sopp")</f>
        <v>https://ovidsp.ovid.com/ovidweb.cgi?T=JS&amp;NEWS=n&amp;CSC=Y&amp;PAGE=main&amp;D=sopp</v>
      </c>
      <c r="C13" t="s">
        <v>3171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Journals</vt:lpstr>
      <vt:lpstr>Perpetual Access</vt:lpstr>
      <vt:lpstr>Books</vt:lpstr>
      <vt:lpstr>Databases</vt:lpstr>
      <vt:lpstr>DB Jumpstarts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Céspedes Araya, Mauro</cp:lastModifiedBy>
  <dcterms:created xsi:type="dcterms:W3CDTF">2022-05-26T08:26:27Z</dcterms:created>
  <dcterms:modified xsi:type="dcterms:W3CDTF">2022-05-26T08:54:38Z</dcterms:modified>
</cp:coreProperties>
</file>