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oryc\Desktop\Analiza Finansowa\"/>
    </mc:Choice>
  </mc:AlternateContent>
  <xr:revisionPtr revIDLastSave="0" documentId="8_{E51CF481-123A-40C4-A77A-017E378D3CEB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Wzór" sheetId="1" state="hidden" r:id="rId1"/>
    <sheet name="Bilans + Rachunek " sheetId="3" r:id="rId2"/>
    <sheet name="Dane dodatkowe" sheetId="4" r:id="rId3"/>
    <sheet name="Analiza Pozioma" sheetId="5" r:id="rId4"/>
    <sheet name="Analiza Pionowa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" i="3" l="1"/>
  <c r="D246" i="3"/>
  <c r="E246" i="3"/>
  <c r="B246" i="3"/>
  <c r="B3" i="4"/>
  <c r="C3" i="4"/>
  <c r="D3" i="4"/>
  <c r="E3" i="4"/>
  <c r="C245" i="3"/>
  <c r="D245" i="3"/>
  <c r="E245" i="3"/>
  <c r="B245" i="3"/>
  <c r="C244" i="3"/>
  <c r="D244" i="3"/>
  <c r="E244" i="3"/>
  <c r="C243" i="3"/>
  <c r="D243" i="3"/>
  <c r="E243" i="3"/>
  <c r="B243" i="3"/>
  <c r="B244" i="3"/>
  <c r="C242" i="3"/>
  <c r="D242" i="3"/>
  <c r="E242" i="3"/>
  <c r="B242" i="3"/>
  <c r="C262" i="3"/>
  <c r="D262" i="3"/>
  <c r="E262" i="3"/>
  <c r="B262" i="3"/>
  <c r="C261" i="3"/>
  <c r="D261" i="3"/>
  <c r="E261" i="3"/>
  <c r="B261" i="3"/>
  <c r="B263" i="3" s="1"/>
  <c r="C260" i="3"/>
  <c r="D260" i="3"/>
  <c r="E260" i="3"/>
  <c r="B260" i="3"/>
  <c r="B7" i="4"/>
  <c r="C7" i="4"/>
  <c r="D7" i="4"/>
  <c r="E7" i="4"/>
  <c r="B6" i="4"/>
  <c r="E6" i="4"/>
  <c r="D6" i="4"/>
  <c r="C6" i="4"/>
  <c r="C255" i="3"/>
  <c r="D255" i="3"/>
  <c r="E255" i="3"/>
  <c r="B255" i="3"/>
  <c r="B253" i="3"/>
  <c r="C251" i="3"/>
  <c r="D251" i="3"/>
  <c r="E251" i="3"/>
  <c r="B251" i="3"/>
  <c r="C250" i="3"/>
  <c r="D250" i="3"/>
  <c r="E250" i="3"/>
  <c r="B250" i="3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K61" i="6"/>
  <c r="J61" i="6"/>
  <c r="I61" i="6"/>
  <c r="K3" i="6"/>
  <c r="J3" i="6"/>
  <c r="I3" i="6"/>
  <c r="H61" i="6"/>
  <c r="H3" i="6"/>
  <c r="F73" i="3"/>
  <c r="G73" i="3"/>
  <c r="H73" i="3"/>
  <c r="F87" i="3"/>
  <c r="G87" i="3"/>
  <c r="H87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72" i="3"/>
  <c r="G72" i="3"/>
  <c r="H72" i="3"/>
  <c r="F86" i="3"/>
  <c r="G86" i="3"/>
  <c r="H86" i="3"/>
  <c r="F74" i="3"/>
  <c r="G74" i="3"/>
  <c r="H74" i="3"/>
  <c r="Q10" i="5"/>
  <c r="R10" i="5"/>
  <c r="P10" i="5"/>
  <c r="Q9" i="5"/>
  <c r="R9" i="5"/>
  <c r="P9" i="5"/>
  <c r="Q8" i="5"/>
  <c r="R8" i="5"/>
  <c r="P8" i="5"/>
  <c r="Q3" i="5"/>
  <c r="Q7" i="5" s="1"/>
  <c r="R3" i="5"/>
  <c r="P3" i="5"/>
  <c r="P7" i="5" s="1"/>
  <c r="R7" i="5"/>
  <c r="Q20" i="5"/>
  <c r="R20" i="5"/>
  <c r="P20" i="5"/>
  <c r="Q19" i="5"/>
  <c r="R19" i="5"/>
  <c r="P19" i="5"/>
  <c r="Q17" i="5"/>
  <c r="R17" i="5"/>
  <c r="P17" i="5"/>
  <c r="P18" i="5"/>
  <c r="R18" i="5"/>
  <c r="Q18" i="5"/>
  <c r="Q14" i="5"/>
  <c r="R14" i="5"/>
  <c r="P14" i="5"/>
  <c r="Q13" i="5"/>
  <c r="R13" i="5"/>
  <c r="P13" i="5"/>
  <c r="Q11" i="5"/>
  <c r="R11" i="5"/>
  <c r="P11" i="5"/>
  <c r="Q6" i="5"/>
  <c r="R6" i="5"/>
  <c r="P6" i="5"/>
  <c r="Q5" i="5"/>
  <c r="R5" i="5"/>
  <c r="P5" i="5"/>
  <c r="Q4" i="5"/>
  <c r="R4" i="5"/>
  <c r="P4" i="5"/>
  <c r="L6" i="5"/>
  <c r="L3" i="5"/>
  <c r="N4" i="5"/>
  <c r="X5" i="5" s="1"/>
  <c r="N5" i="5"/>
  <c r="N6" i="5"/>
  <c r="N7" i="5"/>
  <c r="N8" i="5"/>
  <c r="N9" i="5"/>
  <c r="N10" i="5"/>
  <c r="X3" i="5" s="1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" i="5"/>
  <c r="M4" i="5"/>
  <c r="W2" i="5" s="1"/>
  <c r="M5" i="5"/>
  <c r="M6" i="5"/>
  <c r="M7" i="5"/>
  <c r="M8" i="5"/>
  <c r="M9" i="5"/>
  <c r="M10" i="5"/>
  <c r="W3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" i="5"/>
  <c r="L4" i="5"/>
  <c r="V5" i="5" s="1"/>
  <c r="L5" i="5"/>
  <c r="L7" i="5"/>
  <c r="L8" i="5"/>
  <c r="L9" i="5"/>
  <c r="L10" i="5"/>
  <c r="V3" i="5" s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" i="5"/>
  <c r="G1" i="5"/>
  <c r="F1" i="5"/>
  <c r="C264" i="3"/>
  <c r="D264" i="3"/>
  <c r="E264" i="3"/>
  <c r="B264" i="3"/>
  <c r="C259" i="3"/>
  <c r="D259" i="3"/>
  <c r="E259" i="3"/>
  <c r="B259" i="3"/>
  <c r="C257" i="3"/>
  <c r="D257" i="3"/>
  <c r="E257" i="3"/>
  <c r="B257" i="3"/>
  <c r="B221" i="1"/>
  <c r="C256" i="3"/>
  <c r="D256" i="3"/>
  <c r="E256" i="3"/>
  <c r="B256" i="3"/>
  <c r="B220" i="1"/>
  <c r="B219" i="1"/>
  <c r="C253" i="3"/>
  <c r="D253" i="3"/>
  <c r="E253" i="3"/>
  <c r="C252" i="3"/>
  <c r="D252" i="3"/>
  <c r="E252" i="3"/>
  <c r="B252" i="3"/>
  <c r="C249" i="3"/>
  <c r="D249" i="3"/>
  <c r="E249" i="3"/>
  <c r="B249" i="3"/>
  <c r="B248" i="3"/>
  <c r="C248" i="3"/>
  <c r="D248" i="3"/>
  <c r="E248" i="3"/>
  <c r="F28" i="3"/>
  <c r="G28" i="3"/>
  <c r="H28" i="3"/>
  <c r="B202" i="1"/>
  <c r="B201" i="1"/>
  <c r="B200" i="1"/>
  <c r="C232" i="3"/>
  <c r="D232" i="3"/>
  <c r="E232" i="3"/>
  <c r="B232" i="3"/>
  <c r="B137" i="1"/>
  <c r="C230" i="3"/>
  <c r="D230" i="3"/>
  <c r="E230" i="3"/>
  <c r="B230" i="3"/>
  <c r="B135" i="1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C233" i="3"/>
  <c r="D233" i="3"/>
  <c r="E233" i="3"/>
  <c r="B233" i="3"/>
  <c r="B138" i="1"/>
  <c r="C231" i="3"/>
  <c r="D231" i="3"/>
  <c r="E231" i="3"/>
  <c r="B231" i="3"/>
  <c r="B136" i="1"/>
  <c r="E234" i="3"/>
  <c r="D234" i="3"/>
  <c r="C234" i="3"/>
  <c r="B234" i="3"/>
  <c r="B198" i="1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55" i="3"/>
  <c r="G55" i="3"/>
  <c r="H55" i="3"/>
  <c r="F56" i="3"/>
  <c r="G56" i="3"/>
  <c r="H56" i="3"/>
  <c r="K25" i="3"/>
  <c r="J53" i="3"/>
  <c r="I53" i="3"/>
  <c r="B53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9" i="3"/>
  <c r="G49" i="3"/>
  <c r="H49" i="3"/>
  <c r="F50" i="3"/>
  <c r="G50" i="3"/>
  <c r="H50" i="3"/>
  <c r="F52" i="3"/>
  <c r="G52" i="3"/>
  <c r="H52" i="3"/>
  <c r="F54" i="3"/>
  <c r="G54" i="3"/>
  <c r="H54" i="3"/>
  <c r="H57" i="3"/>
  <c r="F58" i="3"/>
  <c r="G58" i="3"/>
  <c r="H58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5" i="3"/>
  <c r="G115" i="3"/>
  <c r="H115" i="3"/>
  <c r="F116" i="3"/>
  <c r="G116" i="3"/>
  <c r="H116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81" i="3"/>
  <c r="G181" i="3"/>
  <c r="H181" i="3"/>
  <c r="F183" i="3"/>
  <c r="G183" i="3"/>
  <c r="H183" i="3"/>
  <c r="F184" i="3"/>
  <c r="G184" i="3"/>
  <c r="H184" i="3"/>
  <c r="F186" i="3"/>
  <c r="G186" i="3"/>
  <c r="H186" i="3"/>
  <c r="F187" i="3"/>
  <c r="G187" i="3"/>
  <c r="H187" i="3"/>
  <c r="F189" i="3"/>
  <c r="G189" i="3"/>
  <c r="H189" i="3"/>
  <c r="F190" i="3"/>
  <c r="G190" i="3"/>
  <c r="H190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200" i="3"/>
  <c r="G200" i="3"/>
  <c r="H200" i="3"/>
  <c r="F201" i="3"/>
  <c r="G201" i="3"/>
  <c r="H201" i="3"/>
  <c r="F202" i="3"/>
  <c r="G202" i="3"/>
  <c r="H202" i="3"/>
  <c r="F205" i="3"/>
  <c r="G205" i="3"/>
  <c r="H205" i="3"/>
  <c r="F206" i="3"/>
  <c r="G206" i="3"/>
  <c r="H206" i="3"/>
  <c r="F207" i="3"/>
  <c r="G207" i="3"/>
  <c r="H207" i="3"/>
  <c r="F209" i="3"/>
  <c r="G209" i="3"/>
  <c r="H209" i="3"/>
  <c r="F210" i="3"/>
  <c r="G210" i="3"/>
  <c r="H210" i="3"/>
  <c r="F211" i="3"/>
  <c r="G211" i="3"/>
  <c r="H211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8" i="3"/>
  <c r="F7" i="3"/>
  <c r="H12" i="3"/>
  <c r="G11" i="3"/>
  <c r="H11" i="3"/>
  <c r="G12" i="3"/>
  <c r="G13" i="3"/>
  <c r="H13" i="3"/>
  <c r="G14" i="3"/>
  <c r="H14" i="3"/>
  <c r="G15" i="3"/>
  <c r="H15" i="3"/>
  <c r="G16" i="3"/>
  <c r="H16" i="3"/>
  <c r="G17" i="3"/>
  <c r="H17" i="3"/>
  <c r="F11" i="3"/>
  <c r="F12" i="3"/>
  <c r="F13" i="3"/>
  <c r="F14" i="3"/>
  <c r="F15" i="3"/>
  <c r="F16" i="3"/>
  <c r="F17" i="3"/>
  <c r="J33" i="3"/>
  <c r="H4" i="3"/>
  <c r="G4" i="3"/>
  <c r="F4" i="3"/>
  <c r="B3" i="1"/>
  <c r="F3" i="3"/>
  <c r="H3" i="3"/>
  <c r="G3" i="3"/>
  <c r="F3" i="1"/>
  <c r="F4" i="1"/>
  <c r="J25" i="1"/>
  <c r="E241" i="3"/>
  <c r="D241" i="3"/>
  <c r="C241" i="3"/>
  <c r="B241" i="3"/>
  <c r="L51" i="3"/>
  <c r="K51" i="3"/>
  <c r="J58" i="3"/>
  <c r="I58" i="3"/>
  <c r="M25" i="3"/>
  <c r="H10" i="3"/>
  <c r="G10" i="3"/>
  <c r="F10" i="3"/>
  <c r="H9" i="3"/>
  <c r="G9" i="3"/>
  <c r="F9" i="3"/>
  <c r="H8" i="3"/>
  <c r="G8" i="3"/>
  <c r="H6" i="3"/>
  <c r="G6" i="3"/>
  <c r="F6" i="3"/>
  <c r="H5" i="3"/>
  <c r="G5" i="3"/>
  <c r="F5" i="3"/>
  <c r="C221" i="1"/>
  <c r="E263" i="3" l="1"/>
  <c r="D263" i="3"/>
  <c r="C263" i="3"/>
  <c r="X2" i="5"/>
  <c r="V2" i="5"/>
  <c r="X4" i="5"/>
  <c r="W4" i="5"/>
  <c r="V4" i="5"/>
  <c r="W5" i="5"/>
  <c r="B238" i="3"/>
  <c r="B237" i="3"/>
  <c r="B236" i="3"/>
  <c r="B235" i="3"/>
  <c r="C238" i="3"/>
  <c r="C237" i="3"/>
  <c r="C236" i="3"/>
  <c r="C235" i="3"/>
  <c r="D238" i="3"/>
  <c r="D237" i="3"/>
  <c r="D236" i="3"/>
  <c r="D235" i="3"/>
  <c r="E238" i="3"/>
  <c r="E237" i="3"/>
  <c r="E236" i="3"/>
  <c r="E235" i="3"/>
  <c r="F234" i="3"/>
  <c r="G234" i="3"/>
  <c r="H234" i="3"/>
  <c r="F231" i="3"/>
  <c r="F230" i="3"/>
  <c r="F229" i="3"/>
  <c r="G231" i="3"/>
  <c r="G230" i="3"/>
  <c r="H229" i="3"/>
  <c r="G229" i="3"/>
  <c r="H230" i="3"/>
  <c r="H231" i="3"/>
  <c r="F232" i="3"/>
  <c r="G232" i="3"/>
  <c r="H232" i="3"/>
  <c r="F233" i="3"/>
  <c r="G233" i="3"/>
  <c r="H233" i="3"/>
  <c r="F57" i="3"/>
  <c r="G57" i="3"/>
  <c r="F114" i="3"/>
  <c r="G114" i="3"/>
  <c r="H114" i="3"/>
  <c r="F117" i="3"/>
  <c r="G117" i="3"/>
  <c r="H117" i="3"/>
  <c r="F118" i="3"/>
  <c r="G118" i="3"/>
  <c r="H118" i="3"/>
  <c r="F124" i="3"/>
  <c r="G124" i="3"/>
  <c r="H124" i="3"/>
  <c r="F135" i="3"/>
  <c r="G135" i="3"/>
  <c r="H135" i="3"/>
  <c r="F136" i="3"/>
  <c r="G136" i="3"/>
  <c r="H136" i="3"/>
  <c r="F142" i="3"/>
  <c r="G142" i="3"/>
  <c r="H142" i="3"/>
  <c r="F143" i="3"/>
  <c r="G143" i="3"/>
  <c r="H143" i="3"/>
  <c r="F144" i="3"/>
  <c r="G144" i="3"/>
  <c r="H144" i="3"/>
  <c r="F149" i="3"/>
  <c r="G149" i="3"/>
  <c r="H149" i="3"/>
  <c r="F154" i="3"/>
  <c r="G154" i="3"/>
  <c r="H154" i="3"/>
  <c r="F167" i="3"/>
  <c r="G167" i="3"/>
  <c r="H167" i="3"/>
  <c r="F173" i="3"/>
  <c r="G173" i="3"/>
  <c r="H173" i="3"/>
  <c r="F179" i="3"/>
  <c r="G179" i="3"/>
  <c r="H179" i="3"/>
  <c r="F180" i="3"/>
  <c r="G180" i="3"/>
  <c r="H180" i="3"/>
  <c r="F182" i="3"/>
  <c r="G182" i="3"/>
  <c r="H182" i="3"/>
  <c r="F185" i="3"/>
  <c r="G185" i="3"/>
  <c r="H185" i="3"/>
  <c r="F188" i="3"/>
  <c r="G188" i="3"/>
  <c r="H188" i="3"/>
  <c r="F191" i="3"/>
  <c r="G191" i="3"/>
  <c r="H191" i="3"/>
  <c r="F197" i="3"/>
  <c r="G197" i="3"/>
  <c r="H197" i="3"/>
  <c r="F198" i="3"/>
  <c r="G198" i="3"/>
  <c r="H198" i="3"/>
  <c r="F199" i="3"/>
  <c r="G199" i="3"/>
  <c r="H199" i="3"/>
  <c r="F203" i="3"/>
  <c r="G203" i="3"/>
  <c r="H203" i="3"/>
  <c r="F204" i="3"/>
  <c r="G204" i="3"/>
  <c r="H204" i="3"/>
  <c r="F208" i="3"/>
  <c r="G208" i="3"/>
  <c r="H208" i="3"/>
  <c r="F212" i="3"/>
  <c r="G212" i="3"/>
  <c r="H212" i="3"/>
  <c r="K26" i="3"/>
  <c r="L26" i="3"/>
  <c r="M26" i="3"/>
  <c r="G7" i="3"/>
  <c r="H7" i="3"/>
  <c r="F162" i="3"/>
  <c r="H166" i="3"/>
  <c r="F166" i="3"/>
  <c r="F165" i="3"/>
  <c r="G165" i="3"/>
  <c r="H165" i="3"/>
  <c r="F164" i="3"/>
  <c r="C220" i="1"/>
  <c r="G164" i="3" l="1"/>
  <c r="H164" i="3"/>
  <c r="G162" i="3"/>
  <c r="H162" i="3"/>
  <c r="G166" i="3"/>
  <c r="L25" i="3"/>
  <c r="J32" i="3"/>
  <c r="H18" i="3"/>
  <c r="G18" i="3"/>
  <c r="F18" i="3"/>
  <c r="E204" i="1"/>
  <c r="D204" i="1"/>
  <c r="C204" i="1"/>
  <c r="B204" i="1"/>
  <c r="H197" i="1"/>
  <c r="G197" i="1"/>
  <c r="F197" i="1"/>
  <c r="H196" i="1"/>
  <c r="G196" i="1"/>
  <c r="F196" i="1"/>
  <c r="H195" i="1"/>
  <c r="F195" i="1"/>
  <c r="E195" i="1"/>
  <c r="D195" i="1"/>
  <c r="C195" i="1"/>
  <c r="G195" i="1" s="1"/>
  <c r="B195" i="1"/>
  <c r="H194" i="1"/>
  <c r="G194" i="1"/>
  <c r="F194" i="1"/>
  <c r="H193" i="1"/>
  <c r="E193" i="1"/>
  <c r="D193" i="1"/>
  <c r="G193" i="1" s="1"/>
  <c r="C193" i="1"/>
  <c r="F193" i="1" s="1"/>
  <c r="B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G184" i="1"/>
  <c r="F184" i="1"/>
  <c r="E184" i="1"/>
  <c r="D184" i="1"/>
  <c r="H184" i="1" s="1"/>
  <c r="C184" i="1"/>
  <c r="B184" i="1"/>
  <c r="H183" i="1"/>
  <c r="G183" i="1"/>
  <c r="F183" i="1"/>
  <c r="H182" i="1"/>
  <c r="G182" i="1"/>
  <c r="F182" i="1"/>
  <c r="H181" i="1"/>
  <c r="G181" i="1"/>
  <c r="F181" i="1"/>
  <c r="G180" i="1"/>
  <c r="F180" i="1"/>
  <c r="E180" i="1"/>
  <c r="D180" i="1"/>
  <c r="H180" i="1" s="1"/>
  <c r="C180" i="1"/>
  <c r="B180" i="1"/>
  <c r="H179" i="1"/>
  <c r="G179" i="1"/>
  <c r="F179" i="1"/>
  <c r="H178" i="1"/>
  <c r="G178" i="1"/>
  <c r="F178" i="1"/>
  <c r="H177" i="1"/>
  <c r="G177" i="1"/>
  <c r="F177" i="1"/>
  <c r="G176" i="1"/>
  <c r="F176" i="1"/>
  <c r="E176" i="1"/>
  <c r="H176" i="1" s="1"/>
  <c r="D176" i="1"/>
  <c r="D175" i="1" s="1"/>
  <c r="G175" i="1" s="1"/>
  <c r="C176" i="1"/>
  <c r="B176" i="1"/>
  <c r="F175" i="1"/>
  <c r="E175" i="1"/>
  <c r="H175" i="1" s="1"/>
  <c r="C175" i="1"/>
  <c r="B175" i="1"/>
  <c r="H174" i="1"/>
  <c r="G174" i="1"/>
  <c r="F174" i="1"/>
  <c r="H173" i="1"/>
  <c r="G173" i="1"/>
  <c r="F173" i="1"/>
  <c r="H172" i="1"/>
  <c r="G172" i="1"/>
  <c r="F172" i="1"/>
  <c r="F171" i="1"/>
  <c r="E171" i="1"/>
  <c r="E170" i="1" s="1"/>
  <c r="D171" i="1"/>
  <c r="G171" i="1" s="1"/>
  <c r="C171" i="1"/>
  <c r="C170" i="1" s="1"/>
  <c r="B171" i="1"/>
  <c r="D170" i="1"/>
  <c r="G170" i="1" s="1"/>
  <c r="B170" i="1"/>
  <c r="B169" i="1" s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E163" i="1"/>
  <c r="H163" i="1" s="1"/>
  <c r="D163" i="1"/>
  <c r="G163" i="1" s="1"/>
  <c r="C163" i="1"/>
  <c r="B163" i="1"/>
  <c r="F163" i="1" s="1"/>
  <c r="H162" i="1"/>
  <c r="G162" i="1"/>
  <c r="F162" i="1"/>
  <c r="H161" i="1"/>
  <c r="G161" i="1"/>
  <c r="F161" i="1"/>
  <c r="G160" i="1"/>
  <c r="D160" i="1"/>
  <c r="C160" i="1"/>
  <c r="H159" i="1"/>
  <c r="G159" i="1"/>
  <c r="F159" i="1"/>
  <c r="H158" i="1"/>
  <c r="G158" i="1"/>
  <c r="F158" i="1"/>
  <c r="E157" i="1"/>
  <c r="D157" i="1"/>
  <c r="H157" i="1" s="1"/>
  <c r="C157" i="1"/>
  <c r="C152" i="1" s="1"/>
  <c r="B157" i="1"/>
  <c r="H156" i="1"/>
  <c r="G156" i="1"/>
  <c r="F156" i="1"/>
  <c r="H155" i="1"/>
  <c r="G155" i="1"/>
  <c r="F155" i="1"/>
  <c r="H154" i="1"/>
  <c r="E154" i="1"/>
  <c r="D154" i="1"/>
  <c r="G154" i="1" s="1"/>
  <c r="C154" i="1"/>
  <c r="F154" i="1" s="1"/>
  <c r="B154" i="1"/>
  <c r="H153" i="1"/>
  <c r="G153" i="1"/>
  <c r="F153" i="1"/>
  <c r="E152" i="1"/>
  <c r="B152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E145" i="1"/>
  <c r="D145" i="1"/>
  <c r="D139" i="1" s="1"/>
  <c r="C145" i="1"/>
  <c r="F145" i="1" s="1"/>
  <c r="B145" i="1"/>
  <c r="B139" i="1" s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E139" i="1"/>
  <c r="C139" i="1"/>
  <c r="E136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E126" i="1"/>
  <c r="D126" i="1"/>
  <c r="C126" i="1"/>
  <c r="B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E121" i="1"/>
  <c r="D121" i="1"/>
  <c r="C121" i="1"/>
  <c r="F121" i="1" s="1"/>
  <c r="B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E116" i="1"/>
  <c r="E115" i="1" s="1"/>
  <c r="D116" i="1"/>
  <c r="C116" i="1"/>
  <c r="G116" i="1" s="1"/>
  <c r="B116" i="1"/>
  <c r="B115" i="1" s="1"/>
  <c r="B114" i="1" s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G108" i="1"/>
  <c r="F108" i="1"/>
  <c r="D108" i="1"/>
  <c r="H108" i="1" s="1"/>
  <c r="C108" i="1"/>
  <c r="B108" i="1"/>
  <c r="B107" i="1" s="1"/>
  <c r="B96" i="1" s="1"/>
  <c r="D107" i="1"/>
  <c r="D96" i="1" s="1"/>
  <c r="C107" i="1"/>
  <c r="C96" i="1" s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F90" i="1"/>
  <c r="E90" i="1"/>
  <c r="D90" i="1"/>
  <c r="G90" i="1" s="1"/>
  <c r="C90" i="1"/>
  <c r="B90" i="1"/>
  <c r="B89" i="1" s="1"/>
  <c r="H88" i="1"/>
  <c r="G88" i="1"/>
  <c r="F88" i="1"/>
  <c r="H87" i="1"/>
  <c r="G87" i="1"/>
  <c r="F87" i="1"/>
  <c r="H86" i="1"/>
  <c r="F86" i="1"/>
  <c r="E86" i="1"/>
  <c r="D86" i="1"/>
  <c r="G86" i="1" s="1"/>
  <c r="C86" i="1"/>
  <c r="B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E60" i="1"/>
  <c r="E59" i="1" s="1"/>
  <c r="D60" i="1"/>
  <c r="C60" i="1"/>
  <c r="G60" i="1" s="1"/>
  <c r="B60" i="1"/>
  <c r="B59" i="1" s="1"/>
  <c r="D59" i="1"/>
  <c r="D53" i="1" s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C54" i="1"/>
  <c r="H49" i="1"/>
  <c r="G49" i="1"/>
  <c r="F49" i="1"/>
  <c r="H47" i="1"/>
  <c r="G47" i="1"/>
  <c r="F47" i="1"/>
  <c r="H46" i="1"/>
  <c r="G46" i="1"/>
  <c r="F46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E37" i="1"/>
  <c r="D37" i="1"/>
  <c r="G37" i="1" s="1"/>
  <c r="C37" i="1"/>
  <c r="B37" i="1"/>
  <c r="F37" i="1" s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L26" i="1"/>
  <c r="K26" i="1"/>
  <c r="J26" i="1"/>
  <c r="H26" i="1"/>
  <c r="G26" i="1"/>
  <c r="F26" i="1"/>
  <c r="H25" i="1"/>
  <c r="E25" i="1"/>
  <c r="D25" i="1"/>
  <c r="G25" i="1" s="1"/>
  <c r="C25" i="1"/>
  <c r="B25" i="1"/>
  <c r="F25" i="1" s="1"/>
  <c r="H23" i="1"/>
  <c r="G23" i="1"/>
  <c r="F23" i="1"/>
  <c r="H22" i="1"/>
  <c r="G22" i="1"/>
  <c r="F22" i="1"/>
  <c r="H21" i="1"/>
  <c r="G21" i="1"/>
  <c r="F21" i="1"/>
  <c r="H20" i="1"/>
  <c r="G20" i="1"/>
  <c r="E20" i="1"/>
  <c r="D20" i="1"/>
  <c r="C20" i="1"/>
  <c r="F20" i="1" s="1"/>
  <c r="B20" i="1"/>
  <c r="H19" i="1"/>
  <c r="G19" i="1"/>
  <c r="F19" i="1"/>
  <c r="H18" i="1"/>
  <c r="G18" i="1"/>
  <c r="F18" i="1"/>
  <c r="H17" i="1"/>
  <c r="G17" i="1"/>
  <c r="F17" i="1"/>
  <c r="H16" i="1"/>
  <c r="G16" i="1"/>
  <c r="F16" i="1"/>
  <c r="E15" i="1"/>
  <c r="D15" i="1"/>
  <c r="H15" i="1" s="1"/>
  <c r="C15" i="1"/>
  <c r="F15" i="1" s="1"/>
  <c r="B15" i="1"/>
  <c r="H13" i="1"/>
  <c r="G13" i="1"/>
  <c r="F13" i="1"/>
  <c r="H12" i="1"/>
  <c r="G12" i="1"/>
  <c r="F12" i="1"/>
  <c r="H10" i="1"/>
  <c r="G10" i="1"/>
  <c r="F10" i="1"/>
  <c r="H9" i="1"/>
  <c r="G9" i="1"/>
  <c r="F9" i="1"/>
  <c r="H8" i="1"/>
  <c r="G8" i="1"/>
  <c r="F8" i="1"/>
  <c r="H7" i="1"/>
  <c r="G7" i="1"/>
  <c r="F7" i="1"/>
  <c r="E7" i="1"/>
  <c r="D7" i="1"/>
  <c r="C7" i="1"/>
  <c r="B7" i="1"/>
  <c r="H6" i="1"/>
  <c r="G6" i="1"/>
  <c r="F6" i="1"/>
  <c r="H5" i="1"/>
  <c r="G5" i="1"/>
  <c r="F5" i="1"/>
  <c r="H4" i="1"/>
  <c r="G4" i="1"/>
  <c r="H3" i="1"/>
  <c r="G3" i="1"/>
  <c r="E3" i="1"/>
  <c r="E11" i="1" s="1"/>
  <c r="D3" i="1"/>
  <c r="D11" i="1" s="1"/>
  <c r="C3" i="1"/>
  <c r="C11" i="1" s="1"/>
  <c r="B11" i="1"/>
  <c r="B14" i="1" s="1"/>
  <c r="B24" i="1" s="1"/>
  <c r="B45" i="1" s="1"/>
  <c r="I46" i="1" s="1"/>
  <c r="F163" i="3" l="1"/>
  <c r="G163" i="3"/>
  <c r="H163" i="3"/>
  <c r="D138" i="1"/>
  <c r="D137" i="1"/>
  <c r="G96" i="1"/>
  <c r="H96" i="1"/>
  <c r="E114" i="1"/>
  <c r="B48" i="1"/>
  <c r="B50" i="1" s="1"/>
  <c r="B53" i="1"/>
  <c r="F152" i="1"/>
  <c r="C169" i="1"/>
  <c r="C151" i="1" s="1"/>
  <c r="F170" i="1"/>
  <c r="F96" i="1"/>
  <c r="F11" i="1"/>
  <c r="C14" i="1"/>
  <c r="D221" i="1"/>
  <c r="I51" i="1"/>
  <c r="F139" i="1"/>
  <c r="H170" i="1"/>
  <c r="E169" i="1"/>
  <c r="E220" i="1" s="1"/>
  <c r="H11" i="1"/>
  <c r="E14" i="1"/>
  <c r="H59" i="1"/>
  <c r="E53" i="1"/>
  <c r="E137" i="1"/>
  <c r="H137" i="1" s="1"/>
  <c r="D14" i="1"/>
  <c r="G11" i="1"/>
  <c r="K51" i="1"/>
  <c r="G139" i="1"/>
  <c r="C59" i="1"/>
  <c r="F107" i="1"/>
  <c r="C115" i="1"/>
  <c r="F126" i="1"/>
  <c r="D152" i="1"/>
  <c r="D169" i="1"/>
  <c r="F54" i="1"/>
  <c r="M26" i="1"/>
  <c r="C53" i="1"/>
  <c r="C138" i="1" s="1"/>
  <c r="G54" i="1"/>
  <c r="H90" i="1"/>
  <c r="G107" i="1"/>
  <c r="D115" i="1"/>
  <c r="H115" i="1" s="1"/>
  <c r="G126" i="1"/>
  <c r="H139" i="1"/>
  <c r="F157" i="1"/>
  <c r="H171" i="1"/>
  <c r="M25" i="1"/>
  <c r="F60" i="1"/>
  <c r="H107" i="1"/>
  <c r="F116" i="1"/>
  <c r="H126" i="1"/>
  <c r="E151" i="1"/>
  <c r="G157" i="1"/>
  <c r="B160" i="1"/>
  <c r="B151" i="1" s="1"/>
  <c r="G15" i="1"/>
  <c r="E160" i="1"/>
  <c r="H48" i="3" l="1"/>
  <c r="F151" i="1"/>
  <c r="C198" i="1"/>
  <c r="B199" i="1"/>
  <c r="F138" i="1"/>
  <c r="G152" i="1"/>
  <c r="D151" i="1"/>
  <c r="H14" i="1"/>
  <c r="E24" i="1"/>
  <c r="F169" i="1"/>
  <c r="C201" i="1"/>
  <c r="E219" i="1"/>
  <c r="H169" i="1"/>
  <c r="J51" i="1"/>
  <c r="F53" i="1"/>
  <c r="F115" i="1"/>
  <c r="C114" i="1"/>
  <c r="F14" i="1"/>
  <c r="C24" i="1"/>
  <c r="H151" i="1"/>
  <c r="G59" i="1"/>
  <c r="F59" i="1"/>
  <c r="C137" i="1"/>
  <c r="F137" i="1" s="1"/>
  <c r="E198" i="1"/>
  <c r="E200" i="1"/>
  <c r="H160" i="1"/>
  <c r="G169" i="1"/>
  <c r="E221" i="1"/>
  <c r="G138" i="1"/>
  <c r="H53" i="1"/>
  <c r="E138" i="1"/>
  <c r="H138" i="1" s="1"/>
  <c r="E135" i="1"/>
  <c r="F160" i="1"/>
  <c r="H152" i="1"/>
  <c r="G115" i="1"/>
  <c r="D114" i="1"/>
  <c r="L51" i="1"/>
  <c r="G14" i="1"/>
  <c r="D24" i="1"/>
  <c r="B134" i="1"/>
  <c r="G53" i="1"/>
  <c r="G48" i="3" l="1"/>
  <c r="F48" i="3"/>
  <c r="K46" i="3"/>
  <c r="J141" i="3"/>
  <c r="L46" i="3"/>
  <c r="E199" i="1"/>
  <c r="E202" i="1"/>
  <c r="G137" i="1"/>
  <c r="G114" i="1"/>
  <c r="D89" i="1"/>
  <c r="E45" i="1"/>
  <c r="H24" i="1"/>
  <c r="C45" i="1"/>
  <c r="F24" i="1"/>
  <c r="H114" i="1"/>
  <c r="F198" i="1"/>
  <c r="C202" i="1"/>
  <c r="C199" i="1"/>
  <c r="C200" i="1"/>
  <c r="F114" i="1"/>
  <c r="C89" i="1"/>
  <c r="D45" i="1"/>
  <c r="G24" i="1"/>
  <c r="E201" i="1"/>
  <c r="G151" i="1"/>
  <c r="D198" i="1"/>
  <c r="H51" i="3" l="1"/>
  <c r="G51" i="3"/>
  <c r="F51" i="3"/>
  <c r="E53" i="3"/>
  <c r="D53" i="3"/>
  <c r="C53" i="3"/>
  <c r="D219" i="1"/>
  <c r="H89" i="1"/>
  <c r="D220" i="1"/>
  <c r="G89" i="1"/>
  <c r="D134" i="1"/>
  <c r="D136" i="1" s="1"/>
  <c r="G45" i="1"/>
  <c r="K46" i="1"/>
  <c r="D48" i="1"/>
  <c r="C219" i="1"/>
  <c r="F89" i="1"/>
  <c r="C134" i="1"/>
  <c r="C48" i="1"/>
  <c r="F45" i="1"/>
  <c r="J46" i="1"/>
  <c r="J134" i="1"/>
  <c r="H45" i="1"/>
  <c r="L46" i="1"/>
  <c r="E48" i="1"/>
  <c r="G198" i="1"/>
  <c r="D200" i="1"/>
  <c r="D199" i="1"/>
  <c r="D201" i="1"/>
  <c r="D202" i="1"/>
  <c r="H198" i="1"/>
  <c r="H53" i="3" l="1"/>
  <c r="G53" i="3"/>
  <c r="F53" i="3"/>
  <c r="H136" i="1"/>
  <c r="F48" i="1"/>
  <c r="C50" i="1"/>
  <c r="K25" i="1"/>
  <c r="F134" i="1"/>
  <c r="C135" i="1"/>
  <c r="F135" i="1" s="1"/>
  <c r="H48" i="1"/>
  <c r="E50" i="1"/>
  <c r="H134" i="1"/>
  <c r="G134" i="1"/>
  <c r="L25" i="1"/>
  <c r="D135" i="1"/>
  <c r="C136" i="1"/>
  <c r="F136" i="1" s="1"/>
  <c r="G48" i="1"/>
  <c r="D50" i="1"/>
  <c r="G136" i="1" l="1"/>
  <c r="G135" i="1"/>
  <c r="H135" i="1"/>
  <c r="H50" i="1"/>
</calcChain>
</file>

<file path=xl/sharedStrings.xml><?xml version="1.0" encoding="utf-8"?>
<sst xmlns="http://schemas.openxmlformats.org/spreadsheetml/2006/main" count="839" uniqueCount="306">
  <si>
    <t xml:space="preserve">Wyszczególnienie </t>
  </si>
  <si>
    <t>31.12.2012</t>
  </si>
  <si>
    <t>31.12.2013</t>
  </si>
  <si>
    <t>31.12.2014</t>
  </si>
  <si>
    <t>31.12.2015</t>
  </si>
  <si>
    <t>Tempo zmian (w %)</t>
  </si>
  <si>
    <t>12/13</t>
  </si>
  <si>
    <t>13/14</t>
  </si>
  <si>
    <t>14/15</t>
  </si>
  <si>
    <t>A. Przychody netto ze sprzedaży produktów, towarów i materiałów, w tym:</t>
  </si>
  <si>
    <t>­ od jednostek powiązanych</t>
  </si>
  <si>
    <t>I. Przychody netto ze sprzedaży produktów</t>
  </si>
  <si>
    <t>II. Przychody netto ze sprzedaży towarów i materiałów</t>
  </si>
  <si>
    <t>B. Koszty sprzedanych produktów, towarów i materiałów, w tym:</t>
  </si>
  <si>
    <t>­ jednostkom powiązanym</t>
  </si>
  <si>
    <t>I. Koszt wytworzenia sprzedanych produktów</t>
  </si>
  <si>
    <t>II. Wartość sprzedanych towarów i materiałów</t>
  </si>
  <si>
    <t>C. Zysk (strata) brutto ze sprzedaży (A-B)</t>
  </si>
  <si>
    <t>D. Koszty sprzedaży</t>
  </si>
  <si>
    <t>v</t>
  </si>
  <si>
    <t>E. Koszty ogólnego zarządu</t>
  </si>
  <si>
    <t>F. Zysk (strata) ze sprzedaży (C-D-E)</t>
  </si>
  <si>
    <t>G. Pozostałe przychody operacyjne</t>
  </si>
  <si>
    <t>I. Zysk ze zbycia niefinansowych aktywów trwałych</t>
  </si>
  <si>
    <t>II. Dotacje</t>
  </si>
  <si>
    <t>III. Aktualizacja wartości aktywów niefinansowych</t>
  </si>
  <si>
    <t>IV. Inne przychody operacyjne</t>
  </si>
  <si>
    <t>H. Pozostałe koszty operacyjne</t>
  </si>
  <si>
    <t>I. Strata ze zbycia niefinansowych aktywów trwałych</t>
  </si>
  <si>
    <t>II. Aktualizacja wartości aktywów niefinansowych</t>
  </si>
  <si>
    <t>III. Inne koszty operacyjne</t>
  </si>
  <si>
    <t>I. Zysk (strata) z działalności operacyjnej (F+G-H)</t>
  </si>
  <si>
    <t>QT</t>
  </si>
  <si>
    <t>J. Przychody finansowe</t>
  </si>
  <si>
    <t>KW/Aktywa</t>
  </si>
  <si>
    <t>I. Dywidendy i udziały w zyskach, w tym:</t>
  </si>
  <si>
    <t>CF/przychody</t>
  </si>
  <si>
    <t>a) od jednostek powiązanych, w tym:</t>
  </si>
  <si>
    <t>ROA</t>
  </si>
  <si>
    <t xml:space="preserve"> - w których jednostka posiada zaangażowanie w kapitale</t>
  </si>
  <si>
    <t>do 3 lat</t>
  </si>
  <si>
    <t>b) od jednostek pozostałych, w tym:</t>
  </si>
  <si>
    <t>pow 5 lat</t>
  </si>
  <si>
    <t>cf</t>
  </si>
  <si>
    <t>II. Odsetki, w tym:</t>
  </si>
  <si>
    <t>III. Zysk z tytułu rozchodu aktywów finansowych, w tym:</t>
  </si>
  <si>
    <t xml:space="preserve"> - w jednostkach powiązanych</t>
  </si>
  <si>
    <t>IV. Aktualizacja wartości wartości aktywów finansowych</t>
  </si>
  <si>
    <t>V. Inne</t>
  </si>
  <si>
    <t>K. Koszty finansowe</t>
  </si>
  <si>
    <t>I. Odsetki, w tym:</t>
  </si>
  <si>
    <t>­ dla jednostek powiązanych</t>
  </si>
  <si>
    <t>- od leasingów</t>
  </si>
  <si>
    <t>II. Strata z tytułu rozchodu aktywów finansowych, w tym:</t>
  </si>
  <si>
    <t>III. Aktualizacja wartości aktywów finansowych</t>
  </si>
  <si>
    <t>IV. Inne</t>
  </si>
  <si>
    <t>L. Zysk (strata) brutto (I+J-K)</t>
  </si>
  <si>
    <t>M. Podatek dochodowy</t>
  </si>
  <si>
    <t>N. Pozostałe obowiązkowe zmniejszenia zysku (zwiększenia straty)</t>
  </si>
  <si>
    <t>O. Zysk (strata) netto (L-M-N)</t>
  </si>
  <si>
    <t>amortyzacja</t>
  </si>
  <si>
    <t>Wyszczególnienie</t>
  </si>
  <si>
    <t>A. Aktywa trwałe</t>
  </si>
  <si>
    <t>I. Wartości niematerialne i prawne</t>
  </si>
  <si>
    <t>1. Koszty zakończonych prac rozwojowych</t>
  </si>
  <si>
    <t>2. Wartość firmy</t>
  </si>
  <si>
    <t>0 </t>
  </si>
  <si>
    <t>3. Inne wartości niematerialne i prawne</t>
  </si>
  <si>
    <t>4. Zaliczki na wartości niematerialne i prawne</t>
  </si>
  <si>
    <t>II. Rzeczowe aktywa trwałe</t>
  </si>
  <si>
    <t>1. Środki trwałe</t>
  </si>
  <si>
    <t>a) Grunty (w tym prawo wieczystego użytkowania)</t>
  </si>
  <si>
    <t xml:space="preserve">b) budynki, lokale, prawa do lokali i obiekty inżynierii lądowej i wodnej </t>
  </si>
  <si>
    <t>c) urządzenia techniczne i maszyny</t>
  </si>
  <si>
    <t>d) środki transportu</t>
  </si>
  <si>
    <t>e) inne środki trwałe</t>
  </si>
  <si>
    <t>2. Środki trwałe w budowie</t>
  </si>
  <si>
    <t>3. Zaliczki na srodki trwałe w budowie</t>
  </si>
  <si>
    <t>III. Należności długoterminowe</t>
  </si>
  <si>
    <t>1. od jednostek powiązanycj</t>
  </si>
  <si>
    <t>2. od pozostałych jednostek, w których jednostka posiada zaangażowane w kapitale</t>
  </si>
  <si>
    <t>3. od pozostałych jednostek</t>
  </si>
  <si>
    <t>IV. Inwestycje długoterminowe</t>
  </si>
  <si>
    <t>1. Nieruchomości</t>
  </si>
  <si>
    <t>2. Wartości niematerialne i prawne</t>
  </si>
  <si>
    <t>3. Długoterminowe aktywa finansowe</t>
  </si>
  <si>
    <t>a) w jednostkach powiązanych</t>
  </si>
  <si>
    <t>- udziały lub akcje</t>
  </si>
  <si>
    <t>- inne papiery wartościowe</t>
  </si>
  <si>
    <t>- udzielone pożyczki</t>
  </si>
  <si>
    <t>- inne długoterminowe aktywa finansowe</t>
  </si>
  <si>
    <t>b) w pozostałych jednostkach, w których jednostka posiada zaangażowane w kapitale</t>
  </si>
  <si>
    <t>4. Inne inwestycje długoterminowe</t>
  </si>
  <si>
    <t>V. Długoterminowe rozliczenia międzyokresowe</t>
  </si>
  <si>
    <t>1. Aktywa z tytułu podatku odroczonego</t>
  </si>
  <si>
    <t xml:space="preserve">2. Inne rozliczenia międzyokresowe </t>
  </si>
  <si>
    <t>B. Aktywa obrotowe</t>
  </si>
  <si>
    <t>I. Zapasy</t>
  </si>
  <si>
    <t>1. Materiały</t>
  </si>
  <si>
    <t>2. Półprodukty i produkty w toku</t>
  </si>
  <si>
    <t>3. Produkty gotowe</t>
  </si>
  <si>
    <t>4. Towary</t>
  </si>
  <si>
    <t>5. Zaliczki na dostawy i usługi</t>
  </si>
  <si>
    <t>II. Należności krótkoterminowe</t>
  </si>
  <si>
    <t>23 735 869,77</t>
  </si>
  <si>
    <t>1. Należności od jednostek powiązanych</t>
  </si>
  <si>
    <t>a) z tytułu dostaw i usług, o okresie spłaty:</t>
  </si>
  <si>
    <t>- do 12 miesięcy</t>
  </si>
  <si>
    <t>- powyżej 12 miesięcy</t>
  </si>
  <si>
    <t>b) inne</t>
  </si>
  <si>
    <t>2. Należności od pozostałych jednostek, w których jednostka posiada zaangażowanie w kapitale</t>
  </si>
  <si>
    <t>3. Należności od pozostałych jednostek</t>
  </si>
  <si>
    <t>23 193 430,23</t>
  </si>
  <si>
    <t>b) z tytułu podatków, dotacji, ceł, ubezpieczeń społecznych i zdrowotnych oraz innych tytułów publicznoprawnych</t>
  </si>
  <si>
    <t>c) inne</t>
  </si>
  <si>
    <t>d) dochodzone na drodze sądowej</t>
  </si>
  <si>
    <t>III. Inwestycje krótkoterminowe</t>
  </si>
  <si>
    <t>1. Krótkoterminowe aktywa finansowe</t>
  </si>
  <si>
    <t>- inne krótkoterminowe aktywa finansowe</t>
  </si>
  <si>
    <t>b) w pozostałych jednostkach</t>
  </si>
  <si>
    <t>c) środki pieniężne i inne aktywa pieniężne</t>
  </si>
  <si>
    <t>- środki pieniężne w kasie i na rachunkach</t>
  </si>
  <si>
    <t>- inne srodki pieniężne</t>
  </si>
  <si>
    <t>- inne aktywa pieniężne</t>
  </si>
  <si>
    <t>2. Inne inwestycje krótkoterminowe</t>
  </si>
  <si>
    <t>IV. Krótkoterminowe rozliczenia międyokresowe</t>
  </si>
  <si>
    <t>C. Należne wpłaty na kapitał (fundusz) podstawowy</t>
  </si>
  <si>
    <t>D. Udziały (akcje) własne</t>
  </si>
  <si>
    <t>AKTYWA RAZEM</t>
  </si>
  <si>
    <t>struktura aktywa trwałe w aktywach</t>
  </si>
  <si>
    <t>struktura aktywa obrotowe w aktywach</t>
  </si>
  <si>
    <t>struktura aktywa trwałe na rzeczowe aktywa</t>
  </si>
  <si>
    <t>sytuktura aktywa trwałe na WNiP</t>
  </si>
  <si>
    <t>A. Kapitał (fundusz) własny</t>
  </si>
  <si>
    <t>I. Kapitał (fundusz) podstawowy</t>
  </si>
  <si>
    <t>II. Kapitał (fundusz) zapasowy, w tym:</t>
  </si>
  <si>
    <t xml:space="preserve"> - nadwyżka wartości sprzedaży (wartości emisyjnej) nad wartością nominalną udziałów (akcji)</t>
  </si>
  <si>
    <t>III. Kapitał (fundusz) z aktualizacji wyceny, w tym:</t>
  </si>
  <si>
    <t xml:space="preserve"> - z tytułu aktualizacji wartości godziwej</t>
  </si>
  <si>
    <t>IV. Pozostałe kapitały (fundusze) rezerwowe, w tym:</t>
  </si>
  <si>
    <t xml:space="preserve"> - tworzone zgodnie z umową (statutem) spółki</t>
  </si>
  <si>
    <t xml:space="preserve"> - na udziały (akcje) własne</t>
  </si>
  <si>
    <t>V. Zysk (strata) z lat ubiegłych</t>
  </si>
  <si>
    <t>VI. Zysk (strata) netto</t>
  </si>
  <si>
    <t>VII. Odpisy z zysku netto w ciągu roku obrotowego (wielkość ujemna)</t>
  </si>
  <si>
    <t>B. Zobowiązania i rezerwy na zobowiązania</t>
  </si>
  <si>
    <t>I. Rezerwy na zobowiązania</t>
  </si>
  <si>
    <t>1. Rezerwa z tytułu odroczonego podatku dochodowego</t>
  </si>
  <si>
    <t>2. Rezerwa na świadczenia emerytalne i podobne</t>
  </si>
  <si>
    <t>­ długoterminowa</t>
  </si>
  <si>
    <t>­ krótkoterminowa</t>
  </si>
  <si>
    <t>3. Pozostałe rezerwy</t>
  </si>
  <si>
    <t>­ długoterminowe</t>
  </si>
  <si>
    <t>­ krótkoterminowe</t>
  </si>
  <si>
    <t>II. Zobowiązania długoterminowe</t>
  </si>
  <si>
    <t>1. Wobec jednostek powiązanych</t>
  </si>
  <si>
    <t>2. Wobec pozostałych jednostek, w których jednostka posiada zaangażowanie w kapitale</t>
  </si>
  <si>
    <t>3. Wobec pozostałych jednostek</t>
  </si>
  <si>
    <t>a) kredyty i pożyczki</t>
  </si>
  <si>
    <t>b) z tytułu emisji dłużnych papierów wartościowych</t>
  </si>
  <si>
    <t>c) inne zobowiązania finansowe</t>
  </si>
  <si>
    <t>d) zobowiązania wekslowe</t>
  </si>
  <si>
    <t>e) inne</t>
  </si>
  <si>
    <t>III. Zobowiązania krótkoterminowe</t>
  </si>
  <si>
    <t>1. Zobowiązania wobec jednostek powiązanych</t>
  </si>
  <si>
    <t>a) z tytułu dostaw i usług, o okresie wymagalności:</t>
  </si>
  <si>
    <t>­ do 12 miesięcy</t>
  </si>
  <si>
    <t>­ powyżej 12 miesięcy</t>
  </si>
  <si>
    <t>2. Zobowiązania wobec pozostałych jednostek, w których jednostka posiada zaangażowanie w kapitale</t>
  </si>
  <si>
    <t xml:space="preserve"> - do 12 miesięcy</t>
  </si>
  <si>
    <t xml:space="preserve"> - powyżej 12 miesięcy</t>
  </si>
  <si>
    <t>3. Zobowiązania wobec pozostałych jednostek</t>
  </si>
  <si>
    <t>d) z tytułu dostaw i usług, o okresie wymagalności:</t>
  </si>
  <si>
    <t>e) zaliczki otrzymane na dostawy i usługi</t>
  </si>
  <si>
    <t>f) zobowiązania wekslowe</t>
  </si>
  <si>
    <t>g) z tytułu podatków, ceł, ubezpieczeń społecznych i zdrowotnych oraz innych tytułów publiczno-prawnych</t>
  </si>
  <si>
    <t>h) z tytułu wynagrodzeń</t>
  </si>
  <si>
    <t>i) inne</t>
  </si>
  <si>
    <t>4. Fundusze specjalne</t>
  </si>
  <si>
    <t>IV. Rozliczenia międzyokresowe</t>
  </si>
  <si>
    <t>1. Ujemna wartość firmy</t>
  </si>
  <si>
    <t>2. Inne rozliczenia międzyokresowe</t>
  </si>
  <si>
    <t>PASYWA RAZEM</t>
  </si>
  <si>
    <t>kap.wł</t>
  </si>
  <si>
    <t>zob.dł</t>
  </si>
  <si>
    <t>zob.krótk.</t>
  </si>
  <si>
    <t>rezerwy</t>
  </si>
  <si>
    <t>Wskaźniki rentowności</t>
  </si>
  <si>
    <t>ROS na sprzedazy (%)</t>
  </si>
  <si>
    <t>ROS brutto (%)</t>
  </si>
  <si>
    <t>ROS netto (%)</t>
  </si>
  <si>
    <t>ROA (%)</t>
  </si>
  <si>
    <t>ROE (%)</t>
  </si>
  <si>
    <t>Wskaźniki zadłużenia</t>
  </si>
  <si>
    <t>Obciążenie majątku zobowiązaniami (%)</t>
  </si>
  <si>
    <t>Stopa zadłużenia</t>
  </si>
  <si>
    <t>Pokrycie majatku trwałego kapitałem własnym (%)</t>
  </si>
  <si>
    <t>Pokrycie majatku trwałego kapitałem długoterminowym (%)</t>
  </si>
  <si>
    <t>Pokrycie odsetek zyskiem</t>
  </si>
  <si>
    <t>Pokrycie zobowiązań z nadwyżki finansowej</t>
  </si>
  <si>
    <t>Wskaźniki płynności</t>
  </si>
  <si>
    <t>Wskaźnik bieżącej płynności</t>
  </si>
  <si>
    <t>Wskaźnik szybkiej płynności</t>
  </si>
  <si>
    <t>Wskaźnik wypłacalności gotówkowej</t>
  </si>
  <si>
    <t>Wskaźniki efektywności wykorzystania majątku</t>
  </si>
  <si>
    <t>Efektywność (produktywność) wykorzystania aktywów trwałych (%)</t>
  </si>
  <si>
    <t>Rotacja należności (dni)</t>
  </si>
  <si>
    <t>Rotacja zapasów (dni)</t>
  </si>
  <si>
    <t>Rotacja zobowiązań (dni)</t>
  </si>
  <si>
    <t>Cykl konwersji gotówki (dni)</t>
  </si>
  <si>
    <t>Możnik kapitału własnego</t>
  </si>
  <si>
    <t>-200 958,00</t>
  </si>
  <si>
    <t>A. Przychody netto ze sprzedaży i zrównane z nimi, w tym:</t>
  </si>
  <si>
    <t>– od jednostek powiązanych</t>
  </si>
  <si>
    <t>B.Koszty działalności operacyjnej</t>
  </si>
  <si>
    <t>I. Amortyzacja</t>
  </si>
  <si>
    <t>II. Zużycie materiałów i energii</t>
  </si>
  <si>
    <t>III. Usługi obce</t>
  </si>
  <si>
    <t>IV. Podatki i opłaty, w tym:</t>
  </si>
  <si>
    <t>– podatek akcyzowy</t>
  </si>
  <si>
    <t>V. Wynagrodzenia</t>
  </si>
  <si>
    <t>VI. Ubezpieczenia społeczne i inne świadczenia, w tym:</t>
  </si>
  <si>
    <t>– emerytalne</t>
  </si>
  <si>
    <t>VII. Pozostałe koszty rodzajowe</t>
  </si>
  <si>
    <t>VIII. Wartość sprzedanych towarów i materiałów</t>
  </si>
  <si>
    <t>D. Pozostałe przychody operacyjne</t>
  </si>
  <si>
    <t>I. Zysk z tytułu rozchodu niefinansowych aktywów trwałych</t>
  </si>
  <si>
    <t>E. Pozostałe koszty operacyjne</t>
  </si>
  <si>
    <t>I. Strata z tytułu rozchodu niefinansowych aktywów trwałych</t>
  </si>
  <si>
    <t>F. Zysk (strata) z działalności operacyjnej (C+D–E)</t>
  </si>
  <si>
    <t>G. Przychody finansowe</t>
  </si>
  <si>
    <t>a) Od jednostek powiązanych, w tym:</t>
  </si>
  <si>
    <t>– w których jednostka posiada zaangażowanie w kapitale</t>
  </si>
  <si>
    <t>b) Od jednostek pozostałych, w tym:</t>
  </si>
  <si>
    <t>– w jednostkach powiązanych</t>
  </si>
  <si>
    <t>IV. Aktualizacja wartości aktywów finansowych</t>
  </si>
  <si>
    <t>H. Koszty finansowe</t>
  </si>
  <si>
    <t>– dla jednostek powiązanych</t>
  </si>
  <si>
    <t>I. Zysk (strata) brutto (F+G–H)</t>
  </si>
  <si>
    <t>J. Podatek dochodowy</t>
  </si>
  <si>
    <t>K. Pozostałe obowiązkowe zmniejszenia zysku (zwiększenia straty)</t>
  </si>
  <si>
    <t>L. Zysk (strata) netto (I–J–K)</t>
  </si>
  <si>
    <t>Aktywa razem</t>
  </si>
  <si>
    <t>2 171 626,00</t>
  </si>
  <si>
    <t>a) grunty (w tym prawo użytkowania wieczystego gruntu)</t>
  </si>
  <si>
    <t>b) budynki, lokale, prawa do lokali i obiekty inżynierii lądowej i wodnej</t>
  </si>
  <si>
    <t>1 326,00</t>
  </si>
  <si>
    <t>60 542,00</t>
  </si>
  <si>
    <t>44 584,00</t>
  </si>
  <si>
    <t>55 176,00</t>
  </si>
  <si>
    <t>81 554,00</t>
  </si>
  <si>
    <t>3. Zaliczki na środki trwałe w budowie</t>
  </si>
  <si>
    <t>1 054,00</t>
  </si>
  <si>
    <t>1. Od jednostek powiązanych</t>
  </si>
  <si>
    <t>2. Od pozostałych jednostek, w których jednostka posiada zaangażowanie w kapitale</t>
  </si>
  <si>
    <t>3. Od pozostałych jednostek</t>
  </si>
  <si>
    <t>8 895,00</t>
  </si>
  <si>
    <t>9 705,00</t>
  </si>
  <si>
    <t>10 171,00</t>
  </si>
  <si>
    <t>9 973,00</t>
  </si>
  <si>
    <t>– udziały lub akcje</t>
  </si>
  <si>
    <t>– inne papiery wartościowe</t>
  </si>
  <si>
    <t>– udzielone pożyczki</t>
  </si>
  <si>
    <t>– inne długoterminowe aktywa finansowe</t>
  </si>
  <si>
    <t>b) w pozostałych jednostkach, w których jednostka posiada zaangażowanie w kapitale</t>
  </si>
  <si>
    <t>c) w pozostałych jednostkach</t>
  </si>
  <si>
    <t>1. Aktywa z tytułu odroczonego podatku dochodowego</t>
  </si>
  <si>
    <t>– do 12 miesięcy</t>
  </si>
  <si>
    <t>– powyżej 12 miesięcy</t>
  </si>
  <si>
    <t>– inne krótkoterminowe aktywa finansowe</t>
  </si>
  <si>
    <t>c) Środki pieniężne i inne aktywa pieniężne</t>
  </si>
  <si>
    <t>– środki pieniężne w kasie i na rachunkach</t>
  </si>
  <si>
    <t>– inne środki pieniężne</t>
  </si>
  <si>
    <t>– inne aktywa pieniężne</t>
  </si>
  <si>
    <t>IV. Krótkoterminowe rozliczenia międzyokresowe</t>
  </si>
  <si>
    <t>Pasywa razem</t>
  </si>
  <si>
    <t>– nadwyżka wartości sprzedaży (wartości emisyjnej) nad wartością nominalną udziałów (akcji)</t>
  </si>
  <si>
    <t>-6 970,00</t>
  </si>
  <si>
    <t>– z tytułu aktualizacji wartości godziwej</t>
  </si>
  <si>
    <t>– tworzone zgodnie z umową (statutem) spółki</t>
  </si>
  <si>
    <t>– na udziały (akcje) własne</t>
  </si>
  <si>
    <t>– długoterminowa</t>
  </si>
  <si>
    <t>– krótkoterminowa</t>
  </si>
  <si>
    <t>– długoterminowe</t>
  </si>
  <si>
    <t>– krótkoterminowe</t>
  </si>
  <si>
    <t>1 506 502,00</t>
  </si>
  <si>
    <t>g) z tytułu podatków, ceł, ubezpieczeń społecznych i zdrowotnych oraz innych tytułów publicznoprawnych</t>
  </si>
  <si>
    <t>Średnie aktywa</t>
  </si>
  <si>
    <t>Zapasy</t>
  </si>
  <si>
    <t>Zobowiązania wobec dostawców</t>
  </si>
  <si>
    <t>Wartość firmy</t>
  </si>
  <si>
    <t>Przyrosty Łańcuchowe</t>
  </si>
  <si>
    <t>19/20</t>
  </si>
  <si>
    <t>20/21</t>
  </si>
  <si>
    <t>21/22</t>
  </si>
  <si>
    <t>31.12.2019</t>
  </si>
  <si>
    <t>31.12.2020</t>
  </si>
  <si>
    <t>31.12.2021</t>
  </si>
  <si>
    <t>31.12.2022</t>
  </si>
  <si>
    <t>Struktura Aktyw trwałych w aktywach</t>
  </si>
  <si>
    <t>Struktura aktyw obrotowych w aktywach</t>
  </si>
  <si>
    <t>Struktura aktywa trwałe na aktywa rzeczowe</t>
  </si>
  <si>
    <t>Struktura aktywa trwałe na wnip</t>
  </si>
  <si>
    <t>Zobowiązania</t>
  </si>
  <si>
    <t>Należności</t>
  </si>
  <si>
    <t>Średni kapitał własny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</si>
</sst>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\ _z_ł"/>
    <numFmt numFmtId="165" formatCode="0.0"/>
    <numFmt numFmtId="166" formatCode="_-* #,##0.00\ _z_ł_-;\-* #,##0.00\ _z_ł_-;_-* &quot;-&quot;??\ _z_ł_-;_-@"/>
    <numFmt numFmtId="167" formatCode="0.0%"/>
    <numFmt numFmtId="168" formatCode="#,##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</font>
    <font>
      <sz val="11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rgb="FF52525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1"/>
      <color rgb="FF444444"/>
      <name val="Aptos Narrow"/>
      <charset val="1"/>
    </font>
    <font>
      <sz val="12"/>
      <color rgb="FF000000"/>
      <name val="Aptos Narrow"/>
      <family val="2"/>
      <charset val="238"/>
    </font>
    <font>
      <sz val="11"/>
      <color rgb="FF000000"/>
      <name val="Aptos Narrow"/>
      <family val="2"/>
      <charset val="238"/>
    </font>
    <font>
      <b/>
      <sz val="11"/>
      <color rgb="FF333333"/>
      <name val="Arial"/>
      <charset val="1"/>
    </font>
    <font>
      <sz val="11"/>
      <color theme="1"/>
      <name val="Calibri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</fonts>
  <fills count="3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rgb="FFFFFFCC"/>
      </patternFill>
    </fill>
    <fill>
      <patternFill patternType="solid">
        <fgColor rgb="FFFFCCFF"/>
        <bgColor rgb="FFFFCC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6AA84F"/>
        <bgColor rgb="FF6AA84F"/>
      </patternFill>
    </fill>
    <fill>
      <patternFill patternType="solid">
        <fgColor rgb="FFB8E08C"/>
        <bgColor rgb="FFB8E08C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F5F5F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7">
    <xf numFmtId="0" fontId="0" fillId="0" borderId="0" xfId="0"/>
    <xf numFmtId="4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2" xfId="0" applyNumberFormat="1" applyFont="1" applyBorder="1"/>
    <xf numFmtId="165" fontId="4" fillId="2" borderId="6" xfId="0" applyNumberFormat="1" applyFont="1" applyFill="1" applyBorder="1"/>
    <xf numFmtId="165" fontId="4" fillId="3" borderId="6" xfId="0" applyNumberFormat="1" applyFont="1" applyFill="1" applyBorder="1"/>
    <xf numFmtId="165" fontId="4" fillId="0" borderId="6" xfId="0" applyNumberFormat="1" applyFont="1" applyBorder="1"/>
    <xf numFmtId="0" fontId="5" fillId="0" borderId="0" xfId="0" applyFont="1"/>
    <xf numFmtId="0" fontId="2" fillId="0" borderId="7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/>
    <xf numFmtId="165" fontId="4" fillId="4" borderId="6" xfId="0" applyNumberFormat="1" applyFont="1" applyFill="1" applyBorder="1"/>
    <xf numFmtId="165" fontId="4" fillId="5" borderId="6" xfId="0" applyNumberFormat="1" applyFont="1" applyFill="1" applyBorder="1"/>
    <xf numFmtId="165" fontId="4" fillId="6" borderId="6" xfId="0" applyNumberFormat="1" applyFont="1" applyFill="1" applyBorder="1"/>
    <xf numFmtId="165" fontId="4" fillId="7" borderId="6" xfId="0" applyNumberFormat="1" applyFont="1" applyFill="1" applyBorder="1"/>
    <xf numFmtId="165" fontId="4" fillId="8" borderId="6" xfId="0" applyNumberFormat="1" applyFont="1" applyFill="1" applyBorder="1"/>
    <xf numFmtId="164" fontId="4" fillId="0" borderId="5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6" fillId="0" borderId="0" xfId="0" applyFont="1"/>
    <xf numFmtId="10" fontId="0" fillId="0" borderId="0" xfId="0" applyNumberFormat="1"/>
    <xf numFmtId="10" fontId="0" fillId="9" borderId="6" xfId="0" applyNumberFormat="1" applyFill="1" applyBorder="1"/>
    <xf numFmtId="49" fontId="2" fillId="0" borderId="7" xfId="0" applyNumberFormat="1" applyFont="1" applyBorder="1"/>
    <xf numFmtId="0" fontId="4" fillId="10" borderId="6" xfId="0" applyFont="1" applyFill="1" applyBorder="1"/>
    <xf numFmtId="164" fontId="4" fillId="10" borderId="6" xfId="0" applyNumberFormat="1" applyFont="1" applyFill="1" applyBorder="1"/>
    <xf numFmtId="164" fontId="6" fillId="0" borderId="0" xfId="0" applyNumberFormat="1" applyFont="1"/>
    <xf numFmtId="49" fontId="4" fillId="0" borderId="6" xfId="0" applyNumberFormat="1" applyFont="1" applyBorder="1" applyAlignment="1">
      <alignment horizontal="left" vertical="center" wrapText="1"/>
    </xf>
    <xf numFmtId="166" fontId="4" fillId="0" borderId="6" xfId="0" applyNumberFormat="1" applyFont="1" applyBorder="1" applyAlignment="1">
      <alignment horizontal="right" vertical="center" wrapText="1"/>
    </xf>
    <xf numFmtId="166" fontId="4" fillId="12" borderId="6" xfId="0" applyNumberFormat="1" applyFont="1" applyFill="1" applyBorder="1" applyAlignment="1">
      <alignment horizontal="right" vertical="center" wrapText="1"/>
    </xf>
    <xf numFmtId="165" fontId="4" fillId="13" borderId="6" xfId="0" applyNumberFormat="1" applyFont="1" applyFill="1" applyBorder="1"/>
    <xf numFmtId="166" fontId="7" fillId="0" borderId="0" xfId="0" applyNumberFormat="1" applyFont="1"/>
    <xf numFmtId="49" fontId="4" fillId="14" borderId="6" xfId="0" applyNumberFormat="1" applyFont="1" applyFill="1" applyBorder="1" applyAlignment="1">
      <alignment horizontal="left" vertical="center" wrapText="1"/>
    </xf>
    <xf numFmtId="9" fontId="0" fillId="0" borderId="0" xfId="0" applyNumberFormat="1"/>
    <xf numFmtId="49" fontId="2" fillId="0" borderId="6" xfId="0" applyNumberFormat="1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6" fontId="8" fillId="0" borderId="6" xfId="0" applyNumberFormat="1" applyFont="1" applyBorder="1" applyAlignment="1">
      <alignment horizontal="right" vertical="center" wrapText="1"/>
    </xf>
    <xf numFmtId="49" fontId="4" fillId="15" borderId="6" xfId="0" applyNumberFormat="1" applyFont="1" applyFill="1" applyBorder="1" applyAlignment="1">
      <alignment horizontal="left" vertical="center" wrapText="1"/>
    </xf>
    <xf numFmtId="49" fontId="2" fillId="15" borderId="6" xfId="0" applyNumberFormat="1" applyFont="1" applyFill="1" applyBorder="1" applyAlignment="1">
      <alignment horizontal="left" vertical="center" wrapText="1"/>
    </xf>
    <xf numFmtId="166" fontId="2" fillId="3" borderId="6" xfId="0" applyNumberFormat="1" applyFont="1" applyFill="1" applyBorder="1" applyAlignment="1">
      <alignment horizontal="right" vertical="center" wrapText="1"/>
    </xf>
    <xf numFmtId="49" fontId="4" fillId="16" borderId="6" xfId="0" applyNumberFormat="1" applyFont="1" applyFill="1" applyBorder="1" applyAlignment="1">
      <alignment horizontal="left" vertical="center" wrapText="1"/>
    </xf>
    <xf numFmtId="166" fontId="4" fillId="16" borderId="6" xfId="0" applyNumberFormat="1" applyFont="1" applyFill="1" applyBorder="1" applyAlignment="1">
      <alignment horizontal="right" vertical="center" wrapText="1"/>
    </xf>
    <xf numFmtId="0" fontId="0" fillId="17" borderId="6" xfId="0" applyFill="1" applyBorder="1" applyAlignment="1">
      <alignment horizontal="left" vertical="center"/>
    </xf>
    <xf numFmtId="9" fontId="9" fillId="18" borderId="6" xfId="0" applyNumberFormat="1" applyFont="1" applyFill="1" applyBorder="1"/>
    <xf numFmtId="167" fontId="9" fillId="18" borderId="6" xfId="0" applyNumberFormat="1" applyFont="1" applyFill="1" applyBorder="1"/>
    <xf numFmtId="0" fontId="4" fillId="0" borderId="6" xfId="0" applyFont="1" applyBorder="1" applyAlignment="1">
      <alignment horizontal="left" vertical="center" wrapText="1"/>
    </xf>
    <xf numFmtId="4" fontId="4" fillId="0" borderId="6" xfId="0" applyNumberFormat="1" applyFont="1" applyBorder="1" applyAlignment="1">
      <alignment wrapText="1"/>
    </xf>
    <xf numFmtId="4" fontId="4" fillId="12" borderId="6" xfId="0" applyNumberFormat="1" applyFont="1" applyFill="1" applyBorder="1" applyAlignment="1">
      <alignment wrapText="1"/>
    </xf>
    <xf numFmtId="4" fontId="0" fillId="0" borderId="0" xfId="0" applyNumberFormat="1"/>
    <xf numFmtId="9" fontId="0" fillId="0" borderId="0" xfId="0" applyNumberFormat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left" vertical="center" wrapText="1"/>
    </xf>
    <xf numFmtId="4" fontId="2" fillId="0" borderId="6" xfId="0" applyNumberFormat="1" applyFont="1" applyBorder="1" applyAlignment="1">
      <alignment wrapText="1"/>
    </xf>
    <xf numFmtId="4" fontId="0" fillId="0" borderId="0" xfId="0" applyNumberFormat="1" applyAlignment="1">
      <alignment horizontal="left"/>
    </xf>
    <xf numFmtId="4" fontId="4" fillId="19" borderId="6" xfId="0" applyNumberFormat="1" applyFont="1" applyFill="1" applyBorder="1" applyAlignment="1">
      <alignment wrapText="1"/>
    </xf>
    <xf numFmtId="0" fontId="4" fillId="20" borderId="6" xfId="0" applyFont="1" applyFill="1" applyBorder="1" applyAlignment="1">
      <alignment horizontal="left" vertical="center" wrapText="1"/>
    </xf>
    <xf numFmtId="4" fontId="4" fillId="20" borderId="6" xfId="0" applyNumberFormat="1" applyFont="1" applyFill="1" applyBorder="1" applyAlignment="1">
      <alignment wrapText="1"/>
    </xf>
    <xf numFmtId="0" fontId="2" fillId="0" borderId="6" xfId="0" applyFont="1" applyBorder="1" applyAlignment="1">
      <alignment horizontal="left" vertical="center"/>
    </xf>
    <xf numFmtId="0" fontId="2" fillId="20" borderId="6" xfId="0" applyFont="1" applyFill="1" applyBorder="1" applyAlignment="1">
      <alignment horizontal="left" vertical="center" wrapText="1"/>
    </xf>
    <xf numFmtId="4" fontId="2" fillId="21" borderId="6" xfId="0" applyNumberFormat="1" applyFont="1" applyFill="1" applyBorder="1" applyAlignment="1">
      <alignment wrapText="1"/>
    </xf>
    <xf numFmtId="0" fontId="4" fillId="16" borderId="6" xfId="0" applyFont="1" applyFill="1" applyBorder="1" applyAlignment="1">
      <alignment horizontal="left" vertical="center" wrapText="1"/>
    </xf>
    <xf numFmtId="4" fontId="4" fillId="16" borderId="6" xfId="0" applyNumberFormat="1" applyFont="1" applyFill="1" applyBorder="1" applyAlignment="1">
      <alignment wrapText="1"/>
    </xf>
    <xf numFmtId="0" fontId="4" fillId="14" borderId="6" xfId="0" applyFont="1" applyFill="1" applyBorder="1" applyAlignment="1">
      <alignment horizontal="left" vertical="center" wrapText="1"/>
    </xf>
    <xf numFmtId="9" fontId="4" fillId="14" borderId="6" xfId="0" applyNumberFormat="1" applyFont="1" applyFill="1" applyBorder="1" applyAlignment="1">
      <alignment wrapText="1"/>
    </xf>
    <xf numFmtId="168" fontId="8" fillId="14" borderId="6" xfId="0" applyNumberFormat="1" applyFont="1" applyFill="1" applyBorder="1" applyAlignment="1">
      <alignment horizontal="right" vertical="center" wrapText="1"/>
    </xf>
    <xf numFmtId="167" fontId="8" fillId="14" borderId="6" xfId="0" applyNumberFormat="1" applyFont="1" applyFill="1" applyBorder="1" applyAlignment="1">
      <alignment horizontal="right" vertical="center" wrapText="1"/>
    </xf>
    <xf numFmtId="0" fontId="4" fillId="22" borderId="6" xfId="0" applyFont="1" applyFill="1" applyBorder="1" applyAlignment="1">
      <alignment horizontal="left" vertical="center" wrapText="1"/>
    </xf>
    <xf numFmtId="10" fontId="4" fillId="22" borderId="6" xfId="0" applyNumberFormat="1" applyFont="1" applyFill="1" applyBorder="1" applyAlignment="1">
      <alignment wrapText="1"/>
    </xf>
    <xf numFmtId="10" fontId="8" fillId="22" borderId="6" xfId="0" applyNumberFormat="1" applyFont="1" applyFill="1" applyBorder="1" applyAlignment="1">
      <alignment horizontal="right" vertical="center" wrapText="1"/>
    </xf>
    <xf numFmtId="168" fontId="8" fillId="22" borderId="6" xfId="0" applyNumberFormat="1" applyFont="1" applyFill="1" applyBorder="1" applyAlignment="1">
      <alignment horizontal="right" vertical="center" wrapText="1"/>
    </xf>
    <xf numFmtId="0" fontId="4" fillId="23" borderId="11" xfId="0" applyFont="1" applyFill="1" applyBorder="1" applyAlignment="1">
      <alignment horizontal="left" vertical="center" wrapText="1"/>
    </xf>
    <xf numFmtId="4" fontId="4" fillId="23" borderId="11" xfId="0" applyNumberFormat="1" applyFont="1" applyFill="1" applyBorder="1" applyAlignment="1">
      <alignment wrapText="1"/>
    </xf>
    <xf numFmtId="168" fontId="8" fillId="23" borderId="11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10" fontId="0" fillId="0" borderId="6" xfId="0" applyNumberFormat="1" applyBorder="1"/>
    <xf numFmtId="0" fontId="2" fillId="9" borderId="6" xfId="0" applyFont="1" applyFill="1" applyBorder="1" applyAlignment="1">
      <alignment horizontal="left" vertical="center" wrapText="1"/>
    </xf>
    <xf numFmtId="0" fontId="2" fillId="24" borderId="6" xfId="0" applyFont="1" applyFill="1" applyBorder="1" applyAlignment="1">
      <alignment horizontal="left" vertical="center" wrapText="1"/>
    </xf>
    <xf numFmtId="9" fontId="0" fillId="24" borderId="6" xfId="0" applyNumberFormat="1" applyFill="1" applyBorder="1"/>
    <xf numFmtId="4" fontId="0" fillId="24" borderId="6" xfId="0" applyNumberFormat="1" applyFill="1" applyBorder="1"/>
    <xf numFmtId="0" fontId="2" fillId="16" borderId="6" xfId="0" applyFont="1" applyFill="1" applyBorder="1" applyAlignment="1">
      <alignment horizontal="left" vertical="center" wrapText="1"/>
    </xf>
    <xf numFmtId="9" fontId="0" fillId="16" borderId="6" xfId="0" applyNumberFormat="1" applyFill="1" applyBorder="1"/>
    <xf numFmtId="165" fontId="0" fillId="24" borderId="6" xfId="0" applyNumberFormat="1" applyFill="1" applyBorder="1"/>
    <xf numFmtId="2" fontId="0" fillId="24" borderId="6" xfId="0" applyNumberFormat="1" applyFill="1" applyBorder="1"/>
    <xf numFmtId="166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166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0" fontId="2" fillId="25" borderId="6" xfId="0" applyFont="1" applyFill="1" applyBorder="1" applyAlignment="1">
      <alignment horizontal="left" vertical="center" wrapText="1"/>
    </xf>
    <xf numFmtId="0" fontId="0" fillId="25" borderId="6" xfId="0" applyFill="1" applyBorder="1"/>
    <xf numFmtId="1" fontId="0" fillId="25" borderId="6" xfId="0" applyNumberFormat="1" applyFill="1" applyBorder="1"/>
    <xf numFmtId="49" fontId="4" fillId="11" borderId="1" xfId="0" applyNumberFormat="1" applyFont="1" applyFill="1" applyBorder="1" applyAlignment="1">
      <alignment horizontal="left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/>
    <xf numFmtId="0" fontId="10" fillId="0" borderId="0" xfId="0" applyFont="1"/>
    <xf numFmtId="0" fontId="11" fillId="26" borderId="12" xfId="0" applyFont="1" applyFill="1" applyBorder="1" applyAlignment="1">
      <alignment wrapText="1"/>
    </xf>
    <xf numFmtId="0" fontId="11" fillId="26" borderId="13" xfId="0" applyFont="1" applyFill="1" applyBorder="1" applyAlignment="1">
      <alignment wrapText="1"/>
    </xf>
    <xf numFmtId="0" fontId="12" fillId="27" borderId="14" xfId="0" applyFont="1" applyFill="1" applyBorder="1" applyAlignment="1">
      <alignment wrapText="1"/>
    </xf>
    <xf numFmtId="0" fontId="12" fillId="27" borderId="15" xfId="0" applyFont="1" applyFill="1" applyBorder="1" applyAlignment="1">
      <alignment wrapText="1"/>
    </xf>
    <xf numFmtId="0" fontId="12" fillId="26" borderId="14" xfId="0" applyFont="1" applyFill="1" applyBorder="1" applyAlignment="1">
      <alignment wrapText="1"/>
    </xf>
    <xf numFmtId="0" fontId="12" fillId="26" borderId="15" xfId="0" applyFont="1" applyFill="1" applyBorder="1" applyAlignment="1">
      <alignment wrapText="1"/>
    </xf>
    <xf numFmtId="0" fontId="12" fillId="27" borderId="16" xfId="0" applyFont="1" applyFill="1" applyBorder="1" applyAlignment="1">
      <alignment wrapText="1"/>
    </xf>
    <xf numFmtId="0" fontId="12" fillId="26" borderId="12" xfId="0" applyFont="1" applyFill="1" applyBorder="1" applyAlignment="1">
      <alignment wrapText="1"/>
    </xf>
    <xf numFmtId="0" fontId="12" fillId="26" borderId="13" xfId="0" applyFont="1" applyFill="1" applyBorder="1" applyAlignment="1">
      <alignment wrapText="1"/>
    </xf>
    <xf numFmtId="0" fontId="12" fillId="26" borderId="15" xfId="0" quotePrefix="1" applyFont="1" applyFill="1" applyBorder="1" applyAlignment="1">
      <alignment wrapText="1"/>
    </xf>
    <xf numFmtId="2" fontId="11" fillId="26" borderId="13" xfId="0" applyNumberFormat="1" applyFont="1" applyFill="1" applyBorder="1" applyAlignment="1">
      <alignment wrapText="1"/>
    </xf>
    <xf numFmtId="2" fontId="11" fillId="26" borderId="13" xfId="0" applyNumberFormat="1" applyFont="1" applyFill="1" applyBorder="1"/>
    <xf numFmtId="2" fontId="11" fillId="26" borderId="19" xfId="0" applyNumberFormat="1" applyFont="1" applyFill="1" applyBorder="1" applyAlignment="1">
      <alignment wrapText="1"/>
    </xf>
    <xf numFmtId="2" fontId="12" fillId="27" borderId="15" xfId="0" applyNumberFormat="1" applyFont="1" applyFill="1" applyBorder="1" applyAlignment="1">
      <alignment wrapText="1"/>
    </xf>
    <xf numFmtId="2" fontId="12" fillId="27" borderId="18" xfId="0" applyNumberFormat="1" applyFont="1" applyFill="1" applyBorder="1" applyAlignment="1">
      <alignment wrapText="1"/>
    </xf>
    <xf numFmtId="2" fontId="0" fillId="0" borderId="6" xfId="0" applyNumberFormat="1" applyBorder="1"/>
    <xf numFmtId="2" fontId="12" fillId="26" borderId="15" xfId="0" applyNumberFormat="1" applyFont="1" applyFill="1" applyBorder="1" applyAlignment="1">
      <alignment wrapText="1"/>
    </xf>
    <xf numFmtId="2" fontId="12" fillId="27" borderId="17" xfId="0" applyNumberFormat="1" applyFont="1" applyFill="1" applyBorder="1" applyAlignment="1">
      <alignment wrapText="1"/>
    </xf>
    <xf numFmtId="165" fontId="4" fillId="28" borderId="6" xfId="0" applyNumberFormat="1" applyFont="1" applyFill="1" applyBorder="1"/>
    <xf numFmtId="0" fontId="12" fillId="27" borderId="15" xfId="0" quotePrefix="1" applyFont="1" applyFill="1" applyBorder="1" applyAlignment="1">
      <alignment wrapText="1"/>
    </xf>
    <xf numFmtId="0" fontId="12" fillId="29" borderId="16" xfId="0" applyFont="1" applyFill="1" applyBorder="1" applyAlignment="1">
      <alignment wrapText="1"/>
    </xf>
    <xf numFmtId="2" fontId="12" fillId="27" borderId="15" xfId="0" quotePrefix="1" applyNumberFormat="1" applyFont="1" applyFill="1" applyBorder="1" applyAlignment="1">
      <alignment wrapText="1"/>
    </xf>
    <xf numFmtId="2" fontId="12" fillId="26" borderId="15" xfId="0" quotePrefix="1" applyNumberFormat="1" applyFont="1" applyFill="1" applyBorder="1" applyAlignment="1">
      <alignment wrapText="1"/>
    </xf>
    <xf numFmtId="2" fontId="12" fillId="29" borderId="17" xfId="0" quotePrefix="1" applyNumberFormat="1" applyFont="1" applyFill="1" applyBorder="1" applyAlignment="1">
      <alignment wrapText="1"/>
    </xf>
    <xf numFmtId="0" fontId="13" fillId="0" borderId="0" xfId="0" quotePrefix="1" applyFont="1"/>
    <xf numFmtId="2" fontId="11" fillId="26" borderId="13" xfId="0" quotePrefix="1" applyNumberFormat="1" applyFont="1" applyFill="1" applyBorder="1" applyAlignment="1">
      <alignment wrapText="1"/>
    </xf>
    <xf numFmtId="0" fontId="12" fillId="27" borderId="12" xfId="0" applyFont="1" applyFill="1" applyBorder="1" applyAlignment="1">
      <alignment wrapText="1"/>
    </xf>
    <xf numFmtId="0" fontId="12" fillId="27" borderId="13" xfId="0" applyFont="1" applyFill="1" applyBorder="1" applyAlignment="1">
      <alignment wrapText="1"/>
    </xf>
    <xf numFmtId="0" fontId="12" fillId="29" borderId="19" xfId="0" applyFont="1" applyFill="1" applyBorder="1" applyAlignment="1">
      <alignment wrapText="1"/>
    </xf>
    <xf numFmtId="2" fontId="12" fillId="26" borderId="13" xfId="0" applyNumberFormat="1" applyFont="1" applyFill="1" applyBorder="1" applyAlignment="1">
      <alignment wrapText="1"/>
    </xf>
    <xf numFmtId="0" fontId="11" fillId="27" borderId="12" xfId="0" applyFont="1" applyFill="1" applyBorder="1" applyAlignment="1">
      <alignment wrapText="1"/>
    </xf>
    <xf numFmtId="0" fontId="11" fillId="27" borderId="13" xfId="0" applyFont="1" applyFill="1" applyBorder="1" applyAlignment="1">
      <alignment wrapText="1"/>
    </xf>
    <xf numFmtId="0" fontId="11" fillId="26" borderId="13" xfId="0" quotePrefix="1" applyFont="1" applyFill="1" applyBorder="1" applyAlignment="1">
      <alignment wrapText="1"/>
    </xf>
    <xf numFmtId="0" fontId="12" fillId="29" borderId="14" xfId="0" applyFont="1" applyFill="1" applyBorder="1" applyAlignment="1">
      <alignment wrapText="1"/>
    </xf>
    <xf numFmtId="0" fontId="12" fillId="29" borderId="15" xfId="0" applyFont="1" applyFill="1" applyBorder="1" applyAlignment="1">
      <alignment wrapText="1"/>
    </xf>
    <xf numFmtId="0" fontId="12" fillId="29" borderId="15" xfId="0" quotePrefix="1" applyFont="1" applyFill="1" applyBorder="1" applyAlignment="1">
      <alignment wrapText="1"/>
    </xf>
    <xf numFmtId="0" fontId="11" fillId="26" borderId="14" xfId="0" applyFont="1" applyFill="1" applyBorder="1" applyAlignment="1">
      <alignment wrapText="1"/>
    </xf>
    <xf numFmtId="0" fontId="11" fillId="26" borderId="15" xfId="0" applyFont="1" applyFill="1" applyBorder="1" applyAlignment="1">
      <alignment wrapText="1"/>
    </xf>
    <xf numFmtId="0" fontId="11" fillId="27" borderId="14" xfId="0" applyFont="1" applyFill="1" applyBorder="1" applyAlignment="1">
      <alignment wrapText="1"/>
    </xf>
    <xf numFmtId="0" fontId="11" fillId="27" borderId="15" xfId="0" applyFont="1" applyFill="1" applyBorder="1" applyAlignment="1">
      <alignment wrapText="1"/>
    </xf>
    <xf numFmtId="0" fontId="14" fillId="0" borderId="11" xfId="0" applyFont="1" applyBorder="1"/>
    <xf numFmtId="0" fontId="15" fillId="0" borderId="11" xfId="0" applyFont="1" applyBorder="1"/>
    <xf numFmtId="0" fontId="16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49" fontId="4" fillId="11" borderId="1" xfId="0" applyNumberFormat="1" applyFont="1" applyFill="1" applyBorder="1" applyAlignment="1">
      <alignment horizontal="left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19" fillId="0" borderId="0" xfId="0" applyFont="1"/>
    <xf numFmtId="165" fontId="20" fillId="28" borderId="6" xfId="0" applyNumberFormat="1" applyFont="1" applyFill="1" applyBorder="1"/>
    <xf numFmtId="49" fontId="4" fillId="11" borderId="12" xfId="0" applyNumberFormat="1" applyFont="1" applyFill="1" applyBorder="1" applyAlignment="1">
      <alignment horizontal="left" vertical="center"/>
    </xf>
    <xf numFmtId="0" fontId="19" fillId="30" borderId="12" xfId="0" applyFont="1" applyFill="1" applyBorder="1" applyAlignment="1">
      <alignment horizontal="center"/>
    </xf>
    <xf numFmtId="0" fontId="3" fillId="0" borderId="12" xfId="0" applyFont="1" applyBorder="1"/>
    <xf numFmtId="0" fontId="1" fillId="0" borderId="12" xfId="0" applyFont="1" applyBorder="1"/>
    <xf numFmtId="0" fontId="0" fillId="0" borderId="12" xfId="0" applyBorder="1"/>
    <xf numFmtId="0" fontId="18" fillId="0" borderId="12" xfId="0" applyFont="1" applyBorder="1"/>
    <xf numFmtId="0" fontId="1" fillId="0" borderId="0" xfId="0" applyFont="1" applyAlignment="1">
      <alignment wrapText="1"/>
    </xf>
    <xf numFmtId="43" fontId="0" fillId="0" borderId="0" xfId="1" applyFont="1"/>
    <xf numFmtId="43" fontId="18" fillId="0" borderId="12" xfId="1" applyFont="1" applyBorder="1"/>
    <xf numFmtId="43" fontId="12" fillId="27" borderId="12" xfId="1" applyFont="1" applyFill="1" applyBorder="1" applyAlignment="1">
      <alignment wrapText="1"/>
    </xf>
    <xf numFmtId="43" fontId="11" fillId="27" borderId="12" xfId="1" applyFont="1" applyFill="1" applyBorder="1" applyAlignment="1">
      <alignment wrapText="1"/>
    </xf>
    <xf numFmtId="43" fontId="0" fillId="0" borderId="12" xfId="1" applyFont="1" applyBorder="1"/>
    <xf numFmtId="43" fontId="11" fillId="26" borderId="12" xfId="1" applyFont="1" applyFill="1" applyBorder="1" applyAlignment="1">
      <alignment wrapText="1"/>
    </xf>
    <xf numFmtId="43" fontId="12" fillId="26" borderId="12" xfId="1" applyFont="1" applyFill="1" applyBorder="1" applyAlignment="1">
      <alignment wrapText="1"/>
    </xf>
    <xf numFmtId="43" fontId="1" fillId="0" borderId="12" xfId="1" applyFont="1" applyBorder="1" applyAlignment="1">
      <alignment wrapText="1"/>
    </xf>
    <xf numFmtId="0" fontId="12" fillId="31" borderId="12" xfId="0" applyFont="1" applyFill="1" applyBorder="1" applyAlignment="1">
      <alignment horizontal="left" wrapText="1"/>
    </xf>
    <xf numFmtId="0" fontId="12" fillId="31" borderId="12" xfId="0" applyFont="1" applyFill="1" applyBorder="1" applyAlignment="1">
      <alignment horizontal="right" wrapText="1"/>
    </xf>
    <xf numFmtId="10" fontId="0" fillId="0" borderId="0" xfId="2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B221" sqref="B221"/>
    </sheetView>
  </sheetViews>
  <sheetFormatPr defaultColWidth="14.44140625" defaultRowHeight="15" customHeight="1" x14ac:dyDescent="0.3"/>
  <cols>
    <col min="1" max="1" width="53.44140625" customWidth="1"/>
    <col min="2" max="5" width="20" customWidth="1"/>
    <col min="6" max="8" width="8.6640625" customWidth="1"/>
    <col min="9" max="10" width="15.44140625" customWidth="1"/>
    <col min="11" max="26" width="8.6640625" customWidth="1"/>
  </cols>
  <sheetData>
    <row r="1" spans="1:10" ht="14.25" customHeight="1" x14ac:dyDescent="0.3">
      <c r="A1" s="152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7" t="s">
        <v>5</v>
      </c>
      <c r="G1" s="148"/>
      <c r="H1" s="149"/>
    </row>
    <row r="2" spans="1:10" ht="14.25" customHeight="1" x14ac:dyDescent="0.3">
      <c r="A2" s="146"/>
      <c r="B2" s="146"/>
      <c r="C2" s="146"/>
      <c r="D2" s="146"/>
      <c r="E2" s="146"/>
      <c r="F2" s="1" t="s">
        <v>6</v>
      </c>
      <c r="G2" s="1" t="s">
        <v>7</v>
      </c>
      <c r="H2" s="2" t="s">
        <v>8</v>
      </c>
    </row>
    <row r="3" spans="1:10" ht="14.25" customHeight="1" x14ac:dyDescent="0.3">
      <c r="A3" s="3" t="s">
        <v>9</v>
      </c>
      <c r="B3" s="4">
        <f t="shared" ref="B3:E3" si="0">SUM(B5,B6)</f>
        <v>293638244.22000003</v>
      </c>
      <c r="C3" s="5">
        <f t="shared" si="0"/>
        <v>258920653.38999999</v>
      </c>
      <c r="D3" s="4">
        <f t="shared" si="0"/>
        <v>331336232.49000001</v>
      </c>
      <c r="E3" s="6">
        <f t="shared" si="0"/>
        <v>329567758.30000001</v>
      </c>
      <c r="F3" s="7">
        <f>IFERROR(((C3/B3)-1)*100,"-")</f>
        <v>-11.823252424840437</v>
      </c>
      <c r="G3" s="8">
        <f t="shared" ref="G3:H3" si="1">IFERROR(((D3/C3)-1)*100,"-")</f>
        <v>27.968251335641359</v>
      </c>
      <c r="H3" s="9">
        <f t="shared" si="1"/>
        <v>-0.53374005514273959</v>
      </c>
      <c r="I3" s="10"/>
    </row>
    <row r="4" spans="1:10" ht="14.25" customHeight="1" x14ac:dyDescent="0.3">
      <c r="A4" s="11" t="s">
        <v>10</v>
      </c>
      <c r="B4" s="12">
        <v>0</v>
      </c>
      <c r="C4" s="12">
        <v>0</v>
      </c>
      <c r="D4" s="12">
        <v>0</v>
      </c>
      <c r="E4" s="13">
        <v>0</v>
      </c>
      <c r="F4" s="9" t="str">
        <f t="shared" ref="F4:H4" si="2">IFERROR(((C4/B4)-1)*100,"-")</f>
        <v>-</v>
      </c>
      <c r="G4" s="9" t="str">
        <f t="shared" si="2"/>
        <v>-</v>
      </c>
      <c r="H4" s="9" t="str">
        <f t="shared" si="2"/>
        <v>-</v>
      </c>
    </row>
    <row r="5" spans="1:10" ht="14.25" customHeight="1" x14ac:dyDescent="0.3">
      <c r="A5" s="11" t="s">
        <v>11</v>
      </c>
      <c r="B5" s="12">
        <v>12705865.42</v>
      </c>
      <c r="C5" s="14">
        <v>10824032.32</v>
      </c>
      <c r="D5" s="12">
        <v>10842185.58</v>
      </c>
      <c r="E5" s="13">
        <v>13214428.93</v>
      </c>
      <c r="F5" s="9">
        <f t="shared" ref="F5:H5" si="3">IFERROR(((C5/B5)-1)*100,"-")</f>
        <v>-14.810743210280275</v>
      </c>
      <c r="G5" s="9">
        <f t="shared" si="3"/>
        <v>0.16771254430252291</v>
      </c>
      <c r="H5" s="9">
        <f t="shared" si="3"/>
        <v>21.879752310972698</v>
      </c>
    </row>
    <row r="6" spans="1:10" ht="14.25" customHeight="1" x14ac:dyDescent="0.3">
      <c r="A6" s="11" t="s">
        <v>12</v>
      </c>
      <c r="B6" s="12">
        <v>280932378.80000001</v>
      </c>
      <c r="C6" s="14">
        <v>248096621.06999999</v>
      </c>
      <c r="D6" s="12">
        <v>320494046.91000003</v>
      </c>
      <c r="E6" s="13">
        <v>316353329.37</v>
      </c>
      <c r="F6" s="9">
        <f t="shared" ref="F6:H6" si="4">IFERROR(((C6/B6)-1)*100,"-")</f>
        <v>-11.688135725137005</v>
      </c>
      <c r="G6" s="9">
        <f t="shared" si="4"/>
        <v>29.181141414889812</v>
      </c>
      <c r="H6" s="9">
        <f t="shared" si="4"/>
        <v>-1.2919795484259922</v>
      </c>
    </row>
    <row r="7" spans="1:10" ht="14.25" customHeight="1" x14ac:dyDescent="0.3">
      <c r="A7" s="3" t="s">
        <v>13</v>
      </c>
      <c r="B7" s="4">
        <f>SUM(B10)</f>
        <v>236834878.44</v>
      </c>
      <c r="C7" s="5">
        <f t="shared" ref="C7:E7" si="5">SUM(C9:C10)</f>
        <v>211701690.88999999</v>
      </c>
      <c r="D7" s="4">
        <f t="shared" si="5"/>
        <v>271528417.95999998</v>
      </c>
      <c r="E7" s="6">
        <f t="shared" si="5"/>
        <v>266755727.94</v>
      </c>
      <c r="F7" s="15">
        <f t="shared" ref="F7:H7" si="6">IFERROR(((C7/B7)-1)*100,"-")</f>
        <v>-10.612114109015103</v>
      </c>
      <c r="G7" s="16">
        <f t="shared" si="6"/>
        <v>28.259919332002823</v>
      </c>
      <c r="H7" s="9">
        <f t="shared" si="6"/>
        <v>-1.7577128964464617</v>
      </c>
      <c r="I7" s="10"/>
    </row>
    <row r="8" spans="1:10" ht="14.25" customHeight="1" x14ac:dyDescent="0.3">
      <c r="A8" s="11" t="s">
        <v>14</v>
      </c>
      <c r="B8" s="12">
        <v>0</v>
      </c>
      <c r="C8" s="14">
        <v>0</v>
      </c>
      <c r="D8" s="12">
        <v>0</v>
      </c>
      <c r="E8" s="13">
        <v>0</v>
      </c>
      <c r="F8" s="9" t="str">
        <f t="shared" ref="F8:H8" si="7">IFERROR(((C8/B8)-1)*100,"-")</f>
        <v>-</v>
      </c>
      <c r="G8" s="9" t="str">
        <f t="shared" si="7"/>
        <v>-</v>
      </c>
      <c r="H8" s="9" t="str">
        <f t="shared" si="7"/>
        <v>-</v>
      </c>
    </row>
    <row r="9" spans="1:10" ht="14.25" customHeight="1" x14ac:dyDescent="0.3">
      <c r="A9" s="11" t="s">
        <v>15</v>
      </c>
      <c r="B9" s="12">
        <v>0</v>
      </c>
      <c r="C9" s="14">
        <v>0</v>
      </c>
      <c r="D9" s="12">
        <v>0</v>
      </c>
      <c r="E9" s="13">
        <v>0</v>
      </c>
      <c r="F9" s="9" t="str">
        <f t="shared" ref="F9:H9" si="8">IFERROR(((C9/B9)-1)*100,"-")</f>
        <v>-</v>
      </c>
      <c r="G9" s="9" t="str">
        <f t="shared" si="8"/>
        <v>-</v>
      </c>
      <c r="H9" s="9" t="str">
        <f t="shared" si="8"/>
        <v>-</v>
      </c>
    </row>
    <row r="10" spans="1:10" ht="14.25" customHeight="1" x14ac:dyDescent="0.3">
      <c r="A10" s="11" t="s">
        <v>16</v>
      </c>
      <c r="B10" s="12">
        <v>236834878.44</v>
      </c>
      <c r="C10" s="14">
        <v>211701690.88999999</v>
      </c>
      <c r="D10" s="12">
        <v>271528417.95999998</v>
      </c>
      <c r="E10" s="13">
        <v>266755727.94</v>
      </c>
      <c r="F10" s="9">
        <f t="shared" ref="F10:H10" si="9">IFERROR(((C10/B10)-1)*100,"-")</f>
        <v>-10.612114109015103</v>
      </c>
      <c r="G10" s="9">
        <f t="shared" si="9"/>
        <v>28.259919332002823</v>
      </c>
      <c r="H10" s="9">
        <f t="shared" si="9"/>
        <v>-1.7577128964464617</v>
      </c>
    </row>
    <row r="11" spans="1:10" ht="14.25" customHeight="1" x14ac:dyDescent="0.3">
      <c r="A11" s="3" t="s">
        <v>17</v>
      </c>
      <c r="B11" s="4">
        <f t="shared" ref="B11:E11" si="10">B3-B7</f>
        <v>56803365.780000031</v>
      </c>
      <c r="C11" s="5">
        <f t="shared" si="10"/>
        <v>47218962.5</v>
      </c>
      <c r="D11" s="4">
        <f t="shared" si="10"/>
        <v>59807814.530000031</v>
      </c>
      <c r="E11" s="6">
        <f t="shared" si="10"/>
        <v>62812030.360000014</v>
      </c>
      <c r="F11" s="17">
        <f t="shared" ref="F11:H11" si="11">IFERROR(((C11/B11)-1)*100,"-")</f>
        <v>-16.872949601473465</v>
      </c>
      <c r="G11" s="17">
        <f t="shared" si="11"/>
        <v>26.660585839852004</v>
      </c>
      <c r="H11" s="17">
        <f t="shared" si="11"/>
        <v>5.023115881442286</v>
      </c>
      <c r="I11" s="10"/>
    </row>
    <row r="12" spans="1:10" ht="14.25" customHeight="1" x14ac:dyDescent="0.3">
      <c r="A12" s="11" t="s">
        <v>18</v>
      </c>
      <c r="B12" s="12">
        <v>38088925.240000002</v>
      </c>
      <c r="C12" s="14">
        <v>33008689.34</v>
      </c>
      <c r="D12" s="12">
        <v>37635371.149999999</v>
      </c>
      <c r="E12" s="13">
        <v>45563515.32</v>
      </c>
      <c r="F12" s="9">
        <f t="shared" ref="F12:H12" si="12">IFERROR(((C12/B12)-1)*100,"-")</f>
        <v>-13.337829481901132</v>
      </c>
      <c r="G12" s="9">
        <f t="shared" si="12"/>
        <v>14.016557162702536</v>
      </c>
      <c r="H12" s="18">
        <f t="shared" si="12"/>
        <v>21.065672870347129</v>
      </c>
      <c r="J12" t="s">
        <v>19</v>
      </c>
    </row>
    <row r="13" spans="1:10" ht="14.25" customHeight="1" x14ac:dyDescent="0.3">
      <c r="A13" s="11" t="s">
        <v>20</v>
      </c>
      <c r="B13" s="12">
        <v>8040061.8600000003</v>
      </c>
      <c r="C13" s="14">
        <v>7811705.8799999999</v>
      </c>
      <c r="D13" s="12">
        <v>9413988.25</v>
      </c>
      <c r="E13" s="13">
        <v>7185962.9800000004</v>
      </c>
      <c r="F13" s="19">
        <f t="shared" ref="F13:H13" si="13">IFERROR(((C13/B13)-1)*100,"-")</f>
        <v>-2.8402266546740274</v>
      </c>
      <c r="G13" s="19">
        <f t="shared" si="13"/>
        <v>20.51129925541948</v>
      </c>
      <c r="H13" s="19">
        <f t="shared" si="13"/>
        <v>-23.667177086183422</v>
      </c>
    </row>
    <row r="14" spans="1:10" ht="14.25" customHeight="1" x14ac:dyDescent="0.3">
      <c r="A14" s="3" t="s">
        <v>21</v>
      </c>
      <c r="B14" s="4">
        <f t="shared" ref="B14:E14" si="14">B11-B12-B13</f>
        <v>10674378.68000003</v>
      </c>
      <c r="C14" s="5">
        <f t="shared" si="14"/>
        <v>6398567.2800000003</v>
      </c>
      <c r="D14" s="4">
        <f t="shared" si="14"/>
        <v>12758455.130000032</v>
      </c>
      <c r="E14" s="6">
        <f t="shared" si="14"/>
        <v>10062552.060000014</v>
      </c>
      <c r="F14" s="9">
        <f t="shared" ref="F14:H14" si="15">IFERROR(((C14/B14)-1)*100,"-")</f>
        <v>-40.056770779655501</v>
      </c>
      <c r="G14" s="9">
        <f t="shared" si="15"/>
        <v>99.395498581051612</v>
      </c>
      <c r="H14" s="9">
        <f t="shared" si="15"/>
        <v>-21.130325282572137</v>
      </c>
      <c r="I14" s="10"/>
    </row>
    <row r="15" spans="1:10" ht="14.25" customHeight="1" x14ac:dyDescent="0.3">
      <c r="A15" s="3" t="s">
        <v>22</v>
      </c>
      <c r="B15" s="20">
        <f t="shared" ref="B15:E15" si="16">SUM(B16:B19)</f>
        <v>1490438.1500000001</v>
      </c>
      <c r="C15" s="21">
        <f t="shared" si="16"/>
        <v>1763946.69</v>
      </c>
      <c r="D15" s="20">
        <f t="shared" si="16"/>
        <v>1818222.4699999997</v>
      </c>
      <c r="E15" s="22">
        <f t="shared" si="16"/>
        <v>1405820.61</v>
      </c>
      <c r="F15" s="9">
        <f t="shared" ref="F15:H15" si="17">IFERROR(((C15/B15)-1)*100,"-")</f>
        <v>18.350881584720558</v>
      </c>
      <c r="G15" s="9">
        <f t="shared" si="17"/>
        <v>3.0769512654602815</v>
      </c>
      <c r="H15" s="9">
        <f t="shared" si="17"/>
        <v>-22.681595173554292</v>
      </c>
      <c r="I15" s="10"/>
    </row>
    <row r="16" spans="1:10" ht="14.25" customHeight="1" x14ac:dyDescent="0.3">
      <c r="A16" s="11" t="s">
        <v>23</v>
      </c>
      <c r="B16" s="12">
        <v>329410.32</v>
      </c>
      <c r="C16" s="14">
        <v>135880.45000000001</v>
      </c>
      <c r="D16" s="12">
        <v>148650.4</v>
      </c>
      <c r="E16" s="13">
        <v>48903.41</v>
      </c>
      <c r="F16" s="9">
        <f t="shared" ref="F16:H16" si="18">IFERROR(((C16/B16)-1)*100,"-")</f>
        <v>-58.750396769597259</v>
      </c>
      <c r="G16" s="9">
        <f t="shared" si="18"/>
        <v>9.3979303130067535</v>
      </c>
      <c r="H16" s="9">
        <f t="shared" si="18"/>
        <v>-67.101729965072408</v>
      </c>
    </row>
    <row r="17" spans="1:13" ht="14.25" customHeight="1" x14ac:dyDescent="0.3">
      <c r="A17" s="11" t="s">
        <v>24</v>
      </c>
      <c r="B17" s="12">
        <v>0</v>
      </c>
      <c r="C17" s="14">
        <v>0</v>
      </c>
      <c r="D17" s="12">
        <v>146072.43</v>
      </c>
      <c r="E17" s="13">
        <v>224577.41</v>
      </c>
      <c r="F17" s="9" t="str">
        <f t="shared" ref="F17:H17" si="19">IFERROR(((C17/B17)-1)*100,"-")</f>
        <v>-</v>
      </c>
      <c r="G17" s="9" t="str">
        <f t="shared" si="19"/>
        <v>-</v>
      </c>
      <c r="H17" s="9">
        <f t="shared" si="19"/>
        <v>53.743872132475666</v>
      </c>
    </row>
    <row r="18" spans="1:13" ht="14.25" customHeight="1" x14ac:dyDescent="0.3">
      <c r="A18" s="11" t="s">
        <v>25</v>
      </c>
      <c r="B18" s="12">
        <v>0</v>
      </c>
      <c r="C18" s="14">
        <v>0</v>
      </c>
      <c r="D18" s="12">
        <v>0</v>
      </c>
      <c r="E18" s="13">
        <v>0</v>
      </c>
      <c r="F18" s="9" t="str">
        <f t="shared" ref="F18:H18" si="20">IFERROR(((C18/B18)-1)*100,"-")</f>
        <v>-</v>
      </c>
      <c r="G18" s="9" t="str">
        <f t="shared" si="20"/>
        <v>-</v>
      </c>
      <c r="H18" s="9" t="str">
        <f t="shared" si="20"/>
        <v>-</v>
      </c>
    </row>
    <row r="19" spans="1:13" ht="14.25" customHeight="1" x14ac:dyDescent="0.3">
      <c r="A19" s="11" t="s">
        <v>26</v>
      </c>
      <c r="B19" s="12">
        <v>1161027.83</v>
      </c>
      <c r="C19" s="14">
        <v>1628066.24</v>
      </c>
      <c r="D19" s="12">
        <v>1523499.64</v>
      </c>
      <c r="E19" s="13">
        <v>1132339.79</v>
      </c>
      <c r="F19" s="9">
        <f t="shared" ref="F19:H19" si="21">IFERROR(((C19/B19)-1)*100,"-")</f>
        <v>40.226288977069572</v>
      </c>
      <c r="G19" s="9">
        <f t="shared" si="21"/>
        <v>-6.4227484994713757</v>
      </c>
      <c r="H19" s="9">
        <f t="shared" si="21"/>
        <v>-25.675086473929188</v>
      </c>
    </row>
    <row r="20" spans="1:13" ht="14.25" customHeight="1" x14ac:dyDescent="0.3">
      <c r="A20" s="3" t="s">
        <v>27</v>
      </c>
      <c r="B20" s="4">
        <f t="shared" ref="B20:E20" si="22">SUM(B21:B23)</f>
        <v>2202064.5499999998</v>
      </c>
      <c r="C20" s="5">
        <f t="shared" si="22"/>
        <v>633688.21</v>
      </c>
      <c r="D20" s="4">
        <f t="shared" si="22"/>
        <v>2743878.77</v>
      </c>
      <c r="E20" s="6">
        <f t="shared" si="22"/>
        <v>3813630.03</v>
      </c>
      <c r="F20" s="9">
        <f t="shared" ref="F20:H20" si="23">IFERROR(((C20/B20)-1)*100,"-")</f>
        <v>-71.222995711002199</v>
      </c>
      <c r="G20" s="9">
        <f t="shared" si="23"/>
        <v>333.00139196214491</v>
      </c>
      <c r="H20" s="9">
        <f t="shared" si="23"/>
        <v>38.986826666544005</v>
      </c>
      <c r="I20" s="10"/>
    </row>
    <row r="21" spans="1:13" ht="14.25" customHeight="1" x14ac:dyDescent="0.3">
      <c r="A21" s="11" t="s">
        <v>28</v>
      </c>
      <c r="B21" s="12">
        <v>0</v>
      </c>
      <c r="C21" s="14">
        <v>0</v>
      </c>
      <c r="D21" s="12">
        <v>0</v>
      </c>
      <c r="E21" s="13">
        <v>0</v>
      </c>
      <c r="F21" s="9" t="str">
        <f t="shared" ref="F21:H21" si="24">IFERROR(((C21/B21)-1)*100,"-")</f>
        <v>-</v>
      </c>
      <c r="G21" s="9" t="str">
        <f t="shared" si="24"/>
        <v>-</v>
      </c>
      <c r="H21" s="9" t="str">
        <f t="shared" si="24"/>
        <v>-</v>
      </c>
    </row>
    <row r="22" spans="1:13" ht="14.25" customHeight="1" x14ac:dyDescent="0.3">
      <c r="A22" s="11" t="s">
        <v>29</v>
      </c>
      <c r="B22" s="12">
        <v>359153.56</v>
      </c>
      <c r="C22" s="14">
        <v>0</v>
      </c>
      <c r="D22" s="12">
        <v>0</v>
      </c>
      <c r="E22" s="13">
        <v>0</v>
      </c>
      <c r="F22" s="9">
        <f t="shared" ref="F22:H22" si="25">IFERROR(((C22/B22)-1)*100,"-")</f>
        <v>-100</v>
      </c>
      <c r="G22" s="9" t="str">
        <f t="shared" si="25"/>
        <v>-</v>
      </c>
      <c r="H22" s="9" t="str">
        <f t="shared" si="25"/>
        <v>-</v>
      </c>
    </row>
    <row r="23" spans="1:13" ht="14.25" customHeight="1" x14ac:dyDescent="0.3">
      <c r="A23" s="11" t="s">
        <v>30</v>
      </c>
      <c r="B23" s="12">
        <v>1842910.99</v>
      </c>
      <c r="C23" s="14">
        <v>633688.21</v>
      </c>
      <c r="D23" s="12">
        <v>2743878.77</v>
      </c>
      <c r="E23" s="13">
        <v>3813630.03</v>
      </c>
      <c r="F23" s="9">
        <f t="shared" ref="F23:H23" si="26">IFERROR(((C23/B23)-1)*100,"-")</f>
        <v>-65.614822775569877</v>
      </c>
      <c r="G23" s="9">
        <f t="shared" si="26"/>
        <v>333.00139196214491</v>
      </c>
      <c r="H23" s="9">
        <f t="shared" si="26"/>
        <v>38.986826666544005</v>
      </c>
      <c r="J23">
        <v>2012</v>
      </c>
      <c r="K23" s="23">
        <v>2013</v>
      </c>
      <c r="L23" s="23">
        <v>2014</v>
      </c>
      <c r="M23" s="23">
        <v>2015</v>
      </c>
    </row>
    <row r="24" spans="1:13" ht="14.25" customHeight="1" x14ac:dyDescent="0.3">
      <c r="A24" s="3" t="s">
        <v>31</v>
      </c>
      <c r="B24" s="4">
        <f t="shared" ref="B24:E24" si="27">B14+B15-B20</f>
        <v>9962752.280000031</v>
      </c>
      <c r="C24" s="5">
        <f t="shared" si="27"/>
        <v>7528825.7600000007</v>
      </c>
      <c r="D24" s="4">
        <f t="shared" si="27"/>
        <v>11832798.830000032</v>
      </c>
      <c r="E24" s="6">
        <f t="shared" si="27"/>
        <v>7654742.6400000136</v>
      </c>
      <c r="F24" s="9">
        <f t="shared" ref="F24:H24" si="28">IFERROR(((C24/B24)-1)*100,"-")</f>
        <v>-24.430262357180908</v>
      </c>
      <c r="G24" s="9">
        <f t="shared" si="28"/>
        <v>57.166591540299237</v>
      </c>
      <c r="H24" s="9">
        <f t="shared" si="28"/>
        <v>-35.309111986314456</v>
      </c>
      <c r="I24" s="10"/>
      <c r="J24" t="s">
        <v>32</v>
      </c>
    </row>
    <row r="25" spans="1:13" ht="14.25" customHeight="1" x14ac:dyDescent="0.3">
      <c r="A25" s="3" t="s">
        <v>33</v>
      </c>
      <c r="B25" s="4">
        <f t="shared" ref="B25:E25" si="29">B26+B31+B33+B35+B36</f>
        <v>1926778.4400000002</v>
      </c>
      <c r="C25" s="5">
        <f t="shared" si="29"/>
        <v>1018860.6699999999</v>
      </c>
      <c r="D25" s="4">
        <f t="shared" si="29"/>
        <v>1216437.3600000001</v>
      </c>
      <c r="E25" s="6">
        <f t="shared" si="29"/>
        <v>213970.78</v>
      </c>
      <c r="F25" s="9">
        <f t="shared" ref="F25:H25" si="30">IFERROR(((C25/B25)-1)*100,"-")</f>
        <v>-47.121026016878211</v>
      </c>
      <c r="G25" s="9">
        <f t="shared" si="30"/>
        <v>19.391924314832988</v>
      </c>
      <c r="H25" s="9">
        <f t="shared" si="30"/>
        <v>-82.410045347505601</v>
      </c>
      <c r="I25" s="10" t="s">
        <v>34</v>
      </c>
      <c r="J25" s="24">
        <f t="shared" ref="J25:M25" si="31">B139/B134</f>
        <v>0.33881113005280505</v>
      </c>
      <c r="K25" s="24">
        <f t="shared" si="31"/>
        <v>0.38857257374217097</v>
      </c>
      <c r="L25" s="24">
        <f t="shared" si="31"/>
        <v>0.38355351033637242</v>
      </c>
      <c r="M25" s="24">
        <f t="shared" si="31"/>
        <v>0.33199482315371492</v>
      </c>
    </row>
    <row r="26" spans="1:13" ht="14.25" customHeight="1" x14ac:dyDescent="0.3">
      <c r="A26" s="11" t="s">
        <v>35</v>
      </c>
      <c r="B26" s="12">
        <v>0</v>
      </c>
      <c r="C26" s="12">
        <v>0</v>
      </c>
      <c r="D26" s="12">
        <v>0</v>
      </c>
      <c r="E26" s="13">
        <v>0</v>
      </c>
      <c r="F26" s="9" t="str">
        <f t="shared" ref="F26:H26" si="32">IFERROR(((C26/B26)-1)*100,"-")</f>
        <v>-</v>
      </c>
      <c r="G26" s="9" t="str">
        <f t="shared" si="32"/>
        <v>-</v>
      </c>
      <c r="H26" s="9" t="str">
        <f t="shared" si="32"/>
        <v>-</v>
      </c>
      <c r="I26" t="s">
        <v>36</v>
      </c>
      <c r="J26" s="24">
        <f t="shared" ref="J26:M26" si="33">J30/B3</f>
        <v>1.0154221593036332E-3</v>
      </c>
      <c r="K26" s="24">
        <f t="shared" si="33"/>
        <v>4.0101306574259607E-3</v>
      </c>
      <c r="L26" s="24">
        <f t="shared" si="33"/>
        <v>5.5296071191227054E-3</v>
      </c>
      <c r="M26" s="24">
        <f t="shared" si="33"/>
        <v>7.9484046422267987E-3</v>
      </c>
    </row>
    <row r="27" spans="1:13" ht="14.25" customHeight="1" x14ac:dyDescent="0.3">
      <c r="A27" s="11" t="s">
        <v>37</v>
      </c>
      <c r="B27" s="12">
        <v>0</v>
      </c>
      <c r="C27" s="12">
        <v>0</v>
      </c>
      <c r="D27" s="12">
        <v>0</v>
      </c>
      <c r="E27" s="13">
        <v>0</v>
      </c>
      <c r="F27" s="9" t="str">
        <f t="shared" ref="F27:H27" si="34">IFERROR(((C27/B27)-1)*100,"-")</f>
        <v>-</v>
      </c>
      <c r="G27" s="9" t="str">
        <f t="shared" si="34"/>
        <v>-</v>
      </c>
      <c r="H27" s="9" t="str">
        <f t="shared" si="34"/>
        <v>-</v>
      </c>
      <c r="I27" t="s">
        <v>38</v>
      </c>
      <c r="J27" s="25">
        <v>3.39E-2</v>
      </c>
      <c r="K27" s="25">
        <v>2.29E-2</v>
      </c>
      <c r="L27" s="25">
        <v>4.2799999999999998E-2</v>
      </c>
      <c r="M27" s="25">
        <v>1.14E-2</v>
      </c>
    </row>
    <row r="28" spans="1:13" ht="14.25" customHeight="1" x14ac:dyDescent="0.3">
      <c r="A28" s="11" t="s">
        <v>39</v>
      </c>
      <c r="B28" s="12">
        <v>0</v>
      </c>
      <c r="C28" s="12">
        <v>0</v>
      </c>
      <c r="D28" s="12">
        <v>0</v>
      </c>
      <c r="E28" s="13">
        <v>0</v>
      </c>
      <c r="F28" s="9" t="str">
        <f t="shared" ref="F28:H28" si="35">IFERROR(((C28/B28)-1)*100,"-")</f>
        <v>-</v>
      </c>
      <c r="G28" s="9" t="str">
        <f t="shared" si="35"/>
        <v>-</v>
      </c>
      <c r="H28" s="9" t="str">
        <f t="shared" si="35"/>
        <v>-</v>
      </c>
      <c r="J28" t="s">
        <v>40</v>
      </c>
    </row>
    <row r="29" spans="1:13" ht="14.25" customHeight="1" x14ac:dyDescent="0.3">
      <c r="A29" s="11" t="s">
        <v>41</v>
      </c>
      <c r="B29" s="12">
        <v>0</v>
      </c>
      <c r="C29" s="12">
        <v>0</v>
      </c>
      <c r="D29" s="12">
        <v>0</v>
      </c>
      <c r="E29" s="13">
        <v>0</v>
      </c>
      <c r="F29" s="9" t="str">
        <f t="shared" ref="F29:H29" si="36">IFERROR(((C29/B29)-1)*100,"-")</f>
        <v>-</v>
      </c>
      <c r="G29" s="9" t="str">
        <f t="shared" si="36"/>
        <v>-</v>
      </c>
      <c r="H29" s="9" t="str">
        <f t="shared" si="36"/>
        <v>-</v>
      </c>
      <c r="K29" s="23" t="s">
        <v>42</v>
      </c>
      <c r="L29" s="23" t="s">
        <v>42</v>
      </c>
      <c r="M29" s="23" t="s">
        <v>42</v>
      </c>
    </row>
    <row r="30" spans="1:13" ht="14.25" customHeight="1" x14ac:dyDescent="0.3">
      <c r="A30" s="11" t="s">
        <v>39</v>
      </c>
      <c r="B30" s="12">
        <v>0</v>
      </c>
      <c r="C30" s="12">
        <v>0</v>
      </c>
      <c r="D30" s="12">
        <v>0</v>
      </c>
      <c r="E30" s="13">
        <v>0</v>
      </c>
      <c r="F30" s="9" t="str">
        <f t="shared" ref="F30:H30" si="37">IFERROR(((C30/B30)-1)*100,"-")</f>
        <v>-</v>
      </c>
      <c r="G30" s="9" t="str">
        <f t="shared" si="37"/>
        <v>-</v>
      </c>
      <c r="H30" s="9" t="str">
        <f t="shared" si="37"/>
        <v>-</v>
      </c>
      <c r="I30" t="s">
        <v>43</v>
      </c>
      <c r="J30">
        <v>298166.78000000003</v>
      </c>
      <c r="K30" s="23">
        <v>1038305.65</v>
      </c>
      <c r="L30" s="23">
        <v>1832159.19</v>
      </c>
      <c r="M30" s="23">
        <v>2619537.9</v>
      </c>
    </row>
    <row r="31" spans="1:13" ht="14.25" customHeight="1" x14ac:dyDescent="0.3">
      <c r="A31" s="11" t="s">
        <v>44</v>
      </c>
      <c r="B31" s="12">
        <v>65630.350000000006</v>
      </c>
      <c r="C31" s="14">
        <v>82917.09</v>
      </c>
      <c r="D31" s="12">
        <v>70052.84</v>
      </c>
      <c r="E31" s="13">
        <v>77665.78</v>
      </c>
      <c r="F31" s="9">
        <f t="shared" ref="F31:H31" si="38">IFERROR(((C31/B31)-1)*100,"-")</f>
        <v>26.339551747019474</v>
      </c>
      <c r="G31" s="9">
        <f t="shared" si="38"/>
        <v>-15.514594156644911</v>
      </c>
      <c r="H31" s="9">
        <f t="shared" si="38"/>
        <v>10.867425217878402</v>
      </c>
    </row>
    <row r="32" spans="1:13" ht="14.25" customHeight="1" x14ac:dyDescent="0.3">
      <c r="A32" s="11" t="s">
        <v>10</v>
      </c>
      <c r="B32" s="12">
        <v>0</v>
      </c>
      <c r="C32" s="12">
        <v>0</v>
      </c>
      <c r="D32" s="12">
        <v>0</v>
      </c>
      <c r="E32" s="13">
        <v>0</v>
      </c>
      <c r="F32" s="9" t="str">
        <f t="shared" ref="F32:H32" si="39">IFERROR(((C32/B32)-1)*100,"-")</f>
        <v>-</v>
      </c>
      <c r="G32" s="9" t="str">
        <f t="shared" si="39"/>
        <v>-</v>
      </c>
      <c r="H32" s="9" t="str">
        <f t="shared" si="39"/>
        <v>-</v>
      </c>
    </row>
    <row r="33" spans="1:12" ht="14.25" customHeight="1" x14ac:dyDescent="0.3">
      <c r="A33" s="11" t="s">
        <v>45</v>
      </c>
      <c r="B33" s="12">
        <v>0</v>
      </c>
      <c r="C33" s="12">
        <v>0</v>
      </c>
      <c r="D33" s="12">
        <v>0</v>
      </c>
      <c r="E33" s="13">
        <v>0</v>
      </c>
      <c r="F33" s="9" t="str">
        <f t="shared" ref="F33:H33" si="40">IFERROR(((C33/B33)-1)*100,"-")</f>
        <v>-</v>
      </c>
      <c r="G33" s="9" t="str">
        <f t="shared" si="40"/>
        <v>-</v>
      </c>
      <c r="H33" s="9" t="str">
        <f t="shared" si="40"/>
        <v>-</v>
      </c>
    </row>
    <row r="34" spans="1:12" ht="14.25" customHeight="1" x14ac:dyDescent="0.3">
      <c r="A34" s="11" t="s">
        <v>46</v>
      </c>
      <c r="B34" s="12">
        <v>0</v>
      </c>
      <c r="C34" s="12">
        <v>0</v>
      </c>
      <c r="D34" s="12">
        <v>0</v>
      </c>
      <c r="E34" s="13">
        <v>0</v>
      </c>
      <c r="F34" s="9" t="str">
        <f t="shared" ref="F34:H34" si="41">IFERROR(((C34/B34)-1)*100,"-")</f>
        <v>-</v>
      </c>
      <c r="G34" s="9" t="str">
        <f t="shared" si="41"/>
        <v>-</v>
      </c>
      <c r="H34" s="9" t="str">
        <f t="shared" si="41"/>
        <v>-</v>
      </c>
    </row>
    <row r="35" spans="1:12" ht="14.25" customHeight="1" x14ac:dyDescent="0.3">
      <c r="A35" s="11" t="s">
        <v>47</v>
      </c>
      <c r="B35" s="12">
        <v>0</v>
      </c>
      <c r="C35" s="12">
        <v>0</v>
      </c>
      <c r="D35" s="12">
        <v>0</v>
      </c>
      <c r="E35" s="13">
        <v>0</v>
      </c>
      <c r="F35" s="9" t="str">
        <f t="shared" ref="F35:H35" si="42">IFERROR(((C35/B35)-1)*100,"-")</f>
        <v>-</v>
      </c>
      <c r="G35" s="9" t="str">
        <f t="shared" si="42"/>
        <v>-</v>
      </c>
      <c r="H35" s="9" t="str">
        <f t="shared" si="42"/>
        <v>-</v>
      </c>
    </row>
    <row r="36" spans="1:12" ht="14.25" customHeight="1" x14ac:dyDescent="0.3">
      <c r="A36" s="11" t="s">
        <v>48</v>
      </c>
      <c r="B36" s="12">
        <v>1861148.09</v>
      </c>
      <c r="C36" s="14">
        <v>935943.58</v>
      </c>
      <c r="D36" s="12">
        <v>1146384.52</v>
      </c>
      <c r="E36" s="13">
        <v>136305</v>
      </c>
      <c r="F36" s="9">
        <f t="shared" ref="F36:H36" si="43">IFERROR(((C36/B36)-1)*100,"-")</f>
        <v>-49.711493404052554</v>
      </c>
      <c r="G36" s="9">
        <f t="shared" si="43"/>
        <v>22.484361717615499</v>
      </c>
      <c r="H36" s="9">
        <f t="shared" si="43"/>
        <v>-88.110010417795934</v>
      </c>
    </row>
    <row r="37" spans="1:12" ht="14.25" customHeight="1" x14ac:dyDescent="0.3">
      <c r="A37" s="3" t="s">
        <v>49</v>
      </c>
      <c r="B37" s="4">
        <f t="shared" ref="B37:E37" si="44">B38+B41+B43+B44</f>
        <v>5007990.13</v>
      </c>
      <c r="C37" s="5">
        <f t="shared" si="44"/>
        <v>4631425.92</v>
      </c>
      <c r="D37" s="4">
        <f t="shared" si="44"/>
        <v>4503592.1400000006</v>
      </c>
      <c r="E37" s="6">
        <f t="shared" si="44"/>
        <v>5040624.5199999996</v>
      </c>
      <c r="F37" s="9">
        <f t="shared" ref="F37:H37" si="45">IFERROR(((C37/B37)-1)*100,"-")</f>
        <v>-7.519268213893227</v>
      </c>
      <c r="G37" s="9">
        <f t="shared" si="45"/>
        <v>-2.7601387177104919</v>
      </c>
      <c r="H37" s="9">
        <f t="shared" si="45"/>
        <v>11.924534089803229</v>
      </c>
      <c r="I37" s="10"/>
    </row>
    <row r="38" spans="1:12" ht="14.25" customHeight="1" x14ac:dyDescent="0.3">
      <c r="A38" s="11" t="s">
        <v>50</v>
      </c>
      <c r="B38" s="12">
        <v>3333400.03</v>
      </c>
      <c r="C38" s="12">
        <v>2632449.4700000002</v>
      </c>
      <c r="D38" s="12">
        <v>2203090.98</v>
      </c>
      <c r="E38" s="13">
        <v>1841276.75</v>
      </c>
      <c r="F38" s="9">
        <f t="shared" ref="F38:H38" si="46">IFERROR(((C38/B38)-1)*100,"-")</f>
        <v>-21.02809604882615</v>
      </c>
      <c r="G38" s="9">
        <f t="shared" si="46"/>
        <v>-16.310227219670061</v>
      </c>
      <c r="H38" s="9">
        <f t="shared" si="46"/>
        <v>-16.423027159777128</v>
      </c>
    </row>
    <row r="39" spans="1:12" ht="14.25" customHeight="1" x14ac:dyDescent="0.3">
      <c r="A39" s="11" t="s">
        <v>51</v>
      </c>
      <c r="B39" s="12">
        <v>0</v>
      </c>
      <c r="C39" s="14">
        <v>0</v>
      </c>
      <c r="D39" s="12">
        <v>0</v>
      </c>
      <c r="E39" s="13">
        <v>0</v>
      </c>
      <c r="F39" s="9" t="str">
        <f t="shared" ref="F39:H39" si="47">IFERROR(((C39/B39)-1)*100,"-")</f>
        <v>-</v>
      </c>
      <c r="G39" s="9" t="str">
        <f t="shared" si="47"/>
        <v>-</v>
      </c>
      <c r="H39" s="9" t="str">
        <f t="shared" si="47"/>
        <v>-</v>
      </c>
    </row>
    <row r="40" spans="1:12" ht="14.25" customHeight="1" x14ac:dyDescent="0.3">
      <c r="A40" s="26" t="s">
        <v>52</v>
      </c>
      <c r="B40" s="12">
        <v>493784.01</v>
      </c>
      <c r="C40" s="14">
        <v>312602.23999999999</v>
      </c>
      <c r="D40" s="12">
        <v>360504.48</v>
      </c>
      <c r="E40" s="13">
        <v>473667.56</v>
      </c>
      <c r="F40" s="9">
        <f t="shared" ref="F40:H40" si="48">IFERROR(((C40/B40)-1)*100,"-")</f>
        <v>-36.692514607753303</v>
      </c>
      <c r="G40" s="9">
        <f t="shared" si="48"/>
        <v>15.323703374614329</v>
      </c>
      <c r="H40" s="9">
        <f t="shared" si="48"/>
        <v>31.390200754231955</v>
      </c>
    </row>
    <row r="41" spans="1:12" ht="14.25" customHeight="1" x14ac:dyDescent="0.3">
      <c r="A41" s="11" t="s">
        <v>53</v>
      </c>
      <c r="B41" s="12">
        <v>0</v>
      </c>
      <c r="C41" s="14">
        <v>0</v>
      </c>
      <c r="D41" s="12">
        <v>0</v>
      </c>
      <c r="E41" s="13">
        <v>0</v>
      </c>
      <c r="F41" s="9" t="str">
        <f t="shared" ref="F41:H41" si="49">IFERROR(((C41/B41)-1)*100,"-")</f>
        <v>-</v>
      </c>
      <c r="G41" s="9" t="str">
        <f t="shared" si="49"/>
        <v>-</v>
      </c>
      <c r="H41" s="9" t="str">
        <f t="shared" si="49"/>
        <v>-</v>
      </c>
    </row>
    <row r="42" spans="1:12" ht="14.25" customHeight="1" x14ac:dyDescent="0.3">
      <c r="A42" s="11" t="s">
        <v>46</v>
      </c>
      <c r="B42" s="12">
        <v>0</v>
      </c>
      <c r="C42" s="14">
        <v>0</v>
      </c>
      <c r="D42" s="12">
        <v>0</v>
      </c>
      <c r="E42" s="13">
        <v>0</v>
      </c>
      <c r="F42" s="9" t="str">
        <f t="shared" ref="F42:H42" si="50">IFERROR(((C42/B42)-1)*100,"-")</f>
        <v>-</v>
      </c>
      <c r="G42" s="9" t="str">
        <f t="shared" si="50"/>
        <v>-</v>
      </c>
      <c r="H42" s="9" t="str">
        <f t="shared" si="50"/>
        <v>-</v>
      </c>
    </row>
    <row r="43" spans="1:12" ht="14.25" customHeight="1" x14ac:dyDescent="0.3">
      <c r="A43" s="11" t="s">
        <v>54</v>
      </c>
      <c r="B43" s="12">
        <v>0</v>
      </c>
      <c r="C43" s="14">
        <v>0</v>
      </c>
      <c r="D43" s="12">
        <v>0</v>
      </c>
      <c r="E43" s="13">
        <v>0</v>
      </c>
      <c r="F43" s="9" t="str">
        <f t="shared" ref="F43:H43" si="51">IFERROR(((C43/B43)-1)*100,"-")</f>
        <v>-</v>
      </c>
      <c r="G43" s="9" t="str">
        <f t="shared" si="51"/>
        <v>-</v>
      </c>
      <c r="H43" s="9" t="str">
        <f t="shared" si="51"/>
        <v>-</v>
      </c>
    </row>
    <row r="44" spans="1:12" ht="14.25" customHeight="1" x14ac:dyDescent="0.3">
      <c r="A44" s="11" t="s">
        <v>55</v>
      </c>
      <c r="B44" s="12">
        <v>1674590.1</v>
      </c>
      <c r="C44" s="14">
        <v>1998976.45</v>
      </c>
      <c r="D44" s="12">
        <v>2300501.16</v>
      </c>
      <c r="E44" s="13">
        <v>3199347.77</v>
      </c>
      <c r="F44" s="9">
        <f t="shared" ref="F44:H44" si="52">IFERROR(((C44/B44)-1)*100,"-")</f>
        <v>19.371089677408214</v>
      </c>
      <c r="G44" s="9">
        <f t="shared" si="52"/>
        <v>15.083955091116774</v>
      </c>
      <c r="H44" s="9">
        <f t="shared" si="52"/>
        <v>39.071773821665865</v>
      </c>
    </row>
    <row r="45" spans="1:12" ht="14.25" customHeight="1" x14ac:dyDescent="0.3">
      <c r="A45" s="3" t="s">
        <v>56</v>
      </c>
      <c r="B45" s="4">
        <f t="shared" ref="B45:E45" si="53">B24+B25-B37</f>
        <v>6881540.5900000306</v>
      </c>
      <c r="C45" s="5">
        <f t="shared" si="53"/>
        <v>3916260.51</v>
      </c>
      <c r="D45" s="4">
        <f t="shared" si="53"/>
        <v>8545644.0500000305</v>
      </c>
      <c r="E45" s="6">
        <f t="shared" si="53"/>
        <v>2828088.9000000143</v>
      </c>
      <c r="F45" s="9">
        <f t="shared" ref="F45:H45" si="54">IFERROR(((C45/B45)-1)*100,"-")</f>
        <v>-43.090352243348718</v>
      </c>
      <c r="G45" s="9">
        <f t="shared" si="54"/>
        <v>118.20928480572479</v>
      </c>
      <c r="H45" s="9">
        <f t="shared" si="54"/>
        <v>-66.906076552533165</v>
      </c>
      <c r="I45" s="10"/>
    </row>
    <row r="46" spans="1:12" ht="14.25" customHeight="1" x14ac:dyDescent="0.3">
      <c r="A46" s="11" t="s">
        <v>57</v>
      </c>
      <c r="B46" s="12">
        <v>1594404.66</v>
      </c>
      <c r="C46" s="14">
        <v>795132.54</v>
      </c>
      <c r="D46" s="12">
        <v>1900807.37</v>
      </c>
      <c r="E46" s="13">
        <v>888682.03</v>
      </c>
      <c r="F46" s="9">
        <f t="shared" ref="F46:H46" si="55">IFERROR(((C46/B46)-1)*100,"-")</f>
        <v>-50.129815852394714</v>
      </c>
      <c r="G46" s="9">
        <f t="shared" si="55"/>
        <v>139.05541207004308</v>
      </c>
      <c r="H46" s="9">
        <f t="shared" si="55"/>
        <v>-53.247128350517706</v>
      </c>
      <c r="I46" s="24">
        <f>B46/B45</f>
        <v>0.23169298199256758</v>
      </c>
      <c r="J46" s="24">
        <f t="shared" ref="J46:L46" si="56">C46/C45</f>
        <v>0.20303361790403471</v>
      </c>
      <c r="K46" s="24">
        <f t="shared" si="56"/>
        <v>0.2224299723787341</v>
      </c>
      <c r="L46" s="24">
        <f t="shared" si="56"/>
        <v>0.31423412114095689</v>
      </c>
    </row>
    <row r="47" spans="1:12" ht="14.25" customHeight="1" x14ac:dyDescent="0.3">
      <c r="A47" s="11" t="s">
        <v>58</v>
      </c>
      <c r="B47" s="12">
        <v>0</v>
      </c>
      <c r="C47" s="14">
        <v>0</v>
      </c>
      <c r="D47" s="12">
        <v>0</v>
      </c>
      <c r="E47" s="13">
        <v>0</v>
      </c>
      <c r="F47" s="9" t="str">
        <f t="shared" ref="F47:H47" si="57">IFERROR(((C47/B47)-1)*100,"-")</f>
        <v>-</v>
      </c>
      <c r="G47" s="9" t="str">
        <f t="shared" si="57"/>
        <v>-</v>
      </c>
      <c r="H47" s="9" t="str">
        <f t="shared" si="57"/>
        <v>-</v>
      </c>
    </row>
    <row r="48" spans="1:12" ht="14.25" customHeight="1" x14ac:dyDescent="0.3">
      <c r="A48" s="3" t="s">
        <v>59</v>
      </c>
      <c r="B48" s="4">
        <f t="shared" ref="B48:E48" si="58">B45-B46-B47</f>
        <v>5287135.9300000304</v>
      </c>
      <c r="C48" s="5">
        <f t="shared" si="58"/>
        <v>3121127.9699999997</v>
      </c>
      <c r="D48" s="4">
        <f t="shared" si="58"/>
        <v>6644836.6800000304</v>
      </c>
      <c r="E48" s="6">
        <f t="shared" si="58"/>
        <v>1939406.8700000143</v>
      </c>
      <c r="F48" s="9">
        <f t="shared" ref="F48:H48" si="59">IFERROR(((C48/B48)-1)*100,"-")</f>
        <v>-40.967510362458526</v>
      </c>
      <c r="G48" s="9">
        <f t="shared" si="59"/>
        <v>112.89856564260101</v>
      </c>
      <c r="H48" s="9">
        <f t="shared" si="59"/>
        <v>-70.813325241877806</v>
      </c>
      <c r="I48" s="10"/>
    </row>
    <row r="49" spans="1:12" ht="14.25" customHeight="1" x14ac:dyDescent="0.3">
      <c r="A49" s="27" t="s">
        <v>60</v>
      </c>
      <c r="B49" s="28">
        <v>3489200.74</v>
      </c>
      <c r="C49" s="28">
        <v>2524702.2200000002</v>
      </c>
      <c r="D49" s="28">
        <v>2363968.4300000002</v>
      </c>
      <c r="E49" s="28">
        <v>3056243.28</v>
      </c>
      <c r="F49" s="9">
        <f t="shared" ref="F49:H49" si="60">IFERROR(((C49/B49)-1)*100,"-")</f>
        <v>-27.642391248604405</v>
      </c>
      <c r="G49" s="9">
        <f t="shared" si="60"/>
        <v>-6.3664454653982965</v>
      </c>
      <c r="H49" s="9">
        <f t="shared" si="60"/>
        <v>29.284437186836687</v>
      </c>
      <c r="I49" s="10"/>
    </row>
    <row r="50" spans="1:12" ht="14.25" customHeight="1" x14ac:dyDescent="0.3">
      <c r="B50" s="29">
        <f t="shared" ref="B50:E50" si="61">B48+B49</f>
        <v>8776336.6700000316</v>
      </c>
      <c r="C50" s="29">
        <f t="shared" si="61"/>
        <v>5645830.1899999995</v>
      </c>
      <c r="D50" s="29">
        <f t="shared" si="61"/>
        <v>9008805.1100000311</v>
      </c>
      <c r="E50" s="29">
        <f t="shared" si="61"/>
        <v>4995650.1500000143</v>
      </c>
      <c r="H50" s="9">
        <f>IFERROR(((E50/D50)-1)*100,"-")</f>
        <v>-44.547028279536207</v>
      </c>
    </row>
    <row r="51" spans="1:12" ht="14.25" customHeight="1" x14ac:dyDescent="0.3">
      <c r="A51" s="150" t="s">
        <v>61</v>
      </c>
      <c r="B51" s="151">
        <v>41639</v>
      </c>
      <c r="C51" s="151">
        <v>42004</v>
      </c>
      <c r="D51" s="151">
        <v>42369</v>
      </c>
      <c r="E51" s="151">
        <v>42735</v>
      </c>
      <c r="F51" s="147" t="s">
        <v>5</v>
      </c>
      <c r="G51" s="148"/>
      <c r="H51" s="149"/>
      <c r="I51">
        <f t="shared" ref="I51:L51" si="62">B139/B53</f>
        <v>3.6502828597862642</v>
      </c>
      <c r="J51">
        <f t="shared" si="62"/>
        <v>4.0501393124198826</v>
      </c>
      <c r="K51">
        <f t="shared" si="62"/>
        <v>3.2150013995778473</v>
      </c>
      <c r="L51">
        <f t="shared" si="62"/>
        <v>2.4227945775590918</v>
      </c>
    </row>
    <row r="52" spans="1:12" ht="14.25" customHeight="1" x14ac:dyDescent="0.3">
      <c r="A52" s="146"/>
      <c r="B52" s="146"/>
      <c r="C52" s="146"/>
      <c r="D52" s="146"/>
      <c r="E52" s="146"/>
      <c r="F52" s="1" t="s">
        <v>6</v>
      </c>
      <c r="G52" s="1" t="s">
        <v>7</v>
      </c>
      <c r="H52" s="2" t="s">
        <v>8</v>
      </c>
    </row>
    <row r="53" spans="1:12" ht="14.25" customHeight="1" x14ac:dyDescent="0.3">
      <c r="A53" s="30" t="s">
        <v>62</v>
      </c>
      <c r="B53" s="31">
        <f t="shared" ref="B53:E53" si="63">B54+B59+B68+B72+B86</f>
        <v>14458849.220000001</v>
      </c>
      <c r="C53" s="32">
        <f t="shared" si="63"/>
        <v>13061283.419999998</v>
      </c>
      <c r="D53" s="31">
        <f t="shared" si="63"/>
        <v>18520941.900000002</v>
      </c>
      <c r="E53" s="31">
        <f t="shared" si="63"/>
        <v>23313681.450000003</v>
      </c>
      <c r="F53" s="33">
        <f t="shared" ref="F53:H53" si="64">IFERROR(((C53/B53)-1)*100,"-")</f>
        <v>-9.6658162674996273</v>
      </c>
      <c r="G53" s="8">
        <f t="shared" si="64"/>
        <v>41.800321640980087</v>
      </c>
      <c r="H53" s="8">
        <f t="shared" si="64"/>
        <v>25.877407185214494</v>
      </c>
      <c r="I53" s="34"/>
    </row>
    <row r="54" spans="1:12" ht="14.25" customHeight="1" x14ac:dyDescent="0.3">
      <c r="A54" s="35" t="s">
        <v>63</v>
      </c>
      <c r="B54" s="31">
        <v>30317.67</v>
      </c>
      <c r="C54" s="31">
        <f>C57+C58</f>
        <v>812790.37000000011</v>
      </c>
      <c r="D54" s="31">
        <v>963376.53</v>
      </c>
      <c r="E54" s="31">
        <v>737930.55</v>
      </c>
      <c r="F54" s="9">
        <f t="shared" ref="F54:H54" si="65">IFERROR(((C54/B54)-1)*100,"-")</f>
        <v>2580.9130450987832</v>
      </c>
      <c r="G54" s="9">
        <f t="shared" si="65"/>
        <v>18.52706005854867</v>
      </c>
      <c r="H54" s="9">
        <f t="shared" si="65"/>
        <v>-23.40164753650371</v>
      </c>
      <c r="I54" s="36"/>
    </row>
    <row r="55" spans="1:12" ht="14.25" customHeight="1" x14ac:dyDescent="0.3">
      <c r="A55" s="37" t="s">
        <v>64</v>
      </c>
      <c r="B55" s="38">
        <v>0</v>
      </c>
      <c r="C55" s="38">
        <v>0</v>
      </c>
      <c r="D55" s="38">
        <v>0</v>
      </c>
      <c r="E55" s="39">
        <v>0</v>
      </c>
      <c r="F55" s="9" t="str">
        <f t="shared" ref="F55:H55" si="66">IFERROR(((C55/B55)-1)*100,"-")</f>
        <v>-</v>
      </c>
      <c r="G55" s="9" t="str">
        <f t="shared" si="66"/>
        <v>-</v>
      </c>
      <c r="H55" s="9" t="str">
        <f t="shared" si="66"/>
        <v>-</v>
      </c>
    </row>
    <row r="56" spans="1:12" ht="14.25" customHeight="1" x14ac:dyDescent="0.3">
      <c r="A56" s="37" t="s">
        <v>65</v>
      </c>
      <c r="B56" s="38" t="s">
        <v>66</v>
      </c>
      <c r="C56" s="38" t="s">
        <v>66</v>
      </c>
      <c r="D56" s="38" t="s">
        <v>66</v>
      </c>
      <c r="E56" s="39" t="s">
        <v>66</v>
      </c>
      <c r="F56" s="9" t="str">
        <f t="shared" ref="F56:H56" si="67">IFERROR(((C56/B56)-1)*100,"-")</f>
        <v>-</v>
      </c>
      <c r="G56" s="9" t="str">
        <f t="shared" si="67"/>
        <v>-</v>
      </c>
      <c r="H56" s="9" t="str">
        <f t="shared" si="67"/>
        <v>-</v>
      </c>
    </row>
    <row r="57" spans="1:12" ht="14.25" customHeight="1" x14ac:dyDescent="0.3">
      <c r="A57" s="37" t="s">
        <v>67</v>
      </c>
      <c r="B57" s="38">
        <v>30317.67</v>
      </c>
      <c r="C57" s="38">
        <v>631776.56000000006</v>
      </c>
      <c r="D57" s="38">
        <v>963376.53</v>
      </c>
      <c r="E57" s="38">
        <v>737930.55</v>
      </c>
      <c r="F57" s="9">
        <f t="shared" ref="F57:H57" si="68">IFERROR(((C57/B57)-1)*100,"-")</f>
        <v>1983.8559163682437</v>
      </c>
      <c r="G57" s="9">
        <f t="shared" si="68"/>
        <v>52.486906130230594</v>
      </c>
      <c r="H57" s="9">
        <f t="shared" si="68"/>
        <v>-23.40164753650371</v>
      </c>
    </row>
    <row r="58" spans="1:12" ht="14.25" customHeight="1" x14ac:dyDescent="0.3">
      <c r="A58" s="37" t="s">
        <v>68</v>
      </c>
      <c r="B58" s="38">
        <v>0</v>
      </c>
      <c r="C58" s="38">
        <v>181013.81</v>
      </c>
      <c r="D58" s="38">
        <v>0</v>
      </c>
      <c r="E58" s="38">
        <v>0</v>
      </c>
      <c r="F58" s="9" t="str">
        <f t="shared" ref="F58:H58" si="69">IFERROR(((C58/B58)-1)*100,"-")</f>
        <v>-</v>
      </c>
      <c r="G58" s="9">
        <f t="shared" si="69"/>
        <v>-100</v>
      </c>
      <c r="H58" s="9" t="str">
        <f t="shared" si="69"/>
        <v>-</v>
      </c>
    </row>
    <row r="59" spans="1:12" ht="14.25" customHeight="1" x14ac:dyDescent="0.3">
      <c r="A59" s="40" t="s">
        <v>69</v>
      </c>
      <c r="B59" s="31">
        <f t="shared" ref="B59:E59" si="70">B60+B66+B67</f>
        <v>13240540.33</v>
      </c>
      <c r="C59" s="31">
        <f t="shared" si="70"/>
        <v>11115527.189999999</v>
      </c>
      <c r="D59" s="31">
        <f t="shared" si="70"/>
        <v>16076830.140000001</v>
      </c>
      <c r="E59" s="31">
        <f t="shared" si="70"/>
        <v>20801137.560000002</v>
      </c>
      <c r="F59" s="33">
        <f t="shared" ref="F59:H59" si="71">IFERROR(((C59/B59)-1)*100,"-")</f>
        <v>-16.049293208867109</v>
      </c>
      <c r="G59" s="8">
        <f t="shared" si="71"/>
        <v>44.633986901344635</v>
      </c>
      <c r="H59" s="8">
        <f t="shared" si="71"/>
        <v>29.385814111736352</v>
      </c>
    </row>
    <row r="60" spans="1:12" ht="14.25" customHeight="1" x14ac:dyDescent="0.3">
      <c r="A60" s="37" t="s">
        <v>70</v>
      </c>
      <c r="B60" s="38">
        <f t="shared" ref="B60:E60" si="72">B61+B62+B63+B64+B65</f>
        <v>13228740.33</v>
      </c>
      <c r="C60" s="38">
        <f t="shared" si="72"/>
        <v>11094727.189999999</v>
      </c>
      <c r="D60" s="38">
        <f t="shared" si="72"/>
        <v>15988163.370000001</v>
      </c>
      <c r="E60" s="38">
        <f t="shared" si="72"/>
        <v>20779726.060000002</v>
      </c>
      <c r="F60" s="33">
        <f t="shared" ref="F60:H60" si="73">IFERROR(((C60/B60)-1)*100,"-")</f>
        <v>-16.13164282286581</v>
      </c>
      <c r="G60" s="8">
        <f t="shared" si="73"/>
        <v>44.105962194461142</v>
      </c>
      <c r="H60" s="8">
        <f t="shared" si="73"/>
        <v>29.969437884221485</v>
      </c>
    </row>
    <row r="61" spans="1:12" ht="14.25" customHeight="1" x14ac:dyDescent="0.3">
      <c r="A61" s="37" t="s">
        <v>71</v>
      </c>
      <c r="B61" s="38">
        <v>402467.5</v>
      </c>
      <c r="C61" s="38">
        <v>402467.5</v>
      </c>
      <c r="D61" s="38">
        <v>784678.38</v>
      </c>
      <c r="E61" s="38">
        <v>784678.38</v>
      </c>
      <c r="F61" s="9">
        <f t="shared" ref="F61:H61" si="74">IFERROR(((C61/B61)-1)*100,"-")</f>
        <v>0</v>
      </c>
      <c r="G61" s="8">
        <f t="shared" si="74"/>
        <v>94.966892978936187</v>
      </c>
      <c r="H61" s="9">
        <f t="shared" si="74"/>
        <v>0</v>
      </c>
    </row>
    <row r="62" spans="1:12" ht="26.4" x14ac:dyDescent="0.3">
      <c r="A62" s="37" t="s">
        <v>72</v>
      </c>
      <c r="B62" s="38">
        <v>7135652.9100000001</v>
      </c>
      <c r="C62" s="38">
        <v>6847805.2599999998</v>
      </c>
      <c r="D62" s="38">
        <v>8803575.4700000007</v>
      </c>
      <c r="E62" s="38">
        <v>8509478.0600000005</v>
      </c>
      <c r="F62" s="9">
        <f t="shared" ref="F62:H62" si="75">IFERROR(((C62/B62)-1)*100,"-")</f>
        <v>-4.0339356976935692</v>
      </c>
      <c r="G62" s="8">
        <f t="shared" si="75"/>
        <v>28.560540724255358</v>
      </c>
      <c r="H62" s="9">
        <f t="shared" si="75"/>
        <v>-3.3406587017081657</v>
      </c>
    </row>
    <row r="63" spans="1:12" ht="14.25" customHeight="1" x14ac:dyDescent="0.3">
      <c r="A63" s="37" t="s">
        <v>73</v>
      </c>
      <c r="B63" s="38">
        <v>796780.1</v>
      </c>
      <c r="C63" s="38">
        <v>792850.08</v>
      </c>
      <c r="D63" s="38">
        <v>1148160.55</v>
      </c>
      <c r="E63" s="38">
        <v>3833645.73</v>
      </c>
      <c r="F63" s="9">
        <f t="shared" ref="F63:H63" si="76">IFERROR(((C63/B63)-1)*100,"-")</f>
        <v>-0.49323772016897083</v>
      </c>
      <c r="G63" s="9">
        <f t="shared" si="76"/>
        <v>44.814332364070665</v>
      </c>
      <c r="H63" s="9">
        <f t="shared" si="76"/>
        <v>233.8945698839766</v>
      </c>
      <c r="I63" s="36"/>
    </row>
    <row r="64" spans="1:12" ht="14.25" customHeight="1" x14ac:dyDescent="0.3">
      <c r="A64" s="41" t="s">
        <v>74</v>
      </c>
      <c r="B64" s="38">
        <v>4601054.01</v>
      </c>
      <c r="C64" s="38">
        <v>2839076.35</v>
      </c>
      <c r="D64" s="38">
        <v>4924700.38</v>
      </c>
      <c r="E64" s="38">
        <v>7339516.1900000004</v>
      </c>
      <c r="F64" s="9">
        <f t="shared" ref="F64:H64" si="77">IFERROR(((C64/B64)-1)*100,"-")</f>
        <v>-38.295087520609215</v>
      </c>
      <c r="G64" s="9">
        <f t="shared" si="77"/>
        <v>73.461357599629167</v>
      </c>
      <c r="H64" s="9">
        <f t="shared" si="77"/>
        <v>49.034776202973809</v>
      </c>
      <c r="I64" s="36"/>
    </row>
    <row r="65" spans="1:8" ht="14.25" customHeight="1" x14ac:dyDescent="0.3">
      <c r="A65" s="37" t="s">
        <v>75</v>
      </c>
      <c r="B65" s="38">
        <v>292785.81</v>
      </c>
      <c r="C65" s="38">
        <v>212528</v>
      </c>
      <c r="D65" s="38">
        <v>327048.59000000003</v>
      </c>
      <c r="E65" s="38">
        <v>312407.7</v>
      </c>
      <c r="F65" s="9">
        <f t="shared" ref="F65:H65" si="78">IFERROR(((C65/B65)-1)*100,"-")</f>
        <v>-27.411782695343057</v>
      </c>
      <c r="G65" s="9">
        <f t="shared" si="78"/>
        <v>53.884942219378161</v>
      </c>
      <c r="H65" s="9">
        <f t="shared" si="78"/>
        <v>-4.4766711882170185</v>
      </c>
    </row>
    <row r="66" spans="1:8" ht="14.25" customHeight="1" x14ac:dyDescent="0.3">
      <c r="A66" s="41" t="s">
        <v>76</v>
      </c>
      <c r="B66" s="38">
        <v>11800</v>
      </c>
      <c r="C66" s="42">
        <v>20800</v>
      </c>
      <c r="D66" s="42">
        <v>56410.67</v>
      </c>
      <c r="E66" s="38">
        <v>11800</v>
      </c>
      <c r="F66" s="9">
        <f t="shared" ref="F66:H66" si="79">IFERROR(((C66/B66)-1)*100,"-")</f>
        <v>76.271186440677965</v>
      </c>
      <c r="G66" s="9">
        <f t="shared" si="79"/>
        <v>171.20514423076921</v>
      </c>
      <c r="H66" s="9">
        <f t="shared" si="79"/>
        <v>-79.081971548999505</v>
      </c>
    </row>
    <row r="67" spans="1:8" ht="14.25" customHeight="1" x14ac:dyDescent="0.3">
      <c r="A67" s="37" t="s">
        <v>77</v>
      </c>
      <c r="B67" s="38">
        <v>0</v>
      </c>
      <c r="C67" s="38">
        <v>0</v>
      </c>
      <c r="D67" s="38">
        <v>32256.1</v>
      </c>
      <c r="E67" s="38">
        <v>9611.5</v>
      </c>
      <c r="F67" s="9" t="str">
        <f t="shared" ref="F67:H67" si="80">IFERROR(((C67/B67)-1)*100,"-")</f>
        <v>-</v>
      </c>
      <c r="G67" s="9" t="str">
        <f t="shared" si="80"/>
        <v>-</v>
      </c>
      <c r="H67" s="9">
        <f t="shared" si="80"/>
        <v>-70.202535334401858</v>
      </c>
    </row>
    <row r="68" spans="1:8" ht="14.25" customHeight="1" x14ac:dyDescent="0.3">
      <c r="A68" s="30" t="s">
        <v>78</v>
      </c>
      <c r="B68" s="31"/>
      <c r="C68" s="31"/>
      <c r="D68" s="31"/>
      <c r="E68" s="31"/>
      <c r="F68" s="9" t="str">
        <f t="shared" ref="F68:H68" si="81">IFERROR(((C68/B68)-1)*100,"-")</f>
        <v>-</v>
      </c>
      <c r="G68" s="9" t="str">
        <f t="shared" si="81"/>
        <v>-</v>
      </c>
      <c r="H68" s="9" t="str">
        <f t="shared" si="81"/>
        <v>-</v>
      </c>
    </row>
    <row r="69" spans="1:8" ht="14.25" hidden="1" customHeight="1" x14ac:dyDescent="0.3">
      <c r="A69" s="37" t="s">
        <v>79</v>
      </c>
      <c r="B69" s="38"/>
      <c r="C69" s="38"/>
      <c r="D69" s="38"/>
      <c r="E69" s="38"/>
      <c r="F69" s="9" t="str">
        <f t="shared" ref="F69:H69" si="82">IFERROR(((C69/B69)-1)*100,"-")</f>
        <v>-</v>
      </c>
      <c r="G69" s="9" t="str">
        <f t="shared" si="82"/>
        <v>-</v>
      </c>
      <c r="H69" s="9" t="str">
        <f t="shared" si="82"/>
        <v>-</v>
      </c>
    </row>
    <row r="70" spans="1:8" ht="14.25" hidden="1" customHeight="1" x14ac:dyDescent="0.3">
      <c r="A70" s="37" t="s">
        <v>80</v>
      </c>
      <c r="B70" s="38"/>
      <c r="C70" s="38"/>
      <c r="D70" s="38"/>
      <c r="E70" s="38"/>
      <c r="F70" s="9" t="str">
        <f t="shared" ref="F70:H70" si="83">IFERROR(((C70/B70)-1)*100,"-")</f>
        <v>-</v>
      </c>
      <c r="G70" s="9" t="str">
        <f t="shared" si="83"/>
        <v>-</v>
      </c>
      <c r="H70" s="9" t="str">
        <f t="shared" si="83"/>
        <v>-</v>
      </c>
    </row>
    <row r="71" spans="1:8" ht="14.25" hidden="1" customHeight="1" x14ac:dyDescent="0.3">
      <c r="A71" s="37" t="s">
        <v>81</v>
      </c>
      <c r="B71" s="38"/>
      <c r="C71" s="38"/>
      <c r="D71" s="38"/>
      <c r="E71" s="38"/>
      <c r="F71" s="9" t="str">
        <f t="shared" ref="F71:H71" si="84">IFERROR(((C71/B71)-1)*100,"-")</f>
        <v>-</v>
      </c>
      <c r="G71" s="9" t="str">
        <f t="shared" si="84"/>
        <v>-</v>
      </c>
      <c r="H71" s="9" t="str">
        <f t="shared" si="84"/>
        <v>-</v>
      </c>
    </row>
    <row r="72" spans="1:8" ht="14.25" customHeight="1" x14ac:dyDescent="0.3">
      <c r="A72" s="30" t="s">
        <v>82</v>
      </c>
      <c r="B72" s="38"/>
      <c r="C72" s="38"/>
      <c r="D72" s="38"/>
      <c r="E72" s="38"/>
      <c r="F72" s="9" t="str">
        <f t="shared" ref="F72:H72" si="85">IFERROR(((C72/B72)-1)*100,"-")</f>
        <v>-</v>
      </c>
      <c r="G72" s="9" t="str">
        <f t="shared" si="85"/>
        <v>-</v>
      </c>
      <c r="H72" s="9" t="str">
        <f t="shared" si="85"/>
        <v>-</v>
      </c>
    </row>
    <row r="73" spans="1:8" ht="14.25" hidden="1" customHeight="1" x14ac:dyDescent="0.3">
      <c r="A73" s="37" t="s">
        <v>83</v>
      </c>
      <c r="B73" s="38"/>
      <c r="C73" s="38"/>
      <c r="D73" s="38"/>
      <c r="E73" s="38"/>
      <c r="F73" s="9" t="str">
        <f t="shared" ref="F73:H73" si="86">IFERROR(((C73/B73)-1)*100,"-")</f>
        <v>-</v>
      </c>
      <c r="G73" s="9" t="str">
        <f t="shared" si="86"/>
        <v>-</v>
      </c>
      <c r="H73" s="9" t="str">
        <f t="shared" si="86"/>
        <v>-</v>
      </c>
    </row>
    <row r="74" spans="1:8" ht="14.25" hidden="1" customHeight="1" x14ac:dyDescent="0.3">
      <c r="A74" s="37" t="s">
        <v>84</v>
      </c>
      <c r="B74" s="38"/>
      <c r="C74" s="38"/>
      <c r="D74" s="38"/>
      <c r="E74" s="38"/>
      <c r="F74" s="9" t="str">
        <f t="shared" ref="F74:H74" si="87">IFERROR(((C74/B74)-1)*100,"-")</f>
        <v>-</v>
      </c>
      <c r="G74" s="9" t="str">
        <f t="shared" si="87"/>
        <v>-</v>
      </c>
      <c r="H74" s="9" t="str">
        <f t="shared" si="87"/>
        <v>-</v>
      </c>
    </row>
    <row r="75" spans="1:8" ht="14.25" hidden="1" customHeight="1" x14ac:dyDescent="0.3">
      <c r="A75" s="37" t="s">
        <v>85</v>
      </c>
      <c r="B75" s="38"/>
      <c r="C75" s="38"/>
      <c r="D75" s="38"/>
      <c r="E75" s="38"/>
      <c r="F75" s="9" t="str">
        <f t="shared" ref="F75:H75" si="88">IFERROR(((C75/B75)-1)*100,"-")</f>
        <v>-</v>
      </c>
      <c r="G75" s="9" t="str">
        <f t="shared" si="88"/>
        <v>-</v>
      </c>
      <c r="H75" s="9" t="str">
        <f t="shared" si="88"/>
        <v>-</v>
      </c>
    </row>
    <row r="76" spans="1:8" ht="14.25" hidden="1" customHeight="1" x14ac:dyDescent="0.3">
      <c r="A76" s="37" t="s">
        <v>86</v>
      </c>
      <c r="B76" s="38"/>
      <c r="C76" s="38"/>
      <c r="D76" s="38"/>
      <c r="E76" s="38"/>
      <c r="F76" s="9" t="str">
        <f t="shared" ref="F76:H76" si="89">IFERROR(((C76/B76)-1)*100,"-")</f>
        <v>-</v>
      </c>
      <c r="G76" s="9" t="str">
        <f t="shared" si="89"/>
        <v>-</v>
      </c>
      <c r="H76" s="9" t="str">
        <f t="shared" si="89"/>
        <v>-</v>
      </c>
    </row>
    <row r="77" spans="1:8" ht="14.25" hidden="1" customHeight="1" x14ac:dyDescent="0.3">
      <c r="A77" s="37" t="s">
        <v>87</v>
      </c>
      <c r="B77" s="38"/>
      <c r="C77" s="38"/>
      <c r="D77" s="38"/>
      <c r="E77" s="38"/>
      <c r="F77" s="9" t="str">
        <f t="shared" ref="F77:H77" si="90">IFERROR(((C77/B77)-1)*100,"-")</f>
        <v>-</v>
      </c>
      <c r="G77" s="9" t="str">
        <f t="shared" si="90"/>
        <v>-</v>
      </c>
      <c r="H77" s="9" t="str">
        <f t="shared" si="90"/>
        <v>-</v>
      </c>
    </row>
    <row r="78" spans="1:8" ht="14.25" hidden="1" customHeight="1" x14ac:dyDescent="0.3">
      <c r="A78" s="37" t="s">
        <v>88</v>
      </c>
      <c r="B78" s="38"/>
      <c r="C78" s="38"/>
      <c r="D78" s="38"/>
      <c r="E78" s="38"/>
      <c r="F78" s="9" t="str">
        <f t="shared" ref="F78:H78" si="91">IFERROR(((C78/B78)-1)*100,"-")</f>
        <v>-</v>
      </c>
      <c r="G78" s="9" t="str">
        <f t="shared" si="91"/>
        <v>-</v>
      </c>
      <c r="H78" s="9" t="str">
        <f t="shared" si="91"/>
        <v>-</v>
      </c>
    </row>
    <row r="79" spans="1:8" ht="14.25" hidden="1" customHeight="1" x14ac:dyDescent="0.3">
      <c r="A79" s="37" t="s">
        <v>89</v>
      </c>
      <c r="B79" s="38"/>
      <c r="C79" s="38"/>
      <c r="D79" s="38"/>
      <c r="E79" s="38"/>
      <c r="F79" s="9" t="str">
        <f t="shared" ref="F79:H79" si="92">IFERROR(((C79/B79)-1)*100,"-")</f>
        <v>-</v>
      </c>
      <c r="G79" s="9" t="str">
        <f t="shared" si="92"/>
        <v>-</v>
      </c>
      <c r="H79" s="9" t="str">
        <f t="shared" si="92"/>
        <v>-</v>
      </c>
    </row>
    <row r="80" spans="1:8" ht="14.25" hidden="1" customHeight="1" x14ac:dyDescent="0.3">
      <c r="A80" s="37" t="s">
        <v>90</v>
      </c>
      <c r="B80" s="38"/>
      <c r="C80" s="38"/>
      <c r="D80" s="38"/>
      <c r="E80" s="38"/>
      <c r="F80" s="9" t="str">
        <f t="shared" ref="F80:H80" si="93">IFERROR(((C80/B80)-1)*100,"-")</f>
        <v>-</v>
      </c>
      <c r="G80" s="9" t="str">
        <f t="shared" si="93"/>
        <v>-</v>
      </c>
      <c r="H80" s="9" t="str">
        <f t="shared" si="93"/>
        <v>-</v>
      </c>
    </row>
    <row r="81" spans="1:9" ht="14.25" hidden="1" customHeight="1" x14ac:dyDescent="0.3">
      <c r="A81" s="37" t="s">
        <v>91</v>
      </c>
      <c r="B81" s="38"/>
      <c r="C81" s="38"/>
      <c r="D81" s="38"/>
      <c r="E81" s="38"/>
      <c r="F81" s="9" t="str">
        <f t="shared" ref="F81:H81" si="94">IFERROR(((C81/B81)-1)*100,"-")</f>
        <v>-</v>
      </c>
      <c r="G81" s="9" t="str">
        <f t="shared" si="94"/>
        <v>-</v>
      </c>
      <c r="H81" s="9" t="str">
        <f t="shared" si="94"/>
        <v>-</v>
      </c>
    </row>
    <row r="82" spans="1:9" ht="14.25" hidden="1" customHeight="1" x14ac:dyDescent="0.3">
      <c r="A82" s="37" t="s">
        <v>87</v>
      </c>
      <c r="B82" s="38"/>
      <c r="C82" s="38"/>
      <c r="D82" s="38"/>
      <c r="E82" s="38"/>
      <c r="F82" s="9" t="str">
        <f t="shared" ref="F82:H82" si="95">IFERROR(((C82/B82)-1)*100,"-")</f>
        <v>-</v>
      </c>
      <c r="G82" s="9" t="str">
        <f t="shared" si="95"/>
        <v>-</v>
      </c>
      <c r="H82" s="9" t="str">
        <f t="shared" si="95"/>
        <v>-</v>
      </c>
    </row>
    <row r="83" spans="1:9" ht="14.25" hidden="1" customHeight="1" x14ac:dyDescent="0.3">
      <c r="A83" s="37" t="s">
        <v>88</v>
      </c>
      <c r="B83" s="38"/>
      <c r="C83" s="38"/>
      <c r="D83" s="38"/>
      <c r="E83" s="38"/>
      <c r="F83" s="9" t="str">
        <f t="shared" ref="F83:H83" si="96">IFERROR(((C83/B83)-1)*100,"-")</f>
        <v>-</v>
      </c>
      <c r="G83" s="9" t="str">
        <f t="shared" si="96"/>
        <v>-</v>
      </c>
      <c r="H83" s="9" t="str">
        <f t="shared" si="96"/>
        <v>-</v>
      </c>
    </row>
    <row r="84" spans="1:9" ht="14.25" hidden="1" customHeight="1" x14ac:dyDescent="0.3">
      <c r="A84" s="37" t="s">
        <v>89</v>
      </c>
      <c r="B84" s="38"/>
      <c r="C84" s="38"/>
      <c r="D84" s="38"/>
      <c r="E84" s="38"/>
      <c r="F84" s="9" t="str">
        <f t="shared" ref="F84:H84" si="97">IFERROR(((C84/B84)-1)*100,"-")</f>
        <v>-</v>
      </c>
      <c r="G84" s="9" t="str">
        <f t="shared" si="97"/>
        <v>-</v>
      </c>
      <c r="H84" s="9" t="str">
        <f t="shared" si="97"/>
        <v>-</v>
      </c>
    </row>
    <row r="85" spans="1:9" ht="14.25" hidden="1" customHeight="1" x14ac:dyDescent="0.3">
      <c r="A85" s="37" t="s">
        <v>92</v>
      </c>
      <c r="B85" s="38"/>
      <c r="C85" s="38"/>
      <c r="D85" s="38"/>
      <c r="E85" s="38"/>
      <c r="F85" s="9" t="str">
        <f t="shared" ref="F85:H85" si="98">IFERROR(((C85/B85)-1)*100,"-")</f>
        <v>-</v>
      </c>
      <c r="G85" s="9" t="str">
        <f t="shared" si="98"/>
        <v>-</v>
      </c>
      <c r="H85" s="9" t="str">
        <f t="shared" si="98"/>
        <v>-</v>
      </c>
    </row>
    <row r="86" spans="1:9" ht="14.25" customHeight="1" x14ac:dyDescent="0.3">
      <c r="A86" s="30" t="s">
        <v>93</v>
      </c>
      <c r="B86" s="38">
        <f t="shared" ref="B86:E86" si="99">B87+B88</f>
        <v>1187991.22</v>
      </c>
      <c r="C86" s="38">
        <f t="shared" si="99"/>
        <v>1132965.8599999999</v>
      </c>
      <c r="D86" s="38">
        <f t="shared" si="99"/>
        <v>1480735.23</v>
      </c>
      <c r="E86" s="38">
        <f t="shared" si="99"/>
        <v>1774613.34</v>
      </c>
      <c r="F86" s="9">
        <f t="shared" ref="F86:H86" si="100">IFERROR(((C86/B86)-1)*100,"-")</f>
        <v>-4.6317985414067397</v>
      </c>
      <c r="G86" s="9">
        <f t="shared" si="100"/>
        <v>30.695485387353159</v>
      </c>
      <c r="H86" s="9">
        <f t="shared" si="100"/>
        <v>19.846769634838779</v>
      </c>
    </row>
    <row r="87" spans="1:9" ht="14.25" customHeight="1" x14ac:dyDescent="0.3">
      <c r="A87" s="37" t="s">
        <v>94</v>
      </c>
      <c r="B87" s="38">
        <v>789514.23</v>
      </c>
      <c r="C87" s="38">
        <v>697936.69</v>
      </c>
      <c r="D87" s="38">
        <v>1443248.32</v>
      </c>
      <c r="E87" s="38">
        <v>1773297.29</v>
      </c>
      <c r="F87" s="9">
        <f t="shared" ref="F87:H87" si="101">IFERROR(((C87/B87)-1)*100,"-")</f>
        <v>-11.599226020283393</v>
      </c>
      <c r="G87" s="9">
        <f t="shared" si="101"/>
        <v>106.78785635986556</v>
      </c>
      <c r="H87" s="9">
        <f t="shared" si="101"/>
        <v>22.868481149522491</v>
      </c>
      <c r="I87" s="36"/>
    </row>
    <row r="88" spans="1:9" ht="14.25" customHeight="1" x14ac:dyDescent="0.3">
      <c r="A88" s="37" t="s">
        <v>95</v>
      </c>
      <c r="B88" s="38">
        <v>398476.99</v>
      </c>
      <c r="C88" s="38">
        <v>435029.17</v>
      </c>
      <c r="D88" s="38">
        <v>37486.910000000003</v>
      </c>
      <c r="E88" s="38">
        <v>1316.05</v>
      </c>
      <c r="F88" s="9">
        <f t="shared" ref="F88:H88" si="102">IFERROR(((C88/B88)-1)*100,"-")</f>
        <v>9.1729713176160956</v>
      </c>
      <c r="G88" s="9">
        <f t="shared" si="102"/>
        <v>-91.382897381341124</v>
      </c>
      <c r="H88" s="9">
        <f t="shared" si="102"/>
        <v>-96.489307867733032</v>
      </c>
    </row>
    <row r="89" spans="1:9" ht="14.25" customHeight="1" x14ac:dyDescent="0.3">
      <c r="A89" s="30" t="s">
        <v>96</v>
      </c>
      <c r="B89" s="31">
        <f t="shared" ref="B89:D89" si="103">B90+B96+B114+B131</f>
        <v>141317879.45999998</v>
      </c>
      <c r="C89" s="31">
        <f t="shared" si="103"/>
        <v>123078066.14999998</v>
      </c>
      <c r="D89" s="31">
        <f t="shared" si="103"/>
        <v>136724291.22999999</v>
      </c>
      <c r="E89" s="31">
        <v>146822287.72999999</v>
      </c>
      <c r="F89" s="9">
        <f t="shared" ref="F89:H89" si="104">IFERROR(((C89/B89)-1)*100,"-")</f>
        <v>-12.906939574594157</v>
      </c>
      <c r="G89" s="9">
        <f t="shared" si="104"/>
        <v>11.087454903109073</v>
      </c>
      <c r="H89" s="9">
        <f t="shared" si="104"/>
        <v>7.3856638123016349</v>
      </c>
    </row>
    <row r="90" spans="1:9" ht="14.25" customHeight="1" x14ac:dyDescent="0.3">
      <c r="A90" s="30" t="s">
        <v>97</v>
      </c>
      <c r="B90" s="31">
        <f t="shared" ref="B90:E90" si="105">B91+B92+B93+B94+B95</f>
        <v>92141738.25999999</v>
      </c>
      <c r="C90" s="31">
        <f t="shared" si="105"/>
        <v>77667982.029999986</v>
      </c>
      <c r="D90" s="31">
        <f t="shared" si="105"/>
        <v>89547201.719999999</v>
      </c>
      <c r="E90" s="31">
        <f t="shared" si="105"/>
        <v>117976855.14</v>
      </c>
      <c r="F90" s="9">
        <f t="shared" ref="F90:H90" si="106">IFERROR(((C90/B90)-1)*100,"-")</f>
        <v>-15.708143240318339</v>
      </c>
      <c r="G90" s="9">
        <f t="shared" si="106"/>
        <v>15.294873613957872</v>
      </c>
      <c r="H90" s="9">
        <f t="shared" si="106"/>
        <v>31.748232076413796</v>
      </c>
    </row>
    <row r="91" spans="1:9" ht="14.25" customHeight="1" x14ac:dyDescent="0.3">
      <c r="A91" s="37" t="s">
        <v>98</v>
      </c>
      <c r="B91" s="38"/>
      <c r="C91" s="38"/>
      <c r="D91" s="38"/>
      <c r="E91" s="38"/>
      <c r="F91" s="9" t="str">
        <f t="shared" ref="F91:H91" si="107">IFERROR(((C91/B91)-1)*100,"-")</f>
        <v>-</v>
      </c>
      <c r="G91" s="9" t="str">
        <f t="shared" si="107"/>
        <v>-</v>
      </c>
      <c r="H91" s="9" t="str">
        <f t="shared" si="107"/>
        <v>-</v>
      </c>
    </row>
    <row r="92" spans="1:9" ht="14.25" customHeight="1" x14ac:dyDescent="0.3">
      <c r="A92" s="37" t="s">
        <v>99</v>
      </c>
      <c r="B92" s="38"/>
      <c r="C92" s="38"/>
      <c r="D92" s="38"/>
      <c r="E92" s="38"/>
      <c r="F92" s="9" t="str">
        <f t="shared" ref="F92:H92" si="108">IFERROR(((C92/B92)-1)*100,"-")</f>
        <v>-</v>
      </c>
      <c r="G92" s="9" t="str">
        <f t="shared" si="108"/>
        <v>-</v>
      </c>
      <c r="H92" s="9" t="str">
        <f t="shared" si="108"/>
        <v>-</v>
      </c>
    </row>
    <row r="93" spans="1:9" ht="14.25" customHeight="1" x14ac:dyDescent="0.3">
      <c r="A93" s="37" t="s">
        <v>100</v>
      </c>
      <c r="B93" s="38">
        <v>92098338.239999995</v>
      </c>
      <c r="C93" s="38">
        <v>77645326.459999993</v>
      </c>
      <c r="D93" s="38">
        <v>89547201.719999999</v>
      </c>
      <c r="E93" s="38">
        <v>117976034.55</v>
      </c>
      <c r="F93" s="9">
        <f t="shared" ref="F93:H93" si="109">IFERROR(((C93/B93)-1)*100,"-")</f>
        <v>-15.693021238164739</v>
      </c>
      <c r="G93" s="9">
        <f t="shared" si="109"/>
        <v>15.32851467387597</v>
      </c>
      <c r="H93" s="9">
        <f t="shared" si="109"/>
        <v>31.747315699369906</v>
      </c>
    </row>
    <row r="94" spans="1:9" ht="14.25" customHeight="1" x14ac:dyDescent="0.3">
      <c r="A94" s="37" t="s">
        <v>101</v>
      </c>
      <c r="B94" s="38"/>
      <c r="C94" s="38"/>
      <c r="D94" s="38"/>
      <c r="E94" s="38"/>
      <c r="F94" s="9" t="str">
        <f t="shared" ref="F94:H94" si="110">IFERROR(((C94/B94)-1)*100,"-")</f>
        <v>-</v>
      </c>
      <c r="G94" s="9" t="str">
        <f t="shared" si="110"/>
        <v>-</v>
      </c>
      <c r="H94" s="9" t="str">
        <f t="shared" si="110"/>
        <v>-</v>
      </c>
    </row>
    <row r="95" spans="1:9" ht="14.25" customHeight="1" x14ac:dyDescent="0.3">
      <c r="A95" s="37" t="s">
        <v>102</v>
      </c>
      <c r="B95" s="38">
        <v>43400.02</v>
      </c>
      <c r="C95" s="38">
        <v>22655.57</v>
      </c>
      <c r="D95" s="38"/>
      <c r="E95" s="38">
        <v>820.59</v>
      </c>
      <c r="F95" s="9">
        <f t="shared" ref="F95:H95" si="111">IFERROR(((C95/B95)-1)*100,"-")</f>
        <v>-47.798249862557661</v>
      </c>
      <c r="G95" s="9">
        <f t="shared" si="111"/>
        <v>-100</v>
      </c>
      <c r="H95" s="9" t="str">
        <f t="shared" si="111"/>
        <v>-</v>
      </c>
    </row>
    <row r="96" spans="1:9" ht="14.25" customHeight="1" x14ac:dyDescent="0.3">
      <c r="A96" s="30" t="s">
        <v>103</v>
      </c>
      <c r="B96" s="31">
        <f t="shared" ref="B96:D96" si="112">B97+B102+B107</f>
        <v>47546204.579999998</v>
      </c>
      <c r="C96" s="31">
        <f t="shared" si="112"/>
        <v>42755450.559999995</v>
      </c>
      <c r="D96" s="31">
        <f t="shared" si="112"/>
        <v>43273848.420000002</v>
      </c>
      <c r="E96" s="31" t="s">
        <v>104</v>
      </c>
      <c r="F96" s="9">
        <f t="shared" ref="F96:H96" si="113">IFERROR(((C96/B96)-1)*100,"-")</f>
        <v>-10.075996732692316</v>
      </c>
      <c r="G96" s="9">
        <f t="shared" si="113"/>
        <v>1.2124719847649068</v>
      </c>
      <c r="H96" s="9">
        <f t="shared" si="113"/>
        <v>-45.149621222433446</v>
      </c>
    </row>
    <row r="97" spans="1:8" ht="14.25" hidden="1" customHeight="1" x14ac:dyDescent="0.3">
      <c r="A97" s="37" t="s">
        <v>105</v>
      </c>
      <c r="B97" s="38"/>
      <c r="C97" s="38"/>
      <c r="D97" s="38"/>
      <c r="E97" s="38"/>
      <c r="F97" s="9" t="str">
        <f t="shared" ref="F97:H97" si="114">IFERROR(((C97/B97)-1)*100,"-")</f>
        <v>-</v>
      </c>
      <c r="G97" s="9" t="str">
        <f t="shared" si="114"/>
        <v>-</v>
      </c>
      <c r="H97" s="9" t="str">
        <f t="shared" si="114"/>
        <v>-</v>
      </c>
    </row>
    <row r="98" spans="1:8" ht="14.25" hidden="1" customHeight="1" x14ac:dyDescent="0.3">
      <c r="A98" s="37" t="s">
        <v>106</v>
      </c>
      <c r="B98" s="38"/>
      <c r="C98" s="38"/>
      <c r="D98" s="38"/>
      <c r="E98" s="39"/>
      <c r="F98" s="9" t="str">
        <f t="shared" ref="F98:H98" si="115">IFERROR(((C98/B98)-1)*100,"-")</f>
        <v>-</v>
      </c>
      <c r="G98" s="9" t="str">
        <f t="shared" si="115"/>
        <v>-</v>
      </c>
      <c r="H98" s="9" t="str">
        <f t="shared" si="115"/>
        <v>-</v>
      </c>
    </row>
    <row r="99" spans="1:8" ht="14.25" hidden="1" customHeight="1" x14ac:dyDescent="0.3">
      <c r="A99" s="37" t="s">
        <v>107</v>
      </c>
      <c r="B99" s="38"/>
      <c r="C99" s="38"/>
      <c r="D99" s="38"/>
      <c r="E99" s="38"/>
      <c r="F99" s="9" t="str">
        <f t="shared" ref="F99:H99" si="116">IFERROR(((C99/B99)-1)*100,"-")</f>
        <v>-</v>
      </c>
      <c r="G99" s="9" t="str">
        <f t="shared" si="116"/>
        <v>-</v>
      </c>
      <c r="H99" s="9" t="str">
        <f t="shared" si="116"/>
        <v>-</v>
      </c>
    </row>
    <row r="100" spans="1:8" ht="14.25" hidden="1" customHeight="1" x14ac:dyDescent="0.3">
      <c r="A100" s="37" t="s">
        <v>108</v>
      </c>
      <c r="B100" s="38"/>
      <c r="C100" s="38"/>
      <c r="D100" s="38"/>
      <c r="E100" s="38"/>
      <c r="F100" s="9" t="str">
        <f t="shared" ref="F100:H100" si="117">IFERROR(((C100/B100)-1)*100,"-")</f>
        <v>-</v>
      </c>
      <c r="G100" s="9" t="str">
        <f t="shared" si="117"/>
        <v>-</v>
      </c>
      <c r="H100" s="9" t="str">
        <f t="shared" si="117"/>
        <v>-</v>
      </c>
    </row>
    <row r="101" spans="1:8" ht="14.25" hidden="1" customHeight="1" x14ac:dyDescent="0.3">
      <c r="A101" s="37" t="s">
        <v>109</v>
      </c>
      <c r="B101" s="38"/>
      <c r="C101" s="38"/>
      <c r="D101" s="38"/>
      <c r="E101" s="38"/>
      <c r="F101" s="9" t="str">
        <f t="shared" ref="F101:H101" si="118">IFERROR(((C101/B101)-1)*100,"-")</f>
        <v>-</v>
      </c>
      <c r="G101" s="9" t="str">
        <f t="shared" si="118"/>
        <v>-</v>
      </c>
      <c r="H101" s="9" t="str">
        <f t="shared" si="118"/>
        <v>-</v>
      </c>
    </row>
    <row r="102" spans="1:8" ht="14.25" hidden="1" customHeight="1" x14ac:dyDescent="0.3">
      <c r="A102" s="37" t="s">
        <v>110</v>
      </c>
      <c r="B102" s="38"/>
      <c r="C102" s="38"/>
      <c r="D102" s="38"/>
      <c r="E102" s="38"/>
      <c r="F102" s="9" t="str">
        <f t="shared" ref="F102:H102" si="119">IFERROR(((C102/B102)-1)*100,"-")</f>
        <v>-</v>
      </c>
      <c r="G102" s="9" t="str">
        <f t="shared" si="119"/>
        <v>-</v>
      </c>
      <c r="H102" s="9" t="str">
        <f t="shared" si="119"/>
        <v>-</v>
      </c>
    </row>
    <row r="103" spans="1:8" ht="14.25" hidden="1" customHeight="1" x14ac:dyDescent="0.3">
      <c r="A103" s="37" t="s">
        <v>106</v>
      </c>
      <c r="B103" s="38"/>
      <c r="C103" s="38"/>
      <c r="D103" s="38"/>
      <c r="E103" s="38"/>
      <c r="F103" s="9" t="str">
        <f t="shared" ref="F103:H103" si="120">IFERROR(((C103/B103)-1)*100,"-")</f>
        <v>-</v>
      </c>
      <c r="G103" s="9" t="str">
        <f t="shared" si="120"/>
        <v>-</v>
      </c>
      <c r="H103" s="9" t="str">
        <f t="shared" si="120"/>
        <v>-</v>
      </c>
    </row>
    <row r="104" spans="1:8" ht="14.25" hidden="1" customHeight="1" x14ac:dyDescent="0.3">
      <c r="A104" s="37" t="s">
        <v>107</v>
      </c>
      <c r="B104" s="38"/>
      <c r="C104" s="38"/>
      <c r="D104" s="38"/>
      <c r="E104" s="38"/>
      <c r="F104" s="9" t="str">
        <f t="shared" ref="F104:H104" si="121">IFERROR(((C104/B104)-1)*100,"-")</f>
        <v>-</v>
      </c>
      <c r="G104" s="9" t="str">
        <f t="shared" si="121"/>
        <v>-</v>
      </c>
      <c r="H104" s="9" t="str">
        <f t="shared" si="121"/>
        <v>-</v>
      </c>
    </row>
    <row r="105" spans="1:8" ht="14.25" hidden="1" customHeight="1" x14ac:dyDescent="0.3">
      <c r="A105" s="37" t="s">
        <v>108</v>
      </c>
      <c r="B105" s="38"/>
      <c r="C105" s="38"/>
      <c r="D105" s="38"/>
      <c r="E105" s="38"/>
      <c r="F105" s="9" t="str">
        <f t="shared" ref="F105:H105" si="122">IFERROR(((C105/B105)-1)*100,"-")</f>
        <v>-</v>
      </c>
      <c r="G105" s="9" t="str">
        <f t="shared" si="122"/>
        <v>-</v>
      </c>
      <c r="H105" s="9" t="str">
        <f t="shared" si="122"/>
        <v>-</v>
      </c>
    </row>
    <row r="106" spans="1:8" ht="14.25" hidden="1" customHeight="1" x14ac:dyDescent="0.3">
      <c r="A106" s="37" t="s">
        <v>109</v>
      </c>
      <c r="B106" s="38"/>
      <c r="C106" s="38"/>
      <c r="D106" s="38"/>
      <c r="E106" s="38"/>
      <c r="F106" s="9" t="str">
        <f t="shared" ref="F106:H106" si="123">IFERROR(((C106/B106)-1)*100,"-")</f>
        <v>-</v>
      </c>
      <c r="G106" s="9" t="str">
        <f t="shared" si="123"/>
        <v>-</v>
      </c>
      <c r="H106" s="9" t="str">
        <f t="shared" si="123"/>
        <v>-</v>
      </c>
    </row>
    <row r="107" spans="1:8" ht="14.25" customHeight="1" x14ac:dyDescent="0.3">
      <c r="A107" s="37" t="s">
        <v>111</v>
      </c>
      <c r="B107" s="38">
        <f t="shared" ref="B107:D107" si="124">B108+B111+B112+B113</f>
        <v>47546204.579999998</v>
      </c>
      <c r="C107" s="38">
        <f t="shared" si="124"/>
        <v>42755450.559999995</v>
      </c>
      <c r="D107" s="38">
        <f t="shared" si="124"/>
        <v>43273848.420000002</v>
      </c>
      <c r="E107" s="38" t="s">
        <v>104</v>
      </c>
      <c r="F107" s="9">
        <f t="shared" ref="F107:H107" si="125">IFERROR(((C107/B107)-1)*100,"-")</f>
        <v>-10.075996732692316</v>
      </c>
      <c r="G107" s="9">
        <f t="shared" si="125"/>
        <v>1.2124719847649068</v>
      </c>
      <c r="H107" s="9">
        <f t="shared" si="125"/>
        <v>-45.149621222433446</v>
      </c>
    </row>
    <row r="108" spans="1:8" ht="14.25" customHeight="1" x14ac:dyDescent="0.3">
      <c r="A108" s="37" t="s">
        <v>106</v>
      </c>
      <c r="B108" s="38">
        <f t="shared" ref="B108:D108" si="126">B109+B110</f>
        <v>46865302.119999997</v>
      </c>
      <c r="C108" s="38">
        <f t="shared" si="126"/>
        <v>39117001.789999999</v>
      </c>
      <c r="D108" s="38">
        <f t="shared" si="126"/>
        <v>41063506.530000001</v>
      </c>
      <c r="E108" s="38" t="s">
        <v>112</v>
      </c>
      <c r="F108" s="9">
        <f t="shared" ref="F108:H108" si="127">IFERROR(((C108/B108)-1)*100,"-")</f>
        <v>-16.533127878190655</v>
      </c>
      <c r="G108" s="9">
        <f t="shared" si="127"/>
        <v>4.9761092387648587</v>
      </c>
      <c r="H108" s="9">
        <f t="shared" si="127"/>
        <v>-43.518144966369491</v>
      </c>
    </row>
    <row r="109" spans="1:8" ht="14.25" customHeight="1" x14ac:dyDescent="0.3">
      <c r="A109" s="37" t="s">
        <v>107</v>
      </c>
      <c r="B109" s="38">
        <v>46865302.119999997</v>
      </c>
      <c r="C109" s="38">
        <v>39117001.789999999</v>
      </c>
      <c r="D109" s="38">
        <v>41063506.530000001</v>
      </c>
      <c r="E109" s="38"/>
      <c r="F109" s="9">
        <f t="shared" ref="F109:H109" si="128">IFERROR(((C109/B109)-1)*100,"-")</f>
        <v>-16.533127878190655</v>
      </c>
      <c r="G109" s="9">
        <f t="shared" si="128"/>
        <v>4.9761092387648587</v>
      </c>
      <c r="H109" s="9">
        <f t="shared" si="128"/>
        <v>-100</v>
      </c>
    </row>
    <row r="110" spans="1:8" ht="14.25" customHeight="1" x14ac:dyDescent="0.3">
      <c r="A110" s="37" t="s">
        <v>108</v>
      </c>
      <c r="B110" s="38"/>
      <c r="C110" s="38"/>
      <c r="D110" s="38"/>
      <c r="E110" s="38"/>
      <c r="F110" s="9" t="str">
        <f t="shared" ref="F110:H110" si="129">IFERROR(((C110/B110)-1)*100,"-")</f>
        <v>-</v>
      </c>
      <c r="G110" s="9" t="str">
        <f t="shared" si="129"/>
        <v>-</v>
      </c>
      <c r="H110" s="9" t="str">
        <f t="shared" si="129"/>
        <v>-</v>
      </c>
    </row>
    <row r="111" spans="1:8" ht="30.6" customHeight="1" x14ac:dyDescent="0.3">
      <c r="A111" s="37" t="s">
        <v>113</v>
      </c>
      <c r="B111" s="38"/>
      <c r="C111" s="38"/>
      <c r="D111" s="38"/>
      <c r="E111" s="38"/>
      <c r="F111" s="9" t="str">
        <f t="shared" ref="F111:H111" si="130">IFERROR(((C111/B111)-1)*100,"-")</f>
        <v>-</v>
      </c>
      <c r="G111" s="9" t="str">
        <f t="shared" si="130"/>
        <v>-</v>
      </c>
      <c r="H111" s="9" t="str">
        <f t="shared" si="130"/>
        <v>-</v>
      </c>
    </row>
    <row r="112" spans="1:8" ht="14.25" customHeight="1" x14ac:dyDescent="0.3">
      <c r="A112" s="37" t="s">
        <v>114</v>
      </c>
      <c r="B112" s="38">
        <v>475462.7</v>
      </c>
      <c r="C112" s="38">
        <v>641603.47</v>
      </c>
      <c r="D112" s="38">
        <v>791169.92</v>
      </c>
      <c r="E112" s="38">
        <v>542439.54</v>
      </c>
      <c r="F112" s="9">
        <f t="shared" ref="F112:H112" si="131">IFERROR(((C112/B112)-1)*100,"-")</f>
        <v>34.942966083354165</v>
      </c>
      <c r="G112" s="9">
        <f t="shared" si="131"/>
        <v>23.311353038661096</v>
      </c>
      <c r="H112" s="9">
        <f t="shared" si="131"/>
        <v>-31.438300889902383</v>
      </c>
    </row>
    <row r="113" spans="1:8" ht="14.25" customHeight="1" x14ac:dyDescent="0.3">
      <c r="A113" s="37" t="s">
        <v>115</v>
      </c>
      <c r="B113" s="38">
        <v>205439.76</v>
      </c>
      <c r="C113" s="38">
        <v>2996845.3</v>
      </c>
      <c r="D113" s="38">
        <v>1419171.97</v>
      </c>
      <c r="E113" s="38"/>
      <c r="F113" s="9">
        <f t="shared" ref="F113:H113" si="132">IFERROR(((C113/B113)-1)*100,"-")</f>
        <v>1358.7464958097692</v>
      </c>
      <c r="G113" s="9">
        <f t="shared" si="132"/>
        <v>-52.644470170015111</v>
      </c>
      <c r="H113" s="9">
        <f t="shared" si="132"/>
        <v>-100</v>
      </c>
    </row>
    <row r="114" spans="1:8" ht="14.25" customHeight="1" x14ac:dyDescent="0.3">
      <c r="A114" s="30" t="s">
        <v>116</v>
      </c>
      <c r="B114" s="31">
        <f t="shared" ref="B114:E114" si="133">B115+B130</f>
        <v>298166.78000000003</v>
      </c>
      <c r="C114" s="31">
        <f t="shared" si="133"/>
        <v>1135162.45</v>
      </c>
      <c r="D114" s="31">
        <f t="shared" si="133"/>
        <v>2266802.7999999998</v>
      </c>
      <c r="E114" s="31">
        <f t="shared" si="133"/>
        <v>2685112.85</v>
      </c>
      <c r="F114" s="9">
        <f t="shared" ref="F114:H114" si="134">IFERROR(((C114/B114)-1)*100,"-")</f>
        <v>280.71392460286819</v>
      </c>
      <c r="G114" s="9">
        <f t="shared" si="134"/>
        <v>99.689727228028019</v>
      </c>
      <c r="H114" s="9">
        <f t="shared" si="134"/>
        <v>18.453746836734108</v>
      </c>
    </row>
    <row r="115" spans="1:8" ht="14.25" customHeight="1" x14ac:dyDescent="0.3">
      <c r="A115" s="37" t="s">
        <v>117</v>
      </c>
      <c r="B115" s="38">
        <f t="shared" ref="B115:E115" si="135">B116+B121+B126</f>
        <v>298166.78000000003</v>
      </c>
      <c r="C115" s="38">
        <f t="shared" si="135"/>
        <v>1135162.45</v>
      </c>
      <c r="D115" s="38">
        <f t="shared" si="135"/>
        <v>2266802.7999999998</v>
      </c>
      <c r="E115" s="38">
        <f t="shared" si="135"/>
        <v>2685112.85</v>
      </c>
      <c r="F115" s="9">
        <f t="shared" ref="F115:H115" si="136">IFERROR(((C115/B115)-1)*100,"-")</f>
        <v>280.71392460286819</v>
      </c>
      <c r="G115" s="9">
        <f t="shared" si="136"/>
        <v>99.689727228028019</v>
      </c>
      <c r="H115" s="9">
        <f t="shared" si="136"/>
        <v>18.453746836734108</v>
      </c>
    </row>
    <row r="116" spans="1:8" ht="14.25" customHeight="1" x14ac:dyDescent="0.3">
      <c r="A116" s="37" t="s">
        <v>86</v>
      </c>
      <c r="B116" s="38">
        <f t="shared" ref="B116:E116" si="137">B117+B118+B119+B120</f>
        <v>0</v>
      </c>
      <c r="C116" s="38">
        <f t="shared" si="137"/>
        <v>0</v>
      </c>
      <c r="D116" s="38">
        <f t="shared" si="137"/>
        <v>0</v>
      </c>
      <c r="E116" s="38">
        <f t="shared" si="137"/>
        <v>0</v>
      </c>
      <c r="F116" s="9" t="str">
        <f t="shared" ref="F116:H116" si="138">IFERROR(((C116/B116)-1)*100,"-")</f>
        <v>-</v>
      </c>
      <c r="G116" s="9" t="str">
        <f t="shared" si="138"/>
        <v>-</v>
      </c>
      <c r="H116" s="9" t="str">
        <f t="shared" si="138"/>
        <v>-</v>
      </c>
    </row>
    <row r="117" spans="1:8" ht="14.25" customHeight="1" x14ac:dyDescent="0.3">
      <c r="A117" s="37" t="s">
        <v>87</v>
      </c>
      <c r="B117" s="38"/>
      <c r="C117" s="38"/>
      <c r="D117" s="38"/>
      <c r="E117" s="38"/>
      <c r="F117" s="9" t="str">
        <f t="shared" ref="F117:H117" si="139">IFERROR(((C117/B117)-1)*100,"-")</f>
        <v>-</v>
      </c>
      <c r="G117" s="9" t="str">
        <f t="shared" si="139"/>
        <v>-</v>
      </c>
      <c r="H117" s="9" t="str">
        <f t="shared" si="139"/>
        <v>-</v>
      </c>
    </row>
    <row r="118" spans="1:8" ht="14.25" customHeight="1" x14ac:dyDescent="0.3">
      <c r="A118" s="37" t="s">
        <v>88</v>
      </c>
      <c r="B118" s="38"/>
      <c r="C118" s="38"/>
      <c r="D118" s="38"/>
      <c r="E118" s="38"/>
      <c r="F118" s="9" t="str">
        <f t="shared" ref="F118:H118" si="140">IFERROR(((C118/B118)-1)*100,"-")</f>
        <v>-</v>
      </c>
      <c r="G118" s="9" t="str">
        <f t="shared" si="140"/>
        <v>-</v>
      </c>
      <c r="H118" s="9" t="str">
        <f t="shared" si="140"/>
        <v>-</v>
      </c>
    </row>
    <row r="119" spans="1:8" ht="14.25" customHeight="1" x14ac:dyDescent="0.3">
      <c r="A119" s="37" t="s">
        <v>89</v>
      </c>
      <c r="B119" s="38"/>
      <c r="C119" s="38"/>
      <c r="D119" s="38"/>
      <c r="E119" s="38"/>
      <c r="F119" s="9" t="str">
        <f t="shared" ref="F119:H119" si="141">IFERROR(((C119/B119)-1)*100,"-")</f>
        <v>-</v>
      </c>
      <c r="G119" s="9" t="str">
        <f t="shared" si="141"/>
        <v>-</v>
      </c>
      <c r="H119" s="9" t="str">
        <f t="shared" si="141"/>
        <v>-</v>
      </c>
    </row>
    <row r="120" spans="1:8" ht="14.25" customHeight="1" x14ac:dyDescent="0.3">
      <c r="A120" s="37" t="s">
        <v>118</v>
      </c>
      <c r="B120" s="38"/>
      <c r="C120" s="38"/>
      <c r="D120" s="38"/>
      <c r="E120" s="38"/>
      <c r="F120" s="9" t="str">
        <f t="shared" ref="F120:H120" si="142">IFERROR(((C120/B120)-1)*100,"-")</f>
        <v>-</v>
      </c>
      <c r="G120" s="9" t="str">
        <f t="shared" si="142"/>
        <v>-</v>
      </c>
      <c r="H120" s="9" t="str">
        <f t="shared" si="142"/>
        <v>-</v>
      </c>
    </row>
    <row r="121" spans="1:8" ht="14.25" customHeight="1" x14ac:dyDescent="0.3">
      <c r="A121" s="37" t="s">
        <v>119</v>
      </c>
      <c r="B121" s="38">
        <f t="shared" ref="B121:E121" si="143">B122+B123+B124+B125</f>
        <v>0</v>
      </c>
      <c r="C121" s="38">
        <f t="shared" si="143"/>
        <v>96856.8</v>
      </c>
      <c r="D121" s="38">
        <f t="shared" si="143"/>
        <v>434643.61</v>
      </c>
      <c r="E121" s="38">
        <f t="shared" si="143"/>
        <v>65574.95</v>
      </c>
      <c r="F121" s="9" t="str">
        <f t="shared" ref="F121:H121" si="144">IFERROR(((C121/B121)-1)*100,"-")</f>
        <v>-</v>
      </c>
      <c r="G121" s="9">
        <f t="shared" si="144"/>
        <v>348.7486784613987</v>
      </c>
      <c r="H121" s="9">
        <f t="shared" si="144"/>
        <v>-84.91293821160744</v>
      </c>
    </row>
    <row r="122" spans="1:8" ht="14.25" customHeight="1" x14ac:dyDescent="0.3">
      <c r="A122" s="37" t="s">
        <v>87</v>
      </c>
      <c r="B122" s="38"/>
      <c r="C122" s="38"/>
      <c r="D122" s="38"/>
      <c r="E122" s="38"/>
      <c r="F122" s="9" t="str">
        <f t="shared" ref="F122:H122" si="145">IFERROR(((C122/B122)-1)*100,"-")</f>
        <v>-</v>
      </c>
      <c r="G122" s="9" t="str">
        <f t="shared" si="145"/>
        <v>-</v>
      </c>
      <c r="H122" s="9" t="str">
        <f t="shared" si="145"/>
        <v>-</v>
      </c>
    </row>
    <row r="123" spans="1:8" ht="14.25" customHeight="1" x14ac:dyDescent="0.3">
      <c r="A123" s="37" t="s">
        <v>88</v>
      </c>
      <c r="B123" s="38"/>
      <c r="C123" s="38"/>
      <c r="D123" s="38"/>
      <c r="E123" s="38"/>
      <c r="F123" s="9" t="str">
        <f t="shared" ref="F123:H123" si="146">IFERROR(((C123/B123)-1)*100,"-")</f>
        <v>-</v>
      </c>
      <c r="G123" s="9" t="str">
        <f t="shared" si="146"/>
        <v>-</v>
      </c>
      <c r="H123" s="9" t="str">
        <f t="shared" si="146"/>
        <v>-</v>
      </c>
    </row>
    <row r="124" spans="1:8" ht="14.25" customHeight="1" x14ac:dyDescent="0.3">
      <c r="A124" s="37" t="s">
        <v>89</v>
      </c>
      <c r="B124" s="38"/>
      <c r="C124" s="38">
        <v>96856.8</v>
      </c>
      <c r="D124" s="38">
        <v>99898.49</v>
      </c>
      <c r="E124" s="38">
        <v>65574.95</v>
      </c>
      <c r="F124" s="9" t="str">
        <f t="shared" ref="F124:H124" si="147">IFERROR(((C124/B124)-1)*100,"-")</f>
        <v>-</v>
      </c>
      <c r="G124" s="9">
        <f t="shared" si="147"/>
        <v>3.1403990220614464</v>
      </c>
      <c r="H124" s="9">
        <f t="shared" si="147"/>
        <v>-34.358417229329497</v>
      </c>
    </row>
    <row r="125" spans="1:8" ht="14.25" customHeight="1" x14ac:dyDescent="0.3">
      <c r="A125" s="37" t="s">
        <v>118</v>
      </c>
      <c r="B125" s="38"/>
      <c r="C125" s="38"/>
      <c r="D125" s="38">
        <v>334745.12</v>
      </c>
      <c r="E125" s="38"/>
      <c r="F125" s="9" t="str">
        <f t="shared" ref="F125:H125" si="148">IFERROR(((C125/B125)-1)*100,"-")</f>
        <v>-</v>
      </c>
      <c r="G125" s="9" t="str">
        <f t="shared" si="148"/>
        <v>-</v>
      </c>
      <c r="H125" s="9">
        <f t="shared" si="148"/>
        <v>-100</v>
      </c>
    </row>
    <row r="126" spans="1:8" ht="14.25" customHeight="1" x14ac:dyDescent="0.3">
      <c r="A126" s="37" t="s">
        <v>120</v>
      </c>
      <c r="B126" s="38">
        <f t="shared" ref="B126:E126" si="149">B127+B128+B129</f>
        <v>298166.78000000003</v>
      </c>
      <c r="C126" s="38">
        <f t="shared" si="149"/>
        <v>1038305.65</v>
      </c>
      <c r="D126" s="38">
        <f t="shared" si="149"/>
        <v>1832159.19</v>
      </c>
      <c r="E126" s="38">
        <f t="shared" si="149"/>
        <v>2619537.9</v>
      </c>
      <c r="F126" s="9">
        <f t="shared" ref="F126:H126" si="150">IFERROR(((C126/B126)-1)*100,"-")</f>
        <v>248.22982291991079</v>
      </c>
      <c r="G126" s="9">
        <f t="shared" si="150"/>
        <v>76.456632977004404</v>
      </c>
      <c r="H126" s="9">
        <f t="shared" si="150"/>
        <v>42.975452913564794</v>
      </c>
    </row>
    <row r="127" spans="1:8" ht="14.25" customHeight="1" x14ac:dyDescent="0.3">
      <c r="A127" s="37" t="s">
        <v>121</v>
      </c>
      <c r="B127" s="38">
        <v>282466.78000000003</v>
      </c>
      <c r="C127" s="38">
        <v>1020405.65</v>
      </c>
      <c r="D127" s="38">
        <v>1807909.19</v>
      </c>
      <c r="E127" s="38">
        <v>2619537.9</v>
      </c>
      <c r="F127" s="9">
        <f t="shared" ref="F127:H127" si="151">IFERROR(((C127/B127)-1)*100,"-")</f>
        <v>261.24802003265654</v>
      </c>
      <c r="G127" s="9">
        <f t="shared" si="151"/>
        <v>77.175537003347628</v>
      </c>
      <c r="H127" s="9">
        <f t="shared" si="151"/>
        <v>44.893223315049347</v>
      </c>
    </row>
    <row r="128" spans="1:8" ht="14.25" customHeight="1" x14ac:dyDescent="0.3">
      <c r="A128" s="37" t="s">
        <v>122</v>
      </c>
      <c r="B128" s="38">
        <v>15700</v>
      </c>
      <c r="C128" s="38">
        <v>17900</v>
      </c>
      <c r="D128" s="38">
        <v>24250</v>
      </c>
      <c r="E128" s="38">
        <v>0</v>
      </c>
      <c r="F128" s="9">
        <f t="shared" ref="F128:H128" si="152">IFERROR(((C128/B128)-1)*100,"-")</f>
        <v>14.012738853503182</v>
      </c>
      <c r="G128" s="9">
        <f t="shared" si="152"/>
        <v>35.474860335195537</v>
      </c>
      <c r="H128" s="9">
        <f t="shared" si="152"/>
        <v>-100</v>
      </c>
    </row>
    <row r="129" spans="1:10" ht="14.25" customHeight="1" x14ac:dyDescent="0.3">
      <c r="A129" s="37" t="s">
        <v>123</v>
      </c>
      <c r="B129" s="38"/>
      <c r="C129" s="38"/>
      <c r="D129" s="38"/>
      <c r="E129" s="38"/>
      <c r="F129" s="9" t="str">
        <f t="shared" ref="F129:H129" si="153">IFERROR(((C129/B129)-1)*100,"-")</f>
        <v>-</v>
      </c>
      <c r="G129" s="9" t="str">
        <f t="shared" si="153"/>
        <v>-</v>
      </c>
      <c r="H129" s="9" t="str">
        <f t="shared" si="153"/>
        <v>-</v>
      </c>
    </row>
    <row r="130" spans="1:10" ht="14.25" customHeight="1" x14ac:dyDescent="0.3">
      <c r="A130" s="37" t="s">
        <v>124</v>
      </c>
      <c r="B130" s="38"/>
      <c r="C130" s="38"/>
      <c r="D130" s="38"/>
      <c r="E130" s="38"/>
      <c r="F130" s="9" t="str">
        <f t="shared" ref="F130:H130" si="154">IFERROR(((C130/B130)-1)*100,"-")</f>
        <v>-</v>
      </c>
      <c r="G130" s="9" t="str">
        <f t="shared" si="154"/>
        <v>-</v>
      </c>
      <c r="H130" s="9" t="str">
        <f t="shared" si="154"/>
        <v>-</v>
      </c>
    </row>
    <row r="131" spans="1:10" ht="14.25" customHeight="1" x14ac:dyDescent="0.3">
      <c r="A131" s="30" t="s">
        <v>125</v>
      </c>
      <c r="B131" s="31">
        <v>1331769.8400000001</v>
      </c>
      <c r="C131" s="31">
        <v>1519471.11</v>
      </c>
      <c r="D131" s="31">
        <v>1636438.29</v>
      </c>
      <c r="E131" s="31">
        <v>2424449.9700000002</v>
      </c>
      <c r="F131" s="9">
        <f t="shared" ref="F131:H131" si="155">IFERROR(((C131/B131)-1)*100,"-")</f>
        <v>14.094122299691069</v>
      </c>
      <c r="G131" s="9">
        <f t="shared" si="155"/>
        <v>7.6978877209452179</v>
      </c>
      <c r="H131" s="9">
        <f t="shared" si="155"/>
        <v>48.154072464290735</v>
      </c>
    </row>
    <row r="132" spans="1:10" ht="14.25" customHeight="1" x14ac:dyDescent="0.3">
      <c r="A132" s="37" t="s">
        <v>126</v>
      </c>
      <c r="B132" s="38"/>
      <c r="C132" s="38"/>
      <c r="D132" s="38"/>
      <c r="E132" s="38"/>
      <c r="F132" s="9" t="str">
        <f t="shared" ref="F132:H132" si="156">IFERROR(((C132/B132)-1)*100,"-")</f>
        <v>-</v>
      </c>
      <c r="G132" s="9" t="str">
        <f t="shared" si="156"/>
        <v>-</v>
      </c>
      <c r="H132" s="9" t="str">
        <f t="shared" si="156"/>
        <v>-</v>
      </c>
    </row>
    <row r="133" spans="1:10" ht="14.25" customHeight="1" x14ac:dyDescent="0.3">
      <c r="A133" s="37" t="s">
        <v>127</v>
      </c>
      <c r="B133" s="38"/>
      <c r="C133" s="38"/>
      <c r="D133" s="38"/>
      <c r="E133" s="38"/>
      <c r="F133" s="9" t="str">
        <f t="shared" ref="F133:H133" si="157">IFERROR(((C133/B133)-1)*100,"-")</f>
        <v>-</v>
      </c>
      <c r="G133" s="9" t="str">
        <f t="shared" si="157"/>
        <v>-</v>
      </c>
      <c r="H133" s="9" t="str">
        <f t="shared" si="157"/>
        <v>-</v>
      </c>
    </row>
    <row r="134" spans="1:10" ht="14.25" customHeight="1" x14ac:dyDescent="0.3">
      <c r="A134" s="43" t="s">
        <v>128</v>
      </c>
      <c r="B134" s="44">
        <f t="shared" ref="B134:D134" si="158">B53+B89</f>
        <v>155776728.67999998</v>
      </c>
      <c r="C134" s="44">
        <f t="shared" si="158"/>
        <v>136139349.56999996</v>
      </c>
      <c r="D134" s="44">
        <f t="shared" si="158"/>
        <v>155245233.13</v>
      </c>
      <c r="E134" s="44">
        <v>170135969.18000001</v>
      </c>
      <c r="F134" s="9">
        <f t="shared" ref="F134:H134" si="159">IFERROR(((C134/B134)-1)*100,"-")</f>
        <v>-12.606105723493243</v>
      </c>
      <c r="G134" s="9">
        <f t="shared" si="159"/>
        <v>14.03406408238801</v>
      </c>
      <c r="H134" s="9">
        <f t="shared" si="159"/>
        <v>9.5917509026062895</v>
      </c>
      <c r="J134">
        <f>E45/E134</f>
        <v>1.6622522054745285E-2</v>
      </c>
    </row>
    <row r="135" spans="1:10" ht="14.25" customHeight="1" x14ac:dyDescent="0.3">
      <c r="A135" s="45" t="s">
        <v>129</v>
      </c>
      <c r="B135" s="46">
        <f>B53/B134</f>
        <v>9.2817774147136517E-2</v>
      </c>
      <c r="C135" s="46">
        <f t="shared" ref="C135:E135" si="160">C53/C134</f>
        <v>9.5940545193248211E-2</v>
      </c>
      <c r="D135" s="46">
        <f t="shared" si="160"/>
        <v>0.1193011954479198</v>
      </c>
      <c r="E135" s="46">
        <f t="shared" si="160"/>
        <v>0.13702970372675666</v>
      </c>
      <c r="F135" s="9">
        <f t="shared" ref="F135:H135" si="161">IFERROR(((C135/B135)-1)*100,"-")</f>
        <v>3.3644106151063502</v>
      </c>
      <c r="G135" s="9">
        <f t="shared" si="161"/>
        <v>24.349090582732668</v>
      </c>
      <c r="H135" s="9">
        <f t="shared" si="161"/>
        <v>14.860293907596379</v>
      </c>
    </row>
    <row r="136" spans="1:10" ht="14.25" customHeight="1" x14ac:dyDescent="0.3">
      <c r="A136" s="45" t="s">
        <v>130</v>
      </c>
      <c r="B136" s="46">
        <f>B89/B134</f>
        <v>0.90718222585286346</v>
      </c>
      <c r="C136" s="46">
        <f t="shared" ref="C136:E136" si="162">C89/C134</f>
        <v>0.90405945480675187</v>
      </c>
      <c r="D136" s="46">
        <f t="shared" si="162"/>
        <v>0.88069880455208016</v>
      </c>
      <c r="E136" s="46">
        <f t="shared" si="162"/>
        <v>0.86297029627324329</v>
      </c>
      <c r="F136" s="9">
        <f t="shared" ref="F136:H136" si="163">IFERROR(((C136/B136)-1)*100,"-")</f>
        <v>-0.34422753853844412</v>
      </c>
      <c r="G136" s="9">
        <f t="shared" si="163"/>
        <v>-2.5839727830361814</v>
      </c>
      <c r="H136" s="9">
        <f t="shared" si="163"/>
        <v>-2.0130046943635294</v>
      </c>
    </row>
    <row r="137" spans="1:10" ht="14.25" customHeight="1" x14ac:dyDescent="0.3">
      <c r="A137" s="45" t="s">
        <v>131</v>
      </c>
      <c r="B137" s="46">
        <f>B59/B53</f>
        <v>0.91573956741212903</v>
      </c>
      <c r="C137" s="46">
        <f t="shared" ref="C137:E137" si="164">C59/C53</f>
        <v>0.85102871077580533</v>
      </c>
      <c r="D137" s="46">
        <f t="shared" si="164"/>
        <v>0.86803523421235929</v>
      </c>
      <c r="E137" s="46">
        <f t="shared" si="164"/>
        <v>0.8922287801097154</v>
      </c>
      <c r="F137" s="9">
        <f t="shared" ref="F137:H137" si="165">IFERROR(((C137/B137)-1)*100,"-")</f>
        <v>-7.066513115644435</v>
      </c>
      <c r="G137" s="9">
        <f t="shared" si="165"/>
        <v>1.9983489653422781</v>
      </c>
      <c r="H137" s="9">
        <f t="shared" si="165"/>
        <v>2.7871617353538491</v>
      </c>
      <c r="I137" s="36"/>
    </row>
    <row r="138" spans="1:10" ht="14.25" customHeight="1" x14ac:dyDescent="0.3">
      <c r="A138" s="45" t="s">
        <v>132</v>
      </c>
      <c r="B138" s="47">
        <f>B54/B53</f>
        <v>2.096824549360644E-3</v>
      </c>
      <c r="C138" s="47">
        <f t="shared" ref="C138:E138" si="166">C54/C53</f>
        <v>6.2228981935681806E-2</v>
      </c>
      <c r="D138" s="47">
        <f t="shared" si="166"/>
        <v>5.2015525733062201E-2</v>
      </c>
      <c r="E138" s="47">
        <f t="shared" si="166"/>
        <v>3.1652253273796019E-2</v>
      </c>
      <c r="F138" s="9">
        <f t="shared" ref="F138:H138" si="167">IFERROR(((C138/B138)-1)*100,"-")</f>
        <v>2867.7724802800712</v>
      </c>
      <c r="G138" s="9">
        <f t="shared" si="167"/>
        <v>-16.412700135727686</v>
      </c>
      <c r="H138" s="9">
        <f t="shared" si="167"/>
        <v>-39.14845072174834</v>
      </c>
      <c r="I138" s="36"/>
    </row>
    <row r="139" spans="1:10" ht="14.25" customHeight="1" x14ac:dyDescent="0.3">
      <c r="A139" s="48" t="s">
        <v>133</v>
      </c>
      <c r="B139" s="49">
        <f t="shared" ref="B139:E139" si="168">B140+B141+B143+B145+B148+B149+B150</f>
        <v>52778889.479999997</v>
      </c>
      <c r="C139" s="50">
        <f t="shared" si="168"/>
        <v>52900017.450000003</v>
      </c>
      <c r="D139" s="49">
        <f t="shared" si="168"/>
        <v>59544854.130000003</v>
      </c>
      <c r="E139" s="49">
        <f t="shared" si="168"/>
        <v>56484260.999999993</v>
      </c>
      <c r="F139" s="9">
        <f t="shared" ref="F139:H139" si="169">IFERROR(((C139/B139)-1)*100,"-")</f>
        <v>0.22950079320238626</v>
      </c>
      <c r="G139" s="9">
        <f t="shared" si="169"/>
        <v>12.561123795999807</v>
      </c>
      <c r="H139" s="9">
        <f t="shared" si="169"/>
        <v>-5.1399792219123386</v>
      </c>
      <c r="I139" s="51"/>
      <c r="J139" s="52"/>
    </row>
    <row r="140" spans="1:10" ht="14.25" customHeight="1" x14ac:dyDescent="0.3">
      <c r="A140" s="48" t="s">
        <v>134</v>
      </c>
      <c r="B140" s="49">
        <v>26334000</v>
      </c>
      <c r="C140" s="49">
        <v>26334000</v>
      </c>
      <c r="D140" s="49">
        <v>26334000</v>
      </c>
      <c r="E140" s="49">
        <v>26334000</v>
      </c>
      <c r="F140" s="9">
        <f t="shared" ref="F140:H140" si="170">IFERROR(((C140/B140)-1)*100,"-")</f>
        <v>0</v>
      </c>
      <c r="G140" s="9">
        <f t="shared" si="170"/>
        <v>0</v>
      </c>
      <c r="H140" s="9">
        <f t="shared" si="170"/>
        <v>0</v>
      </c>
    </row>
    <row r="141" spans="1:10" ht="14.25" customHeight="1" x14ac:dyDescent="0.3">
      <c r="A141" s="48" t="s">
        <v>135</v>
      </c>
      <c r="B141" s="49"/>
      <c r="C141" s="49"/>
      <c r="D141" s="53"/>
      <c r="E141" s="53"/>
      <c r="F141" s="9" t="str">
        <f t="shared" ref="F141:H141" si="171">IFERROR(((C141/B141)-1)*100,"-")</f>
        <v>-</v>
      </c>
      <c r="G141" s="9" t="str">
        <f t="shared" si="171"/>
        <v>-</v>
      </c>
      <c r="H141" s="9" t="str">
        <f t="shared" si="171"/>
        <v>-</v>
      </c>
    </row>
    <row r="142" spans="1:10" ht="14.25" hidden="1" customHeight="1" x14ac:dyDescent="0.3">
      <c r="A142" s="54" t="s">
        <v>136</v>
      </c>
      <c r="B142" s="55"/>
      <c r="C142" s="55"/>
      <c r="D142" s="53"/>
      <c r="E142" s="53"/>
      <c r="F142" s="9" t="str">
        <f t="shared" ref="F142:H142" si="172">IFERROR(((C142/B142)-1)*100,"-")</f>
        <v>-</v>
      </c>
      <c r="G142" s="9" t="str">
        <f t="shared" si="172"/>
        <v>-</v>
      </c>
      <c r="H142" s="9" t="str">
        <f t="shared" si="172"/>
        <v>-</v>
      </c>
    </row>
    <row r="143" spans="1:10" ht="14.25" customHeight="1" x14ac:dyDescent="0.3">
      <c r="A143" s="48" t="s">
        <v>137</v>
      </c>
      <c r="B143" s="49"/>
      <c r="C143" s="49"/>
      <c r="D143" s="53"/>
      <c r="E143" s="53"/>
      <c r="F143" s="9" t="str">
        <f t="shared" ref="F143:H143" si="173">IFERROR(((C143/B143)-1)*100,"-")</f>
        <v>-</v>
      </c>
      <c r="G143" s="9" t="str">
        <f t="shared" si="173"/>
        <v>-</v>
      </c>
      <c r="H143" s="9" t="str">
        <f t="shared" si="173"/>
        <v>-</v>
      </c>
    </row>
    <row r="144" spans="1:10" ht="14.25" hidden="1" customHeight="1" x14ac:dyDescent="0.3">
      <c r="A144" s="54" t="s">
        <v>138</v>
      </c>
      <c r="B144" s="55"/>
      <c r="C144" s="55"/>
      <c r="D144" s="53"/>
      <c r="E144" s="53"/>
      <c r="F144" s="9" t="str">
        <f t="shared" ref="F144:H144" si="174">IFERROR(((C144/B144)-1)*100,"-")</f>
        <v>-</v>
      </c>
      <c r="G144" s="9" t="str">
        <f t="shared" si="174"/>
        <v>-</v>
      </c>
      <c r="H144" s="9" t="str">
        <f t="shared" si="174"/>
        <v>-</v>
      </c>
    </row>
    <row r="145" spans="1:10" ht="14.25" customHeight="1" x14ac:dyDescent="0.3">
      <c r="A145" s="48" t="s">
        <v>139</v>
      </c>
      <c r="B145" s="49">
        <f t="shared" ref="B145:E145" si="175">B146</f>
        <v>21157753.550000001</v>
      </c>
      <c r="C145" s="49">
        <f t="shared" si="175"/>
        <v>23444889.48</v>
      </c>
      <c r="D145" s="49">
        <f t="shared" si="175"/>
        <v>26566017.449999999</v>
      </c>
      <c r="E145" s="49">
        <f t="shared" si="175"/>
        <v>28210854.129999999</v>
      </c>
      <c r="F145" s="9">
        <f t="shared" ref="F145:H145" si="176">IFERROR(((C145/B145)-1)*100,"-")</f>
        <v>10.809918570017562</v>
      </c>
      <c r="G145" s="9">
        <f t="shared" si="176"/>
        <v>13.312615410972706</v>
      </c>
      <c r="H145" s="9">
        <f t="shared" si="176"/>
        <v>6.1915064352259463</v>
      </c>
    </row>
    <row r="146" spans="1:10" ht="14.25" customHeight="1" x14ac:dyDescent="0.3">
      <c r="A146" s="54" t="s">
        <v>140</v>
      </c>
      <c r="B146" s="55">
        <v>21157753.550000001</v>
      </c>
      <c r="C146" s="55">
        <v>23444889.48</v>
      </c>
      <c r="D146" s="55">
        <v>26566017.449999999</v>
      </c>
      <c r="E146" s="55">
        <v>28210854.129999999</v>
      </c>
      <c r="F146" s="9">
        <f t="shared" ref="F146:H146" si="177">IFERROR(((C146/B146)-1)*100,"-")</f>
        <v>10.809918570017562</v>
      </c>
      <c r="G146" s="9">
        <f t="shared" si="177"/>
        <v>13.312615410972706</v>
      </c>
      <c r="H146" s="9">
        <f t="shared" si="177"/>
        <v>6.1915064352259463</v>
      </c>
    </row>
    <row r="147" spans="1:10" ht="14.25" customHeight="1" x14ac:dyDescent="0.3">
      <c r="A147" s="54" t="s">
        <v>141</v>
      </c>
      <c r="B147" s="55"/>
      <c r="C147" s="55"/>
      <c r="D147" s="53"/>
      <c r="E147" s="53"/>
      <c r="F147" s="9" t="str">
        <f t="shared" ref="F147:H147" si="178">IFERROR(((C147/B147)-1)*100,"-")</f>
        <v>-</v>
      </c>
      <c r="G147" s="9" t="str">
        <f t="shared" si="178"/>
        <v>-</v>
      </c>
      <c r="H147" s="9" t="str">
        <f t="shared" si="178"/>
        <v>-</v>
      </c>
    </row>
    <row r="148" spans="1:10" ht="14.25" customHeight="1" x14ac:dyDescent="0.3">
      <c r="A148" s="48" t="s">
        <v>142</v>
      </c>
      <c r="B148" s="49"/>
      <c r="C148" s="49"/>
      <c r="D148" s="53"/>
      <c r="E148" s="53"/>
      <c r="F148" s="9" t="str">
        <f t="shared" ref="F148:H148" si="179">IFERROR(((C148/B148)-1)*100,"-")</f>
        <v>-</v>
      </c>
      <c r="G148" s="9" t="str">
        <f t="shared" si="179"/>
        <v>-</v>
      </c>
      <c r="H148" s="9" t="str">
        <f t="shared" si="179"/>
        <v>-</v>
      </c>
    </row>
    <row r="149" spans="1:10" ht="14.25" customHeight="1" x14ac:dyDescent="0.3">
      <c r="A149" s="48" t="s">
        <v>143</v>
      </c>
      <c r="B149" s="49">
        <v>5287135.93</v>
      </c>
      <c r="C149" s="49">
        <v>3121127.97</v>
      </c>
      <c r="D149" s="49">
        <v>6644836.6799999997</v>
      </c>
      <c r="E149" s="49">
        <v>1939406.87</v>
      </c>
      <c r="F149" s="9">
        <f t="shared" ref="F149:H149" si="180">IFERROR(((C149/B149)-1)*100,"-")</f>
        <v>-40.967510362458185</v>
      </c>
      <c r="G149" s="9">
        <f t="shared" si="180"/>
        <v>112.89856564260003</v>
      </c>
      <c r="H149" s="9">
        <f t="shared" si="180"/>
        <v>-70.813325241877877</v>
      </c>
      <c r="I149" s="51"/>
      <c r="J149" s="56"/>
    </row>
    <row r="150" spans="1:10" ht="21" customHeight="1" x14ac:dyDescent="0.3">
      <c r="A150" s="48" t="s">
        <v>144</v>
      </c>
      <c r="B150" s="49"/>
      <c r="C150" s="49"/>
      <c r="D150" s="53"/>
      <c r="E150" s="53"/>
      <c r="F150" s="9" t="str">
        <f t="shared" ref="F150:H150" si="181">IFERROR(((C150/B150)-1)*100,"-")</f>
        <v>-</v>
      </c>
      <c r="G150" s="9" t="str">
        <f t="shared" si="181"/>
        <v>-</v>
      </c>
      <c r="H150" s="9" t="str">
        <f t="shared" si="181"/>
        <v>-</v>
      </c>
      <c r="J150" s="24"/>
    </row>
    <row r="151" spans="1:10" ht="14.25" customHeight="1" x14ac:dyDescent="0.3">
      <c r="A151" s="48" t="s">
        <v>145</v>
      </c>
      <c r="B151" s="49">
        <f t="shared" ref="B151:E151" si="182">B152+B160+B169+B193</f>
        <v>102997839.19999999</v>
      </c>
      <c r="C151" s="49">
        <f t="shared" si="182"/>
        <v>83239332.11999999</v>
      </c>
      <c r="D151" s="49">
        <f t="shared" si="182"/>
        <v>95700379</v>
      </c>
      <c r="E151" s="49">
        <f t="shared" si="182"/>
        <v>113651708.18000001</v>
      </c>
      <c r="F151" s="9">
        <f t="shared" ref="F151:H151" si="183">IFERROR(((C151/B151)-1)*100,"-")</f>
        <v>-19.183419024580861</v>
      </c>
      <c r="G151" s="9">
        <f t="shared" si="183"/>
        <v>14.9701427950381</v>
      </c>
      <c r="H151" s="9">
        <f t="shared" si="183"/>
        <v>18.757845441761532</v>
      </c>
    </row>
    <row r="152" spans="1:10" ht="14.25" customHeight="1" x14ac:dyDescent="0.3">
      <c r="A152" s="48" t="s">
        <v>146</v>
      </c>
      <c r="B152" s="57">
        <f t="shared" ref="B152:E152" si="184">B153+B154+B157</f>
        <v>163300</v>
      </c>
      <c r="C152" s="57">
        <f t="shared" si="184"/>
        <v>170800</v>
      </c>
      <c r="D152" s="57">
        <f t="shared" si="184"/>
        <v>202900</v>
      </c>
      <c r="E152" s="57">
        <f t="shared" si="184"/>
        <v>170400</v>
      </c>
      <c r="F152" s="9">
        <f t="shared" ref="F152:H152" si="185">IFERROR(((C152/B152)-1)*100,"-")</f>
        <v>4.5927740355174551</v>
      </c>
      <c r="G152" s="9">
        <f t="shared" si="185"/>
        <v>18.793911007025766</v>
      </c>
      <c r="H152" s="9">
        <f t="shared" si="185"/>
        <v>-16.017742730409068</v>
      </c>
    </row>
    <row r="153" spans="1:10" ht="14.25" customHeight="1" x14ac:dyDescent="0.3">
      <c r="A153" s="54" t="s">
        <v>147</v>
      </c>
      <c r="B153" s="55"/>
      <c r="C153" s="55"/>
      <c r="D153" s="53"/>
      <c r="E153" s="53"/>
      <c r="F153" s="9" t="str">
        <f t="shared" ref="F153:H153" si="186">IFERROR(((C153/B153)-1)*100,"-")</f>
        <v>-</v>
      </c>
      <c r="G153" s="9" t="str">
        <f t="shared" si="186"/>
        <v>-</v>
      </c>
      <c r="H153" s="9" t="str">
        <f t="shared" si="186"/>
        <v>-</v>
      </c>
    </row>
    <row r="154" spans="1:10" ht="14.25" customHeight="1" x14ac:dyDescent="0.3">
      <c r="A154" s="54" t="s">
        <v>148</v>
      </c>
      <c r="B154" s="55">
        <f t="shared" ref="B154:E154" si="187">SUM(B155:B156)</f>
        <v>163300</v>
      </c>
      <c r="C154" s="55">
        <f t="shared" si="187"/>
        <v>170800</v>
      </c>
      <c r="D154" s="55">
        <f t="shared" si="187"/>
        <v>202900</v>
      </c>
      <c r="E154" s="55">
        <f t="shared" si="187"/>
        <v>170400</v>
      </c>
      <c r="F154" s="9">
        <f t="shared" ref="F154:H154" si="188">IFERROR(((C154/B154)-1)*100,"-")</f>
        <v>4.5927740355174551</v>
      </c>
      <c r="G154" s="9">
        <f t="shared" si="188"/>
        <v>18.793911007025766</v>
      </c>
      <c r="H154" s="9">
        <f t="shared" si="188"/>
        <v>-16.017742730409068</v>
      </c>
    </row>
    <row r="155" spans="1:10" ht="14.25" customHeight="1" x14ac:dyDescent="0.3">
      <c r="A155" s="54" t="s">
        <v>149</v>
      </c>
      <c r="B155" s="55">
        <v>138300</v>
      </c>
      <c r="C155" s="55">
        <v>155800</v>
      </c>
      <c r="D155" s="55">
        <v>152400</v>
      </c>
      <c r="E155" s="55">
        <v>140300</v>
      </c>
      <c r="F155" s="9">
        <f t="shared" ref="F155:H155" si="189">IFERROR(((C155/B155)-1)*100,"-")</f>
        <v>12.653651482284879</v>
      </c>
      <c r="G155" s="9">
        <f t="shared" si="189"/>
        <v>-2.1822849807445421</v>
      </c>
      <c r="H155" s="9">
        <f t="shared" si="189"/>
        <v>-7.9396325459317634</v>
      </c>
    </row>
    <row r="156" spans="1:10" ht="14.25" customHeight="1" x14ac:dyDescent="0.3">
      <c r="A156" s="54" t="s">
        <v>150</v>
      </c>
      <c r="B156" s="55">
        <v>25000</v>
      </c>
      <c r="C156" s="55">
        <v>15000</v>
      </c>
      <c r="D156" s="55">
        <v>50500</v>
      </c>
      <c r="E156" s="55">
        <v>30100</v>
      </c>
      <c r="F156" s="9">
        <f t="shared" ref="F156:H156" si="190">IFERROR(((C156/B156)-1)*100,"-")</f>
        <v>-40</v>
      </c>
      <c r="G156" s="9">
        <f t="shared" si="190"/>
        <v>236.66666666666666</v>
      </c>
      <c r="H156" s="9">
        <f t="shared" si="190"/>
        <v>-40.396039603960396</v>
      </c>
    </row>
    <row r="157" spans="1:10" ht="14.25" customHeight="1" x14ac:dyDescent="0.3">
      <c r="A157" s="54" t="s">
        <v>151</v>
      </c>
      <c r="B157" s="55">
        <f t="shared" ref="B157:E157" si="191">SUM(B158:B159)</f>
        <v>0</v>
      </c>
      <c r="C157" s="55">
        <f t="shared" si="191"/>
        <v>0</v>
      </c>
      <c r="D157" s="55">
        <f t="shared" si="191"/>
        <v>0</v>
      </c>
      <c r="E157" s="55">
        <f t="shared" si="191"/>
        <v>0</v>
      </c>
      <c r="F157" s="9" t="str">
        <f t="shared" ref="F157:H157" si="192">IFERROR(((C157/B157)-1)*100,"-")</f>
        <v>-</v>
      </c>
      <c r="G157" s="9" t="str">
        <f t="shared" si="192"/>
        <v>-</v>
      </c>
      <c r="H157" s="9" t="str">
        <f t="shared" si="192"/>
        <v>-</v>
      </c>
    </row>
    <row r="158" spans="1:10" ht="14.25" hidden="1" customHeight="1" x14ac:dyDescent="0.3">
      <c r="A158" s="54" t="s">
        <v>152</v>
      </c>
      <c r="B158" s="55"/>
      <c r="C158" s="55"/>
      <c r="D158" s="53"/>
      <c r="E158" s="53"/>
      <c r="F158" s="9" t="str">
        <f t="shared" ref="F158:H158" si="193">IFERROR(((C158/B158)-1)*100,"-")</f>
        <v>-</v>
      </c>
      <c r="G158" s="9" t="str">
        <f t="shared" si="193"/>
        <v>-</v>
      </c>
      <c r="H158" s="9" t="str">
        <f t="shared" si="193"/>
        <v>-</v>
      </c>
    </row>
    <row r="159" spans="1:10" ht="14.25" hidden="1" customHeight="1" x14ac:dyDescent="0.3">
      <c r="A159" s="54" t="s">
        <v>153</v>
      </c>
      <c r="B159" s="55"/>
      <c r="C159" s="55"/>
      <c r="D159" s="53"/>
      <c r="E159" s="53"/>
      <c r="F159" s="9" t="str">
        <f t="shared" ref="F159:H159" si="194">IFERROR(((C159/B159)-1)*100,"-")</f>
        <v>-</v>
      </c>
      <c r="G159" s="9" t="str">
        <f t="shared" si="194"/>
        <v>-</v>
      </c>
      <c r="H159" s="9" t="str">
        <f t="shared" si="194"/>
        <v>-</v>
      </c>
    </row>
    <row r="160" spans="1:10" ht="14.25" customHeight="1" x14ac:dyDescent="0.3">
      <c r="A160" s="58" t="s">
        <v>154</v>
      </c>
      <c r="B160" s="59">
        <f t="shared" ref="B160:E160" si="195">B161+B162+B163</f>
        <v>3044946.07</v>
      </c>
      <c r="C160" s="59">
        <f t="shared" si="195"/>
        <v>1083427.6299999999</v>
      </c>
      <c r="D160" s="59">
        <f t="shared" si="195"/>
        <v>5850873.0899999999</v>
      </c>
      <c r="E160" s="59">
        <f t="shared" si="195"/>
        <v>9222450.2699999996</v>
      </c>
      <c r="F160" s="9">
        <f t="shared" ref="F160:H160" si="196">IFERROR(((C160/B160)-1)*100,"-")</f>
        <v>-64.418823680512688</v>
      </c>
      <c r="G160" s="9">
        <f t="shared" si="196"/>
        <v>440.03358673804547</v>
      </c>
      <c r="H160" s="9">
        <f t="shared" si="196"/>
        <v>57.62519760961009</v>
      </c>
    </row>
    <row r="161" spans="1:10" ht="14.4" x14ac:dyDescent="0.3">
      <c r="A161" s="54" t="s">
        <v>155</v>
      </c>
      <c r="B161" s="55"/>
      <c r="C161" s="55"/>
      <c r="D161" s="53"/>
      <c r="E161" s="53"/>
      <c r="F161" s="9" t="str">
        <f t="shared" ref="F161:H161" si="197">IFERROR(((C161/B161)-1)*100,"-")</f>
        <v>-</v>
      </c>
      <c r="G161" s="9" t="str">
        <f t="shared" si="197"/>
        <v>-</v>
      </c>
      <c r="H161" s="9" t="str">
        <f t="shared" si="197"/>
        <v>-</v>
      </c>
    </row>
    <row r="162" spans="1:10" ht="30" customHeight="1" x14ac:dyDescent="0.3">
      <c r="A162" s="54" t="s">
        <v>156</v>
      </c>
      <c r="B162" s="55"/>
      <c r="C162" s="55"/>
      <c r="D162" s="53"/>
      <c r="E162" s="53"/>
      <c r="F162" s="9" t="str">
        <f t="shared" ref="F162:H162" si="198">IFERROR(((C162/B162)-1)*100,"-")</f>
        <v>-</v>
      </c>
      <c r="G162" s="9" t="str">
        <f t="shared" si="198"/>
        <v>-</v>
      </c>
      <c r="H162" s="9" t="str">
        <f t="shared" si="198"/>
        <v>-</v>
      </c>
    </row>
    <row r="163" spans="1:10" ht="14.25" customHeight="1" x14ac:dyDescent="0.3">
      <c r="A163" s="54" t="s">
        <v>157</v>
      </c>
      <c r="B163" s="55">
        <f t="shared" ref="B163:E163" si="199">SUM(B164:B168)</f>
        <v>3044946.07</v>
      </c>
      <c r="C163" s="55">
        <f t="shared" si="199"/>
        <v>1083427.6299999999</v>
      </c>
      <c r="D163" s="55">
        <f t="shared" si="199"/>
        <v>5850873.0899999999</v>
      </c>
      <c r="E163" s="55">
        <f t="shared" si="199"/>
        <v>9222450.2699999996</v>
      </c>
      <c r="F163" s="9">
        <f t="shared" ref="F163:H163" si="200">IFERROR(((C163/B163)-1)*100,"-")</f>
        <v>-64.418823680512688</v>
      </c>
      <c r="G163" s="9">
        <f t="shared" si="200"/>
        <v>440.03358673804547</v>
      </c>
      <c r="H163" s="9">
        <f t="shared" si="200"/>
        <v>57.62519760961009</v>
      </c>
    </row>
    <row r="164" spans="1:10" ht="14.25" customHeight="1" x14ac:dyDescent="0.3">
      <c r="A164" s="54" t="s">
        <v>158</v>
      </c>
      <c r="B164" s="55"/>
      <c r="C164" s="55"/>
      <c r="D164" s="55">
        <v>2146500</v>
      </c>
      <c r="E164" s="55">
        <v>1903500</v>
      </c>
      <c r="F164" s="9" t="str">
        <f t="shared" ref="F164:H164" si="201">IFERROR(((C164/B164)-1)*100,"-")</f>
        <v>-</v>
      </c>
      <c r="G164" s="9" t="str">
        <f t="shared" si="201"/>
        <v>-</v>
      </c>
      <c r="H164" s="9">
        <f t="shared" si="201"/>
        <v>-11.32075471698113</v>
      </c>
      <c r="I164" s="36"/>
      <c r="J164" s="36"/>
    </row>
    <row r="165" spans="1:10" ht="14.25" customHeight="1" x14ac:dyDescent="0.3">
      <c r="A165" s="54" t="s">
        <v>159</v>
      </c>
      <c r="B165" s="55"/>
      <c r="C165" s="55"/>
      <c r="D165" s="53"/>
      <c r="E165" s="53"/>
      <c r="F165" s="9" t="str">
        <f t="shared" ref="F165:H165" si="202">IFERROR(((C165/B165)-1)*100,"-")</f>
        <v>-</v>
      </c>
      <c r="G165" s="9" t="str">
        <f t="shared" si="202"/>
        <v>-</v>
      </c>
      <c r="H165" s="9" t="str">
        <f t="shared" si="202"/>
        <v>-</v>
      </c>
    </row>
    <row r="166" spans="1:10" ht="14.25" customHeight="1" x14ac:dyDescent="0.3">
      <c r="A166" s="54" t="s">
        <v>160</v>
      </c>
      <c r="B166" s="55">
        <v>3044946.07</v>
      </c>
      <c r="C166" s="55">
        <v>1083427.6299999999</v>
      </c>
      <c r="D166" s="55">
        <v>3704373.09</v>
      </c>
      <c r="E166" s="55">
        <v>7318950.2699999996</v>
      </c>
      <c r="F166" s="9">
        <f t="shared" ref="F166:H166" si="203">IFERROR(((C166/B166)-1)*100,"-")</f>
        <v>-64.418823680512688</v>
      </c>
      <c r="G166" s="9">
        <f t="shared" si="203"/>
        <v>241.91237027986818</v>
      </c>
      <c r="H166" s="9">
        <f t="shared" si="203"/>
        <v>97.57594853924391</v>
      </c>
      <c r="I166" s="36"/>
    </row>
    <row r="167" spans="1:10" ht="14.25" customHeight="1" x14ac:dyDescent="0.3">
      <c r="A167" s="54" t="s">
        <v>161</v>
      </c>
      <c r="B167" s="55"/>
      <c r="C167" s="55"/>
      <c r="D167" s="53"/>
      <c r="E167" s="53"/>
      <c r="F167" s="9" t="str">
        <f t="shared" ref="F167:H167" si="204">IFERROR(((C167/B167)-1)*100,"-")</f>
        <v>-</v>
      </c>
      <c r="G167" s="9" t="str">
        <f t="shared" si="204"/>
        <v>-</v>
      </c>
      <c r="H167" s="9" t="str">
        <f t="shared" si="204"/>
        <v>-</v>
      </c>
    </row>
    <row r="168" spans="1:10" ht="14.25" customHeight="1" x14ac:dyDescent="0.3">
      <c r="A168" s="54" t="s">
        <v>162</v>
      </c>
      <c r="B168" s="55"/>
      <c r="C168" s="55"/>
      <c r="D168" s="53"/>
      <c r="E168" s="53"/>
      <c r="F168" s="9" t="str">
        <f t="shared" ref="F168:H168" si="205">IFERROR(((C168/B168)-1)*100,"-")</f>
        <v>-</v>
      </c>
      <c r="G168" s="9" t="str">
        <f t="shared" si="205"/>
        <v>-</v>
      </c>
      <c r="H168" s="9" t="str">
        <f t="shared" si="205"/>
        <v>-</v>
      </c>
    </row>
    <row r="169" spans="1:10" ht="14.25" customHeight="1" x14ac:dyDescent="0.3">
      <c r="A169" s="58" t="s">
        <v>163</v>
      </c>
      <c r="B169" s="59">
        <f t="shared" ref="B169:E169" si="206">B170+B175+B180+B192</f>
        <v>97179278.539999992</v>
      </c>
      <c r="C169" s="59">
        <f t="shared" si="206"/>
        <v>80122665.61999999</v>
      </c>
      <c r="D169" s="59">
        <f t="shared" si="206"/>
        <v>86443003.049999997</v>
      </c>
      <c r="E169" s="59">
        <f t="shared" si="206"/>
        <v>101714427.82000001</v>
      </c>
      <c r="F169" s="9">
        <f t="shared" ref="F169:H169" si="207">IFERROR(((C169/B169)-1)*100,"-")</f>
        <v>-17.551697415595978</v>
      </c>
      <c r="G169" s="9">
        <f t="shared" si="207"/>
        <v>7.8883264568051725</v>
      </c>
      <c r="H169" s="9">
        <f t="shared" si="207"/>
        <v>17.666467187826385</v>
      </c>
      <c r="I169" s="36"/>
      <c r="J169" s="36"/>
    </row>
    <row r="170" spans="1:10" ht="14.25" customHeight="1" x14ac:dyDescent="0.3">
      <c r="A170" s="54" t="s">
        <v>164</v>
      </c>
      <c r="B170" s="55">
        <f t="shared" ref="B170:E170" si="208">B171+B174</f>
        <v>0</v>
      </c>
      <c r="C170" s="55">
        <f t="shared" si="208"/>
        <v>0</v>
      </c>
      <c r="D170" s="55">
        <f t="shared" si="208"/>
        <v>0</v>
      </c>
      <c r="E170" s="55">
        <f t="shared" si="208"/>
        <v>0</v>
      </c>
      <c r="F170" s="9" t="str">
        <f t="shared" ref="F170:H170" si="209">IFERROR(((C170/B170)-1)*100,"-")</f>
        <v>-</v>
      </c>
      <c r="G170" s="9" t="str">
        <f t="shared" si="209"/>
        <v>-</v>
      </c>
      <c r="H170" s="9" t="str">
        <f t="shared" si="209"/>
        <v>-</v>
      </c>
      <c r="I170" s="51"/>
      <c r="J170" s="51"/>
    </row>
    <row r="171" spans="1:10" ht="14.25" customHeight="1" x14ac:dyDescent="0.3">
      <c r="A171" s="54" t="s">
        <v>165</v>
      </c>
      <c r="B171" s="55">
        <f t="shared" ref="B171:E171" si="210">SUM(B172:B173)</f>
        <v>0</v>
      </c>
      <c r="C171" s="55">
        <f t="shared" si="210"/>
        <v>0</v>
      </c>
      <c r="D171" s="55">
        <f t="shared" si="210"/>
        <v>0</v>
      </c>
      <c r="E171" s="55">
        <f t="shared" si="210"/>
        <v>0</v>
      </c>
      <c r="F171" s="9" t="str">
        <f t="shared" ref="F171:H171" si="211">IFERROR(((C171/B171)-1)*100,"-")</f>
        <v>-</v>
      </c>
      <c r="G171" s="9" t="str">
        <f t="shared" si="211"/>
        <v>-</v>
      </c>
      <c r="H171" s="9" t="str">
        <f t="shared" si="211"/>
        <v>-</v>
      </c>
    </row>
    <row r="172" spans="1:10" ht="14.25" hidden="1" customHeight="1" x14ac:dyDescent="0.3">
      <c r="A172" s="54" t="s">
        <v>166</v>
      </c>
      <c r="B172" s="55"/>
      <c r="C172" s="55"/>
      <c r="D172" s="53"/>
      <c r="E172" s="53"/>
      <c r="F172" s="9" t="str">
        <f t="shared" ref="F172:H172" si="212">IFERROR(((C172/B172)-1)*100,"-")</f>
        <v>-</v>
      </c>
      <c r="G172" s="9" t="str">
        <f t="shared" si="212"/>
        <v>-</v>
      </c>
      <c r="H172" s="9" t="str">
        <f t="shared" si="212"/>
        <v>-</v>
      </c>
    </row>
    <row r="173" spans="1:10" ht="14.25" hidden="1" customHeight="1" x14ac:dyDescent="0.3">
      <c r="A173" s="54" t="s">
        <v>167</v>
      </c>
      <c r="B173" s="55"/>
      <c r="C173" s="55"/>
      <c r="D173" s="53"/>
      <c r="E173" s="53"/>
      <c r="F173" s="9" t="str">
        <f t="shared" ref="F173:H173" si="213">IFERROR(((C173/B173)-1)*100,"-")</f>
        <v>-</v>
      </c>
      <c r="G173" s="9" t="str">
        <f t="shared" si="213"/>
        <v>-</v>
      </c>
      <c r="H173" s="9" t="str">
        <f t="shared" si="213"/>
        <v>-</v>
      </c>
    </row>
    <row r="174" spans="1:10" ht="14.25" hidden="1" customHeight="1" x14ac:dyDescent="0.3">
      <c r="A174" s="54" t="s">
        <v>109</v>
      </c>
      <c r="B174" s="55"/>
      <c r="C174" s="55"/>
      <c r="D174" s="53"/>
      <c r="E174" s="53"/>
      <c r="F174" s="9" t="str">
        <f t="shared" ref="F174:H174" si="214">IFERROR(((C174/B174)-1)*100,"-")</f>
        <v>-</v>
      </c>
      <c r="G174" s="9" t="str">
        <f t="shared" si="214"/>
        <v>-</v>
      </c>
      <c r="H174" s="9" t="str">
        <f t="shared" si="214"/>
        <v>-</v>
      </c>
    </row>
    <row r="175" spans="1:10" ht="14.25" customHeight="1" x14ac:dyDescent="0.3">
      <c r="A175" s="54" t="s">
        <v>168</v>
      </c>
      <c r="B175" s="55">
        <f t="shared" ref="B175:E175" si="215">B176+B179</f>
        <v>0</v>
      </c>
      <c r="C175" s="55">
        <f t="shared" si="215"/>
        <v>0</v>
      </c>
      <c r="D175" s="55">
        <f t="shared" si="215"/>
        <v>0</v>
      </c>
      <c r="E175" s="55">
        <f t="shared" si="215"/>
        <v>0</v>
      </c>
      <c r="F175" s="9" t="str">
        <f t="shared" ref="F175:H175" si="216">IFERROR(((C175/B175)-1)*100,"-")</f>
        <v>-</v>
      </c>
      <c r="G175" s="9" t="str">
        <f t="shared" si="216"/>
        <v>-</v>
      </c>
      <c r="H175" s="9" t="str">
        <f t="shared" si="216"/>
        <v>-</v>
      </c>
    </row>
    <row r="176" spans="1:10" ht="14.25" customHeight="1" x14ac:dyDescent="0.3">
      <c r="A176" s="54" t="s">
        <v>165</v>
      </c>
      <c r="B176" s="55">
        <f t="shared" ref="B176:E176" si="217">SUM(B177:B178)</f>
        <v>0</v>
      </c>
      <c r="C176" s="55">
        <f t="shared" si="217"/>
        <v>0</v>
      </c>
      <c r="D176" s="55">
        <f t="shared" si="217"/>
        <v>0</v>
      </c>
      <c r="E176" s="55">
        <f t="shared" si="217"/>
        <v>0</v>
      </c>
      <c r="F176" s="9" t="str">
        <f t="shared" ref="F176:H176" si="218">IFERROR(((C176/B176)-1)*100,"-")</f>
        <v>-</v>
      </c>
      <c r="G176" s="9" t="str">
        <f t="shared" si="218"/>
        <v>-</v>
      </c>
      <c r="H176" s="9" t="str">
        <f t="shared" si="218"/>
        <v>-</v>
      </c>
    </row>
    <row r="177" spans="1:10" ht="14.25" hidden="1" customHeight="1" x14ac:dyDescent="0.3">
      <c r="A177" s="54" t="s">
        <v>169</v>
      </c>
      <c r="B177" s="55"/>
      <c r="C177" s="55"/>
      <c r="D177" s="53"/>
      <c r="E177" s="53"/>
      <c r="F177" s="9" t="str">
        <f t="shared" ref="F177:H177" si="219">IFERROR(((C177/B177)-1)*100,"-")</f>
        <v>-</v>
      </c>
      <c r="G177" s="9" t="str">
        <f t="shared" si="219"/>
        <v>-</v>
      </c>
      <c r="H177" s="9" t="str">
        <f t="shared" si="219"/>
        <v>-</v>
      </c>
    </row>
    <row r="178" spans="1:10" ht="14.25" hidden="1" customHeight="1" x14ac:dyDescent="0.3">
      <c r="A178" s="54" t="s">
        <v>170</v>
      </c>
      <c r="B178" s="55"/>
      <c r="C178" s="55"/>
      <c r="D178" s="53"/>
      <c r="E178" s="53"/>
      <c r="F178" s="9" t="str">
        <f t="shared" ref="F178:H178" si="220">IFERROR(((C178/B178)-1)*100,"-")</f>
        <v>-</v>
      </c>
      <c r="G178" s="9" t="str">
        <f t="shared" si="220"/>
        <v>-</v>
      </c>
      <c r="H178" s="9" t="str">
        <f t="shared" si="220"/>
        <v>-</v>
      </c>
    </row>
    <row r="179" spans="1:10" ht="14.25" hidden="1" customHeight="1" x14ac:dyDescent="0.3">
      <c r="A179" s="60" t="s">
        <v>109</v>
      </c>
      <c r="B179" s="55"/>
      <c r="C179" s="55"/>
      <c r="D179" s="53"/>
      <c r="E179" s="53"/>
      <c r="F179" s="9" t="str">
        <f t="shared" ref="F179:H179" si="221">IFERROR(((C179/B179)-1)*100,"-")</f>
        <v>-</v>
      </c>
      <c r="G179" s="9" t="str">
        <f t="shared" si="221"/>
        <v>-</v>
      </c>
      <c r="H179" s="9" t="str">
        <f t="shared" si="221"/>
        <v>-</v>
      </c>
    </row>
    <row r="180" spans="1:10" ht="14.25" customHeight="1" x14ac:dyDescent="0.3">
      <c r="A180" s="54" t="s">
        <v>171</v>
      </c>
      <c r="B180" s="55">
        <f t="shared" ref="B180:E180" si="222">B181+B182+B183+B184+B187+B188+B189+B190+B191</f>
        <v>97042614.709999993</v>
      </c>
      <c r="C180" s="55">
        <f t="shared" si="222"/>
        <v>79957234.679999992</v>
      </c>
      <c r="D180" s="55">
        <f t="shared" si="222"/>
        <v>86437681.049999997</v>
      </c>
      <c r="E180" s="55">
        <f t="shared" si="222"/>
        <v>101667352.47000001</v>
      </c>
      <c r="F180" s="9">
        <f t="shared" ref="F180:H180" si="223">IFERROR(((C180/B180)-1)*100,"-")</f>
        <v>-17.606059029898947</v>
      </c>
      <c r="G180" s="9">
        <f t="shared" si="223"/>
        <v>8.1048905654824708</v>
      </c>
      <c r="H180" s="9">
        <f t="shared" si="223"/>
        <v>17.619250348919469</v>
      </c>
      <c r="I180" s="51"/>
      <c r="J180" s="51"/>
    </row>
    <row r="181" spans="1:10" ht="14.25" customHeight="1" x14ac:dyDescent="0.3">
      <c r="A181" s="54" t="s">
        <v>158</v>
      </c>
      <c r="B181" s="55">
        <v>29039793.530000001</v>
      </c>
      <c r="C181" s="55">
        <v>27989696</v>
      </c>
      <c r="D181" s="55">
        <v>10198235.74</v>
      </c>
      <c r="E181" s="55">
        <v>27333220.59</v>
      </c>
      <c r="F181" s="9">
        <f t="shared" ref="F181:H181" si="224">IFERROR(((C181/B181)-1)*100,"-")</f>
        <v>-3.6160640361136975</v>
      </c>
      <c r="G181" s="9">
        <f t="shared" si="224"/>
        <v>-63.564321170190631</v>
      </c>
      <c r="H181" s="9">
        <f t="shared" si="224"/>
        <v>168.01910925428362</v>
      </c>
      <c r="I181" s="51"/>
      <c r="J181" s="51"/>
    </row>
    <row r="182" spans="1:10" ht="14.25" customHeight="1" x14ac:dyDescent="0.3">
      <c r="A182" s="54" t="s">
        <v>159</v>
      </c>
      <c r="B182" s="55"/>
      <c r="C182" s="55"/>
      <c r="D182" s="55"/>
      <c r="E182" s="55"/>
      <c r="F182" s="9" t="str">
        <f t="shared" ref="F182:H182" si="225">IFERROR(((C182/B182)-1)*100,"-")</f>
        <v>-</v>
      </c>
      <c r="G182" s="9" t="str">
        <f t="shared" si="225"/>
        <v>-</v>
      </c>
      <c r="H182" s="9" t="str">
        <f t="shared" si="225"/>
        <v>-</v>
      </c>
      <c r="I182" s="51"/>
      <c r="J182" s="51"/>
    </row>
    <row r="183" spans="1:10" ht="14.25" customHeight="1" x14ac:dyDescent="0.3">
      <c r="A183" s="54" t="s">
        <v>160</v>
      </c>
      <c r="B183" s="55">
        <v>1555176.17</v>
      </c>
      <c r="C183" s="55">
        <v>2015025.19</v>
      </c>
      <c r="D183" s="55">
        <v>1333030.6100000001</v>
      </c>
      <c r="E183" s="55">
        <v>1957201.67</v>
      </c>
      <c r="F183" s="9">
        <f t="shared" ref="F183:H183" si="226">IFERROR(((C183/B183)-1)*100,"-")</f>
        <v>29.568934302793505</v>
      </c>
      <c r="G183" s="9">
        <f t="shared" si="226"/>
        <v>-33.845461753259762</v>
      </c>
      <c r="H183" s="9">
        <f t="shared" si="226"/>
        <v>46.823460415511377</v>
      </c>
      <c r="I183" s="51"/>
      <c r="J183" s="51"/>
    </row>
    <row r="184" spans="1:10" ht="14.25" customHeight="1" x14ac:dyDescent="0.3">
      <c r="A184" s="61" t="s">
        <v>172</v>
      </c>
      <c r="B184" s="62">
        <f t="shared" ref="B184:E184" si="227">SUM(B185:B186)</f>
        <v>56957189.460000001</v>
      </c>
      <c r="C184" s="62">
        <f t="shared" si="227"/>
        <v>40855647.649999999</v>
      </c>
      <c r="D184" s="62">
        <f t="shared" si="227"/>
        <v>62694804.740000002</v>
      </c>
      <c r="E184" s="62">
        <f t="shared" si="227"/>
        <v>61938392.890000001</v>
      </c>
      <c r="F184" s="9">
        <f t="shared" ref="F184:H184" si="228">IFERROR(((C184/B184)-1)*100,"-")</f>
        <v>-28.269551153516492</v>
      </c>
      <c r="G184" s="9">
        <f t="shared" si="228"/>
        <v>53.45443860562569</v>
      </c>
      <c r="H184" s="9">
        <f t="shared" si="228"/>
        <v>-1.2064984541173662</v>
      </c>
      <c r="I184" s="51"/>
      <c r="J184" s="51"/>
    </row>
    <row r="185" spans="1:10" ht="14.25" customHeight="1" x14ac:dyDescent="0.3">
      <c r="A185" s="54" t="s">
        <v>166</v>
      </c>
      <c r="B185" s="55">
        <v>56957189.460000001</v>
      </c>
      <c r="C185" s="55">
        <v>40855647.649999999</v>
      </c>
      <c r="D185" s="55">
        <v>62694804.740000002</v>
      </c>
      <c r="E185" s="55">
        <v>61938392.890000001</v>
      </c>
      <c r="F185" s="9">
        <f t="shared" ref="F185:H185" si="229">IFERROR(((C185/B185)-1)*100,"-")</f>
        <v>-28.269551153516492</v>
      </c>
      <c r="G185" s="9">
        <f t="shared" si="229"/>
        <v>53.45443860562569</v>
      </c>
      <c r="H185" s="9">
        <f t="shared" si="229"/>
        <v>-1.2064984541173662</v>
      </c>
      <c r="I185" s="51"/>
      <c r="J185" s="51"/>
    </row>
    <row r="186" spans="1:10" ht="14.25" customHeight="1" x14ac:dyDescent="0.3">
      <c r="A186" s="54" t="s">
        <v>167</v>
      </c>
      <c r="B186" s="55"/>
      <c r="C186" s="55"/>
      <c r="D186" s="53"/>
      <c r="E186" s="53"/>
      <c r="F186" s="9" t="str">
        <f t="shared" ref="F186:H186" si="230">IFERROR(((C186/B186)-1)*100,"-")</f>
        <v>-</v>
      </c>
      <c r="G186" s="9" t="str">
        <f t="shared" si="230"/>
        <v>-</v>
      </c>
      <c r="H186" s="9" t="str">
        <f t="shared" si="230"/>
        <v>-</v>
      </c>
      <c r="I186" s="51"/>
      <c r="J186" s="51"/>
    </row>
    <row r="187" spans="1:10" ht="14.25" customHeight="1" x14ac:dyDescent="0.3">
      <c r="A187" s="54" t="s">
        <v>173</v>
      </c>
      <c r="B187" s="55">
        <v>319211.33</v>
      </c>
      <c r="C187" s="55">
        <v>308825.59999999998</v>
      </c>
      <c r="D187" s="55">
        <v>217863.31</v>
      </c>
      <c r="E187" s="55">
        <v>520282.89</v>
      </c>
      <c r="F187" s="9">
        <f t="shared" ref="F187:H187" si="231">IFERROR(((C187/B187)-1)*100,"-")</f>
        <v>-3.2535593269825469</v>
      </c>
      <c r="G187" s="9">
        <f t="shared" si="231"/>
        <v>-29.454258325734649</v>
      </c>
      <c r="H187" s="9">
        <f t="shared" si="231"/>
        <v>138.81161541151653</v>
      </c>
      <c r="I187" s="51"/>
      <c r="J187" s="51"/>
    </row>
    <row r="188" spans="1:10" ht="14.25" customHeight="1" x14ac:dyDescent="0.3">
      <c r="A188" s="54" t="s">
        <v>174</v>
      </c>
      <c r="B188" s="55"/>
      <c r="C188" s="55"/>
      <c r="D188" s="53"/>
      <c r="E188" s="53"/>
      <c r="F188" s="9" t="str">
        <f t="shared" ref="F188:H188" si="232">IFERROR(((C188/B188)-1)*100,"-")</f>
        <v>-</v>
      </c>
      <c r="G188" s="9" t="str">
        <f t="shared" si="232"/>
        <v>-</v>
      </c>
      <c r="H188" s="9" t="str">
        <f t="shared" si="232"/>
        <v>-</v>
      </c>
      <c r="I188" s="51"/>
      <c r="J188" s="51"/>
    </row>
    <row r="189" spans="1:10" ht="14.25" customHeight="1" x14ac:dyDescent="0.3">
      <c r="A189" s="54" t="s">
        <v>175</v>
      </c>
      <c r="B189" s="55">
        <v>8404994.5199999996</v>
      </c>
      <c r="C189" s="55">
        <v>7356921.0999999996</v>
      </c>
      <c r="D189" s="55">
        <v>10492992.41</v>
      </c>
      <c r="E189" s="55">
        <v>7985079.6200000001</v>
      </c>
      <c r="F189" s="9">
        <f t="shared" ref="F189:H189" si="233">IFERROR(((C189/B189)-1)*100,"-")</f>
        <v>-12.46965024790998</v>
      </c>
      <c r="G189" s="9">
        <f t="shared" si="233"/>
        <v>42.627496847832177</v>
      </c>
      <c r="H189" s="9">
        <f t="shared" si="233"/>
        <v>-23.900834881095655</v>
      </c>
      <c r="I189" s="51"/>
      <c r="J189" s="51"/>
    </row>
    <row r="190" spans="1:10" ht="14.25" customHeight="1" x14ac:dyDescent="0.3">
      <c r="A190" s="54" t="s">
        <v>176</v>
      </c>
      <c r="B190" s="55">
        <v>323669.17</v>
      </c>
      <c r="C190" s="55">
        <v>346068.7</v>
      </c>
      <c r="D190" s="55">
        <v>389942.94</v>
      </c>
      <c r="E190" s="55">
        <v>404376.34</v>
      </c>
      <c r="F190" s="9">
        <f t="shared" ref="F190:H190" si="234">IFERROR(((C190/B190)-1)*100,"-")</f>
        <v>6.9205015726397479</v>
      </c>
      <c r="G190" s="9">
        <f t="shared" si="234"/>
        <v>12.677898925849117</v>
      </c>
      <c r="H190" s="9">
        <f t="shared" si="234"/>
        <v>3.7014133401158666</v>
      </c>
      <c r="I190" s="51"/>
      <c r="J190" s="51"/>
    </row>
    <row r="191" spans="1:10" ht="14.25" customHeight="1" x14ac:dyDescent="0.3">
      <c r="A191" s="54" t="s">
        <v>177</v>
      </c>
      <c r="B191" s="55">
        <v>442580.53</v>
      </c>
      <c r="C191" s="55">
        <v>1085050.44</v>
      </c>
      <c r="D191" s="55">
        <v>1110811.3</v>
      </c>
      <c r="E191" s="55">
        <v>1528798.47</v>
      </c>
      <c r="F191" s="9">
        <f t="shared" ref="F191:H191" si="235">IFERROR(((C191/B191)-1)*100,"-")</f>
        <v>145.16452181030192</v>
      </c>
      <c r="G191" s="9">
        <f t="shared" si="235"/>
        <v>2.3741624398585737</v>
      </c>
      <c r="H191" s="9">
        <f t="shared" si="235"/>
        <v>37.62899873272805</v>
      </c>
      <c r="I191" s="51"/>
      <c r="J191" s="51"/>
    </row>
    <row r="192" spans="1:10" ht="14.25" customHeight="1" x14ac:dyDescent="0.3">
      <c r="A192" s="54" t="s">
        <v>178</v>
      </c>
      <c r="B192" s="55">
        <v>136663.82999999999</v>
      </c>
      <c r="C192" s="55">
        <v>165430.94</v>
      </c>
      <c r="D192" s="55">
        <v>5322</v>
      </c>
      <c r="E192" s="55">
        <v>47075.35</v>
      </c>
      <c r="F192" s="9">
        <f t="shared" ref="F192:H192" si="236">IFERROR(((C192/B192)-1)*100,"-")</f>
        <v>21.049541784391689</v>
      </c>
      <c r="G192" s="9">
        <f t="shared" si="236"/>
        <v>-96.782947615482328</v>
      </c>
      <c r="H192" s="9">
        <f t="shared" si="236"/>
        <v>784.54246523863208</v>
      </c>
    </row>
    <row r="193" spans="1:10" ht="14.25" customHeight="1" x14ac:dyDescent="0.3">
      <c r="A193" s="48" t="s">
        <v>179</v>
      </c>
      <c r="B193" s="49">
        <f t="shared" ref="B193:E193" si="237">SUM(B194:B195)</f>
        <v>2610314.59</v>
      </c>
      <c r="C193" s="49">
        <f t="shared" si="237"/>
        <v>1862438.87</v>
      </c>
      <c r="D193" s="49">
        <f t="shared" si="237"/>
        <v>3203602.8600000003</v>
      </c>
      <c r="E193" s="49">
        <f t="shared" si="237"/>
        <v>2544430.09</v>
      </c>
      <c r="F193" s="9">
        <f t="shared" ref="F193:H193" si="238">IFERROR(((C193/B193)-1)*100,"-")</f>
        <v>-28.650788792472703</v>
      </c>
      <c r="G193" s="9">
        <f t="shared" si="238"/>
        <v>72.011168345085082</v>
      </c>
      <c r="H193" s="9">
        <f t="shared" si="238"/>
        <v>-20.575982692186766</v>
      </c>
    </row>
    <row r="194" spans="1:10" ht="14.25" customHeight="1" x14ac:dyDescent="0.3">
      <c r="A194" s="54" t="s">
        <v>180</v>
      </c>
      <c r="B194" s="55"/>
      <c r="C194" s="55"/>
      <c r="D194" s="53"/>
      <c r="E194" s="53"/>
      <c r="F194" s="9" t="str">
        <f t="shared" ref="F194:H194" si="239">IFERROR(((C194/B194)-1)*100,"-")</f>
        <v>-</v>
      </c>
      <c r="G194" s="9" t="str">
        <f t="shared" si="239"/>
        <v>-</v>
      </c>
      <c r="H194" s="9" t="str">
        <f t="shared" si="239"/>
        <v>-</v>
      </c>
    </row>
    <row r="195" spans="1:10" ht="14.25" customHeight="1" x14ac:dyDescent="0.3">
      <c r="A195" s="54" t="s">
        <v>181</v>
      </c>
      <c r="B195" s="55">
        <f t="shared" ref="B195:E195" si="240">SUM(B196:B197)</f>
        <v>2610314.59</v>
      </c>
      <c r="C195" s="55">
        <f t="shared" si="240"/>
        <v>1862438.87</v>
      </c>
      <c r="D195" s="55">
        <f t="shared" si="240"/>
        <v>3203602.8600000003</v>
      </c>
      <c r="E195" s="55">
        <f t="shared" si="240"/>
        <v>2544430.09</v>
      </c>
      <c r="F195" s="9">
        <f t="shared" ref="F195:H195" si="241">IFERROR(((C195/B195)-1)*100,"-")</f>
        <v>-28.650788792472703</v>
      </c>
      <c r="G195" s="9">
        <f t="shared" si="241"/>
        <v>72.011168345085082</v>
      </c>
      <c r="H195" s="9">
        <f t="shared" si="241"/>
        <v>-20.575982692186766</v>
      </c>
    </row>
    <row r="196" spans="1:10" ht="14.25" customHeight="1" x14ac:dyDescent="0.3">
      <c r="A196" s="54" t="s">
        <v>152</v>
      </c>
      <c r="B196" s="55"/>
      <c r="C196" s="55"/>
      <c r="D196" s="55">
        <v>418869.37</v>
      </c>
      <c r="E196" s="55">
        <v>304014.28000000003</v>
      </c>
      <c r="F196" s="9" t="str">
        <f t="shared" ref="F196:H196" si="242">IFERROR(((C196/B196)-1)*100,"-")</f>
        <v>-</v>
      </c>
      <c r="G196" s="9" t="str">
        <f t="shared" si="242"/>
        <v>-</v>
      </c>
      <c r="H196" s="9">
        <f t="shared" si="242"/>
        <v>-27.420264699708163</v>
      </c>
    </row>
    <row r="197" spans="1:10" ht="14.25" customHeight="1" x14ac:dyDescent="0.3">
      <c r="A197" s="54" t="s">
        <v>153</v>
      </c>
      <c r="B197" s="55">
        <v>2610314.59</v>
      </c>
      <c r="C197" s="55">
        <v>1862438.87</v>
      </c>
      <c r="D197" s="55">
        <v>2784733.49</v>
      </c>
      <c r="E197" s="55">
        <v>2240415.81</v>
      </c>
      <c r="F197" s="9">
        <f t="shared" ref="F197:H197" si="243">IFERROR(((C197/B197)-1)*100,"-")</f>
        <v>-28.650788792472703</v>
      </c>
      <c r="G197" s="9">
        <f t="shared" si="243"/>
        <v>49.520799573947905</v>
      </c>
      <c r="H197" s="9">
        <f t="shared" si="243"/>
        <v>-19.546490964203546</v>
      </c>
    </row>
    <row r="198" spans="1:10" ht="14.25" customHeight="1" x14ac:dyDescent="0.3">
      <c r="A198" s="63" t="s">
        <v>182</v>
      </c>
      <c r="B198" s="64">
        <f>B139+B151</f>
        <v>155776728.67999998</v>
      </c>
      <c r="C198" s="64">
        <f t="shared" ref="C198:E198" si="244">C139+C151</f>
        <v>136139349.56999999</v>
      </c>
      <c r="D198" s="64">
        <f t="shared" si="244"/>
        <v>155245233.13</v>
      </c>
      <c r="E198" s="64">
        <f t="shared" si="244"/>
        <v>170135969.18000001</v>
      </c>
      <c r="F198" s="9">
        <f t="shared" ref="F198:H198" si="245">IFERROR(((C198/B198)-1)*100,"-")</f>
        <v>-12.606105723493222</v>
      </c>
      <c r="G198" s="9">
        <f t="shared" si="245"/>
        <v>14.034064082387987</v>
      </c>
      <c r="H198" s="9">
        <f t="shared" si="245"/>
        <v>9.5917509026062895</v>
      </c>
    </row>
    <row r="199" spans="1:10" ht="14.25" customHeight="1" x14ac:dyDescent="0.3">
      <c r="A199" s="65" t="s">
        <v>183</v>
      </c>
      <c r="B199" s="66">
        <f t="shared" ref="B199:E199" si="246">B139/B198</f>
        <v>0.33881113005280505</v>
      </c>
      <c r="C199" s="66">
        <f t="shared" si="246"/>
        <v>0.38857257374217091</v>
      </c>
      <c r="D199" s="66">
        <f t="shared" si="246"/>
        <v>0.38355351033637242</v>
      </c>
      <c r="E199" s="66">
        <f t="shared" si="246"/>
        <v>0.33199482315371492</v>
      </c>
      <c r="F199" s="67"/>
      <c r="G199" s="67"/>
      <c r="H199" s="67"/>
    </row>
    <row r="200" spans="1:10" ht="14.25" customHeight="1" x14ac:dyDescent="0.3">
      <c r="A200" s="65" t="s">
        <v>184</v>
      </c>
      <c r="B200" s="66">
        <f>B160/B198</f>
        <v>1.9546861047871893E-2</v>
      </c>
      <c r="C200" s="66">
        <f t="shared" ref="C200:E200" si="247">C160/C198</f>
        <v>7.9582254022957863E-3</v>
      </c>
      <c r="D200" s="66">
        <f t="shared" si="247"/>
        <v>3.7687940376891105E-2</v>
      </c>
      <c r="E200" s="66">
        <f t="shared" si="247"/>
        <v>5.4206352216108138E-2</v>
      </c>
      <c r="F200" s="67"/>
      <c r="G200" s="67"/>
      <c r="H200" s="67"/>
    </row>
    <row r="201" spans="1:10" ht="14.25" customHeight="1" x14ac:dyDescent="0.3">
      <c r="A201" s="65" t="s">
        <v>185</v>
      </c>
      <c r="B201" s="66">
        <f>B169/B198</f>
        <v>0.62383694511667287</v>
      </c>
      <c r="C201" s="66">
        <f t="shared" ref="C201:E201" si="248">C169/C198</f>
        <v>0.58853421786625038</v>
      </c>
      <c r="D201" s="66">
        <f t="shared" si="248"/>
        <v>0.55681582813955999</v>
      </c>
      <c r="E201" s="66">
        <f t="shared" si="248"/>
        <v>0.59784199843354957</v>
      </c>
      <c r="F201" s="68"/>
      <c r="G201" s="67"/>
      <c r="H201" s="67"/>
    </row>
    <row r="202" spans="1:10" ht="14.25" customHeight="1" x14ac:dyDescent="0.3">
      <c r="A202" s="69" t="s">
        <v>186</v>
      </c>
      <c r="B202" s="70">
        <f>B152/B198</f>
        <v>1.0482952195989075E-3</v>
      </c>
      <c r="C202" s="70">
        <f t="shared" ref="C202:E202" si="249">C152/C198</f>
        <v>1.2545968563789725E-3</v>
      </c>
      <c r="D202" s="70">
        <f t="shared" si="249"/>
        <v>1.306964445279261E-3</v>
      </c>
      <c r="E202" s="70">
        <f t="shared" si="249"/>
        <v>1.0015518812469377E-3</v>
      </c>
      <c r="F202" s="71"/>
      <c r="G202" s="72"/>
      <c r="H202" s="72"/>
    </row>
    <row r="203" spans="1:10" ht="14.25" customHeight="1" x14ac:dyDescent="0.3">
      <c r="A203" s="73"/>
      <c r="B203" s="74"/>
      <c r="C203" s="74"/>
      <c r="D203" s="74"/>
      <c r="E203" s="74"/>
      <c r="F203" s="75"/>
      <c r="G203" s="75"/>
      <c r="H203" s="75"/>
    </row>
    <row r="204" spans="1:10" ht="14.25" customHeight="1" x14ac:dyDescent="0.3">
      <c r="A204" s="76" t="s">
        <v>61</v>
      </c>
      <c r="B204" s="77" t="str">
        <f t="shared" ref="B204:E204" si="250">B1</f>
        <v>31.12.2012</v>
      </c>
      <c r="C204" s="77" t="str">
        <f t="shared" si="250"/>
        <v>31.12.2013</v>
      </c>
      <c r="D204" s="77" t="str">
        <f t="shared" si="250"/>
        <v>31.12.2014</v>
      </c>
      <c r="E204" s="77" t="str">
        <f t="shared" si="250"/>
        <v>31.12.2015</v>
      </c>
    </row>
    <row r="205" spans="1:10" ht="14.25" customHeight="1" x14ac:dyDescent="0.3">
      <c r="A205" s="78" t="s">
        <v>187</v>
      </c>
      <c r="B205" s="79"/>
      <c r="C205" s="79"/>
      <c r="D205" s="79"/>
      <c r="E205" s="79"/>
    </row>
    <row r="206" spans="1:10" ht="14.25" customHeight="1" x14ac:dyDescent="0.3">
      <c r="A206" s="54" t="s">
        <v>188</v>
      </c>
      <c r="B206" s="80">
        <v>3.6400000000000002E-2</v>
      </c>
      <c r="C206" s="80">
        <v>2.47E-2</v>
      </c>
      <c r="D206" s="80">
        <v>3.85E-2</v>
      </c>
      <c r="E206" s="80">
        <v>3.0499999999999999E-2</v>
      </c>
      <c r="F206" s="153"/>
      <c r="G206" s="153"/>
      <c r="H206" s="153"/>
      <c r="I206" s="153"/>
      <c r="J206" s="153"/>
    </row>
    <row r="207" spans="1:10" ht="14.25" customHeight="1" x14ac:dyDescent="0.3">
      <c r="A207" s="54" t="s">
        <v>189</v>
      </c>
      <c r="B207" s="80">
        <v>2.3400000000000001E-2</v>
      </c>
      <c r="C207" s="80">
        <v>1.5100000000000001E-2</v>
      </c>
      <c r="D207" s="80">
        <v>2.58E-2</v>
      </c>
      <c r="E207" s="80">
        <v>8.6E-3</v>
      </c>
    </row>
    <row r="208" spans="1:10" ht="14.25" customHeight="1" x14ac:dyDescent="0.3">
      <c r="A208" s="81" t="s">
        <v>190</v>
      </c>
      <c r="B208" s="25">
        <v>1.7999999999999999E-2</v>
      </c>
      <c r="C208" s="25">
        <v>1.21E-2</v>
      </c>
      <c r="D208" s="25">
        <v>2.01E-2</v>
      </c>
      <c r="E208" s="25">
        <v>5.8999999999999999E-3</v>
      </c>
      <c r="F208" s="154"/>
    </row>
    <row r="209" spans="1:10" ht="14.25" customHeight="1" x14ac:dyDescent="0.3">
      <c r="A209" s="81" t="s">
        <v>191</v>
      </c>
      <c r="B209" s="25">
        <v>3.39E-2</v>
      </c>
      <c r="C209" s="25">
        <v>2.29E-2</v>
      </c>
      <c r="D209" s="25">
        <v>4.2799999999999998E-2</v>
      </c>
      <c r="E209" s="25">
        <v>1.14E-2</v>
      </c>
      <c r="F209" s="153"/>
    </row>
    <row r="210" spans="1:10" ht="14.25" customHeight="1" x14ac:dyDescent="0.3">
      <c r="A210" s="81" t="s">
        <v>192</v>
      </c>
      <c r="B210" s="25">
        <v>0.1002</v>
      </c>
      <c r="C210" s="25">
        <v>5.8999999999999997E-2</v>
      </c>
      <c r="D210" s="25">
        <v>0.1116</v>
      </c>
      <c r="E210" s="25">
        <v>3.4299999999999997E-2</v>
      </c>
      <c r="F210" s="153"/>
    </row>
    <row r="211" spans="1:10" ht="14.25" customHeight="1" x14ac:dyDescent="0.3">
      <c r="A211" s="78" t="s">
        <v>193</v>
      </c>
    </row>
    <row r="212" spans="1:10" ht="14.25" customHeight="1" x14ac:dyDescent="0.3">
      <c r="A212" s="82" t="s">
        <v>194</v>
      </c>
      <c r="B212" s="83">
        <v>0.64</v>
      </c>
      <c r="C212" s="83">
        <v>0.6</v>
      </c>
      <c r="D212" s="83">
        <v>0.59</v>
      </c>
      <c r="E212" s="83">
        <v>0.65</v>
      </c>
      <c r="F212" s="153"/>
      <c r="G212" s="153"/>
      <c r="H212" s="153"/>
      <c r="I212" s="153"/>
      <c r="J212" s="153"/>
    </row>
    <row r="213" spans="1:10" ht="14.25" customHeight="1" x14ac:dyDescent="0.3">
      <c r="A213" s="82" t="s">
        <v>195</v>
      </c>
      <c r="B213" s="84">
        <v>1.9</v>
      </c>
      <c r="C213" s="84">
        <v>1.54</v>
      </c>
      <c r="D213" s="84">
        <v>1.55</v>
      </c>
      <c r="E213" s="84">
        <v>1.96</v>
      </c>
      <c r="F213" s="153"/>
      <c r="G213" s="153"/>
      <c r="H213" s="153"/>
      <c r="I213" s="153"/>
      <c r="J213" s="153"/>
    </row>
    <row r="214" spans="1:10" ht="14.25" customHeight="1" x14ac:dyDescent="0.3">
      <c r="A214" s="85" t="s">
        <v>196</v>
      </c>
      <c r="B214" s="86">
        <v>3.65</v>
      </c>
      <c r="C214" s="86">
        <v>4.05</v>
      </c>
      <c r="D214" s="86">
        <v>3.22</v>
      </c>
      <c r="E214" s="86">
        <v>2.42</v>
      </c>
      <c r="F214" s="36"/>
    </row>
    <row r="215" spans="1:10" ht="14.25" customHeight="1" x14ac:dyDescent="0.3">
      <c r="A215" s="85" t="s">
        <v>197</v>
      </c>
      <c r="B215" s="86">
        <v>3.86</v>
      </c>
      <c r="C215" s="86">
        <v>4.13</v>
      </c>
      <c r="D215" s="86">
        <v>3.53</v>
      </c>
      <c r="E215" s="86">
        <v>2.82</v>
      </c>
      <c r="F215" s="153"/>
      <c r="G215" s="153"/>
      <c r="H215" s="153"/>
      <c r="I215" s="153"/>
      <c r="J215" s="153"/>
    </row>
    <row r="216" spans="1:10" ht="14.25" customHeight="1" x14ac:dyDescent="0.3">
      <c r="A216" s="82" t="s">
        <v>198</v>
      </c>
      <c r="B216" s="87">
        <v>3.1</v>
      </c>
      <c r="C216" s="87">
        <v>2.5</v>
      </c>
      <c r="D216" s="87">
        <v>4.9000000000000004</v>
      </c>
      <c r="E216" s="87">
        <v>2.5</v>
      </c>
      <c r="F216" s="153"/>
      <c r="G216" s="153"/>
      <c r="H216" s="153"/>
      <c r="I216" s="153"/>
      <c r="J216" s="153"/>
    </row>
    <row r="217" spans="1:10" ht="14.25" customHeight="1" x14ac:dyDescent="0.3">
      <c r="A217" s="82" t="s">
        <v>199</v>
      </c>
      <c r="B217" s="88">
        <v>0.09</v>
      </c>
      <c r="C217" s="88">
        <v>7.0000000000000007E-2</v>
      </c>
      <c r="D217" s="88">
        <v>0.1</v>
      </c>
      <c r="E217" s="88">
        <v>0.05</v>
      </c>
      <c r="F217" s="153"/>
      <c r="G217" s="153"/>
      <c r="H217" s="153"/>
      <c r="I217" s="153"/>
      <c r="J217" s="153"/>
    </row>
    <row r="218" spans="1:10" ht="14.25" customHeight="1" x14ac:dyDescent="0.3">
      <c r="A218" s="78" t="s">
        <v>200</v>
      </c>
      <c r="F218" s="153"/>
      <c r="G218" s="153"/>
      <c r="H218" s="153"/>
      <c r="I218" s="153"/>
      <c r="J218" s="153"/>
    </row>
    <row r="219" spans="1:10" ht="14.25" customHeight="1" x14ac:dyDescent="0.3">
      <c r="A219" s="54" t="s">
        <v>201</v>
      </c>
      <c r="B219" s="89">
        <f>B89/B169</f>
        <v>1.4541976600683661</v>
      </c>
      <c r="C219" s="89">
        <f t="shared" ref="C219:E219" si="251">C89/C169</f>
        <v>1.5361204622637714</v>
      </c>
      <c r="D219" s="89">
        <f t="shared" si="251"/>
        <v>1.5816698449372069</v>
      </c>
      <c r="E219" s="89">
        <f t="shared" si="251"/>
        <v>1.4434755312179073</v>
      </c>
      <c r="F219" s="155"/>
      <c r="G219" s="153"/>
      <c r="H219" s="153"/>
      <c r="I219" s="153"/>
      <c r="J219" s="153"/>
    </row>
    <row r="220" spans="1:10" ht="14.25" customHeight="1" x14ac:dyDescent="0.3">
      <c r="A220" s="54" t="s">
        <v>202</v>
      </c>
      <c r="B220" s="90">
        <f>ROUND((B89-B90-B131)/B169,2)</f>
        <v>0.49</v>
      </c>
      <c r="C220" s="90">
        <f t="shared" ref="C220:E220" si="252">ROUND((C89-C90-C131)/C169,2)</f>
        <v>0.55000000000000004</v>
      </c>
      <c r="D220" s="90">
        <f t="shared" si="252"/>
        <v>0.53</v>
      </c>
      <c r="E220" s="90">
        <f t="shared" si="252"/>
        <v>0.26</v>
      </c>
      <c r="F220" s="155"/>
      <c r="G220" s="153"/>
      <c r="H220" s="153"/>
      <c r="I220" s="153"/>
      <c r="J220" s="153"/>
    </row>
    <row r="221" spans="1:10" ht="14.25" customHeight="1" x14ac:dyDescent="0.3">
      <c r="A221" s="54" t="s">
        <v>203</v>
      </c>
      <c r="B221" s="90">
        <f>ROUND((B126)/B169,3)</f>
        <v>3.0000000000000001E-3</v>
      </c>
      <c r="C221" s="90">
        <f>ROUND((C126)/C169,3)</f>
        <v>1.2999999999999999E-2</v>
      </c>
      <c r="D221" s="90">
        <f t="shared" ref="D221:E221" si="253">ROUND((D126)/D169,3)</f>
        <v>2.1000000000000001E-2</v>
      </c>
      <c r="E221" s="90">
        <f t="shared" si="253"/>
        <v>2.5999999999999999E-2</v>
      </c>
      <c r="F221" s="155"/>
      <c r="G221" s="153"/>
      <c r="H221" s="153"/>
      <c r="I221" s="153"/>
      <c r="J221" s="153"/>
    </row>
    <row r="222" spans="1:10" ht="14.4" x14ac:dyDescent="0.3">
      <c r="A222" s="78" t="s">
        <v>204</v>
      </c>
      <c r="F222" s="153"/>
      <c r="G222" s="153"/>
      <c r="H222" s="153"/>
      <c r="I222" s="153"/>
      <c r="J222" s="153"/>
    </row>
    <row r="223" spans="1:10" ht="14.4" x14ac:dyDescent="0.3">
      <c r="A223" s="54" t="s">
        <v>205</v>
      </c>
      <c r="B223" s="91"/>
      <c r="C223" s="91">
        <v>5.4</v>
      </c>
      <c r="D223" s="91">
        <v>4.1399999999999997</v>
      </c>
      <c r="E223" s="91">
        <v>4</v>
      </c>
      <c r="F223" s="155"/>
      <c r="G223" s="153"/>
      <c r="H223" s="153"/>
      <c r="I223" s="153"/>
      <c r="J223" s="153"/>
    </row>
    <row r="224" spans="1:10" ht="14.25" customHeight="1" x14ac:dyDescent="0.3">
      <c r="A224" s="54" t="s">
        <v>206</v>
      </c>
      <c r="B224" s="92"/>
      <c r="C224" s="93">
        <v>64</v>
      </c>
      <c r="D224" s="93">
        <v>47</v>
      </c>
      <c r="E224" s="93">
        <v>37</v>
      </c>
      <c r="F224" s="153"/>
      <c r="G224" s="153"/>
      <c r="H224" s="153"/>
      <c r="I224" s="153"/>
      <c r="J224" s="153"/>
    </row>
    <row r="225" spans="1:10" ht="14.25" customHeight="1" x14ac:dyDescent="0.3">
      <c r="A225" s="54" t="s">
        <v>207</v>
      </c>
      <c r="B225" s="92"/>
      <c r="C225" s="93">
        <v>120</v>
      </c>
      <c r="D225" s="93">
        <v>92</v>
      </c>
      <c r="E225" s="93">
        <v>115</v>
      </c>
      <c r="F225" s="153"/>
      <c r="G225" s="153"/>
      <c r="H225" s="153"/>
      <c r="I225" s="153"/>
      <c r="J225" s="153"/>
    </row>
    <row r="226" spans="1:10" ht="14.25" customHeight="1" x14ac:dyDescent="0.3">
      <c r="A226" s="54" t="s">
        <v>208</v>
      </c>
      <c r="B226" s="92"/>
      <c r="C226" s="93">
        <v>125</v>
      </c>
      <c r="D226" s="93">
        <v>92</v>
      </c>
      <c r="E226" s="93">
        <v>104</v>
      </c>
      <c r="F226" s="153"/>
      <c r="G226" s="153"/>
      <c r="H226" s="153"/>
      <c r="I226" s="153"/>
      <c r="J226" s="153"/>
    </row>
    <row r="227" spans="1:10" ht="14.25" customHeight="1" x14ac:dyDescent="0.3">
      <c r="A227" s="94" t="s">
        <v>209</v>
      </c>
      <c r="B227" s="95"/>
      <c r="C227" s="96">
        <v>58</v>
      </c>
      <c r="D227" s="96">
        <v>48</v>
      </c>
      <c r="E227" s="96">
        <v>48</v>
      </c>
      <c r="F227" s="155"/>
      <c r="G227" s="153"/>
      <c r="H227" s="153"/>
      <c r="I227" s="153"/>
      <c r="J227" s="153"/>
    </row>
    <row r="228" spans="1:10" ht="14.25" customHeight="1" x14ac:dyDescent="0.3">
      <c r="A228" s="54" t="s">
        <v>210</v>
      </c>
      <c r="B228" s="91">
        <v>2.95</v>
      </c>
      <c r="C228" s="91">
        <v>2.57</v>
      </c>
      <c r="D228" s="91">
        <v>2.61</v>
      </c>
      <c r="E228" s="91">
        <v>3.01</v>
      </c>
      <c r="F228" s="155"/>
      <c r="G228" s="153"/>
      <c r="H228" s="153"/>
      <c r="I228" s="153"/>
      <c r="J228" s="153"/>
    </row>
    <row r="229" spans="1:10" ht="14.25" customHeight="1" x14ac:dyDescent="0.3"/>
    <row r="230" spans="1:10" ht="14.25" customHeight="1" x14ac:dyDescent="0.3"/>
    <row r="231" spans="1:10" ht="14.25" customHeight="1" x14ac:dyDescent="0.3"/>
    <row r="232" spans="1:10" ht="14.25" customHeight="1" x14ac:dyDescent="0.3"/>
    <row r="233" spans="1:10" ht="14.25" customHeight="1" x14ac:dyDescent="0.3"/>
    <row r="234" spans="1:10" ht="14.25" customHeight="1" x14ac:dyDescent="0.3"/>
    <row r="235" spans="1:10" ht="14.25" customHeight="1" x14ac:dyDescent="0.3"/>
    <row r="236" spans="1:10" ht="14.25" customHeight="1" x14ac:dyDescent="0.3"/>
    <row r="237" spans="1:10" ht="14.25" customHeight="1" x14ac:dyDescent="0.3"/>
    <row r="238" spans="1:10" ht="14.25" customHeight="1" x14ac:dyDescent="0.3"/>
    <row r="239" spans="1:10" ht="14.25" customHeight="1" x14ac:dyDescent="0.3"/>
    <row r="240" spans="1:1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F228:J228"/>
    <mergeCell ref="F216:J216"/>
    <mergeCell ref="F217:J217"/>
    <mergeCell ref="F218:J218"/>
    <mergeCell ref="F219:J219"/>
    <mergeCell ref="F220:J220"/>
    <mergeCell ref="F221:J221"/>
    <mergeCell ref="F222:J222"/>
    <mergeCell ref="F223:J223"/>
    <mergeCell ref="F224:J224"/>
    <mergeCell ref="F225:J225"/>
    <mergeCell ref="F226:J226"/>
    <mergeCell ref="F227:J227"/>
    <mergeCell ref="F206:J206"/>
    <mergeCell ref="F208:F210"/>
    <mergeCell ref="F212:J212"/>
    <mergeCell ref="F213:J213"/>
    <mergeCell ref="F215:J215"/>
    <mergeCell ref="D1:D2"/>
    <mergeCell ref="E1:E2"/>
    <mergeCell ref="F1:H1"/>
    <mergeCell ref="A51:A52"/>
    <mergeCell ref="F51:H51"/>
    <mergeCell ref="D51:D52"/>
    <mergeCell ref="E51:E52"/>
    <mergeCell ref="B51:B52"/>
    <mergeCell ref="C51:C52"/>
    <mergeCell ref="A1:A2"/>
    <mergeCell ref="B1:B2"/>
    <mergeCell ref="C1:C2"/>
  </mergeCells>
  <pageMargins left="0.25" right="0.25" top="0.75" bottom="0.75" header="0" footer="0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E411-C7AD-4CF1-8DB3-4F3D5689F825}">
  <dimension ref="A1:M998"/>
  <sheetViews>
    <sheetView workbookViewId="0">
      <selection activeCell="G257" sqref="G257"/>
    </sheetView>
  </sheetViews>
  <sheetFormatPr defaultColWidth="14.44140625" defaultRowHeight="15" customHeight="1" x14ac:dyDescent="0.3"/>
  <cols>
    <col min="1" max="1" width="53.44140625" customWidth="1"/>
    <col min="2" max="5" width="20" customWidth="1"/>
    <col min="6" max="8" width="8.6640625" customWidth="1"/>
    <col min="9" max="10" width="15.44140625" customWidth="1"/>
    <col min="11" max="26" width="8.6640625" customWidth="1"/>
  </cols>
  <sheetData>
    <row r="1" spans="1:10" ht="14.25" customHeight="1" x14ac:dyDescent="0.3">
      <c r="A1" s="152" t="s">
        <v>0</v>
      </c>
      <c r="B1" s="145" t="s">
        <v>295</v>
      </c>
      <c r="C1" s="145" t="s">
        <v>296</v>
      </c>
      <c r="D1" s="145" t="s">
        <v>297</v>
      </c>
      <c r="E1" s="145" t="s">
        <v>298</v>
      </c>
      <c r="F1" s="147" t="s">
        <v>5</v>
      </c>
      <c r="G1" s="148"/>
      <c r="H1" s="149"/>
    </row>
    <row r="2" spans="1:10" ht="14.25" customHeight="1" x14ac:dyDescent="0.3">
      <c r="A2" s="146"/>
      <c r="B2" s="146"/>
      <c r="C2" s="146"/>
      <c r="D2" s="146"/>
      <c r="E2" s="146"/>
      <c r="F2" s="1" t="s">
        <v>6</v>
      </c>
      <c r="G2" s="1" t="s">
        <v>7</v>
      </c>
      <c r="H2" s="2" t="s">
        <v>8</v>
      </c>
      <c r="J2" s="126" t="s">
        <v>211</v>
      </c>
    </row>
    <row r="3" spans="1:10" ht="14.25" customHeight="1" x14ac:dyDescent="0.3">
      <c r="A3" s="102" t="s">
        <v>212</v>
      </c>
      <c r="B3" s="112">
        <v>8295503</v>
      </c>
      <c r="C3" s="113">
        <v>8230404</v>
      </c>
      <c r="D3" s="114">
        <v>8548737</v>
      </c>
      <c r="E3" s="112">
        <v>9821599</v>
      </c>
      <c r="F3" s="120">
        <f>(((B3/C3)-1)*100)</f>
        <v>0.79095752772282424</v>
      </c>
      <c r="G3" s="120">
        <f>IFERROR(((D3/C3)-1)*100,"-")</f>
        <v>3.8677688239848296</v>
      </c>
      <c r="H3" s="120">
        <f>IFERROR(((E3/D3)-1)*100,"-")</f>
        <v>14.889474316498452</v>
      </c>
      <c r="I3" s="10"/>
    </row>
    <row r="4" spans="1:10" ht="14.25" customHeight="1" x14ac:dyDescent="0.3">
      <c r="A4" s="104" t="s">
        <v>213</v>
      </c>
      <c r="B4" s="115">
        <v>4826</v>
      </c>
      <c r="C4" s="116">
        <v>6952</v>
      </c>
      <c r="D4" s="117">
        <v>7784</v>
      </c>
      <c r="E4" s="115">
        <v>8348</v>
      </c>
      <c r="F4" s="120">
        <f>IFERROR(((C4/B4)-1)*100,"-")</f>
        <v>44.053046000828843</v>
      </c>
      <c r="G4" s="120">
        <f>IFERROR(((D4/C4)-1)*100,"-")</f>
        <v>11.96777905638664</v>
      </c>
      <c r="H4" s="120">
        <f>IFERROR(((E4/D4)-1)*100,"-")</f>
        <v>7.2456320657759532</v>
      </c>
    </row>
    <row r="5" spans="1:10" ht="14.25" customHeight="1" x14ac:dyDescent="0.3">
      <c r="A5" s="106" t="s">
        <v>11</v>
      </c>
      <c r="B5" s="118">
        <v>150388</v>
      </c>
      <c r="C5" s="118">
        <v>138329</v>
      </c>
      <c r="D5" s="118">
        <v>145449</v>
      </c>
      <c r="E5" s="118">
        <v>172065</v>
      </c>
      <c r="F5" s="120">
        <f t="shared" ref="F5:H17" si="0">IFERROR(((C5/B5)-1)*100,"-")</f>
        <v>-8.0185919089289079</v>
      </c>
      <c r="G5" s="120">
        <f t="shared" si="0"/>
        <v>5.1471491878058773</v>
      </c>
      <c r="H5" s="120">
        <f t="shared" si="0"/>
        <v>18.29919765691066</v>
      </c>
    </row>
    <row r="6" spans="1:10" ht="14.25" customHeight="1" x14ac:dyDescent="0.3">
      <c r="A6" s="108" t="s">
        <v>12</v>
      </c>
      <c r="B6" s="115">
        <v>8145115</v>
      </c>
      <c r="C6" s="115">
        <v>8092075</v>
      </c>
      <c r="D6" s="115">
        <v>8403288</v>
      </c>
      <c r="E6" s="119">
        <v>9649534</v>
      </c>
      <c r="F6" s="120">
        <f t="shared" si="0"/>
        <v>-0.65118785922605449</v>
      </c>
      <c r="G6" s="120">
        <f t="shared" si="0"/>
        <v>3.8458986106777227</v>
      </c>
      <c r="H6" s="120">
        <f t="shared" si="0"/>
        <v>14.830456840227303</v>
      </c>
    </row>
    <row r="7" spans="1:10" ht="14.25" customHeight="1" x14ac:dyDescent="0.3">
      <c r="A7" s="102" t="s">
        <v>214</v>
      </c>
      <c r="B7" s="127">
        <v>8189983</v>
      </c>
      <c r="C7" s="127">
        <v>-8101300</v>
      </c>
      <c r="D7" s="127">
        <v>-8355197</v>
      </c>
      <c r="E7" s="127">
        <v>-9552826</v>
      </c>
      <c r="F7" s="120">
        <f>IFERROR(((C7/B7)-1)*100,"-")</f>
        <v>-198.91717723956205</v>
      </c>
      <c r="G7" s="120">
        <f t="shared" si="0"/>
        <v>3.1340278720699111</v>
      </c>
      <c r="H7" s="120">
        <f t="shared" si="0"/>
        <v>14.333940899298959</v>
      </c>
      <c r="I7" s="10"/>
    </row>
    <row r="8" spans="1:10" ht="14.25" customHeight="1" x14ac:dyDescent="0.3">
      <c r="A8" s="104" t="s">
        <v>215</v>
      </c>
      <c r="B8" s="123">
        <v>-200958</v>
      </c>
      <c r="C8" s="123">
        <v>-199906</v>
      </c>
      <c r="D8" s="123">
        <v>-182256</v>
      </c>
      <c r="E8" s="123">
        <v>-207378</v>
      </c>
      <c r="F8" s="120">
        <f>IFERROR(((C8/B8)-1)*100,"-")</f>
        <v>-0.52349247106360242</v>
      </c>
      <c r="G8" s="120">
        <f t="shared" si="0"/>
        <v>-8.8291497003591743</v>
      </c>
      <c r="H8" s="120">
        <f t="shared" si="0"/>
        <v>13.78390834869634</v>
      </c>
    </row>
    <row r="9" spans="1:10" ht="14.25" customHeight="1" x14ac:dyDescent="0.3">
      <c r="A9" s="106" t="s">
        <v>216</v>
      </c>
      <c r="B9" s="124">
        <v>-138533</v>
      </c>
      <c r="C9" s="124">
        <v>-155922</v>
      </c>
      <c r="D9" s="124">
        <v>-158830</v>
      </c>
      <c r="E9" s="124">
        <v>-214295</v>
      </c>
      <c r="F9" s="120">
        <f t="shared" si="0"/>
        <v>12.552243869691694</v>
      </c>
      <c r="G9" s="120">
        <f t="shared" si="0"/>
        <v>1.8650350816433958</v>
      </c>
      <c r="H9" s="120">
        <f t="shared" si="0"/>
        <v>34.920984700623301</v>
      </c>
    </row>
    <row r="10" spans="1:10" ht="14.25" customHeight="1" x14ac:dyDescent="0.3">
      <c r="A10" s="104" t="s">
        <v>217</v>
      </c>
      <c r="B10" s="123">
        <v>-437405</v>
      </c>
      <c r="C10" s="123">
        <v>-422840</v>
      </c>
      <c r="D10" s="123">
        <v>-428084</v>
      </c>
      <c r="E10" s="123">
        <v>-497909</v>
      </c>
      <c r="F10" s="120">
        <f t="shared" si="0"/>
        <v>-3.3298659137412701</v>
      </c>
      <c r="G10" s="120">
        <f t="shared" si="0"/>
        <v>1.2401854129221457</v>
      </c>
      <c r="H10" s="120">
        <f t="shared" si="0"/>
        <v>16.311051102120146</v>
      </c>
    </row>
    <row r="11" spans="1:10" ht="14.25" customHeight="1" x14ac:dyDescent="0.3">
      <c r="A11" s="106" t="s">
        <v>218</v>
      </c>
      <c r="B11" s="124">
        <v>-61626</v>
      </c>
      <c r="C11" s="124">
        <v>-58234</v>
      </c>
      <c r="D11" s="124">
        <v>-133621</v>
      </c>
      <c r="E11" s="124">
        <v>-150151</v>
      </c>
      <c r="F11" s="120">
        <f t="shared" si="0"/>
        <v>-5.5041703177230339</v>
      </c>
      <c r="G11" s="120">
        <f t="shared" ref="G11:G17" si="1">IFERROR(((D11/C11)-1)*100,"-")</f>
        <v>129.4553010268915</v>
      </c>
      <c r="H11" s="120">
        <f t="shared" ref="H11:H17" si="2">IFERROR(((E11/D11)-1)*100,"-")</f>
        <v>12.370809977473595</v>
      </c>
    </row>
    <row r="12" spans="1:10" ht="14.25" customHeight="1" x14ac:dyDescent="0.3">
      <c r="A12" s="104" t="s">
        <v>219</v>
      </c>
      <c r="B12" s="115">
        <v>0</v>
      </c>
      <c r="C12" s="115">
        <v>0</v>
      </c>
      <c r="D12" s="115">
        <v>0</v>
      </c>
      <c r="E12" s="115">
        <v>0</v>
      </c>
      <c r="F12" s="120" t="str">
        <f t="shared" si="0"/>
        <v>-</v>
      </c>
      <c r="G12" s="120" t="str">
        <f t="shared" si="1"/>
        <v>-</v>
      </c>
      <c r="H12" s="120" t="str">
        <f>IFERROR(((E12/D12)-1)*100,"-")</f>
        <v>-</v>
      </c>
    </row>
    <row r="13" spans="1:10" ht="14.25" customHeight="1" x14ac:dyDescent="0.3">
      <c r="A13" s="106" t="s">
        <v>220</v>
      </c>
      <c r="B13" s="124">
        <v>-638511</v>
      </c>
      <c r="C13" s="124">
        <v>-624774</v>
      </c>
      <c r="D13" s="124">
        <v>-638423</v>
      </c>
      <c r="E13" s="124">
        <v>-695222</v>
      </c>
      <c r="F13" s="120">
        <f t="shared" si="0"/>
        <v>-2.1514116436521791</v>
      </c>
      <c r="G13" s="120">
        <f t="shared" si="1"/>
        <v>2.1846299621943288</v>
      </c>
      <c r="H13" s="120">
        <f t="shared" si="2"/>
        <v>8.8967659373174293</v>
      </c>
    </row>
    <row r="14" spans="1:10" ht="14.25" customHeight="1" x14ac:dyDescent="0.3">
      <c r="A14" s="104" t="s">
        <v>221</v>
      </c>
      <c r="B14" s="123">
        <v>-123511</v>
      </c>
      <c r="C14" s="123">
        <v>-117937</v>
      </c>
      <c r="D14" s="123">
        <v>-117291</v>
      </c>
      <c r="E14" s="123">
        <v>-125641</v>
      </c>
      <c r="F14" s="120">
        <f t="shared" si="0"/>
        <v>-4.5129583599841316</v>
      </c>
      <c r="G14" s="120">
        <f t="shared" si="1"/>
        <v>-0.54775006995260167</v>
      </c>
      <c r="H14" s="120">
        <f t="shared" si="2"/>
        <v>7.119045792089751</v>
      </c>
    </row>
    <row r="15" spans="1:10" ht="14.25" customHeight="1" x14ac:dyDescent="0.3">
      <c r="A15" s="106" t="s">
        <v>222</v>
      </c>
      <c r="B15" s="124">
        <v>-47499</v>
      </c>
      <c r="C15" s="124">
        <v>-47953</v>
      </c>
      <c r="D15" s="118">
        <v>0</v>
      </c>
      <c r="E15" s="118">
        <v>0</v>
      </c>
      <c r="F15" s="120">
        <f t="shared" si="0"/>
        <v>0.95580959599148585</v>
      </c>
      <c r="G15" s="120">
        <f t="shared" si="1"/>
        <v>-100</v>
      </c>
      <c r="H15" s="120" t="str">
        <f t="shared" si="2"/>
        <v>-</v>
      </c>
    </row>
    <row r="16" spans="1:10" ht="14.25" customHeight="1" x14ac:dyDescent="0.3">
      <c r="A16" s="104" t="s">
        <v>223</v>
      </c>
      <c r="B16" s="123">
        <v>-221223</v>
      </c>
      <c r="C16" s="123">
        <v>-208278</v>
      </c>
      <c r="D16" s="123">
        <v>-193420</v>
      </c>
      <c r="E16" s="123">
        <v>-228654</v>
      </c>
      <c r="F16" s="120">
        <f t="shared" si="0"/>
        <v>-5.8515615464938104</v>
      </c>
      <c r="G16" s="120">
        <f t="shared" si="1"/>
        <v>-7.1337347199416197</v>
      </c>
      <c r="H16" s="120">
        <f t="shared" si="2"/>
        <v>18.216316823492917</v>
      </c>
    </row>
    <row r="17" spans="1:13" ht="14.25" customHeight="1" x14ac:dyDescent="0.3">
      <c r="A17" s="122" t="s">
        <v>224</v>
      </c>
      <c r="B17" s="124">
        <v>-6368316</v>
      </c>
      <c r="C17" s="124">
        <v>-6312409</v>
      </c>
      <c r="D17" s="124">
        <v>-6503273</v>
      </c>
      <c r="E17" s="125">
        <v>-7433576</v>
      </c>
      <c r="F17" s="120">
        <f t="shared" si="0"/>
        <v>-0.87789299400343745</v>
      </c>
      <c r="G17" s="120">
        <f t="shared" si="1"/>
        <v>3.023631707007568</v>
      </c>
      <c r="H17" s="120">
        <f t="shared" si="2"/>
        <v>14.305150652602162</v>
      </c>
    </row>
    <row r="18" spans="1:13" ht="14.25" customHeight="1" x14ac:dyDescent="0.3">
      <c r="A18" s="3" t="s">
        <v>17</v>
      </c>
      <c r="B18" s="128">
        <v>105520</v>
      </c>
      <c r="C18" s="129">
        <v>129104</v>
      </c>
      <c r="D18" s="129">
        <v>193540</v>
      </c>
      <c r="E18" s="130">
        <v>268773</v>
      </c>
      <c r="F18" s="120">
        <f>IFERROR(((C18/B18)-1)*100,"-")</f>
        <v>22.350265352539811</v>
      </c>
      <c r="G18" s="120">
        <f>IFERROR(((D18/C18)-1)*100,"-")</f>
        <v>49.910149956624124</v>
      </c>
      <c r="H18" s="120">
        <f>IFERROR(((E18/D18)-1)*100,"-")</f>
        <v>38.872067789604216</v>
      </c>
      <c r="I18" s="10"/>
    </row>
    <row r="19" spans="1:13" ht="14.25" customHeight="1" x14ac:dyDescent="0.3">
      <c r="A19" s="109" t="s">
        <v>225</v>
      </c>
      <c r="B19" s="131">
        <v>109012</v>
      </c>
      <c r="C19" s="131">
        <v>173008</v>
      </c>
      <c r="D19" s="131">
        <v>160481</v>
      </c>
      <c r="E19" s="131">
        <v>144295</v>
      </c>
      <c r="F19" s="120">
        <f t="shared" ref="F19:F28" si="3">IFERROR(((C19/B19)-1)*100,"-")</f>
        <v>58.705463618684185</v>
      </c>
      <c r="G19" s="120">
        <f t="shared" ref="G19:G28" si="4">IFERROR(((D19/C19)-1)*100,"-")</f>
        <v>-7.2407056321095009</v>
      </c>
      <c r="H19" s="120">
        <f t="shared" ref="H19:H28" si="5">IFERROR(((E19/D19)-1)*100,"-")</f>
        <v>-10.085929175416409</v>
      </c>
      <c r="J19" t="s">
        <v>19</v>
      </c>
    </row>
    <row r="20" spans="1:13" ht="14.25" customHeight="1" x14ac:dyDescent="0.3">
      <c r="A20" s="104" t="s">
        <v>226</v>
      </c>
      <c r="B20" s="115">
        <v>2438</v>
      </c>
      <c r="C20" s="115">
        <v>0</v>
      </c>
      <c r="D20" s="115">
        <v>0</v>
      </c>
      <c r="E20" s="115">
        <v>24597</v>
      </c>
      <c r="F20" s="120">
        <f t="shared" si="3"/>
        <v>-100</v>
      </c>
      <c r="G20" s="120" t="str">
        <f t="shared" si="4"/>
        <v>-</v>
      </c>
      <c r="H20" s="120" t="str">
        <f t="shared" si="5"/>
        <v>-</v>
      </c>
    </row>
    <row r="21" spans="1:13" ht="14.25" customHeight="1" x14ac:dyDescent="0.3">
      <c r="A21" s="106" t="s">
        <v>24</v>
      </c>
      <c r="B21" s="118">
        <v>0</v>
      </c>
      <c r="C21" s="118">
        <v>0</v>
      </c>
      <c r="D21" s="118">
        <v>0</v>
      </c>
      <c r="E21" s="118">
        <v>0</v>
      </c>
      <c r="F21" s="120" t="str">
        <f t="shared" si="3"/>
        <v>-</v>
      </c>
      <c r="G21" s="120" t="str">
        <f t="shared" si="4"/>
        <v>-</v>
      </c>
      <c r="H21" s="120" t="str">
        <f t="shared" si="5"/>
        <v>-</v>
      </c>
      <c r="I21" s="10"/>
    </row>
    <row r="22" spans="1:13" ht="14.25" customHeight="1" x14ac:dyDescent="0.3">
      <c r="A22" s="104" t="s">
        <v>25</v>
      </c>
      <c r="B22" s="115">
        <v>0</v>
      </c>
      <c r="C22" s="115">
        <v>39329</v>
      </c>
      <c r="D22" s="115">
        <v>75587</v>
      </c>
      <c r="E22" s="115">
        <v>18249</v>
      </c>
      <c r="F22" s="120" t="str">
        <f t="shared" si="3"/>
        <v>-</v>
      </c>
      <c r="G22" s="120">
        <f t="shared" si="4"/>
        <v>92.191512624272164</v>
      </c>
      <c r="H22" s="120">
        <f t="shared" si="5"/>
        <v>-75.85695953007793</v>
      </c>
      <c r="I22" s="10"/>
    </row>
    <row r="23" spans="1:13" ht="14.25" customHeight="1" x14ac:dyDescent="0.3">
      <c r="A23" s="106" t="s">
        <v>26</v>
      </c>
      <c r="B23" s="118">
        <v>106574</v>
      </c>
      <c r="C23" s="118">
        <v>133679</v>
      </c>
      <c r="D23" s="118">
        <v>84895</v>
      </c>
      <c r="E23" s="118">
        <v>101450</v>
      </c>
      <c r="F23" s="120">
        <f t="shared" si="3"/>
        <v>25.433032446938284</v>
      </c>
      <c r="G23" s="120">
        <f t="shared" si="4"/>
        <v>-36.493390884132879</v>
      </c>
      <c r="H23" s="120">
        <f t="shared" si="5"/>
        <v>19.500559514694626</v>
      </c>
      <c r="K23" s="23">
        <v>2013</v>
      </c>
      <c r="L23" s="23">
        <v>2014</v>
      </c>
      <c r="M23" s="23">
        <v>2015</v>
      </c>
    </row>
    <row r="24" spans="1:13" ht="14.25" customHeight="1" x14ac:dyDescent="0.3">
      <c r="A24" s="104" t="s">
        <v>227</v>
      </c>
      <c r="B24" s="123">
        <v>-91287</v>
      </c>
      <c r="C24" s="123">
        <v>-167736</v>
      </c>
      <c r="D24" s="123">
        <v>-49251</v>
      </c>
      <c r="E24" s="123">
        <v>-60347</v>
      </c>
      <c r="F24" s="120">
        <f t="shared" si="3"/>
        <v>83.745768838936542</v>
      </c>
      <c r="G24" s="120">
        <f t="shared" si="4"/>
        <v>-70.63778795249678</v>
      </c>
      <c r="H24" s="120">
        <f t="shared" si="5"/>
        <v>22.529491786968791</v>
      </c>
    </row>
    <row r="25" spans="1:13" ht="14.25" customHeight="1" x14ac:dyDescent="0.3">
      <c r="A25" s="106" t="s">
        <v>228</v>
      </c>
      <c r="B25" s="118">
        <v>0</v>
      </c>
      <c r="C25" s="124">
        <v>-3325</v>
      </c>
      <c r="D25" s="124">
        <v>-2608</v>
      </c>
      <c r="E25" s="118">
        <v>0</v>
      </c>
      <c r="F25" s="120" t="str">
        <f t="shared" si="3"/>
        <v>-</v>
      </c>
      <c r="G25" s="120">
        <f t="shared" si="4"/>
        <v>-21.563909774436084</v>
      </c>
      <c r="H25" s="120">
        <f t="shared" si="5"/>
        <v>-100</v>
      </c>
      <c r="K25" s="24">
        <f>C167/C162</f>
        <v>0</v>
      </c>
      <c r="L25" s="24">
        <f>D167/D162</f>
        <v>0</v>
      </c>
      <c r="M25" s="24">
        <f>E167/E162</f>
        <v>0</v>
      </c>
    </row>
    <row r="26" spans="1:13" ht="14.25" customHeight="1" x14ac:dyDescent="0.3">
      <c r="A26" s="104" t="s">
        <v>29</v>
      </c>
      <c r="B26" s="123">
        <v>-62751</v>
      </c>
      <c r="C26" s="123">
        <v>-136163</v>
      </c>
      <c r="D26" s="123">
        <v>-20613</v>
      </c>
      <c r="E26" s="123">
        <v>-40402</v>
      </c>
      <c r="F26" s="120">
        <f t="shared" si="3"/>
        <v>116.98937068731973</v>
      </c>
      <c r="G26" s="120">
        <f t="shared" si="4"/>
        <v>-84.861526258969036</v>
      </c>
      <c r="H26" s="120">
        <f t="shared" si="5"/>
        <v>96.002522679862224</v>
      </c>
      <c r="K26" s="24">
        <f t="shared" ref="K26:M26" si="6">K30/C3</f>
        <v>0.12615488255497542</v>
      </c>
      <c r="L26" s="24">
        <f t="shared" si="6"/>
        <v>0.21431928365558561</v>
      </c>
      <c r="M26" s="24">
        <f t="shared" si="6"/>
        <v>0.26671195800195058</v>
      </c>
    </row>
    <row r="27" spans="1:13" ht="14.25" customHeight="1" x14ac:dyDescent="0.3">
      <c r="A27" s="106" t="s">
        <v>30</v>
      </c>
      <c r="B27" s="124">
        <v>-28536</v>
      </c>
      <c r="C27" s="124">
        <v>-28248</v>
      </c>
      <c r="D27" s="124">
        <v>-26030</v>
      </c>
      <c r="E27" s="124">
        <v>-19984</v>
      </c>
      <c r="F27" s="120">
        <f t="shared" si="3"/>
        <v>-1.0092514718250678</v>
      </c>
      <c r="G27" s="120">
        <f t="shared" si="4"/>
        <v>-7.8518833191730364</v>
      </c>
      <c r="H27" s="120">
        <f t="shared" si="5"/>
        <v>-23.227045716480987</v>
      </c>
      <c r="I27" s="10"/>
      <c r="K27" s="25">
        <v>2.29E-2</v>
      </c>
      <c r="L27" s="25">
        <v>4.2799999999999998E-2</v>
      </c>
      <c r="M27" s="25">
        <v>1.14E-2</v>
      </c>
    </row>
    <row r="28" spans="1:13" ht="14.25" customHeight="1" x14ac:dyDescent="0.3">
      <c r="A28" s="132" t="s">
        <v>229</v>
      </c>
      <c r="B28" s="133">
        <v>123245</v>
      </c>
      <c r="C28" s="133">
        <v>134376</v>
      </c>
      <c r="D28" s="133">
        <v>304770</v>
      </c>
      <c r="E28" s="133">
        <v>352721</v>
      </c>
      <c r="F28" s="120">
        <f t="shared" si="3"/>
        <v>9.0316037161751073</v>
      </c>
      <c r="G28" s="120">
        <f t="shared" si="4"/>
        <v>126.80389355242005</v>
      </c>
      <c r="H28" s="120">
        <f t="shared" si="5"/>
        <v>15.73350395380122</v>
      </c>
    </row>
    <row r="29" spans="1:13" ht="14.25" customHeight="1" x14ac:dyDescent="0.3">
      <c r="A29" s="102" t="s">
        <v>230</v>
      </c>
      <c r="B29" s="103">
        <v>19300</v>
      </c>
      <c r="C29" s="103">
        <v>16234</v>
      </c>
      <c r="D29" s="103">
        <v>10177</v>
      </c>
      <c r="E29" s="103">
        <v>25421</v>
      </c>
      <c r="F29" s="120">
        <f t="shared" ref="F29:F58" si="7">IFERROR(((C29/B29)-1)*100,"-")</f>
        <v>-15.886010362694304</v>
      </c>
      <c r="G29" s="120">
        <f t="shared" ref="G29:G58" si="8">IFERROR(((D29/C29)-1)*100,"-")</f>
        <v>-37.310582727608718</v>
      </c>
      <c r="H29" s="120">
        <f t="shared" ref="H29:H58" si="9">IFERROR(((E29/D29)-1)*100,"-")</f>
        <v>149.78873931413972</v>
      </c>
      <c r="K29" s="23" t="s">
        <v>42</v>
      </c>
      <c r="L29" s="23" t="s">
        <v>42</v>
      </c>
      <c r="M29" s="23" t="s">
        <v>42</v>
      </c>
    </row>
    <row r="30" spans="1:13" ht="14.25" customHeight="1" x14ac:dyDescent="0.3">
      <c r="A30" s="104" t="s">
        <v>35</v>
      </c>
      <c r="B30" s="105">
        <v>0</v>
      </c>
      <c r="C30" s="105">
        <v>0</v>
      </c>
      <c r="D30" s="105">
        <v>0</v>
      </c>
      <c r="E30" s="105">
        <v>0</v>
      </c>
      <c r="F30" s="120" t="str">
        <f t="shared" si="7"/>
        <v>-</v>
      </c>
      <c r="G30" s="120" t="str">
        <f t="shared" si="8"/>
        <v>-</v>
      </c>
      <c r="H30" s="120" t="str">
        <f t="shared" si="9"/>
        <v>-</v>
      </c>
      <c r="J30">
        <v>2012</v>
      </c>
      <c r="K30" s="23">
        <v>1038305.65</v>
      </c>
      <c r="L30" s="23">
        <v>1832159.19</v>
      </c>
      <c r="M30" s="23">
        <v>2619537.9</v>
      </c>
    </row>
    <row r="31" spans="1:13" ht="14.25" customHeight="1" x14ac:dyDescent="0.3">
      <c r="A31" s="106" t="s">
        <v>231</v>
      </c>
      <c r="B31" s="107">
        <v>0</v>
      </c>
      <c r="C31" s="107">
        <v>0</v>
      </c>
      <c r="D31" s="107">
        <v>0</v>
      </c>
      <c r="E31" s="107">
        <v>0</v>
      </c>
      <c r="F31" s="120" t="str">
        <f t="shared" si="7"/>
        <v>-</v>
      </c>
      <c r="G31" s="120" t="str">
        <f t="shared" si="8"/>
        <v>-</v>
      </c>
      <c r="H31" s="120" t="str">
        <f t="shared" si="9"/>
        <v>-</v>
      </c>
      <c r="I31" s="10"/>
      <c r="J31" t="s">
        <v>32</v>
      </c>
    </row>
    <row r="32" spans="1:13" ht="14.25" customHeight="1" x14ac:dyDescent="0.3">
      <c r="A32" s="104" t="s">
        <v>232</v>
      </c>
      <c r="B32" s="105">
        <v>0</v>
      </c>
      <c r="C32" s="105">
        <v>0</v>
      </c>
      <c r="D32" s="105">
        <v>0</v>
      </c>
      <c r="E32" s="105">
        <v>0</v>
      </c>
      <c r="F32" s="120" t="str">
        <f t="shared" si="7"/>
        <v>-</v>
      </c>
      <c r="G32" s="120" t="str">
        <f t="shared" si="8"/>
        <v>-</v>
      </c>
      <c r="H32" s="120" t="str">
        <f t="shared" si="9"/>
        <v>-</v>
      </c>
      <c r="I32" s="10" t="s">
        <v>34</v>
      </c>
      <c r="J32" s="24">
        <f>B167/B162</f>
        <v>0</v>
      </c>
    </row>
    <row r="33" spans="1:12" ht="14.25" customHeight="1" x14ac:dyDescent="0.3">
      <c r="A33" s="106" t="s">
        <v>233</v>
      </c>
      <c r="B33" s="107">
        <v>0</v>
      </c>
      <c r="C33" s="107">
        <v>0</v>
      </c>
      <c r="D33" s="107">
        <v>0</v>
      </c>
      <c r="E33" s="107">
        <v>0</v>
      </c>
      <c r="F33" s="120" t="str">
        <f t="shared" si="7"/>
        <v>-</v>
      </c>
      <c r="G33" s="120" t="str">
        <f t="shared" si="8"/>
        <v>-</v>
      </c>
      <c r="H33" s="120" t="str">
        <f t="shared" si="9"/>
        <v>-</v>
      </c>
      <c r="I33" t="s">
        <v>36</v>
      </c>
      <c r="J33" s="24">
        <f>J37/B3</f>
        <v>3.5943182709957437E-2</v>
      </c>
    </row>
    <row r="34" spans="1:12" ht="14.25" customHeight="1" x14ac:dyDescent="0.3">
      <c r="A34" s="104" t="s">
        <v>232</v>
      </c>
      <c r="B34" s="105">
        <v>0</v>
      </c>
      <c r="C34" s="105">
        <v>0</v>
      </c>
      <c r="D34" s="105">
        <v>0</v>
      </c>
      <c r="E34" s="105">
        <v>0</v>
      </c>
      <c r="F34" s="120" t="str">
        <f t="shared" si="7"/>
        <v>-</v>
      </c>
      <c r="G34" s="120" t="str">
        <f t="shared" si="8"/>
        <v>-</v>
      </c>
      <c r="H34" s="120" t="str">
        <f t="shared" si="9"/>
        <v>-</v>
      </c>
      <c r="I34" t="s">
        <v>38</v>
      </c>
      <c r="J34" s="25">
        <v>3.39E-2</v>
      </c>
    </row>
    <row r="35" spans="1:12" ht="14.25" customHeight="1" x14ac:dyDescent="0.3">
      <c r="A35" s="106" t="s">
        <v>44</v>
      </c>
      <c r="B35" s="107">
        <v>2664</v>
      </c>
      <c r="C35" s="107">
        <v>2018</v>
      </c>
      <c r="D35" s="107">
        <v>1440</v>
      </c>
      <c r="E35" s="107">
        <v>20467</v>
      </c>
      <c r="F35" s="120">
        <f t="shared" si="7"/>
        <v>-24.24924924924925</v>
      </c>
      <c r="G35" s="120">
        <f t="shared" si="8"/>
        <v>-28.642220019821607</v>
      </c>
      <c r="H35" s="120">
        <f t="shared" si="9"/>
        <v>1321.3194444444443</v>
      </c>
      <c r="J35" t="s">
        <v>40</v>
      </c>
    </row>
    <row r="36" spans="1:12" ht="14.25" customHeight="1" x14ac:dyDescent="0.3">
      <c r="A36" s="104" t="s">
        <v>213</v>
      </c>
      <c r="B36" s="105">
        <v>2363</v>
      </c>
      <c r="C36" s="105">
        <v>1671</v>
      </c>
      <c r="D36" s="105">
        <v>1437</v>
      </c>
      <c r="E36" s="105">
        <v>19701</v>
      </c>
      <c r="F36" s="120">
        <f t="shared" si="7"/>
        <v>-29.284807448159121</v>
      </c>
      <c r="G36" s="120">
        <f t="shared" si="8"/>
        <v>-14.003590664272892</v>
      </c>
      <c r="H36" s="120">
        <f t="shared" si="9"/>
        <v>1270.9812108559499</v>
      </c>
    </row>
    <row r="37" spans="1:12" ht="14.25" customHeight="1" x14ac:dyDescent="0.3">
      <c r="A37" s="106" t="s">
        <v>45</v>
      </c>
      <c r="B37" s="107">
        <v>0</v>
      </c>
      <c r="C37" s="107">
        <v>0</v>
      </c>
      <c r="D37" s="107">
        <v>0</v>
      </c>
      <c r="E37" s="107">
        <v>0</v>
      </c>
      <c r="F37" s="120" t="str">
        <f t="shared" si="7"/>
        <v>-</v>
      </c>
      <c r="G37" s="120" t="str">
        <f t="shared" si="8"/>
        <v>-</v>
      </c>
      <c r="H37" s="120" t="str">
        <f t="shared" si="9"/>
        <v>-</v>
      </c>
      <c r="I37" t="s">
        <v>43</v>
      </c>
      <c r="J37">
        <v>298166.78000000003</v>
      </c>
    </row>
    <row r="38" spans="1:12" ht="14.25" customHeight="1" x14ac:dyDescent="0.3">
      <c r="A38" s="104" t="s">
        <v>234</v>
      </c>
      <c r="B38" s="105">
        <v>0</v>
      </c>
      <c r="C38" s="105">
        <v>0</v>
      </c>
      <c r="D38" s="105">
        <v>0</v>
      </c>
      <c r="E38" s="105">
        <v>0</v>
      </c>
      <c r="F38" s="120" t="str">
        <f t="shared" si="7"/>
        <v>-</v>
      </c>
      <c r="G38" s="120" t="str">
        <f t="shared" si="8"/>
        <v>-</v>
      </c>
      <c r="H38" s="120" t="str">
        <f t="shared" si="9"/>
        <v>-</v>
      </c>
    </row>
    <row r="39" spans="1:12" ht="14.25" customHeight="1" x14ac:dyDescent="0.3">
      <c r="A39" s="106" t="s">
        <v>235</v>
      </c>
      <c r="B39" s="107">
        <v>0</v>
      </c>
      <c r="C39" s="107">
        <v>0</v>
      </c>
      <c r="D39" s="107">
        <v>0</v>
      </c>
      <c r="E39" s="107">
        <v>0</v>
      </c>
      <c r="F39" s="120" t="str">
        <f t="shared" si="7"/>
        <v>-</v>
      </c>
      <c r="G39" s="120" t="str">
        <f t="shared" si="8"/>
        <v>-</v>
      </c>
      <c r="H39" s="120" t="str">
        <f t="shared" si="9"/>
        <v>-</v>
      </c>
    </row>
    <row r="40" spans="1:12" ht="14.25" customHeight="1" x14ac:dyDescent="0.3">
      <c r="A40" s="104" t="s">
        <v>48</v>
      </c>
      <c r="B40" s="105">
        <v>16636</v>
      </c>
      <c r="C40" s="105">
        <v>14216</v>
      </c>
      <c r="D40" s="105">
        <v>8737</v>
      </c>
      <c r="E40" s="105">
        <v>4954</v>
      </c>
      <c r="F40" s="120">
        <f t="shared" si="7"/>
        <v>-14.546766049531135</v>
      </c>
      <c r="G40" s="120">
        <f t="shared" si="8"/>
        <v>-38.54108047270681</v>
      </c>
      <c r="H40" s="120">
        <f t="shared" si="9"/>
        <v>-43.298615085269546</v>
      </c>
    </row>
    <row r="41" spans="1:12" ht="14.25" customHeight="1" x14ac:dyDescent="0.3">
      <c r="A41" s="102" t="s">
        <v>236</v>
      </c>
      <c r="B41" s="134">
        <v>-16727</v>
      </c>
      <c r="C41" s="134">
        <v>-9578</v>
      </c>
      <c r="D41" s="134">
        <v>-4030</v>
      </c>
      <c r="E41" s="134">
        <v>-5486</v>
      </c>
      <c r="F41" s="120">
        <f t="shared" si="7"/>
        <v>-42.739283792670534</v>
      </c>
      <c r="G41" s="120">
        <f t="shared" si="8"/>
        <v>-57.924410106494051</v>
      </c>
      <c r="H41" s="120">
        <f t="shared" si="9"/>
        <v>36.12903225806452</v>
      </c>
    </row>
    <row r="42" spans="1:12" ht="14.25" customHeight="1" x14ac:dyDescent="0.3">
      <c r="A42" s="104" t="s">
        <v>50</v>
      </c>
      <c r="B42" s="121">
        <v>-15320</v>
      </c>
      <c r="C42" s="121">
        <v>-8930</v>
      </c>
      <c r="D42" s="121">
        <v>-3505</v>
      </c>
      <c r="E42" s="121">
        <v>-4916</v>
      </c>
      <c r="F42" s="120">
        <f t="shared" si="7"/>
        <v>-41.710182767624019</v>
      </c>
      <c r="G42" s="120">
        <f t="shared" si="8"/>
        <v>-60.750279955207162</v>
      </c>
      <c r="H42" s="120">
        <f t="shared" si="9"/>
        <v>40.256776034236808</v>
      </c>
    </row>
    <row r="43" spans="1:12" ht="14.25" customHeight="1" x14ac:dyDescent="0.3">
      <c r="A43" s="106" t="s">
        <v>237</v>
      </c>
      <c r="B43" s="111">
        <v>-4692</v>
      </c>
      <c r="C43" s="111">
        <v>-3312</v>
      </c>
      <c r="D43" s="107">
        <v>0</v>
      </c>
      <c r="E43" s="107">
        <v>0</v>
      </c>
      <c r="F43" s="120">
        <f t="shared" si="7"/>
        <v>-29.411764705882348</v>
      </c>
      <c r="G43" s="120">
        <f t="shared" si="8"/>
        <v>-100</v>
      </c>
      <c r="H43" s="120" t="str">
        <f t="shared" si="9"/>
        <v>-</v>
      </c>
    </row>
    <row r="44" spans="1:12" ht="14.25" customHeight="1" x14ac:dyDescent="0.3">
      <c r="A44" s="104" t="s">
        <v>53</v>
      </c>
      <c r="B44" s="105">
        <v>0</v>
      </c>
      <c r="C44" s="105">
        <v>0</v>
      </c>
      <c r="D44" s="105">
        <v>0</v>
      </c>
      <c r="E44" s="105">
        <v>0</v>
      </c>
      <c r="F44" s="120" t="str">
        <f t="shared" si="7"/>
        <v>-</v>
      </c>
      <c r="G44" s="120" t="str">
        <f t="shared" si="8"/>
        <v>-</v>
      </c>
      <c r="H44" s="120" t="str">
        <f t="shared" si="9"/>
        <v>-</v>
      </c>
      <c r="I44" s="10"/>
    </row>
    <row r="45" spans="1:12" ht="14.25" customHeight="1" x14ac:dyDescent="0.3">
      <c r="A45" s="106" t="s">
        <v>234</v>
      </c>
      <c r="B45" s="107">
        <v>0</v>
      </c>
      <c r="C45" s="107">
        <v>0</v>
      </c>
      <c r="D45" s="107">
        <v>0</v>
      </c>
      <c r="E45" s="107">
        <v>0</v>
      </c>
      <c r="F45" s="120" t="str">
        <f t="shared" si="7"/>
        <v>-</v>
      </c>
      <c r="G45" s="120" t="str">
        <f t="shared" si="8"/>
        <v>-</v>
      </c>
      <c r="H45" s="120" t="str">
        <f t="shared" si="9"/>
        <v>-</v>
      </c>
    </row>
    <row r="46" spans="1:12" ht="14.25" customHeight="1" x14ac:dyDescent="0.3">
      <c r="A46" s="104" t="s">
        <v>54</v>
      </c>
      <c r="B46" s="105">
        <v>0</v>
      </c>
      <c r="C46" s="105">
        <v>0</v>
      </c>
      <c r="D46" s="105">
        <v>0</v>
      </c>
      <c r="E46" s="105">
        <v>0</v>
      </c>
      <c r="F46" s="120" t="str">
        <f t="shared" si="7"/>
        <v>-</v>
      </c>
      <c r="G46" s="120" t="str">
        <f t="shared" si="8"/>
        <v>-</v>
      </c>
      <c r="H46" s="120" t="str">
        <f t="shared" si="9"/>
        <v>-</v>
      </c>
      <c r="K46" s="24">
        <f>D49/D48</f>
        <v>-0.18080709642766399</v>
      </c>
      <c r="L46" s="24">
        <f>E49/E48</f>
        <v>-0.25767463827229403</v>
      </c>
    </row>
    <row r="47" spans="1:12" ht="14.25" customHeight="1" x14ac:dyDescent="0.3">
      <c r="A47" s="106" t="s">
        <v>55</v>
      </c>
      <c r="B47" s="111">
        <v>-1407</v>
      </c>
      <c r="C47" s="107">
        <v>-648</v>
      </c>
      <c r="D47" s="107">
        <v>-525</v>
      </c>
      <c r="E47" s="107">
        <v>-570</v>
      </c>
      <c r="F47" s="120">
        <f t="shared" si="7"/>
        <v>-53.944562899786774</v>
      </c>
      <c r="G47" s="120">
        <f t="shared" si="8"/>
        <v>-18.981481481481477</v>
      </c>
      <c r="H47" s="120">
        <f t="shared" si="9"/>
        <v>8.5714285714285623</v>
      </c>
    </row>
    <row r="48" spans="1:12" ht="14.25" customHeight="1" x14ac:dyDescent="0.3">
      <c r="A48" s="132" t="s">
        <v>238</v>
      </c>
      <c r="B48" s="133">
        <v>125818</v>
      </c>
      <c r="C48" s="133">
        <v>141032</v>
      </c>
      <c r="D48" s="133">
        <v>310917</v>
      </c>
      <c r="E48" s="133">
        <v>372656</v>
      </c>
      <c r="F48" s="120">
        <f t="shared" si="7"/>
        <v>12.092069497210268</v>
      </c>
      <c r="G48" s="120">
        <f t="shared" si="8"/>
        <v>120.45847750865053</v>
      </c>
      <c r="H48" s="120">
        <f t="shared" si="9"/>
        <v>19.857067963475771</v>
      </c>
    </row>
    <row r="49" spans="1:12" ht="14.25" customHeight="1" x14ac:dyDescent="0.3">
      <c r="A49" s="135" t="s">
        <v>239</v>
      </c>
      <c r="B49" s="111">
        <v>-44486</v>
      </c>
      <c r="C49" s="111">
        <v>-21711</v>
      </c>
      <c r="D49" s="111">
        <v>-56216</v>
      </c>
      <c r="E49" s="137">
        <v>-96024</v>
      </c>
      <c r="F49" s="120">
        <f t="shared" si="7"/>
        <v>-51.195881850469817</v>
      </c>
      <c r="G49" s="120">
        <f t="shared" si="8"/>
        <v>158.92865367785913</v>
      </c>
      <c r="H49" s="120">
        <f t="shared" si="9"/>
        <v>70.812580048384802</v>
      </c>
    </row>
    <row r="50" spans="1:12" ht="14.25" customHeight="1" x14ac:dyDescent="0.3">
      <c r="A50" s="104" t="s">
        <v>240</v>
      </c>
      <c r="B50" s="105">
        <v>0</v>
      </c>
      <c r="C50" s="105">
        <v>0</v>
      </c>
      <c r="D50" s="105">
        <v>0</v>
      </c>
      <c r="E50" s="105">
        <v>0</v>
      </c>
      <c r="F50" s="120" t="str">
        <f t="shared" si="7"/>
        <v>-</v>
      </c>
      <c r="G50" s="120" t="str">
        <f t="shared" si="8"/>
        <v>-</v>
      </c>
      <c r="H50" s="120" t="str">
        <f t="shared" si="9"/>
        <v>-</v>
      </c>
    </row>
    <row r="51" spans="1:12" ht="14.25" customHeight="1" x14ac:dyDescent="0.3">
      <c r="A51" s="138" t="s">
        <v>241</v>
      </c>
      <c r="B51" s="139">
        <v>81332</v>
      </c>
      <c r="C51" s="139">
        <v>119321</v>
      </c>
      <c r="D51" s="139">
        <v>254701</v>
      </c>
      <c r="E51" s="139">
        <v>276632</v>
      </c>
      <c r="F51" s="120">
        <f t="shared" si="7"/>
        <v>46.708552599222926</v>
      </c>
      <c r="G51" s="120">
        <f t="shared" si="8"/>
        <v>113.45865354799241</v>
      </c>
      <c r="H51" s="120">
        <f t="shared" si="9"/>
        <v>8.6104883765670372</v>
      </c>
      <c r="K51">
        <f>D167/D56</f>
        <v>0</v>
      </c>
      <c r="L51">
        <f>E167/E56</f>
        <v>0</v>
      </c>
    </row>
    <row r="52" spans="1:12" ht="14.25" customHeight="1" x14ac:dyDescent="0.3">
      <c r="A52" s="27" t="s">
        <v>60</v>
      </c>
      <c r="B52" s="123">
        <v>200958</v>
      </c>
      <c r="C52" s="123">
        <v>199906</v>
      </c>
      <c r="D52" s="123">
        <v>182256</v>
      </c>
      <c r="E52" s="123">
        <v>207378</v>
      </c>
      <c r="F52" s="120">
        <f t="shared" si="7"/>
        <v>-0.52349247106360242</v>
      </c>
      <c r="G52" s="120">
        <f t="shared" si="8"/>
        <v>-8.8291497003591743</v>
      </c>
      <c r="H52" s="120">
        <f t="shared" si="9"/>
        <v>13.78390834869634</v>
      </c>
      <c r="I52" s="10"/>
    </row>
    <row r="53" spans="1:12" ht="14.25" customHeight="1" x14ac:dyDescent="0.3">
      <c r="B53" s="29">
        <f>B51+B52</f>
        <v>282290</v>
      </c>
      <c r="C53" s="29">
        <f t="shared" ref="C53:E53" si="10">C51+C52</f>
        <v>319227</v>
      </c>
      <c r="D53" s="29">
        <f t="shared" si="10"/>
        <v>436957</v>
      </c>
      <c r="E53" s="29">
        <f t="shared" si="10"/>
        <v>484010</v>
      </c>
      <c r="F53" s="120">
        <f t="shared" si="7"/>
        <v>13.084770980197668</v>
      </c>
      <c r="G53" s="120">
        <f t="shared" si="8"/>
        <v>36.879712555642222</v>
      </c>
      <c r="H53" s="120">
        <f t="shared" si="9"/>
        <v>10.768336472467531</v>
      </c>
      <c r="I53" s="24">
        <f>B49/B48</f>
        <v>-0.35357421036735603</v>
      </c>
      <c r="J53" s="24">
        <f>C49/C48</f>
        <v>-0.15394378580747631</v>
      </c>
    </row>
    <row r="54" spans="1:12" ht="14.25" customHeight="1" x14ac:dyDescent="0.3">
      <c r="A54" s="97" t="s">
        <v>61</v>
      </c>
      <c r="B54" s="98">
        <v>41639</v>
      </c>
      <c r="C54" s="98">
        <v>42004</v>
      </c>
      <c r="D54" s="98">
        <v>42369</v>
      </c>
      <c r="E54" s="98">
        <v>42735</v>
      </c>
      <c r="F54" s="120">
        <f t="shared" si="7"/>
        <v>0.87658205048151139</v>
      </c>
      <c r="G54" s="120">
        <f t="shared" si="8"/>
        <v>0.86896486048948507</v>
      </c>
      <c r="H54" s="120">
        <f t="shared" si="9"/>
        <v>0.86383912766410109</v>
      </c>
    </row>
    <row r="55" spans="1:12" ht="14.25" customHeight="1" x14ac:dyDescent="0.3">
      <c r="A55" s="100"/>
      <c r="B55" s="100"/>
      <c r="C55" s="100"/>
      <c r="D55" s="100"/>
      <c r="E55" s="100"/>
      <c r="F55" s="120" t="str">
        <f t="shared" si="7"/>
        <v>-</v>
      </c>
      <c r="G55" s="120" t="str">
        <f t="shared" si="8"/>
        <v>-</v>
      </c>
      <c r="H55" s="120" t="str">
        <f t="shared" si="9"/>
        <v>-</v>
      </c>
      <c r="I55" s="10"/>
    </row>
    <row r="56" spans="1:12" ht="14.25" customHeight="1" x14ac:dyDescent="0.3">
      <c r="A56" s="102" t="s">
        <v>242</v>
      </c>
      <c r="B56" s="103">
        <v>4730566</v>
      </c>
      <c r="C56" s="103">
        <v>4558013</v>
      </c>
      <c r="D56" s="103">
        <v>4749761</v>
      </c>
      <c r="E56" s="103">
        <v>4992502</v>
      </c>
      <c r="F56" s="120">
        <f t="shared" si="7"/>
        <v>-3.6476184879356888</v>
      </c>
      <c r="G56" s="120">
        <f t="shared" si="8"/>
        <v>4.2068331090762578</v>
      </c>
      <c r="H56" s="120">
        <f t="shared" si="9"/>
        <v>5.1105939856763261</v>
      </c>
      <c r="I56" s="10"/>
    </row>
    <row r="57" spans="1:12" ht="14.25" customHeight="1" x14ac:dyDescent="0.3">
      <c r="A57" s="140" t="s">
        <v>62</v>
      </c>
      <c r="B57" s="141">
        <v>3102776</v>
      </c>
      <c r="C57" s="141">
        <v>2909635</v>
      </c>
      <c r="D57" s="141">
        <v>2831588</v>
      </c>
      <c r="E57" s="141">
        <v>2808978</v>
      </c>
      <c r="F57" s="120">
        <f t="shared" si="7"/>
        <v>-6.2247806480390411</v>
      </c>
      <c r="G57" s="120">
        <f t="shared" si="8"/>
        <v>-2.6823639391195142</v>
      </c>
      <c r="H57" s="120">
        <f t="shared" si="9"/>
        <v>-0.79849187099253482</v>
      </c>
    </row>
    <row r="58" spans="1:12" ht="14.25" customHeight="1" x14ac:dyDescent="0.3">
      <c r="A58" s="106" t="s">
        <v>63</v>
      </c>
      <c r="B58" s="107">
        <v>69799</v>
      </c>
      <c r="C58" s="107">
        <v>58192</v>
      </c>
      <c r="D58" s="107">
        <v>58793</v>
      </c>
      <c r="E58" s="107">
        <v>57573</v>
      </c>
      <c r="F58" s="120">
        <f t="shared" si="7"/>
        <v>-16.629178068453697</v>
      </c>
      <c r="G58" s="120">
        <f t="shared" si="8"/>
        <v>1.0327880120978739</v>
      </c>
      <c r="H58" s="120">
        <f t="shared" si="9"/>
        <v>-2.0750769649448109</v>
      </c>
      <c r="I58">
        <f>B167/B56</f>
        <v>0</v>
      </c>
      <c r="J58">
        <f>C167/C56</f>
        <v>0</v>
      </c>
    </row>
    <row r="59" spans="1:12" ht="14.25" customHeight="1" x14ac:dyDescent="0.3">
      <c r="A59" s="104" t="s">
        <v>64</v>
      </c>
      <c r="B59" s="105">
        <v>0</v>
      </c>
      <c r="C59" s="105">
        <v>0</v>
      </c>
      <c r="D59" s="105">
        <v>0</v>
      </c>
      <c r="E59" s="105">
        <v>0</v>
      </c>
      <c r="F59" s="120" t="str">
        <f t="shared" ref="F59:F85" si="11">IFERROR(((C59/B59)-1)*100,"-")</f>
        <v>-</v>
      </c>
      <c r="G59" s="120" t="str">
        <f t="shared" ref="G59:G85" si="12">IFERROR(((D59/C59)-1)*100,"-")</f>
        <v>-</v>
      </c>
      <c r="H59" s="120" t="str">
        <f t="shared" ref="H59:H85" si="13">IFERROR(((E59/D59)-1)*100,"-")</f>
        <v>-</v>
      </c>
    </row>
    <row r="60" spans="1:12" ht="14.25" customHeight="1" x14ac:dyDescent="0.3">
      <c r="A60" s="106" t="s">
        <v>65</v>
      </c>
      <c r="B60" s="107">
        <v>38105</v>
      </c>
      <c r="C60" s="107">
        <v>30730</v>
      </c>
      <c r="D60" s="107">
        <v>23355</v>
      </c>
      <c r="E60" s="107">
        <v>15980</v>
      </c>
      <c r="F60" s="120">
        <f t="shared" si="11"/>
        <v>-19.354415431045791</v>
      </c>
      <c r="G60" s="120">
        <f t="shared" si="12"/>
        <v>-23.999349170191998</v>
      </c>
      <c r="H60" s="120">
        <f t="shared" si="13"/>
        <v>-31.577820595161633</v>
      </c>
      <c r="I60" s="34"/>
    </row>
    <row r="61" spans="1:12" ht="14.25" customHeight="1" x14ac:dyDescent="0.3">
      <c r="A61" s="104" t="s">
        <v>67</v>
      </c>
      <c r="B61" s="105">
        <v>31694</v>
      </c>
      <c r="C61" s="105">
        <v>27462</v>
      </c>
      <c r="D61" s="105">
        <v>35438</v>
      </c>
      <c r="E61" s="105">
        <v>41593</v>
      </c>
      <c r="F61" s="120">
        <f t="shared" si="11"/>
        <v>-13.352685050798263</v>
      </c>
      <c r="G61" s="120">
        <f t="shared" si="12"/>
        <v>29.043769572500189</v>
      </c>
      <c r="H61" s="120">
        <f t="shared" si="13"/>
        <v>17.368361645691067</v>
      </c>
      <c r="I61" s="36"/>
    </row>
    <row r="62" spans="1:12" ht="15" customHeight="1" x14ac:dyDescent="0.3">
      <c r="A62" s="174" t="s">
        <v>68</v>
      </c>
      <c r="B62" s="175">
        <v>0</v>
      </c>
      <c r="C62" s="175">
        <v>0</v>
      </c>
      <c r="D62" s="175">
        <v>0</v>
      </c>
      <c r="E62" s="175">
        <v>0</v>
      </c>
      <c r="F62" s="120" t="str">
        <f t="shared" si="11"/>
        <v>-</v>
      </c>
      <c r="G62" s="120" t="str">
        <f t="shared" si="12"/>
        <v>-</v>
      </c>
      <c r="H62" s="120" t="str">
        <f t="shared" si="13"/>
        <v>-</v>
      </c>
    </row>
    <row r="63" spans="1:12" ht="14.25" customHeight="1" x14ac:dyDescent="0.3">
      <c r="A63" s="104" t="s">
        <v>69</v>
      </c>
      <c r="B63" s="105">
        <v>2402393</v>
      </c>
      <c r="C63" s="105">
        <v>2228829</v>
      </c>
      <c r="D63" s="105">
        <v>2191655</v>
      </c>
      <c r="E63" s="105">
        <v>2171626</v>
      </c>
      <c r="F63" s="120">
        <f t="shared" si="11"/>
        <v>-7.2246297753947868</v>
      </c>
      <c r="G63" s="120">
        <f t="shared" si="12"/>
        <v>-1.6678713351271024</v>
      </c>
      <c r="H63" s="120">
        <f t="shared" si="13"/>
        <v>-0.91387558717042072</v>
      </c>
    </row>
    <row r="64" spans="1:12" ht="14.25" customHeight="1" x14ac:dyDescent="0.3">
      <c r="A64" s="106" t="s">
        <v>70</v>
      </c>
      <c r="B64" s="107">
        <v>2341830</v>
      </c>
      <c r="C64" s="107">
        <v>2184075</v>
      </c>
      <c r="D64" s="107">
        <v>2136455</v>
      </c>
      <c r="E64" s="107">
        <v>2089018</v>
      </c>
      <c r="F64" s="120">
        <f t="shared" si="11"/>
        <v>-6.7363984576164775</v>
      </c>
      <c r="G64" s="120">
        <f t="shared" si="12"/>
        <v>-2.1803280564998917</v>
      </c>
      <c r="H64" s="120">
        <f t="shared" si="13"/>
        <v>-2.2203603633121238</v>
      </c>
      <c r="J64" s="105" t="s">
        <v>243</v>
      </c>
    </row>
    <row r="65" spans="1:9" ht="14.25" customHeight="1" x14ac:dyDescent="0.3">
      <c r="A65" s="104" t="s">
        <v>244</v>
      </c>
      <c r="B65" s="105">
        <v>436954</v>
      </c>
      <c r="C65" s="105">
        <v>391689</v>
      </c>
      <c r="D65" s="105">
        <v>404304</v>
      </c>
      <c r="E65" s="105">
        <v>383603</v>
      </c>
      <c r="F65" s="120">
        <f t="shared" si="11"/>
        <v>-10.359214013374407</v>
      </c>
      <c r="G65" s="120">
        <f t="shared" si="12"/>
        <v>3.2206674172621685</v>
      </c>
      <c r="H65" s="120">
        <f t="shared" si="13"/>
        <v>-5.1201571095017666</v>
      </c>
    </row>
    <row r="66" spans="1:9" ht="14.25" customHeight="1" x14ac:dyDescent="0.3">
      <c r="A66" s="106" t="s">
        <v>245</v>
      </c>
      <c r="B66" s="107">
        <v>972578</v>
      </c>
      <c r="C66" s="107">
        <v>906864</v>
      </c>
      <c r="D66" s="107">
        <v>862669</v>
      </c>
      <c r="E66" s="107">
        <v>826336</v>
      </c>
      <c r="F66" s="120">
        <f t="shared" si="11"/>
        <v>-6.756681726298563</v>
      </c>
      <c r="G66" s="120">
        <f t="shared" si="12"/>
        <v>-4.8733878508795181</v>
      </c>
      <c r="H66" s="120">
        <f t="shared" si="13"/>
        <v>-4.211696490774564</v>
      </c>
    </row>
    <row r="67" spans="1:9" ht="14.25" customHeight="1" x14ac:dyDescent="0.3">
      <c r="A67" s="104" t="s">
        <v>73</v>
      </c>
      <c r="B67" s="105">
        <v>928827</v>
      </c>
      <c r="C67" s="105">
        <v>884246</v>
      </c>
      <c r="D67" s="105">
        <v>868899</v>
      </c>
      <c r="E67" s="105">
        <v>878320</v>
      </c>
      <c r="F67" s="120">
        <f t="shared" si="11"/>
        <v>-4.7997097414265504</v>
      </c>
      <c r="G67" s="120">
        <f t="shared" si="12"/>
        <v>-1.7356029883086821</v>
      </c>
      <c r="H67" s="120">
        <f t="shared" si="13"/>
        <v>1.0842456948390922</v>
      </c>
    </row>
    <row r="68" spans="1:9" ht="14.25" customHeight="1" x14ac:dyDescent="0.3">
      <c r="A68" s="106" t="s">
        <v>74</v>
      </c>
      <c r="B68" s="107">
        <v>2145</v>
      </c>
      <c r="C68" s="107">
        <v>359</v>
      </c>
      <c r="D68" s="107">
        <v>4</v>
      </c>
      <c r="E68" s="107">
        <v>0</v>
      </c>
      <c r="F68" s="120">
        <f t="shared" si="11"/>
        <v>-83.263403263403262</v>
      </c>
      <c r="G68" s="120">
        <f t="shared" si="12"/>
        <v>-98.885793871866284</v>
      </c>
      <c r="H68" s="120">
        <f t="shared" si="13"/>
        <v>-100</v>
      </c>
    </row>
    <row r="69" spans="1:9" ht="14.25" hidden="1" customHeight="1" x14ac:dyDescent="0.3">
      <c r="A69" s="104" t="s">
        <v>75</v>
      </c>
      <c r="B69" s="105" t="s">
        <v>246</v>
      </c>
      <c r="C69" s="105">
        <v>899</v>
      </c>
      <c r="D69" s="105">
        <v>579</v>
      </c>
      <c r="E69" s="105">
        <v>759</v>
      </c>
      <c r="F69" s="120" t="str">
        <f t="shared" si="11"/>
        <v>-</v>
      </c>
      <c r="G69" s="120">
        <f t="shared" si="12"/>
        <v>-35.595105672969964</v>
      </c>
      <c r="H69" s="120">
        <f t="shared" si="13"/>
        <v>31.088082901554404</v>
      </c>
    </row>
    <row r="70" spans="1:9" ht="14.25" hidden="1" customHeight="1" x14ac:dyDescent="0.3">
      <c r="A70" s="106" t="s">
        <v>76</v>
      </c>
      <c r="B70" s="107" t="s">
        <v>247</v>
      </c>
      <c r="C70" s="107" t="s">
        <v>248</v>
      </c>
      <c r="D70" s="107" t="s">
        <v>249</v>
      </c>
      <c r="E70" s="107" t="s">
        <v>250</v>
      </c>
      <c r="F70" s="120" t="str">
        <f t="shared" si="11"/>
        <v>-</v>
      </c>
      <c r="G70" s="120" t="str">
        <f t="shared" si="12"/>
        <v>-</v>
      </c>
      <c r="H70" s="120" t="str">
        <f t="shared" si="13"/>
        <v>-</v>
      </c>
      <c r="I70" s="36"/>
    </row>
    <row r="71" spans="1:9" ht="14.25" hidden="1" customHeight="1" x14ac:dyDescent="0.3">
      <c r="A71" s="104" t="s">
        <v>251</v>
      </c>
      <c r="B71" s="105">
        <v>21</v>
      </c>
      <c r="C71" s="105">
        <v>170</v>
      </c>
      <c r="D71" s="105">
        <v>24</v>
      </c>
      <c r="E71" s="105" t="s">
        <v>252</v>
      </c>
      <c r="F71" s="120">
        <f t="shared" si="11"/>
        <v>709.52380952380952</v>
      </c>
      <c r="G71" s="120">
        <f t="shared" si="12"/>
        <v>-85.882352941176478</v>
      </c>
      <c r="H71" s="120" t="str">
        <f t="shared" si="13"/>
        <v>-</v>
      </c>
      <c r="I71" s="36"/>
    </row>
    <row r="72" spans="1:9" ht="14.25" customHeight="1" x14ac:dyDescent="0.3">
      <c r="A72" s="109" t="s">
        <v>76</v>
      </c>
      <c r="B72" s="110">
        <v>60542</v>
      </c>
      <c r="C72" s="110">
        <v>44584</v>
      </c>
      <c r="D72" s="110">
        <v>55176</v>
      </c>
      <c r="E72" s="110">
        <v>81554</v>
      </c>
      <c r="F72" s="120">
        <f>IFERROR(((C72/B72)-1)*100,"-")</f>
        <v>-26.358560998975921</v>
      </c>
      <c r="G72" s="120">
        <f>IFERROR(((D72/C72)-1)*100,"-")</f>
        <v>23.75740175847838</v>
      </c>
      <c r="H72" s="120">
        <f>IFERROR(((E72/D72)-1)*100,"-")</f>
        <v>47.807017543859651</v>
      </c>
    </row>
    <row r="73" spans="1:9" ht="14.25" hidden="1" customHeight="1" x14ac:dyDescent="0.3">
      <c r="A73" s="104" t="s">
        <v>253</v>
      </c>
      <c r="B73" s="105">
        <v>0</v>
      </c>
      <c r="C73" s="105">
        <v>0</v>
      </c>
      <c r="D73" s="105">
        <v>0</v>
      </c>
      <c r="E73" s="105">
        <v>0</v>
      </c>
      <c r="F73" s="120" t="str">
        <f t="shared" si="11"/>
        <v>-</v>
      </c>
      <c r="G73" s="120" t="str">
        <f t="shared" si="12"/>
        <v>-</v>
      </c>
      <c r="H73" s="120" t="str">
        <f t="shared" si="13"/>
        <v>-</v>
      </c>
    </row>
    <row r="74" spans="1:9" ht="14.25" hidden="1" customHeight="1" x14ac:dyDescent="0.3">
      <c r="A74" s="106" t="s">
        <v>254</v>
      </c>
      <c r="B74" s="107">
        <v>0</v>
      </c>
      <c r="C74" s="107">
        <v>0</v>
      </c>
      <c r="D74" s="107">
        <v>0</v>
      </c>
      <c r="E74" s="107">
        <v>0</v>
      </c>
      <c r="F74" s="120" t="str">
        <f>IFERROR(((C74/B74)-1)*100,"-")</f>
        <v>-</v>
      </c>
      <c r="G74" s="120" t="str">
        <f>IFERROR(((D74/C74)-1)*100,"-")</f>
        <v>-</v>
      </c>
      <c r="H74" s="120" t="str">
        <f>IFERROR(((E74/D74)-1)*100,"-")</f>
        <v>-</v>
      </c>
    </row>
    <row r="75" spans="1:9" ht="14.25" hidden="1" customHeight="1" x14ac:dyDescent="0.3">
      <c r="A75" s="104" t="s">
        <v>255</v>
      </c>
      <c r="B75" s="105" t="s">
        <v>256</v>
      </c>
      <c r="C75" s="105" t="s">
        <v>257</v>
      </c>
      <c r="D75" s="105" t="s">
        <v>258</v>
      </c>
      <c r="E75" s="105" t="s">
        <v>259</v>
      </c>
      <c r="F75" s="120" t="str">
        <f t="shared" si="11"/>
        <v>-</v>
      </c>
      <c r="G75" s="120" t="str">
        <f t="shared" si="12"/>
        <v>-</v>
      </c>
      <c r="H75" s="120" t="str">
        <f t="shared" si="13"/>
        <v>-</v>
      </c>
    </row>
    <row r="76" spans="1:9" ht="14.25" hidden="1" customHeight="1" x14ac:dyDescent="0.3">
      <c r="A76" s="106" t="s">
        <v>65</v>
      </c>
      <c r="B76" s="107">
        <v>38105</v>
      </c>
      <c r="C76" s="107">
        <v>30730</v>
      </c>
      <c r="D76" s="107">
        <v>23355</v>
      </c>
      <c r="E76" s="107">
        <v>15980</v>
      </c>
      <c r="F76" s="120">
        <f t="shared" si="11"/>
        <v>-19.354415431045791</v>
      </c>
      <c r="G76" s="120">
        <f t="shared" si="12"/>
        <v>-23.999349170191998</v>
      </c>
      <c r="H76" s="120">
        <f t="shared" si="13"/>
        <v>-31.577820595161633</v>
      </c>
    </row>
    <row r="77" spans="1:9" ht="14.25" hidden="1" customHeight="1" x14ac:dyDescent="0.3">
      <c r="A77" s="104" t="s">
        <v>67</v>
      </c>
      <c r="B77" s="105">
        <v>31694</v>
      </c>
      <c r="C77" s="105">
        <v>27462</v>
      </c>
      <c r="D77" s="105">
        <v>35438</v>
      </c>
      <c r="E77" s="105">
        <v>41593</v>
      </c>
      <c r="F77" s="120">
        <f t="shared" si="11"/>
        <v>-13.352685050798263</v>
      </c>
      <c r="G77" s="120">
        <f t="shared" si="12"/>
        <v>29.043769572500189</v>
      </c>
      <c r="H77" s="120">
        <f t="shared" si="13"/>
        <v>17.368361645691067</v>
      </c>
    </row>
    <row r="78" spans="1:9" ht="14.25" hidden="1" customHeight="1" x14ac:dyDescent="0.3">
      <c r="A78" s="106" t="s">
        <v>68</v>
      </c>
      <c r="B78" s="107">
        <v>0</v>
      </c>
      <c r="C78" s="107">
        <v>0</v>
      </c>
      <c r="D78" s="107">
        <v>0</v>
      </c>
      <c r="E78" s="107">
        <v>0</v>
      </c>
      <c r="F78" s="120" t="str">
        <f t="shared" si="11"/>
        <v>-</v>
      </c>
      <c r="G78" s="120" t="str">
        <f t="shared" si="12"/>
        <v>-</v>
      </c>
      <c r="H78" s="120" t="str">
        <f t="shared" si="13"/>
        <v>-</v>
      </c>
    </row>
    <row r="79" spans="1:9" ht="14.25" hidden="1" customHeight="1" x14ac:dyDescent="0.3">
      <c r="A79" s="128" t="s">
        <v>69</v>
      </c>
      <c r="B79" s="129">
        <v>2402392</v>
      </c>
      <c r="C79" s="129">
        <v>2228829</v>
      </c>
      <c r="D79" s="129">
        <v>2191655</v>
      </c>
      <c r="E79" s="129">
        <v>2171626</v>
      </c>
      <c r="F79" s="120">
        <f t="shared" si="11"/>
        <v>-7.2245911574797095</v>
      </c>
      <c r="G79" s="120">
        <f t="shared" si="12"/>
        <v>-1.6678713351271024</v>
      </c>
      <c r="H79" s="120">
        <f t="shared" si="13"/>
        <v>-0.91387558717042072</v>
      </c>
    </row>
    <row r="80" spans="1:9" ht="14.25" hidden="1" customHeight="1" x14ac:dyDescent="0.3">
      <c r="A80" s="106" t="s">
        <v>70</v>
      </c>
      <c r="B80" s="107">
        <v>2341830</v>
      </c>
      <c r="C80" s="107">
        <v>2184075</v>
      </c>
      <c r="D80" s="107">
        <v>2136455</v>
      </c>
      <c r="E80" s="107">
        <v>2089018</v>
      </c>
      <c r="F80" s="120">
        <f t="shared" si="11"/>
        <v>-6.7363984576164775</v>
      </c>
      <c r="G80" s="120">
        <f t="shared" si="12"/>
        <v>-2.1803280564998917</v>
      </c>
      <c r="H80" s="120">
        <f t="shared" si="13"/>
        <v>-2.2203603633121238</v>
      </c>
    </row>
    <row r="81" spans="1:9" ht="14.25" hidden="1" customHeight="1" x14ac:dyDescent="0.3">
      <c r="A81" s="104" t="s">
        <v>244</v>
      </c>
      <c r="B81" s="105">
        <v>436954</v>
      </c>
      <c r="C81" s="105">
        <v>391689</v>
      </c>
      <c r="D81" s="105">
        <v>404304</v>
      </c>
      <c r="E81" s="105">
        <v>383603</v>
      </c>
      <c r="F81" s="120">
        <f t="shared" si="11"/>
        <v>-10.359214013374407</v>
      </c>
      <c r="G81" s="120">
        <f t="shared" si="12"/>
        <v>3.2206674172621685</v>
      </c>
      <c r="H81" s="120">
        <f t="shared" si="13"/>
        <v>-5.1201571095017666</v>
      </c>
    </row>
    <row r="82" spans="1:9" ht="14.25" hidden="1" customHeight="1" x14ac:dyDescent="0.3">
      <c r="A82" s="109" t="s">
        <v>245</v>
      </c>
      <c r="B82" s="110">
        <v>972578</v>
      </c>
      <c r="C82" s="110">
        <v>906864</v>
      </c>
      <c r="D82" s="110">
        <v>864669</v>
      </c>
      <c r="E82" s="110">
        <v>826336</v>
      </c>
      <c r="F82" s="120">
        <f t="shared" si="11"/>
        <v>-6.756681726298563</v>
      </c>
      <c r="G82" s="120">
        <f t="shared" si="12"/>
        <v>-4.652847615518974</v>
      </c>
      <c r="H82" s="120">
        <f t="shared" si="13"/>
        <v>-4.433257119198208</v>
      </c>
    </row>
    <row r="83" spans="1:9" ht="14.25" hidden="1" customHeight="1" x14ac:dyDescent="0.3">
      <c r="A83" s="128" t="s">
        <v>73</v>
      </c>
      <c r="B83" s="129">
        <v>928827</v>
      </c>
      <c r="C83" s="129">
        <v>884264</v>
      </c>
      <c r="D83" s="129">
        <v>868899</v>
      </c>
      <c r="E83" s="129">
        <v>878320</v>
      </c>
      <c r="F83" s="120">
        <f t="shared" si="11"/>
        <v>-4.79777181326555</v>
      </c>
      <c r="G83" s="120">
        <f t="shared" si="12"/>
        <v>-1.7376032497082305</v>
      </c>
      <c r="H83" s="120">
        <f t="shared" si="13"/>
        <v>1.0842456948390922</v>
      </c>
    </row>
    <row r="84" spans="1:9" ht="14.25" hidden="1" customHeight="1" x14ac:dyDescent="0.3">
      <c r="A84" s="109" t="s">
        <v>74</v>
      </c>
      <c r="B84" s="110">
        <v>2145</v>
      </c>
      <c r="C84" s="110">
        <v>359</v>
      </c>
      <c r="D84" s="110">
        <v>4</v>
      </c>
      <c r="E84" s="110">
        <v>0</v>
      </c>
      <c r="F84" s="120">
        <f t="shared" si="11"/>
        <v>-83.263403263403262</v>
      </c>
      <c r="G84" s="120">
        <f t="shared" si="12"/>
        <v>-98.885793871866284</v>
      </c>
      <c r="H84" s="120">
        <f t="shared" si="13"/>
        <v>-100</v>
      </c>
    </row>
    <row r="85" spans="1:9" ht="14.25" hidden="1" customHeight="1" x14ac:dyDescent="0.3">
      <c r="A85" s="128" t="s">
        <v>75</v>
      </c>
      <c r="B85" s="129">
        <v>1326</v>
      </c>
      <c r="C85" s="129">
        <v>899</v>
      </c>
      <c r="D85" s="129">
        <v>579</v>
      </c>
      <c r="E85" s="129">
        <v>759</v>
      </c>
      <c r="F85" s="120">
        <f t="shared" si="11"/>
        <v>-32.202111613876319</v>
      </c>
      <c r="G85" s="120">
        <f t="shared" si="12"/>
        <v>-35.595105672969964</v>
      </c>
      <c r="H85" s="120">
        <f t="shared" si="13"/>
        <v>31.088082901554404</v>
      </c>
    </row>
    <row r="86" spans="1:9" ht="14.25" customHeight="1" x14ac:dyDescent="0.3">
      <c r="A86" s="104" t="s">
        <v>251</v>
      </c>
      <c r="B86" s="105">
        <v>21</v>
      </c>
      <c r="C86" s="105">
        <v>170</v>
      </c>
      <c r="D86" s="105">
        <v>24</v>
      </c>
      <c r="E86" s="105">
        <v>1054</v>
      </c>
      <c r="F86" s="120">
        <f>IFERROR(((C86/B86)-1)*100,"-")</f>
        <v>709.52380952380952</v>
      </c>
      <c r="G86" s="120">
        <f>IFERROR(((D86/C86)-1)*100,"-")</f>
        <v>-85.882352941176478</v>
      </c>
      <c r="H86" s="120">
        <f>IFERROR(((E86/D86)-1)*100,"-")</f>
        <v>4291.6666666666661</v>
      </c>
    </row>
    <row r="87" spans="1:9" ht="14.25" customHeight="1" x14ac:dyDescent="0.3">
      <c r="A87" s="106" t="s">
        <v>78</v>
      </c>
      <c r="B87" s="107">
        <v>8895</v>
      </c>
      <c r="C87" s="107">
        <v>9705</v>
      </c>
      <c r="D87" s="107">
        <v>10171</v>
      </c>
      <c r="E87" s="107">
        <v>9973</v>
      </c>
      <c r="F87" s="120">
        <f>IFERROR(((C87/B87)-1)*100,"-")</f>
        <v>9.1062394603709897</v>
      </c>
      <c r="G87" s="120">
        <f>IFERROR(((D87/C87)-1)*100,"-")</f>
        <v>4.8016486347243648</v>
      </c>
      <c r="H87" s="120">
        <f>IFERROR(((E87/D87)-1)*100,"-")</f>
        <v>-1.9467112378330542</v>
      </c>
    </row>
    <row r="88" spans="1:9" ht="14.25" customHeight="1" x14ac:dyDescent="0.3">
      <c r="A88" s="104" t="s">
        <v>253</v>
      </c>
      <c r="B88" s="105">
        <v>0</v>
      </c>
      <c r="C88" s="105">
        <v>0</v>
      </c>
      <c r="D88" s="105">
        <v>0</v>
      </c>
      <c r="E88" s="105">
        <v>0</v>
      </c>
      <c r="F88" s="120" t="str">
        <f>IFERROR(((C88/B88)-1)*100,"-")</f>
        <v>-</v>
      </c>
      <c r="G88" s="120" t="str">
        <f>IFERROR(((D88/C88)-1)*100,"-")</f>
        <v>-</v>
      </c>
      <c r="H88" s="120" t="str">
        <f>IFERROR(((E88/D88)-1)*100,"-")</f>
        <v>-</v>
      </c>
    </row>
    <row r="89" spans="1:9" ht="14.25" customHeight="1" x14ac:dyDescent="0.3">
      <c r="A89" s="106" t="s">
        <v>254</v>
      </c>
      <c r="B89" s="107">
        <v>0</v>
      </c>
      <c r="C89" s="107">
        <v>0</v>
      </c>
      <c r="D89" s="107">
        <v>0</v>
      </c>
      <c r="E89" s="107">
        <v>0</v>
      </c>
      <c r="F89" s="120" t="str">
        <f>IFERROR(((C89/B89)-1)*100,"-")</f>
        <v>-</v>
      </c>
      <c r="G89" s="120" t="str">
        <f>IFERROR(((D89/C89)-1)*100,"-")</f>
        <v>-</v>
      </c>
      <c r="H89" s="120" t="str">
        <f>IFERROR(((E89/D89)-1)*100,"-")</f>
        <v>-</v>
      </c>
    </row>
    <row r="90" spans="1:9" ht="14.25" customHeight="1" x14ac:dyDescent="0.3">
      <c r="A90" s="104" t="s">
        <v>255</v>
      </c>
      <c r="B90" s="105">
        <v>8895</v>
      </c>
      <c r="C90" s="105">
        <v>9705</v>
      </c>
      <c r="D90" s="105">
        <v>10171</v>
      </c>
      <c r="E90" s="105">
        <v>9973</v>
      </c>
      <c r="F90" s="120">
        <f>IFERROR(((C90/B90)-1)*100,"-")</f>
        <v>9.1062394603709897</v>
      </c>
      <c r="G90" s="120">
        <f>IFERROR(((D90/C90)-1)*100,"-")</f>
        <v>4.8016486347243648</v>
      </c>
      <c r="H90" s="120">
        <f>IFERROR(((E90/D90)-1)*100,"-")</f>
        <v>-1.9467112378330542</v>
      </c>
    </row>
    <row r="91" spans="1:9" ht="14.25" customHeight="1" x14ac:dyDescent="0.3">
      <c r="A91" s="109" t="s">
        <v>82</v>
      </c>
      <c r="B91" s="110">
        <v>523472</v>
      </c>
      <c r="C91" s="110">
        <v>505533</v>
      </c>
      <c r="D91" s="110">
        <v>492931</v>
      </c>
      <c r="E91" s="110">
        <v>478416</v>
      </c>
      <c r="F91" s="120">
        <f>IFERROR(((C91/B91)-1)*100,"-")</f>
        <v>-3.4269263685545726</v>
      </c>
      <c r="G91" s="120">
        <f>IFERROR(((D91/C91)-1)*100,"-")</f>
        <v>-2.4928145145816427</v>
      </c>
      <c r="H91" s="120">
        <f>IFERROR(((E91/D91)-1)*100,"-")</f>
        <v>-2.9446311958468807</v>
      </c>
    </row>
    <row r="92" spans="1:9" ht="14.25" customHeight="1" x14ac:dyDescent="0.3">
      <c r="A92" s="104" t="s">
        <v>83</v>
      </c>
      <c r="B92" s="105">
        <v>523401</v>
      </c>
      <c r="C92" s="105">
        <v>505462</v>
      </c>
      <c r="D92" s="105">
        <v>492860</v>
      </c>
      <c r="E92" s="105">
        <v>478345</v>
      </c>
      <c r="F92" s="120">
        <f>IFERROR(((C92/B92)-1)*100,"-")</f>
        <v>-3.4273912354007785</v>
      </c>
      <c r="G92" s="120">
        <f>IFERROR(((D92/C92)-1)*100,"-")</f>
        <v>-2.4931646691541576</v>
      </c>
      <c r="H92" s="120">
        <f>IFERROR(((E92/D92)-1)*100,"-")</f>
        <v>-2.9450553909832422</v>
      </c>
    </row>
    <row r="93" spans="1:9" ht="14.25" customHeight="1" x14ac:dyDescent="0.3">
      <c r="A93" s="106" t="s">
        <v>84</v>
      </c>
      <c r="B93" s="107">
        <v>0</v>
      </c>
      <c r="C93" s="107">
        <v>0</v>
      </c>
      <c r="D93" s="107">
        <v>0</v>
      </c>
      <c r="E93" s="107">
        <v>0</v>
      </c>
      <c r="F93" s="120" t="str">
        <f>IFERROR(((C93/B93)-1)*100,"-")</f>
        <v>-</v>
      </c>
      <c r="G93" s="120" t="str">
        <f>IFERROR(((D93/C93)-1)*100,"-")</f>
        <v>-</v>
      </c>
      <c r="H93" s="120" t="str">
        <f>IFERROR(((E93/D93)-1)*100,"-")</f>
        <v>-</v>
      </c>
    </row>
    <row r="94" spans="1:9" ht="14.25" customHeight="1" x14ac:dyDescent="0.3">
      <c r="A94" s="104" t="s">
        <v>85</v>
      </c>
      <c r="B94" s="105">
        <v>71</v>
      </c>
      <c r="C94" s="105">
        <v>71</v>
      </c>
      <c r="D94" s="105">
        <v>71</v>
      </c>
      <c r="E94" s="105">
        <v>71</v>
      </c>
      <c r="F94" s="120">
        <f>IFERROR(((C94/B94)-1)*100,"-")</f>
        <v>0</v>
      </c>
      <c r="G94" s="120">
        <f>IFERROR(((D94/C94)-1)*100,"-")</f>
        <v>0</v>
      </c>
      <c r="H94" s="120">
        <f>IFERROR(((E94/D94)-1)*100,"-")</f>
        <v>0</v>
      </c>
      <c r="I94" s="36"/>
    </row>
    <row r="95" spans="1:9" ht="14.25" customHeight="1" x14ac:dyDescent="0.3">
      <c r="A95" s="106" t="s">
        <v>86</v>
      </c>
      <c r="B95" s="107">
        <v>52</v>
      </c>
      <c r="C95" s="107">
        <v>52</v>
      </c>
      <c r="D95" s="107">
        <v>52</v>
      </c>
      <c r="E95" s="107">
        <v>52</v>
      </c>
      <c r="F95" s="120">
        <f>IFERROR(((C95/B95)-1)*100,"-")</f>
        <v>0</v>
      </c>
      <c r="G95" s="120">
        <f>IFERROR(((D95/C95)-1)*100,"-")</f>
        <v>0</v>
      </c>
      <c r="H95" s="120">
        <f>IFERROR(((E95/D95)-1)*100,"-")</f>
        <v>0</v>
      </c>
    </row>
    <row r="96" spans="1:9" ht="14.25" customHeight="1" x14ac:dyDescent="0.3">
      <c r="A96" s="128" t="s">
        <v>251</v>
      </c>
      <c r="B96" s="129">
        <v>21</v>
      </c>
      <c r="C96" s="129">
        <v>170</v>
      </c>
      <c r="D96" s="129">
        <v>24</v>
      </c>
      <c r="E96" s="129">
        <v>1054</v>
      </c>
      <c r="F96" s="120">
        <f>IFERROR(((C96/B96)-1)*100,"-")</f>
        <v>709.52380952380952</v>
      </c>
      <c r="G96" s="120">
        <f>IFERROR(((D96/C96)-1)*100,"-")</f>
        <v>-85.882352941176478</v>
      </c>
      <c r="H96" s="120">
        <f>IFERROR(((E96/D96)-1)*100,"-")</f>
        <v>4291.6666666666661</v>
      </c>
    </row>
    <row r="97" spans="1:8" ht="14.25" hidden="1" customHeight="1" x14ac:dyDescent="0.3">
      <c r="A97" s="109" t="s">
        <v>78</v>
      </c>
      <c r="B97" s="110">
        <v>8895</v>
      </c>
      <c r="C97" s="110">
        <v>9705</v>
      </c>
      <c r="D97" s="110">
        <v>10171</v>
      </c>
      <c r="E97" s="110">
        <v>9973</v>
      </c>
      <c r="F97" s="120">
        <f>IFERROR(((C97/B97)-1)*100,"-")</f>
        <v>9.1062394603709897</v>
      </c>
      <c r="G97" s="120">
        <f>IFERROR(((D97/C97)-1)*100,"-")</f>
        <v>4.8016486347243648</v>
      </c>
      <c r="H97" s="120">
        <f>IFERROR(((E97/D97)-1)*100,"-")</f>
        <v>-1.9467112378330542</v>
      </c>
    </row>
    <row r="98" spans="1:8" ht="14.25" hidden="1" customHeight="1" x14ac:dyDescent="0.3">
      <c r="A98" s="128" t="s">
        <v>253</v>
      </c>
      <c r="B98" s="129">
        <v>0</v>
      </c>
      <c r="C98" s="129">
        <v>0</v>
      </c>
      <c r="D98" s="129">
        <v>0</v>
      </c>
      <c r="E98" s="129">
        <v>0</v>
      </c>
      <c r="F98" s="120" t="str">
        <f>IFERROR(((C98/B98)-1)*100,"-")</f>
        <v>-</v>
      </c>
      <c r="G98" s="120" t="str">
        <f>IFERROR(((D98/C98)-1)*100,"-")</f>
        <v>-</v>
      </c>
      <c r="H98" s="120" t="str">
        <f>IFERROR(((E98/D98)-1)*100,"-")</f>
        <v>-</v>
      </c>
    </row>
    <row r="99" spans="1:8" ht="14.25" hidden="1" customHeight="1" x14ac:dyDescent="0.3">
      <c r="A99" s="109" t="s">
        <v>254</v>
      </c>
      <c r="B99" s="110">
        <v>0</v>
      </c>
      <c r="C99" s="110">
        <v>0</v>
      </c>
      <c r="D99" s="110">
        <v>0</v>
      </c>
      <c r="E99" s="110">
        <v>0</v>
      </c>
      <c r="F99" s="120" t="str">
        <f>IFERROR(((C99/B99)-1)*100,"-")</f>
        <v>-</v>
      </c>
      <c r="G99" s="120" t="str">
        <f>IFERROR(((D99/C99)-1)*100,"-")</f>
        <v>-</v>
      </c>
      <c r="H99" s="120" t="str">
        <f>IFERROR(((E99/D99)-1)*100,"-")</f>
        <v>-</v>
      </c>
    </row>
    <row r="100" spans="1:8" ht="14.25" hidden="1" customHeight="1" x14ac:dyDescent="0.3">
      <c r="A100" s="128" t="s">
        <v>255</v>
      </c>
      <c r="B100" s="129">
        <v>8895</v>
      </c>
      <c r="C100" s="129">
        <v>9705</v>
      </c>
      <c r="D100" s="129">
        <v>10171</v>
      </c>
      <c r="E100" s="129">
        <v>9973</v>
      </c>
      <c r="F100" s="120">
        <f>IFERROR(((C100/B100)-1)*100,"-")</f>
        <v>9.1062394603709897</v>
      </c>
      <c r="G100" s="120">
        <f>IFERROR(((D100/C100)-1)*100,"-")</f>
        <v>4.8016486347243648</v>
      </c>
      <c r="H100" s="120">
        <f>IFERROR(((E100/D100)-1)*100,"-")</f>
        <v>-1.9467112378330542</v>
      </c>
    </row>
    <row r="101" spans="1:8" ht="14.25" hidden="1" customHeight="1" x14ac:dyDescent="0.3">
      <c r="A101" s="106" t="s">
        <v>82</v>
      </c>
      <c r="B101" s="107">
        <v>523472</v>
      </c>
      <c r="C101" s="107">
        <v>505533</v>
      </c>
      <c r="D101" s="107">
        <v>492931</v>
      </c>
      <c r="E101" s="107">
        <v>478416</v>
      </c>
      <c r="F101" s="120">
        <f>IFERROR(((C101/B101)-1)*100,"-")</f>
        <v>-3.4269263685545726</v>
      </c>
      <c r="G101" s="120">
        <f>IFERROR(((D101/C101)-1)*100,"-")</f>
        <v>-2.4928145145816427</v>
      </c>
      <c r="H101" s="120">
        <f>IFERROR(((E101/D101)-1)*100,"-")</f>
        <v>-2.9446311958468807</v>
      </c>
    </row>
    <row r="102" spans="1:8" ht="14.25" hidden="1" customHeight="1" x14ac:dyDescent="0.3">
      <c r="A102" s="104" t="s">
        <v>83</v>
      </c>
      <c r="B102" s="105">
        <v>523401</v>
      </c>
      <c r="C102" s="105">
        <v>505462</v>
      </c>
      <c r="D102" s="105">
        <v>492860</v>
      </c>
      <c r="E102" s="105">
        <v>478345</v>
      </c>
      <c r="F102" s="120">
        <f>IFERROR(((C102/B102)-1)*100,"-")</f>
        <v>-3.4273912354007785</v>
      </c>
      <c r="G102" s="120">
        <f>IFERROR(((D102/C102)-1)*100,"-")</f>
        <v>-2.4931646691541576</v>
      </c>
      <c r="H102" s="120">
        <f>IFERROR(((E102/D102)-1)*100,"-")</f>
        <v>-2.9450553909832422</v>
      </c>
    </row>
    <row r="103" spans="1:8" ht="14.25" hidden="1" customHeight="1" x14ac:dyDescent="0.3">
      <c r="A103" s="106" t="s">
        <v>84</v>
      </c>
      <c r="B103" s="107">
        <v>0</v>
      </c>
      <c r="C103" s="107">
        <v>0</v>
      </c>
      <c r="D103" s="107">
        <v>0</v>
      </c>
      <c r="E103" s="107">
        <v>0</v>
      </c>
      <c r="F103" s="120" t="str">
        <f>IFERROR(((C103/B103)-1)*100,"-")</f>
        <v>-</v>
      </c>
      <c r="G103" s="120" t="str">
        <f>IFERROR(((D103/C103)-1)*100,"-")</f>
        <v>-</v>
      </c>
      <c r="H103" s="120" t="str">
        <f>IFERROR(((E103/D103)-1)*100,"-")</f>
        <v>-</v>
      </c>
    </row>
    <row r="104" spans="1:8" ht="14.25" hidden="1" customHeight="1" x14ac:dyDescent="0.3">
      <c r="A104" s="104" t="s">
        <v>85</v>
      </c>
      <c r="B104" s="105">
        <v>71</v>
      </c>
      <c r="C104" s="105">
        <v>71</v>
      </c>
      <c r="D104" s="105">
        <v>71</v>
      </c>
      <c r="E104" s="105">
        <v>71</v>
      </c>
      <c r="F104" s="120">
        <f>IFERROR(((C104/B104)-1)*100,"-")</f>
        <v>0</v>
      </c>
      <c r="G104" s="120">
        <f>IFERROR(((D104/C104)-1)*100,"-")</f>
        <v>0</v>
      </c>
      <c r="H104" s="120">
        <f>IFERROR(((E104/D104)-1)*100,"-")</f>
        <v>0</v>
      </c>
    </row>
    <row r="105" spans="1:8" ht="14.25" hidden="1" customHeight="1" x14ac:dyDescent="0.3">
      <c r="A105" s="106" t="s">
        <v>86</v>
      </c>
      <c r="B105" s="107">
        <v>52</v>
      </c>
      <c r="C105" s="107">
        <v>52</v>
      </c>
      <c r="D105" s="107">
        <v>52</v>
      </c>
      <c r="E105" s="107">
        <v>52</v>
      </c>
      <c r="F105" s="120">
        <f>IFERROR(((C105/B105)-1)*100,"-")</f>
        <v>0</v>
      </c>
      <c r="G105" s="120">
        <f>IFERROR(((D105/C105)-1)*100,"-")</f>
        <v>0</v>
      </c>
      <c r="H105" s="120">
        <f>IFERROR(((E105/D105)-1)*100,"-")</f>
        <v>0</v>
      </c>
    </row>
    <row r="106" spans="1:8" ht="14.25" hidden="1" customHeight="1" x14ac:dyDescent="0.3">
      <c r="A106" s="104" t="s">
        <v>260</v>
      </c>
      <c r="B106" s="105">
        <v>52</v>
      </c>
      <c r="C106" s="105">
        <v>52</v>
      </c>
      <c r="D106" s="105">
        <v>52</v>
      </c>
      <c r="E106" s="105">
        <v>52</v>
      </c>
      <c r="F106" s="120">
        <f>IFERROR(((C106/B106)-1)*100,"-")</f>
        <v>0</v>
      </c>
      <c r="G106" s="120">
        <f>IFERROR(((D106/C106)-1)*100,"-")</f>
        <v>0</v>
      </c>
      <c r="H106" s="120">
        <f>IFERROR(((E106/D106)-1)*100,"-")</f>
        <v>0</v>
      </c>
    </row>
    <row r="107" spans="1:8" ht="14.25" customHeight="1" x14ac:dyDescent="0.3">
      <c r="A107" s="106" t="s">
        <v>261</v>
      </c>
      <c r="B107" s="107">
        <v>0</v>
      </c>
      <c r="C107" s="107">
        <v>0</v>
      </c>
      <c r="D107" s="107">
        <v>0</v>
      </c>
      <c r="E107" s="107">
        <v>0</v>
      </c>
      <c r="F107" s="120" t="str">
        <f>IFERROR(((C107/B107)-1)*100,"-")</f>
        <v>-</v>
      </c>
      <c r="G107" s="120" t="str">
        <f>IFERROR(((D107/C107)-1)*100,"-")</f>
        <v>-</v>
      </c>
      <c r="H107" s="120" t="str">
        <f>IFERROR(((E107/D107)-1)*100,"-")</f>
        <v>-</v>
      </c>
    </row>
    <row r="108" spans="1:8" ht="14.25" customHeight="1" x14ac:dyDescent="0.3">
      <c r="A108" s="104" t="s">
        <v>262</v>
      </c>
      <c r="B108" s="105">
        <v>0</v>
      </c>
      <c r="C108" s="105">
        <v>0</v>
      </c>
      <c r="D108" s="105">
        <v>0</v>
      </c>
      <c r="E108" s="105">
        <v>0</v>
      </c>
      <c r="F108" s="120" t="str">
        <f>IFERROR(((C108/B108)-1)*100,"-")</f>
        <v>-</v>
      </c>
      <c r="G108" s="120" t="str">
        <f>IFERROR(((D108/C108)-1)*100,"-")</f>
        <v>-</v>
      </c>
      <c r="H108" s="120" t="str">
        <f>IFERROR(((E108/D108)-1)*100,"-")</f>
        <v>-</v>
      </c>
    </row>
    <row r="109" spans="1:8" ht="14.25" customHeight="1" x14ac:dyDescent="0.3">
      <c r="A109" s="106" t="s">
        <v>263</v>
      </c>
      <c r="B109" s="107">
        <v>0</v>
      </c>
      <c r="C109" s="107">
        <v>0</v>
      </c>
      <c r="D109" s="107">
        <v>0</v>
      </c>
      <c r="E109" s="107">
        <v>0</v>
      </c>
      <c r="F109" s="120" t="str">
        <f>IFERROR(((C109/B109)-1)*100,"-")</f>
        <v>-</v>
      </c>
      <c r="G109" s="120" t="str">
        <f>IFERROR(((D109/C109)-1)*100,"-")</f>
        <v>-</v>
      </c>
      <c r="H109" s="120" t="str">
        <f>IFERROR(((E109/D109)-1)*100,"-")</f>
        <v>-</v>
      </c>
    </row>
    <row r="110" spans="1:8" ht="14.25" customHeight="1" x14ac:dyDescent="0.3">
      <c r="A110" s="104" t="s">
        <v>264</v>
      </c>
      <c r="B110" s="105">
        <v>0</v>
      </c>
      <c r="C110" s="105">
        <v>0</v>
      </c>
      <c r="D110" s="105">
        <v>0</v>
      </c>
      <c r="E110" s="105">
        <v>0</v>
      </c>
      <c r="F110" s="120" t="str">
        <f>IFERROR(((C110/B110)-1)*100,"-")</f>
        <v>-</v>
      </c>
      <c r="G110" s="120" t="str">
        <f>IFERROR(((D110/C110)-1)*100,"-")</f>
        <v>-</v>
      </c>
      <c r="H110" s="120" t="str">
        <f>IFERROR(((E110/D110)-1)*100,"-")</f>
        <v>-</v>
      </c>
    </row>
    <row r="111" spans="1:8" ht="30.6" customHeight="1" x14ac:dyDescent="0.3">
      <c r="A111" s="106" t="s">
        <v>260</v>
      </c>
      <c r="B111" s="107">
        <v>0</v>
      </c>
      <c r="C111" s="107">
        <v>0</v>
      </c>
      <c r="D111" s="107">
        <v>0</v>
      </c>
      <c r="E111" s="107">
        <v>0</v>
      </c>
      <c r="F111" s="120" t="str">
        <f>IFERROR(((C111/B111)-1)*100,"-")</f>
        <v>-</v>
      </c>
      <c r="G111" s="120" t="str">
        <f>IFERROR(((D111/C111)-1)*100,"-")</f>
        <v>-</v>
      </c>
      <c r="H111" s="120" t="str">
        <f>IFERROR(((E111/D111)-1)*100,"-")</f>
        <v>-</v>
      </c>
    </row>
    <row r="112" spans="1:8" ht="14.25" customHeight="1" x14ac:dyDescent="0.3">
      <c r="A112" s="104" t="s">
        <v>261</v>
      </c>
      <c r="B112" s="105">
        <v>0</v>
      </c>
      <c r="C112" s="105">
        <v>0</v>
      </c>
      <c r="D112" s="105">
        <v>0</v>
      </c>
      <c r="E112" s="105">
        <v>0</v>
      </c>
      <c r="F112" s="120" t="str">
        <f>IFERROR(((C112/B112)-1)*100,"-")</f>
        <v>-</v>
      </c>
      <c r="G112" s="120" t="str">
        <f>IFERROR(((D112/C112)-1)*100,"-")</f>
        <v>-</v>
      </c>
      <c r="H112" s="120" t="str">
        <f>IFERROR(((E112/D112)-1)*100,"-")</f>
        <v>-</v>
      </c>
    </row>
    <row r="113" spans="1:8" ht="14.25" customHeight="1" x14ac:dyDescent="0.3">
      <c r="A113" s="106" t="s">
        <v>262</v>
      </c>
      <c r="B113" s="107">
        <v>0</v>
      </c>
      <c r="C113" s="107">
        <v>0</v>
      </c>
      <c r="D113" s="107">
        <v>0</v>
      </c>
      <c r="E113" s="107">
        <v>0</v>
      </c>
      <c r="F113" s="120" t="str">
        <f>IFERROR(((C113/B113)-1)*100,"-")</f>
        <v>-</v>
      </c>
      <c r="G113" s="120" t="str">
        <f>IFERROR(((D113/C113)-1)*100,"-")</f>
        <v>-</v>
      </c>
      <c r="H113" s="120" t="str">
        <f>IFERROR(((E113/D113)-1)*100,"-")</f>
        <v>-</v>
      </c>
    </row>
    <row r="114" spans="1:8" ht="14.25" customHeight="1" x14ac:dyDescent="0.3">
      <c r="A114" s="104" t="s">
        <v>263</v>
      </c>
      <c r="B114" s="105">
        <v>0</v>
      </c>
      <c r="C114" s="105">
        <v>0</v>
      </c>
      <c r="D114" s="105">
        <v>0</v>
      </c>
      <c r="E114" s="105">
        <v>0</v>
      </c>
      <c r="F114" s="120" t="str">
        <f>IFERROR(((C114/B114)-1)*100,"-")</f>
        <v>-</v>
      </c>
      <c r="G114" s="120" t="str">
        <f>IFERROR(((D114/C114)-1)*100,"-")</f>
        <v>-</v>
      </c>
      <c r="H114" s="120" t="str">
        <f>IFERROR(((E114/D114)-1)*100,"-")</f>
        <v>-</v>
      </c>
    </row>
    <row r="115" spans="1:8" ht="14.25" customHeight="1" x14ac:dyDescent="0.3">
      <c r="A115" s="106" t="s">
        <v>265</v>
      </c>
      <c r="B115" s="107">
        <v>19</v>
      </c>
      <c r="C115" s="107">
        <v>19</v>
      </c>
      <c r="D115" s="107">
        <v>19</v>
      </c>
      <c r="E115" s="107">
        <v>20</v>
      </c>
      <c r="F115" s="120">
        <f>IFERROR(((C115/B115)-1)*100,"-")</f>
        <v>0</v>
      </c>
      <c r="G115" s="120">
        <f>IFERROR(((D115/C115)-1)*100,"-")</f>
        <v>0</v>
      </c>
      <c r="H115" s="120">
        <f>IFERROR(((E115/D115)-1)*100,"-")</f>
        <v>5.2631578947368363</v>
      </c>
    </row>
    <row r="116" spans="1:8" ht="14.25" customHeight="1" x14ac:dyDescent="0.3">
      <c r="A116" s="104" t="s">
        <v>260</v>
      </c>
      <c r="B116" s="105">
        <v>19</v>
      </c>
      <c r="C116" s="105">
        <v>19</v>
      </c>
      <c r="D116" s="105">
        <v>19</v>
      </c>
      <c r="E116" s="105">
        <v>20</v>
      </c>
      <c r="F116" s="120">
        <f>IFERROR(((C116/B116)-1)*100,"-")</f>
        <v>0</v>
      </c>
      <c r="G116" s="120">
        <f>IFERROR(((D116/C116)-1)*100,"-")</f>
        <v>0</v>
      </c>
      <c r="H116" s="120">
        <f>IFERROR(((E116/D116)-1)*100,"-")</f>
        <v>5.2631578947368363</v>
      </c>
    </row>
    <row r="117" spans="1:8" ht="14.25" customHeight="1" x14ac:dyDescent="0.3">
      <c r="A117" s="106" t="s">
        <v>261</v>
      </c>
      <c r="B117" s="107">
        <v>0</v>
      </c>
      <c r="C117" s="107">
        <v>0</v>
      </c>
      <c r="D117" s="107">
        <v>0</v>
      </c>
      <c r="E117" s="107">
        <v>0</v>
      </c>
      <c r="F117" s="120" t="str">
        <f>IFERROR(((C117/B117)-1)*100,"-")</f>
        <v>-</v>
      </c>
      <c r="G117" s="120" t="str">
        <f>IFERROR(((D117/C117)-1)*100,"-")</f>
        <v>-</v>
      </c>
      <c r="H117" s="120" t="str">
        <f>IFERROR(((E117/D117)-1)*100,"-")</f>
        <v>-</v>
      </c>
    </row>
    <row r="118" spans="1:8" ht="14.25" customHeight="1" x14ac:dyDescent="0.3">
      <c r="A118" s="104" t="s">
        <v>262</v>
      </c>
      <c r="B118" s="105">
        <v>0</v>
      </c>
      <c r="C118" s="105">
        <v>0</v>
      </c>
      <c r="D118" s="105">
        <v>0</v>
      </c>
      <c r="E118" s="105">
        <v>0</v>
      </c>
      <c r="F118" s="120" t="str">
        <f>IFERROR(((C118/B118)-1)*100,"-")</f>
        <v>-</v>
      </c>
      <c r="G118" s="120" t="str">
        <f>IFERROR(((D118/C118)-1)*100,"-")</f>
        <v>-</v>
      </c>
      <c r="H118" s="120" t="str">
        <f>IFERROR(((E118/D118)-1)*100,"-")</f>
        <v>-</v>
      </c>
    </row>
    <row r="119" spans="1:8" ht="14.25" customHeight="1" x14ac:dyDescent="0.3">
      <c r="A119" s="106" t="s">
        <v>263</v>
      </c>
      <c r="B119" s="107">
        <v>0</v>
      </c>
      <c r="C119" s="107">
        <v>0</v>
      </c>
      <c r="D119" s="107">
        <v>0</v>
      </c>
      <c r="E119" s="107">
        <v>0</v>
      </c>
      <c r="F119" s="120" t="str">
        <f>IFERROR(((C119/B119)-1)*100,"-")</f>
        <v>-</v>
      </c>
      <c r="G119" s="120" t="str">
        <f>IFERROR(((D119/C119)-1)*100,"-")</f>
        <v>-</v>
      </c>
      <c r="H119" s="120" t="str">
        <f>IFERROR(((E119/D119)-1)*100,"-")</f>
        <v>-</v>
      </c>
    </row>
    <row r="120" spans="1:8" ht="14.25" customHeight="1" x14ac:dyDescent="0.3">
      <c r="A120" s="104" t="s">
        <v>92</v>
      </c>
      <c r="B120" s="105">
        <v>0</v>
      </c>
      <c r="C120" s="105">
        <v>0</v>
      </c>
      <c r="D120" s="105">
        <v>0</v>
      </c>
      <c r="E120" s="105">
        <v>0</v>
      </c>
      <c r="F120" s="120" t="str">
        <f>IFERROR(((C120/B120)-1)*100,"-")</f>
        <v>-</v>
      </c>
      <c r="G120" s="120" t="str">
        <f>IFERROR(((D120/C120)-1)*100,"-")</f>
        <v>-</v>
      </c>
      <c r="H120" s="120" t="str">
        <f>IFERROR(((E120/D120)-1)*100,"-")</f>
        <v>-</v>
      </c>
    </row>
    <row r="121" spans="1:8" ht="14.25" customHeight="1" x14ac:dyDescent="0.3">
      <c r="A121" s="106" t="s">
        <v>93</v>
      </c>
      <c r="B121" s="107">
        <v>98217</v>
      </c>
      <c r="C121" s="107">
        <v>107376</v>
      </c>
      <c r="D121" s="107">
        <v>78038</v>
      </c>
      <c r="E121" s="107">
        <v>91389</v>
      </c>
      <c r="F121" s="120">
        <f>IFERROR(((C121/B121)-1)*100,"-")</f>
        <v>9.3252695561868215</v>
      </c>
      <c r="G121" s="120">
        <f>IFERROR(((D121/C121)-1)*100,"-")</f>
        <v>-27.322679183430189</v>
      </c>
      <c r="H121" s="120">
        <f>IFERROR(((E121/D121)-1)*100,"-")</f>
        <v>17.108331838335179</v>
      </c>
    </row>
    <row r="122" spans="1:8" ht="14.25" customHeight="1" x14ac:dyDescent="0.3">
      <c r="A122" s="104" t="s">
        <v>266</v>
      </c>
      <c r="B122" s="105">
        <v>91096</v>
      </c>
      <c r="C122" s="105">
        <v>102350</v>
      </c>
      <c r="D122" s="105">
        <v>75796</v>
      </c>
      <c r="E122" s="105">
        <v>90335</v>
      </c>
      <c r="F122" s="120">
        <f>IFERROR(((C122/B122)-1)*100,"-")</f>
        <v>12.35400017563888</v>
      </c>
      <c r="G122" s="120">
        <f>IFERROR(((D122/C122)-1)*100,"-")</f>
        <v>-25.944308744504152</v>
      </c>
      <c r="H122" s="120">
        <f>IFERROR(((E122/D122)-1)*100,"-")</f>
        <v>19.18175101588475</v>
      </c>
    </row>
    <row r="123" spans="1:8" ht="14.25" customHeight="1" x14ac:dyDescent="0.3">
      <c r="A123" s="106" t="s">
        <v>181</v>
      </c>
      <c r="B123" s="107">
        <v>7121</v>
      </c>
      <c r="C123" s="107">
        <v>5026</v>
      </c>
      <c r="D123" s="107">
        <v>2242</v>
      </c>
      <c r="E123" s="107">
        <v>1054</v>
      </c>
      <c r="F123" s="120">
        <f>IFERROR(((C123/B123)-1)*100,"-")</f>
        <v>-29.420025277348682</v>
      </c>
      <c r="G123" s="120">
        <f>IFERROR(((D123/C123)-1)*100,"-")</f>
        <v>-55.391961798647039</v>
      </c>
      <c r="H123" s="120">
        <f>IFERROR(((E123/D123)-1)*100,"-")</f>
        <v>-52.98840321141838</v>
      </c>
    </row>
    <row r="124" spans="1:8" ht="14.25" customHeight="1" x14ac:dyDescent="0.3">
      <c r="A124" s="140" t="s">
        <v>96</v>
      </c>
      <c r="B124" s="141">
        <v>1627790</v>
      </c>
      <c r="C124" s="141">
        <v>1648378</v>
      </c>
      <c r="D124" s="141">
        <v>1918173</v>
      </c>
      <c r="E124" s="141">
        <v>2183524</v>
      </c>
      <c r="F124" s="120">
        <f>IFERROR(((C124/B124)-1)*100,"-")</f>
        <v>1.2647823122147184</v>
      </c>
      <c r="G124" s="120">
        <f>IFERROR(((D124/C124)-1)*100,"-")</f>
        <v>16.367301674737234</v>
      </c>
      <c r="H124" s="120">
        <f>IFERROR(((E124/D124)-1)*100,"-")</f>
        <v>13.833528049868281</v>
      </c>
    </row>
    <row r="125" spans="1:8" ht="14.25" customHeight="1" x14ac:dyDescent="0.3">
      <c r="A125" s="106" t="s">
        <v>97</v>
      </c>
      <c r="B125" s="107">
        <v>642542</v>
      </c>
      <c r="C125" s="107">
        <v>678431</v>
      </c>
      <c r="D125" s="107">
        <v>736238</v>
      </c>
      <c r="E125" s="107">
        <v>903912</v>
      </c>
      <c r="F125" s="120">
        <f>IFERROR(((C125/B125)-1)*100,"-")</f>
        <v>5.5854714555624296</v>
      </c>
      <c r="G125" s="120">
        <f>IFERROR(((D125/C125)-1)*100,"-")</f>
        <v>8.5206896500896967</v>
      </c>
      <c r="H125" s="120">
        <f>IFERROR(((E125/D125)-1)*100,"-")</f>
        <v>22.774428921082588</v>
      </c>
    </row>
    <row r="126" spans="1:8" ht="14.25" customHeight="1" x14ac:dyDescent="0.3">
      <c r="A126" s="104" t="s">
        <v>98</v>
      </c>
      <c r="B126" s="105">
        <v>0</v>
      </c>
      <c r="C126" s="105">
        <v>0</v>
      </c>
      <c r="D126" s="105">
        <v>0</v>
      </c>
      <c r="E126" s="105">
        <v>0</v>
      </c>
      <c r="F126" s="120" t="str">
        <f>IFERROR(((C126/B126)-1)*100,"-")</f>
        <v>-</v>
      </c>
      <c r="G126" s="120" t="str">
        <f>IFERROR(((D126/C126)-1)*100,"-")</f>
        <v>-</v>
      </c>
      <c r="H126" s="120" t="str">
        <f>IFERROR(((E126/D126)-1)*100,"-")</f>
        <v>-</v>
      </c>
    </row>
    <row r="127" spans="1:8" ht="14.25" customHeight="1" x14ac:dyDescent="0.3">
      <c r="A127" s="106" t="s">
        <v>99</v>
      </c>
      <c r="B127" s="107">
        <v>0</v>
      </c>
      <c r="C127" s="107">
        <v>0</v>
      </c>
      <c r="D127" s="107">
        <v>0</v>
      </c>
      <c r="E127" s="107">
        <v>0</v>
      </c>
      <c r="F127" s="120" t="str">
        <f>IFERROR(((C127/B127)-1)*100,"-")</f>
        <v>-</v>
      </c>
      <c r="G127" s="120" t="str">
        <f>IFERROR(((D127/C127)-1)*100,"-")</f>
        <v>-</v>
      </c>
      <c r="H127" s="120" t="str">
        <f>IFERROR(((E127/D127)-1)*100,"-")</f>
        <v>-</v>
      </c>
    </row>
    <row r="128" spans="1:8" ht="14.25" customHeight="1" x14ac:dyDescent="0.3">
      <c r="A128" s="104" t="s">
        <v>100</v>
      </c>
      <c r="B128" s="105">
        <v>0</v>
      </c>
      <c r="C128" s="105">
        <v>0</v>
      </c>
      <c r="D128" s="105">
        <v>0</v>
      </c>
      <c r="E128" s="105">
        <v>0</v>
      </c>
      <c r="F128" s="120" t="str">
        <f>IFERROR(((C128/B128)-1)*100,"-")</f>
        <v>-</v>
      </c>
      <c r="G128" s="120" t="str">
        <f>IFERROR(((D128/C128)-1)*100,"-")</f>
        <v>-</v>
      </c>
      <c r="H128" s="120" t="str">
        <f>IFERROR(((E128/D128)-1)*100,"-")</f>
        <v>-</v>
      </c>
    </row>
    <row r="129" spans="1:10" ht="14.25" customHeight="1" x14ac:dyDescent="0.3">
      <c r="A129" s="106" t="s">
        <v>101</v>
      </c>
      <c r="B129" s="107">
        <v>642354</v>
      </c>
      <c r="C129" s="107">
        <v>678431</v>
      </c>
      <c r="D129" s="107">
        <v>763238</v>
      </c>
      <c r="E129" s="107">
        <v>903912</v>
      </c>
      <c r="F129" s="120">
        <f>IFERROR(((C129/B129)-1)*100,"-")</f>
        <v>5.6163735261242298</v>
      </c>
      <c r="G129" s="120">
        <f>IFERROR(((D129/C129)-1)*100,"-")</f>
        <v>12.500460621640229</v>
      </c>
      <c r="H129" s="120">
        <f>IFERROR(((E129/D129)-1)*100,"-")</f>
        <v>18.431210186075631</v>
      </c>
    </row>
    <row r="130" spans="1:10" ht="14.25" customHeight="1" x14ac:dyDescent="0.3">
      <c r="A130" s="104" t="s">
        <v>102</v>
      </c>
      <c r="B130" s="105">
        <v>0</v>
      </c>
      <c r="C130" s="105">
        <v>0</v>
      </c>
      <c r="D130" s="105">
        <v>0</v>
      </c>
      <c r="E130" s="105">
        <v>0</v>
      </c>
      <c r="F130" s="120" t="str">
        <f>IFERROR(((C130/B130)-1)*100,"-")</f>
        <v>-</v>
      </c>
      <c r="G130" s="120" t="str">
        <f>IFERROR(((D130/C130)-1)*100,"-")</f>
        <v>-</v>
      </c>
      <c r="H130" s="120" t="str">
        <f>IFERROR(((E130/D130)-1)*100,"-")</f>
        <v>-</v>
      </c>
    </row>
    <row r="131" spans="1:10" ht="14.25" customHeight="1" x14ac:dyDescent="0.3">
      <c r="A131" s="106" t="s">
        <v>103</v>
      </c>
      <c r="B131" s="107">
        <v>180839</v>
      </c>
      <c r="C131" s="107">
        <v>209018</v>
      </c>
      <c r="D131" s="107">
        <v>237556</v>
      </c>
      <c r="E131" s="107">
        <v>337018</v>
      </c>
      <c r="F131" s="120">
        <f>IFERROR(((C131/B131)-1)*100,"-")</f>
        <v>15.58236884742783</v>
      </c>
      <c r="G131" s="120">
        <f>IFERROR(((D131/C131)-1)*100,"-")</f>
        <v>13.653369566257446</v>
      </c>
      <c r="H131" s="120">
        <f>IFERROR(((E131/D131)-1)*100,"-")</f>
        <v>41.868864604556386</v>
      </c>
    </row>
    <row r="132" spans="1:10" ht="14.25" customHeight="1" x14ac:dyDescent="0.3">
      <c r="A132" s="104" t="s">
        <v>105</v>
      </c>
      <c r="B132" s="105">
        <v>9405</v>
      </c>
      <c r="C132" s="105">
        <v>5006</v>
      </c>
      <c r="D132" s="105">
        <v>3159</v>
      </c>
      <c r="E132" s="105">
        <v>4122</v>
      </c>
      <c r="F132" s="120">
        <f>IFERROR(((C132/B132)-1)*100,"-")</f>
        <v>-46.772993088782563</v>
      </c>
      <c r="G132" s="120">
        <f>IFERROR(((D132/C132)-1)*100,"-")</f>
        <v>-36.895725129844195</v>
      </c>
      <c r="H132" s="120">
        <f>IFERROR(((E132/D132)-1)*100,"-")</f>
        <v>30.484330484330478</v>
      </c>
    </row>
    <row r="133" spans="1:10" ht="14.25" customHeight="1" x14ac:dyDescent="0.3">
      <c r="A133" s="106" t="s">
        <v>106</v>
      </c>
      <c r="B133" s="105">
        <v>9405</v>
      </c>
      <c r="C133" s="105">
        <v>5006</v>
      </c>
      <c r="D133" s="105">
        <v>3159</v>
      </c>
      <c r="E133" s="105">
        <v>4122</v>
      </c>
      <c r="F133" s="120">
        <f>IFERROR(((C133/B133)-1)*100,"-")</f>
        <v>-46.772993088782563</v>
      </c>
      <c r="G133" s="120">
        <f>IFERROR(((D133/C133)-1)*100,"-")</f>
        <v>-36.895725129844195</v>
      </c>
      <c r="H133" s="120">
        <f>IFERROR(((E133/D133)-1)*100,"-")</f>
        <v>30.484330484330478</v>
      </c>
    </row>
    <row r="134" spans="1:10" ht="14.25" customHeight="1" x14ac:dyDescent="0.3">
      <c r="A134" s="104" t="s">
        <v>267</v>
      </c>
      <c r="B134" s="105">
        <v>9405</v>
      </c>
      <c r="C134" s="105">
        <v>5006</v>
      </c>
      <c r="D134" s="105">
        <v>3159</v>
      </c>
      <c r="E134" s="105">
        <v>4122</v>
      </c>
      <c r="F134" s="120">
        <f>IFERROR(((C134/B134)-1)*100,"-")</f>
        <v>-46.772993088782563</v>
      </c>
      <c r="G134" s="120">
        <f>IFERROR(((D134/C134)-1)*100,"-")</f>
        <v>-36.895725129844195</v>
      </c>
      <c r="H134" s="120">
        <f>IFERROR(((E134/D134)-1)*100,"-")</f>
        <v>30.484330484330478</v>
      </c>
    </row>
    <row r="135" spans="1:10" ht="14.25" customHeight="1" x14ac:dyDescent="0.3">
      <c r="A135" s="106" t="s">
        <v>268</v>
      </c>
      <c r="B135" s="107">
        <v>0</v>
      </c>
      <c r="C135" s="107">
        <v>0</v>
      </c>
      <c r="D135" s="107">
        <v>0</v>
      </c>
      <c r="E135" s="107">
        <v>0</v>
      </c>
      <c r="F135" s="120" t="str">
        <f>IFERROR(((C135/B135)-1)*100,"-")</f>
        <v>-</v>
      </c>
      <c r="G135" s="120" t="str">
        <f>IFERROR(((D135/C135)-1)*100,"-")</f>
        <v>-</v>
      </c>
      <c r="H135" s="120" t="str">
        <f>IFERROR(((E135/D135)-1)*100,"-")</f>
        <v>-</v>
      </c>
    </row>
    <row r="136" spans="1:10" ht="14.25" customHeight="1" x14ac:dyDescent="0.3">
      <c r="A136" s="104" t="s">
        <v>109</v>
      </c>
      <c r="B136" s="105">
        <v>0</v>
      </c>
      <c r="C136" s="105">
        <v>0</v>
      </c>
      <c r="D136" s="105">
        <v>0</v>
      </c>
      <c r="E136" s="105">
        <v>0</v>
      </c>
      <c r="F136" s="120" t="str">
        <f>IFERROR(((C136/B136)-1)*100,"-")</f>
        <v>-</v>
      </c>
      <c r="G136" s="120" t="str">
        <f>IFERROR(((D136/C136)-1)*100,"-")</f>
        <v>-</v>
      </c>
      <c r="H136" s="120" t="str">
        <f>IFERROR(((E136/D136)-1)*100,"-")</f>
        <v>-</v>
      </c>
    </row>
    <row r="137" spans="1:10" ht="14.25" customHeight="1" x14ac:dyDescent="0.3">
      <c r="A137" s="106" t="s">
        <v>110</v>
      </c>
      <c r="B137" s="107">
        <v>0</v>
      </c>
      <c r="C137" s="107">
        <v>0</v>
      </c>
      <c r="D137" s="107">
        <v>0</v>
      </c>
      <c r="E137" s="107">
        <v>0</v>
      </c>
      <c r="F137" s="120" t="str">
        <f>IFERROR(((C137/B137)-1)*100,"-")</f>
        <v>-</v>
      </c>
      <c r="G137" s="120" t="str">
        <f>IFERROR(((D137/C137)-1)*100,"-")</f>
        <v>-</v>
      </c>
      <c r="H137" s="120" t="str">
        <f>IFERROR(((E137/D137)-1)*100,"-")</f>
        <v>-</v>
      </c>
    </row>
    <row r="138" spans="1:10" ht="14.25" customHeight="1" x14ac:dyDescent="0.3">
      <c r="A138" s="104" t="s">
        <v>106</v>
      </c>
      <c r="B138" s="105">
        <v>0</v>
      </c>
      <c r="C138" s="105">
        <v>0</v>
      </c>
      <c r="D138" s="105">
        <v>0</v>
      </c>
      <c r="E138" s="105">
        <v>0</v>
      </c>
      <c r="F138" s="120" t="str">
        <f>IFERROR(((C138/B138)-1)*100,"-")</f>
        <v>-</v>
      </c>
      <c r="G138" s="120" t="str">
        <f>IFERROR(((D138/C138)-1)*100,"-")</f>
        <v>-</v>
      </c>
      <c r="H138" s="120" t="str">
        <f>IFERROR(((E138/D138)-1)*100,"-")</f>
        <v>-</v>
      </c>
    </row>
    <row r="139" spans="1:10" ht="14.25" customHeight="1" x14ac:dyDescent="0.3">
      <c r="A139" s="106" t="s">
        <v>267</v>
      </c>
      <c r="B139" s="107">
        <v>0</v>
      </c>
      <c r="C139" s="107">
        <v>0</v>
      </c>
      <c r="D139" s="107">
        <v>0</v>
      </c>
      <c r="E139" s="107">
        <v>0</v>
      </c>
      <c r="F139" s="120" t="str">
        <f>IFERROR(((C139/B139)-1)*100,"-")</f>
        <v>-</v>
      </c>
      <c r="G139" s="120" t="str">
        <f>IFERROR(((D139/C139)-1)*100,"-")</f>
        <v>-</v>
      </c>
      <c r="H139" s="120" t="str">
        <f>IFERROR(((E139/D139)-1)*100,"-")</f>
        <v>-</v>
      </c>
    </row>
    <row r="140" spans="1:10" ht="14.25" customHeight="1" x14ac:dyDescent="0.3">
      <c r="A140" s="104" t="s">
        <v>268</v>
      </c>
      <c r="B140" s="105">
        <v>0</v>
      </c>
      <c r="C140" s="105">
        <v>0</v>
      </c>
      <c r="D140" s="105">
        <v>0</v>
      </c>
      <c r="E140" s="105">
        <v>0</v>
      </c>
      <c r="F140" s="120" t="str">
        <f>IFERROR(((C140/B140)-1)*100,"-")</f>
        <v>-</v>
      </c>
      <c r="G140" s="120" t="str">
        <f>IFERROR(((D140/C140)-1)*100,"-")</f>
        <v>-</v>
      </c>
      <c r="H140" s="120" t="str">
        <f>IFERROR(((E140/D140)-1)*100,"-")</f>
        <v>-</v>
      </c>
    </row>
    <row r="141" spans="1:10" ht="14.25" customHeight="1" x14ac:dyDescent="0.3">
      <c r="A141" s="106" t="s">
        <v>109</v>
      </c>
      <c r="B141" s="107">
        <v>0</v>
      </c>
      <c r="C141" s="107">
        <v>0</v>
      </c>
      <c r="D141" s="107">
        <v>0</v>
      </c>
      <c r="E141" s="107">
        <v>0</v>
      </c>
      <c r="F141" s="120" t="str">
        <f>IFERROR(((C141/B141)-1)*100,"-")</f>
        <v>-</v>
      </c>
      <c r="G141" s="120" t="str">
        <f>IFERROR(((D141/C141)-1)*100,"-")</f>
        <v>-</v>
      </c>
      <c r="H141" s="120" t="str">
        <f>IFERROR(((E141/D141)-1)*100,"-")</f>
        <v>-</v>
      </c>
      <c r="J141">
        <f>E48/E162</f>
        <v>23.446331949163206</v>
      </c>
    </row>
    <row r="142" spans="1:10" ht="14.25" hidden="1" customHeight="1" x14ac:dyDescent="0.3">
      <c r="A142" s="104" t="s">
        <v>111</v>
      </c>
      <c r="B142" s="105">
        <v>171434</v>
      </c>
      <c r="C142" s="105">
        <v>204012</v>
      </c>
      <c r="D142" s="105">
        <v>234397</v>
      </c>
      <c r="E142" s="105">
        <v>332896</v>
      </c>
      <c r="F142" s="120">
        <f>IFERROR(((C142/B142)-1)*100,"-")</f>
        <v>19.003231564333788</v>
      </c>
      <c r="G142" s="120">
        <f>IFERROR(((D142/C142)-1)*100,"-")</f>
        <v>14.893731741270111</v>
      </c>
      <c r="H142" s="120">
        <f>IFERROR(((E142/D142)-1)*100,"-")</f>
        <v>42.022295507195054</v>
      </c>
    </row>
    <row r="143" spans="1:10" ht="14.25" customHeight="1" x14ac:dyDescent="0.3">
      <c r="A143" s="106" t="s">
        <v>106</v>
      </c>
      <c r="B143" s="107">
        <v>123834</v>
      </c>
      <c r="C143" s="107">
        <v>163309</v>
      </c>
      <c r="D143" s="107">
        <v>176735</v>
      </c>
      <c r="E143" s="107">
        <v>240544</v>
      </c>
      <c r="F143" s="120">
        <f>IFERROR(((C143/B143)-1)*100,"-")</f>
        <v>31.877351938885923</v>
      </c>
      <c r="G143" s="120">
        <f>IFERROR(((D143/C143)-1)*100,"-")</f>
        <v>8.2212247947143204</v>
      </c>
      <c r="H143" s="120">
        <f>IFERROR(((E143/D143)-1)*100,"-")</f>
        <v>36.104337001725753</v>
      </c>
    </row>
    <row r="144" spans="1:10" ht="14.25" hidden="1" customHeight="1" x14ac:dyDescent="0.3">
      <c r="A144" s="104" t="s">
        <v>267</v>
      </c>
      <c r="B144" s="107">
        <v>123834</v>
      </c>
      <c r="C144" s="107">
        <v>163309</v>
      </c>
      <c r="D144" s="107">
        <v>176735</v>
      </c>
      <c r="E144" s="107">
        <v>240544</v>
      </c>
      <c r="F144" s="120">
        <f>IFERROR(((C144/B144)-1)*100,"-")</f>
        <v>31.877351938885923</v>
      </c>
      <c r="G144" s="120">
        <f>IFERROR(((D144/C144)-1)*100,"-")</f>
        <v>8.2212247947143204</v>
      </c>
      <c r="H144" s="120">
        <f>IFERROR(((E144/D144)-1)*100,"-")</f>
        <v>36.104337001725753</v>
      </c>
      <c r="I144" s="36"/>
    </row>
    <row r="145" spans="1:10" ht="14.25" customHeight="1" x14ac:dyDescent="0.3">
      <c r="A145" s="106" t="s">
        <v>268</v>
      </c>
      <c r="B145" s="107">
        <v>0</v>
      </c>
      <c r="C145" s="107">
        <v>0</v>
      </c>
      <c r="D145" s="107">
        <v>0</v>
      </c>
      <c r="E145" s="107">
        <v>0</v>
      </c>
      <c r="F145" s="120" t="str">
        <f>IFERROR(((C145/B145)-1)*100,"-")</f>
        <v>-</v>
      </c>
      <c r="G145" s="120" t="str">
        <f>IFERROR(((D145/C145)-1)*100,"-")</f>
        <v>-</v>
      </c>
      <c r="H145" s="120" t="str">
        <f>IFERROR(((E145/D145)-1)*100,"-")</f>
        <v>-</v>
      </c>
      <c r="I145" s="36"/>
    </row>
    <row r="146" spans="1:10" ht="14.25" customHeight="1" x14ac:dyDescent="0.3">
      <c r="A146" s="104" t="s">
        <v>113</v>
      </c>
      <c r="B146" s="105">
        <v>279</v>
      </c>
      <c r="C146" s="105">
        <v>0</v>
      </c>
      <c r="D146" s="105">
        <v>3</v>
      </c>
      <c r="E146" s="105">
        <v>0</v>
      </c>
      <c r="F146" s="120">
        <f>IFERROR(((C146/B146)-1)*100,"-")</f>
        <v>-100</v>
      </c>
      <c r="G146" s="120" t="str">
        <f>IFERROR(((D146/C146)-1)*100,"-")</f>
        <v>-</v>
      </c>
      <c r="H146" s="120">
        <f>IFERROR(((E146/D146)-1)*100,"-")</f>
        <v>-100</v>
      </c>
      <c r="I146" s="51"/>
      <c r="J146" s="52"/>
    </row>
    <row r="147" spans="1:10" ht="14.25" customHeight="1" x14ac:dyDescent="0.3">
      <c r="A147" s="106" t="s">
        <v>114</v>
      </c>
      <c r="B147" s="107">
        <v>47321</v>
      </c>
      <c r="C147" s="107">
        <v>40703</v>
      </c>
      <c r="D147" s="107">
        <v>57659</v>
      </c>
      <c r="E147" s="107">
        <v>92342</v>
      </c>
      <c r="F147" s="120">
        <f>IFERROR(((C147/B147)-1)*100,"-")</f>
        <v>-13.98533420680036</v>
      </c>
      <c r="G147" s="120">
        <f>IFERROR(((D147/C147)-1)*100,"-")</f>
        <v>41.657863056777146</v>
      </c>
      <c r="H147" s="120">
        <f>IFERROR(((E147/D147)-1)*100,"-")</f>
        <v>60.151927712932938</v>
      </c>
    </row>
    <row r="148" spans="1:10" ht="14.25" customHeight="1" x14ac:dyDescent="0.3">
      <c r="A148" s="104" t="s">
        <v>115</v>
      </c>
      <c r="B148" s="105">
        <v>0</v>
      </c>
      <c r="C148" s="105">
        <v>0</v>
      </c>
      <c r="D148" s="105">
        <v>0</v>
      </c>
      <c r="E148" s="105">
        <v>0</v>
      </c>
      <c r="F148" s="120" t="str">
        <f>IFERROR(((C148/B148)-1)*100,"-")</f>
        <v>-</v>
      </c>
      <c r="G148" s="120" t="str">
        <f>IFERROR(((D148/C148)-1)*100,"-")</f>
        <v>-</v>
      </c>
      <c r="H148" s="120" t="str">
        <f>IFERROR(((E148/D148)-1)*100,"-")</f>
        <v>-</v>
      </c>
    </row>
    <row r="149" spans="1:10" ht="14.25" customHeight="1" x14ac:dyDescent="0.3">
      <c r="A149" s="106" t="s">
        <v>116</v>
      </c>
      <c r="B149" s="107">
        <v>796305</v>
      </c>
      <c r="C149" s="107">
        <v>739225</v>
      </c>
      <c r="D149" s="107">
        <v>904048</v>
      </c>
      <c r="E149" s="107">
        <v>924994</v>
      </c>
      <c r="F149" s="120">
        <f>IFERROR(((C149/B149)-1)*100,"-")</f>
        <v>-7.1681076974274944</v>
      </c>
      <c r="G149" s="120">
        <f>IFERROR(((D149/C149)-1)*100,"-")</f>
        <v>22.296729683114069</v>
      </c>
      <c r="H149" s="120">
        <f>IFERROR(((E149/D149)-1)*100,"-")</f>
        <v>2.3169123763340016</v>
      </c>
    </row>
    <row r="150" spans="1:10" ht="21" customHeight="1" x14ac:dyDescent="0.3">
      <c r="A150" s="104" t="s">
        <v>117</v>
      </c>
      <c r="B150" s="107">
        <v>796305</v>
      </c>
      <c r="C150" s="107">
        <v>739225</v>
      </c>
      <c r="D150" s="107">
        <v>904048</v>
      </c>
      <c r="E150" s="107">
        <v>924994</v>
      </c>
      <c r="F150" s="120">
        <f>IFERROR(((C150/B150)-1)*100,"-")</f>
        <v>-7.1681076974274944</v>
      </c>
      <c r="G150" s="120">
        <f>IFERROR(((D150/C150)-1)*100,"-")</f>
        <v>22.296729683114069</v>
      </c>
      <c r="H150" s="120">
        <f>IFERROR(((E150/D150)-1)*100,"-")</f>
        <v>2.3169123763340016</v>
      </c>
    </row>
    <row r="151" spans="1:10" ht="14.25" customHeight="1" x14ac:dyDescent="0.3">
      <c r="A151" s="106" t="s">
        <v>86</v>
      </c>
      <c r="B151" s="107">
        <v>717078</v>
      </c>
      <c r="C151" s="107">
        <v>664504</v>
      </c>
      <c r="D151" s="107">
        <v>824545</v>
      </c>
      <c r="E151" s="107">
        <v>832297</v>
      </c>
      <c r="F151" s="120">
        <f>IFERROR(((C151/B151)-1)*100,"-")</f>
        <v>-7.3316989225718832</v>
      </c>
      <c r="G151" s="120">
        <f>IFERROR(((D151/C151)-1)*100,"-")</f>
        <v>24.084279402381313</v>
      </c>
      <c r="H151" s="120">
        <f>IFERROR(((E151/D151)-1)*100,"-")</f>
        <v>0.94015487329375258</v>
      </c>
    </row>
    <row r="152" spans="1:10" ht="14.25" customHeight="1" x14ac:dyDescent="0.3">
      <c r="A152" s="104" t="s">
        <v>260</v>
      </c>
      <c r="B152" s="105">
        <v>0</v>
      </c>
      <c r="C152" s="105">
        <v>0</v>
      </c>
      <c r="D152" s="105">
        <v>0</v>
      </c>
      <c r="E152" s="105">
        <v>0</v>
      </c>
      <c r="F152" s="120" t="str">
        <f>IFERROR(((C152/B152)-1)*100,"-")</f>
        <v>-</v>
      </c>
      <c r="G152" s="120" t="str">
        <f>IFERROR(((D152/C152)-1)*100,"-")</f>
        <v>-</v>
      </c>
      <c r="H152" s="120" t="str">
        <f>IFERROR(((E152/D152)-1)*100,"-")</f>
        <v>-</v>
      </c>
    </row>
    <row r="153" spans="1:10" ht="14.25" customHeight="1" x14ac:dyDescent="0.3">
      <c r="A153" s="106" t="s">
        <v>261</v>
      </c>
      <c r="B153" s="107">
        <v>0</v>
      </c>
      <c r="C153" s="107">
        <v>0</v>
      </c>
      <c r="D153" s="107">
        <v>0</v>
      </c>
      <c r="E153" s="107">
        <v>0</v>
      </c>
      <c r="F153" s="120" t="str">
        <f>IFERROR(((C153/B153)-1)*100,"-")</f>
        <v>-</v>
      </c>
      <c r="G153" s="120" t="str">
        <f>IFERROR(((D153/C153)-1)*100,"-")</f>
        <v>-</v>
      </c>
      <c r="H153" s="120" t="str">
        <f>IFERROR(((E153/D153)-1)*100,"-")</f>
        <v>-</v>
      </c>
    </row>
    <row r="154" spans="1:10" ht="14.25" customHeight="1" x14ac:dyDescent="0.3">
      <c r="A154" s="104" t="s">
        <v>262</v>
      </c>
      <c r="B154" s="105">
        <v>0</v>
      </c>
      <c r="C154" s="105">
        <v>0</v>
      </c>
      <c r="D154" s="105">
        <v>0</v>
      </c>
      <c r="E154" s="105">
        <v>0</v>
      </c>
      <c r="F154" s="120" t="str">
        <f>IFERROR(((C154/B154)-1)*100,"-")</f>
        <v>-</v>
      </c>
      <c r="G154" s="120" t="str">
        <f>IFERROR(((D154/C154)-1)*100,"-")</f>
        <v>-</v>
      </c>
      <c r="H154" s="120" t="str">
        <f>IFERROR(((E154/D154)-1)*100,"-")</f>
        <v>-</v>
      </c>
    </row>
    <row r="155" spans="1:10" ht="14.25" customHeight="1" x14ac:dyDescent="0.3">
      <c r="A155" s="106" t="s">
        <v>269</v>
      </c>
      <c r="B155" s="107">
        <v>717078</v>
      </c>
      <c r="C155" s="107">
        <v>664504</v>
      </c>
      <c r="D155" s="107">
        <v>824545</v>
      </c>
      <c r="E155" s="107">
        <v>832297</v>
      </c>
      <c r="F155" s="120">
        <f>IFERROR(((C155/B155)-1)*100,"-")</f>
        <v>-7.3316989225718832</v>
      </c>
      <c r="G155" s="120">
        <f>IFERROR(((D155/C155)-1)*100,"-")</f>
        <v>24.084279402381313</v>
      </c>
      <c r="H155" s="120">
        <f>IFERROR(((E155/D155)-1)*100,"-")</f>
        <v>0.94015487329375258</v>
      </c>
    </row>
    <row r="156" spans="1:10" ht="14.25" customHeight="1" x14ac:dyDescent="0.3">
      <c r="A156" s="104" t="s">
        <v>119</v>
      </c>
      <c r="B156" s="105">
        <v>60</v>
      </c>
      <c r="C156" s="105">
        <v>120</v>
      </c>
      <c r="D156" s="105">
        <v>60</v>
      </c>
      <c r="E156" s="105">
        <v>0</v>
      </c>
      <c r="F156" s="120">
        <f>IFERROR(((C156/B156)-1)*100,"-")</f>
        <v>100</v>
      </c>
      <c r="G156" s="120">
        <f>IFERROR(((D156/C156)-1)*100,"-")</f>
        <v>-50</v>
      </c>
      <c r="H156" s="120">
        <f>IFERROR(((E156/D156)-1)*100,"-")</f>
        <v>-100</v>
      </c>
      <c r="I156" s="51"/>
      <c r="J156" s="56"/>
    </row>
    <row r="157" spans="1:10" ht="14.25" customHeight="1" x14ac:dyDescent="0.3">
      <c r="A157" s="106" t="s">
        <v>260</v>
      </c>
      <c r="B157" s="107">
        <v>0</v>
      </c>
      <c r="C157" s="107">
        <v>0</v>
      </c>
      <c r="D157" s="107">
        <v>0</v>
      </c>
      <c r="E157" s="107">
        <v>0</v>
      </c>
      <c r="F157" s="120" t="str">
        <f>IFERROR(((C157/B157)-1)*100,"-")</f>
        <v>-</v>
      </c>
      <c r="G157" s="120" t="str">
        <f>IFERROR(((D157/C157)-1)*100,"-")</f>
        <v>-</v>
      </c>
      <c r="H157" s="120" t="str">
        <f>IFERROR(((E157/D157)-1)*100,"-")</f>
        <v>-</v>
      </c>
      <c r="J157" s="24"/>
    </row>
    <row r="158" spans="1:10" ht="14.25" hidden="1" customHeight="1" x14ac:dyDescent="0.3">
      <c r="A158" s="104" t="s">
        <v>261</v>
      </c>
      <c r="B158" s="105">
        <v>0</v>
      </c>
      <c r="C158" s="105">
        <v>0</v>
      </c>
      <c r="D158" s="105">
        <v>0</v>
      </c>
      <c r="E158" s="105">
        <v>0</v>
      </c>
      <c r="F158" s="120" t="str">
        <f>IFERROR(((C158/B158)-1)*100,"-")</f>
        <v>-</v>
      </c>
      <c r="G158" s="120" t="str">
        <f>IFERROR(((D158/C158)-1)*100,"-")</f>
        <v>-</v>
      </c>
      <c r="H158" s="120" t="str">
        <f>IFERROR(((E158/D158)-1)*100,"-")</f>
        <v>-</v>
      </c>
    </row>
    <row r="159" spans="1:10" ht="14.25" hidden="1" customHeight="1" x14ac:dyDescent="0.3">
      <c r="A159" s="106" t="s">
        <v>262</v>
      </c>
      <c r="B159" s="107">
        <v>60</v>
      </c>
      <c r="C159" s="107">
        <v>120</v>
      </c>
      <c r="D159" s="107">
        <v>60</v>
      </c>
      <c r="E159" s="107">
        <v>0</v>
      </c>
      <c r="F159" s="120">
        <f>IFERROR(((C159/B159)-1)*100,"-")</f>
        <v>100</v>
      </c>
      <c r="G159" s="120">
        <f>IFERROR(((D159/C159)-1)*100,"-")</f>
        <v>-50</v>
      </c>
      <c r="H159" s="120">
        <f>IFERROR(((E159/D159)-1)*100,"-")</f>
        <v>-100</v>
      </c>
    </row>
    <row r="160" spans="1:10" ht="14.25" customHeight="1" x14ac:dyDescent="0.3">
      <c r="A160" s="104" t="s">
        <v>269</v>
      </c>
      <c r="B160" s="105">
        <v>0</v>
      </c>
      <c r="C160" s="105">
        <v>0</v>
      </c>
      <c r="D160" s="105">
        <v>0</v>
      </c>
      <c r="E160" s="105">
        <v>0</v>
      </c>
      <c r="F160" s="120" t="str">
        <f>IFERROR(((C160/B160)-1)*100,"-")</f>
        <v>-</v>
      </c>
      <c r="G160" s="120" t="str">
        <f>IFERROR(((D160/C160)-1)*100,"-")</f>
        <v>-</v>
      </c>
      <c r="H160" s="120" t="str">
        <f>IFERROR(((E160/D160)-1)*100,"-")</f>
        <v>-</v>
      </c>
    </row>
    <row r="161" spans="1:10" ht="14.4" x14ac:dyDescent="0.3">
      <c r="A161" s="106" t="s">
        <v>270</v>
      </c>
      <c r="B161" s="107">
        <v>79167</v>
      </c>
      <c r="C161" s="107">
        <v>74601</v>
      </c>
      <c r="D161" s="107">
        <v>79443</v>
      </c>
      <c r="E161" s="107">
        <v>92715</v>
      </c>
      <c r="F161" s="120">
        <f>IFERROR(((C161/B161)-1)*100,"-")</f>
        <v>-5.7675546629277319</v>
      </c>
      <c r="G161" s="120">
        <f>IFERROR(((D161/C161)-1)*100,"-")</f>
        <v>6.4905296175654437</v>
      </c>
      <c r="H161" s="120">
        <f>IFERROR(((E161/D161)-1)*100,"-")</f>
        <v>16.70631773724558</v>
      </c>
    </row>
    <row r="162" spans="1:10" ht="30" customHeight="1" x14ac:dyDescent="0.3">
      <c r="A162" s="104" t="s">
        <v>271</v>
      </c>
      <c r="B162" s="105">
        <v>16419</v>
      </c>
      <c r="C162" s="105">
        <v>11119</v>
      </c>
      <c r="D162" s="105">
        <v>13945</v>
      </c>
      <c r="E162" s="105">
        <v>15894</v>
      </c>
      <c r="F162" s="120">
        <f>IFERROR(((C162/B162)-1)*100,"-")</f>
        <v>-32.279675985139164</v>
      </c>
      <c r="G162" s="120">
        <f>IFERROR(((D162/C162)-1)*100,"-")</f>
        <v>25.41595467218276</v>
      </c>
      <c r="H162" s="120">
        <f>IFERROR(((E162/D162)-1)*100,"-")</f>
        <v>13.976335604159207</v>
      </c>
    </row>
    <row r="163" spans="1:10" ht="14.25" customHeight="1" x14ac:dyDescent="0.3">
      <c r="A163" s="106" t="s">
        <v>272</v>
      </c>
      <c r="B163" s="107">
        <v>62748</v>
      </c>
      <c r="C163" s="107">
        <v>63482</v>
      </c>
      <c r="D163" s="107">
        <v>64498</v>
      </c>
      <c r="E163" s="107">
        <v>76821</v>
      </c>
      <c r="F163" s="120">
        <f>IFERROR(((C163/B163)-1)*100,"-")</f>
        <v>1.169758398674059</v>
      </c>
      <c r="G163" s="120">
        <f>IFERROR(((D163/C163)-1)*100,"-")</f>
        <v>1.6004536719069984</v>
      </c>
      <c r="H163" s="120">
        <f>IFERROR(((E163/D163)-1)*100,"-")</f>
        <v>19.106018791280356</v>
      </c>
    </row>
    <row r="164" spans="1:10" ht="14.25" customHeight="1" x14ac:dyDescent="0.3">
      <c r="A164" s="104" t="s">
        <v>273</v>
      </c>
      <c r="B164" s="105">
        <v>0</v>
      </c>
      <c r="C164" s="105">
        <v>0</v>
      </c>
      <c r="D164" s="105">
        <v>0</v>
      </c>
      <c r="E164" s="105">
        <v>0</v>
      </c>
      <c r="F164" s="120" t="str">
        <f>IFERROR(((C164/B164)-1)*100,"-")</f>
        <v>-</v>
      </c>
      <c r="G164" s="120" t="str">
        <f>IFERROR(((D164/C164)-1)*100,"-")</f>
        <v>-</v>
      </c>
      <c r="H164" s="120" t="str">
        <f>IFERROR(((E164/D164)-1)*100,"-")</f>
        <v>-</v>
      </c>
    </row>
    <row r="165" spans="1:10" ht="14.25" customHeight="1" x14ac:dyDescent="0.3">
      <c r="A165" s="106" t="s">
        <v>124</v>
      </c>
      <c r="B165" s="107">
        <v>0</v>
      </c>
      <c r="C165" s="107">
        <v>0</v>
      </c>
      <c r="D165" s="107">
        <v>0</v>
      </c>
      <c r="E165" s="107">
        <v>0</v>
      </c>
      <c r="F165" s="120" t="str">
        <f>IFERROR(((C165/B165)-1)*100,"-")</f>
        <v>-</v>
      </c>
      <c r="G165" s="120" t="str">
        <f>IFERROR(((D165/C165)-1)*100,"-")</f>
        <v>-</v>
      </c>
      <c r="H165" s="120" t="str">
        <f>IFERROR(((E165/D165)-1)*100,"-")</f>
        <v>-</v>
      </c>
    </row>
    <row r="166" spans="1:10" ht="14.25" customHeight="1" x14ac:dyDescent="0.3">
      <c r="A166" s="104" t="s">
        <v>274</v>
      </c>
      <c r="B166" s="105">
        <v>8292</v>
      </c>
      <c r="C166" s="105">
        <v>21704</v>
      </c>
      <c r="D166" s="105">
        <v>13331</v>
      </c>
      <c r="E166" s="105">
        <v>17600</v>
      </c>
      <c r="F166" s="120">
        <f>IFERROR(((C166/B166)-1)*100,"-")</f>
        <v>161.74626145682586</v>
      </c>
      <c r="G166" s="120">
        <f>IFERROR(((D166/C166)-1)*100,"-")</f>
        <v>-38.578142277921124</v>
      </c>
      <c r="H166" s="120">
        <f>IFERROR(((E166/D166)-1)*100,"-")</f>
        <v>32.02310404320756</v>
      </c>
    </row>
    <row r="167" spans="1:10" ht="14.25" customHeight="1" x14ac:dyDescent="0.3">
      <c r="A167" s="138" t="s">
        <v>126</v>
      </c>
      <c r="B167" s="139">
        <v>0</v>
      </c>
      <c r="C167" s="139">
        <v>0</v>
      </c>
      <c r="D167" s="139">
        <v>0</v>
      </c>
      <c r="E167" s="139">
        <v>0</v>
      </c>
      <c r="F167" s="120" t="str">
        <f>IFERROR(((C167/B167)-1)*100,"-")</f>
        <v>-</v>
      </c>
      <c r="G167" s="120" t="str">
        <f>IFERROR(((D167/C167)-1)*100,"-")</f>
        <v>-</v>
      </c>
      <c r="H167" s="120" t="str">
        <f>IFERROR(((E167/D167)-1)*100,"-")</f>
        <v>-</v>
      </c>
    </row>
    <row r="168" spans="1:10" ht="14.25" customHeight="1" x14ac:dyDescent="0.3">
      <c r="A168" s="140" t="s">
        <v>127</v>
      </c>
      <c r="B168" s="141">
        <v>0</v>
      </c>
      <c r="C168" s="141">
        <v>0</v>
      </c>
      <c r="D168" s="141">
        <v>0</v>
      </c>
      <c r="E168" s="141">
        <v>0</v>
      </c>
      <c r="F168" s="120" t="str">
        <f>IFERROR(((C168/B168)-1)*100,"-")</f>
        <v>-</v>
      </c>
      <c r="G168" s="120" t="str">
        <f>IFERROR(((D168/C168)-1)*100,"-")</f>
        <v>-</v>
      </c>
      <c r="H168" s="120" t="str">
        <f>IFERROR(((E168/D168)-1)*100,"-")</f>
        <v>-</v>
      </c>
    </row>
    <row r="169" spans="1:10" ht="14.25" customHeight="1" x14ac:dyDescent="0.3">
      <c r="A169" s="106" t="s">
        <v>275</v>
      </c>
      <c r="B169" s="107">
        <v>4730566</v>
      </c>
      <c r="C169" s="107">
        <v>4558013</v>
      </c>
      <c r="D169" s="107">
        <v>4749761</v>
      </c>
      <c r="E169" s="107">
        <v>4992502</v>
      </c>
      <c r="F169" s="120">
        <f>IFERROR(((C169/B169)-1)*100,"-")</f>
        <v>-3.6476184879356888</v>
      </c>
      <c r="G169" s="120">
        <f>IFERROR(((D169/C169)-1)*100,"-")</f>
        <v>4.2068331090762578</v>
      </c>
      <c r="H169" s="120">
        <f>IFERROR(((E169/D169)-1)*100,"-")</f>
        <v>5.1105939856763261</v>
      </c>
    </row>
    <row r="170" spans="1:10" ht="14.25" customHeight="1" x14ac:dyDescent="0.3">
      <c r="A170" s="140" t="s">
        <v>133</v>
      </c>
      <c r="B170" s="141">
        <v>2601930</v>
      </c>
      <c r="C170" s="141">
        <v>2721251</v>
      </c>
      <c r="D170" s="141">
        <v>2864777</v>
      </c>
      <c r="E170" s="141">
        <v>2844876</v>
      </c>
      <c r="F170" s="120">
        <f>IFERROR(((C170/B170)-1)*100,"-")</f>
        <v>4.5858651078238166</v>
      </c>
      <c r="G170" s="120">
        <f>IFERROR(((D170/C170)-1)*100,"-")</f>
        <v>5.2742654021992186</v>
      </c>
      <c r="H170" s="120">
        <f>IFERROR(((E170/D170)-1)*100,"-")</f>
        <v>-0.69467885283915898</v>
      </c>
    </row>
    <row r="171" spans="1:10" ht="14.25" customHeight="1" x14ac:dyDescent="0.3">
      <c r="A171" s="106" t="s">
        <v>134</v>
      </c>
      <c r="B171" s="107">
        <v>1970719</v>
      </c>
      <c r="C171" s="107">
        <v>1970719</v>
      </c>
      <c r="D171" s="107">
        <v>1970719</v>
      </c>
      <c r="E171" s="107">
        <v>1970719</v>
      </c>
      <c r="F171" s="120">
        <f>IFERROR(((C171/B171)-1)*100,"-")</f>
        <v>0</v>
      </c>
      <c r="G171" s="120">
        <f>IFERROR(((D171/C171)-1)*100,"-")</f>
        <v>0</v>
      </c>
      <c r="H171" s="120">
        <f>IFERROR(((E171/D171)-1)*100,"-")</f>
        <v>0</v>
      </c>
      <c r="I171" s="36"/>
      <c r="J171" s="36"/>
    </row>
    <row r="172" spans="1:10" ht="14.25" hidden="1" customHeight="1" x14ac:dyDescent="0.3">
      <c r="A172" s="104" t="s">
        <v>135</v>
      </c>
      <c r="B172" s="105">
        <v>204</v>
      </c>
      <c r="C172" s="105">
        <v>204</v>
      </c>
      <c r="D172" s="105">
        <v>44211</v>
      </c>
      <c r="E172" s="105">
        <v>204</v>
      </c>
      <c r="F172" s="120">
        <f>IFERROR(((C172/B172)-1)*100,"-")</f>
        <v>0</v>
      </c>
      <c r="G172" s="120">
        <f>IFERROR(((D172/C172)-1)*100,"-")</f>
        <v>21572.058823529413</v>
      </c>
      <c r="H172" s="120">
        <f>IFERROR(((E172/D172)-1)*100,"-")</f>
        <v>-99.538576372396008</v>
      </c>
    </row>
    <row r="173" spans="1:10" ht="14.25" hidden="1" customHeight="1" x14ac:dyDescent="0.3">
      <c r="A173" s="106" t="s">
        <v>276</v>
      </c>
      <c r="B173" s="107">
        <v>0</v>
      </c>
      <c r="C173" s="107">
        <v>0</v>
      </c>
      <c r="D173" s="107">
        <v>0</v>
      </c>
      <c r="E173" s="107">
        <v>0</v>
      </c>
      <c r="F173" s="120" t="str">
        <f>IFERROR(((C173/B173)-1)*100,"-")</f>
        <v>-</v>
      </c>
      <c r="G173" s="120" t="str">
        <f>IFERROR(((D173/C173)-1)*100,"-")</f>
        <v>-</v>
      </c>
      <c r="H173" s="120" t="str">
        <f>IFERROR(((E173/D173)-1)*100,"-")</f>
        <v>-</v>
      </c>
      <c r="I173" s="36"/>
    </row>
    <row r="174" spans="1:10" ht="14.25" hidden="1" customHeight="1" x14ac:dyDescent="0.3">
      <c r="A174" s="104" t="s">
        <v>137</v>
      </c>
      <c r="B174" s="121" t="s">
        <v>277</v>
      </c>
      <c r="C174" s="121" t="s">
        <v>277</v>
      </c>
      <c r="D174" s="121" t="s">
        <v>277</v>
      </c>
      <c r="E174" s="121" t="s">
        <v>277</v>
      </c>
      <c r="F174" s="120" t="str">
        <f>IFERROR(((C174/B174)-1)*100,"-")</f>
        <v>-</v>
      </c>
      <c r="G174" s="120" t="str">
        <f>IFERROR(((D174/C174)-1)*100,"-")</f>
        <v>-</v>
      </c>
      <c r="H174" s="120" t="str">
        <f>IFERROR(((E174/D174)-1)*100,"-")</f>
        <v>-</v>
      </c>
    </row>
    <row r="175" spans="1:10" ht="14.25" customHeight="1" x14ac:dyDescent="0.3">
      <c r="A175" s="106" t="s">
        <v>278</v>
      </c>
      <c r="B175" s="107">
        <v>0</v>
      </c>
      <c r="C175" s="107">
        <v>0</v>
      </c>
      <c r="D175" s="107">
        <v>0</v>
      </c>
      <c r="E175" s="107">
        <v>0</v>
      </c>
      <c r="F175" s="120" t="str">
        <f>IFERROR(((C175/B175)-1)*100,"-")</f>
        <v>-</v>
      </c>
      <c r="G175" s="120" t="str">
        <f>IFERROR(((D175/C175)-1)*100,"-")</f>
        <v>-</v>
      </c>
      <c r="H175" s="120" t="str">
        <f>IFERROR(((E175/D175)-1)*100,"-")</f>
        <v>-</v>
      </c>
    </row>
    <row r="176" spans="1:10" ht="14.25" customHeight="1" x14ac:dyDescent="0.3">
      <c r="A176" s="104" t="s">
        <v>139</v>
      </c>
      <c r="B176" s="105">
        <v>604291</v>
      </c>
      <c r="C176" s="105">
        <v>604291</v>
      </c>
      <c r="D176" s="105">
        <v>604291</v>
      </c>
      <c r="E176" s="105">
        <v>604291</v>
      </c>
      <c r="F176" s="120">
        <f>IFERROR(((C176/B176)-1)*100,"-")</f>
        <v>0</v>
      </c>
      <c r="G176" s="120">
        <f>IFERROR(((D176/C176)-1)*100,"-")</f>
        <v>0</v>
      </c>
      <c r="H176" s="120">
        <f>IFERROR(((E176/D176)-1)*100,"-")</f>
        <v>0</v>
      </c>
      <c r="I176" s="36"/>
      <c r="J176" s="36"/>
    </row>
    <row r="177" spans="1:10" ht="14.25" hidden="1" customHeight="1" x14ac:dyDescent="0.3">
      <c r="A177" s="106" t="s">
        <v>279</v>
      </c>
      <c r="B177" s="107">
        <v>0</v>
      </c>
      <c r="C177" s="107">
        <v>0</v>
      </c>
      <c r="D177" s="107">
        <v>0</v>
      </c>
      <c r="E177" s="107">
        <v>0</v>
      </c>
      <c r="F177" s="120" t="str">
        <f>IFERROR(((C177/B177)-1)*100,"-")</f>
        <v>-</v>
      </c>
      <c r="G177" s="120" t="str">
        <f>IFERROR(((D177/C177)-1)*100,"-")</f>
        <v>-</v>
      </c>
      <c r="H177" s="120" t="str">
        <f>IFERROR(((E177/D177)-1)*100,"-")</f>
        <v>-</v>
      </c>
      <c r="I177" s="51"/>
      <c r="J177" s="51"/>
    </row>
    <row r="178" spans="1:10" ht="14.25" hidden="1" customHeight="1" x14ac:dyDescent="0.3">
      <c r="A178" s="104" t="s">
        <v>280</v>
      </c>
      <c r="B178" s="105">
        <v>0</v>
      </c>
      <c r="C178" s="105">
        <v>0</v>
      </c>
      <c r="D178" s="105">
        <v>0</v>
      </c>
      <c r="E178" s="105">
        <v>0</v>
      </c>
      <c r="F178" s="120" t="str">
        <f>IFERROR(((C178/B178)-1)*100,"-")</f>
        <v>-</v>
      </c>
      <c r="G178" s="120" t="str">
        <f>IFERROR(((D178/C178)-1)*100,"-")</f>
        <v>-</v>
      </c>
      <c r="H178" s="120" t="str">
        <f>IFERROR(((E178/D178)-1)*100,"-")</f>
        <v>-</v>
      </c>
    </row>
    <row r="179" spans="1:10" ht="14.25" hidden="1" customHeight="1" x14ac:dyDescent="0.3">
      <c r="A179" s="106" t="s">
        <v>142</v>
      </c>
      <c r="B179" s="111">
        <v>-47646</v>
      </c>
      <c r="C179" s="107">
        <v>33686</v>
      </c>
      <c r="D179" s="111">
        <v>-2175</v>
      </c>
      <c r="E179" s="107">
        <v>0</v>
      </c>
      <c r="F179" s="120">
        <f>IFERROR(((C179/B179)-1)*100,"-")</f>
        <v>-170.70058346975611</v>
      </c>
      <c r="G179" s="120">
        <f>IFERROR(((D179/C179)-1)*100,"-")</f>
        <v>-106.45668823843732</v>
      </c>
      <c r="H179" s="120">
        <f>IFERROR(((E179/D179)-1)*100,"-")</f>
        <v>-100</v>
      </c>
    </row>
    <row r="180" spans="1:10" ht="14.25" customHeight="1" x14ac:dyDescent="0.3">
      <c r="A180" s="104" t="s">
        <v>143</v>
      </c>
      <c r="B180" s="105">
        <v>81332</v>
      </c>
      <c r="C180" s="105">
        <v>119321</v>
      </c>
      <c r="D180" s="105">
        <v>254701</v>
      </c>
      <c r="E180" s="105">
        <v>276632</v>
      </c>
      <c r="F180" s="120">
        <f>IFERROR(((C180/B180)-1)*100,"-")</f>
        <v>46.708552599222926</v>
      </c>
      <c r="G180" s="120">
        <f>IFERROR(((D180/C180)-1)*100,"-")</f>
        <v>113.45865354799241</v>
      </c>
      <c r="H180" s="120">
        <f>IFERROR(((E180/D180)-1)*100,"-")</f>
        <v>8.6104883765670372</v>
      </c>
    </row>
    <row r="181" spans="1:10" ht="14.25" customHeight="1" x14ac:dyDescent="0.3">
      <c r="A181" s="106" t="s">
        <v>144</v>
      </c>
      <c r="B181" s="107">
        <v>0</v>
      </c>
      <c r="C181" s="107">
        <v>0</v>
      </c>
      <c r="D181" s="107">
        <v>0</v>
      </c>
      <c r="E181" s="107">
        <v>0</v>
      </c>
      <c r="F181" s="120" t="str">
        <f>IFERROR(((C181/B181)-1)*100,"-")</f>
        <v>-</v>
      </c>
      <c r="G181" s="120" t="str">
        <f>IFERROR(((D181/C181)-1)*100,"-")</f>
        <v>-</v>
      </c>
      <c r="H181" s="120" t="str">
        <f>IFERROR(((E181/D181)-1)*100,"-")</f>
        <v>-</v>
      </c>
    </row>
    <row r="182" spans="1:10" ht="14.25" customHeight="1" x14ac:dyDescent="0.3">
      <c r="A182" s="140" t="s">
        <v>145</v>
      </c>
      <c r="B182" s="141">
        <v>2128636</v>
      </c>
      <c r="C182" s="141">
        <v>1836762</v>
      </c>
      <c r="D182" s="141">
        <v>1884984</v>
      </c>
      <c r="E182" s="141">
        <v>2147626</v>
      </c>
      <c r="F182" s="120">
        <f>IFERROR(((C182/B182)-1)*100,"-")</f>
        <v>-13.711785387449993</v>
      </c>
      <c r="G182" s="120">
        <f>IFERROR(((D182/C182)-1)*100,"-")</f>
        <v>2.6253809693362662</v>
      </c>
      <c r="H182" s="120">
        <f>IFERROR(((E182/D182)-1)*100,"-")</f>
        <v>13.933380866893309</v>
      </c>
    </row>
    <row r="183" spans="1:10" ht="14.25" customHeight="1" x14ac:dyDescent="0.3">
      <c r="A183" s="106" t="s">
        <v>146</v>
      </c>
      <c r="B183" s="107">
        <v>87290</v>
      </c>
      <c r="C183" s="107">
        <v>87282</v>
      </c>
      <c r="D183" s="107">
        <v>58516</v>
      </c>
      <c r="E183" s="107">
        <v>60136</v>
      </c>
      <c r="F183" s="120">
        <f>IFERROR(((C183/B183)-1)*100,"-")</f>
        <v>-9.1648527895560328E-3</v>
      </c>
      <c r="G183" s="120">
        <f>IFERROR(((D183/C183)-1)*100,"-")</f>
        <v>-32.957539928049307</v>
      </c>
      <c r="H183" s="120">
        <f>IFERROR(((E183/D183)-1)*100,"-")</f>
        <v>2.7684735798755966</v>
      </c>
    </row>
    <row r="184" spans="1:10" ht="14.25" customHeight="1" x14ac:dyDescent="0.3">
      <c r="A184" s="104" t="s">
        <v>147</v>
      </c>
      <c r="B184" s="105">
        <v>1389</v>
      </c>
      <c r="C184" s="105">
        <v>277</v>
      </c>
      <c r="D184" s="105">
        <v>216</v>
      </c>
      <c r="E184" s="105">
        <v>62</v>
      </c>
      <c r="F184" s="120">
        <f>IFERROR(((C184/B184)-1)*100,"-")</f>
        <v>-80.057595392368611</v>
      </c>
      <c r="G184" s="120">
        <f>IFERROR(((D184/C184)-1)*100,"-")</f>
        <v>-22.021660649819495</v>
      </c>
      <c r="H184" s="120">
        <f>IFERROR(((E184/D184)-1)*100,"-")</f>
        <v>-71.296296296296305</v>
      </c>
    </row>
    <row r="185" spans="1:10" ht="14.25" customHeight="1" x14ac:dyDescent="0.3">
      <c r="A185" s="106" t="s">
        <v>148</v>
      </c>
      <c r="B185" s="107">
        <v>14193</v>
      </c>
      <c r="C185" s="107">
        <v>14834</v>
      </c>
      <c r="D185" s="107">
        <v>17098</v>
      </c>
      <c r="E185" s="107">
        <v>14977</v>
      </c>
      <c r="F185" s="120">
        <f>IFERROR(((C185/B185)-1)*100,"-")</f>
        <v>4.5163108574649558</v>
      </c>
      <c r="G185" s="120">
        <f>IFERROR(((D185/C185)-1)*100,"-")</f>
        <v>15.262235405150326</v>
      </c>
      <c r="H185" s="120">
        <f>IFERROR(((E185/D185)-1)*100,"-")</f>
        <v>-12.404959644402858</v>
      </c>
    </row>
    <row r="186" spans="1:10" ht="14.25" customHeight="1" x14ac:dyDescent="0.3">
      <c r="A186" s="104" t="s">
        <v>281</v>
      </c>
      <c r="B186" s="105">
        <v>12065</v>
      </c>
      <c r="C186" s="105">
        <v>12644</v>
      </c>
      <c r="D186" s="105">
        <v>14546</v>
      </c>
      <c r="E186" s="105">
        <v>11747</v>
      </c>
      <c r="F186" s="120">
        <f>IFERROR(((C186/B186)-1)*100,"-")</f>
        <v>4.7990053874844563</v>
      </c>
      <c r="G186" s="120">
        <f>IFERROR(((D186/C186)-1)*100,"-")</f>
        <v>15.042708003796257</v>
      </c>
      <c r="H186" s="120">
        <f>IFERROR(((E186/D186)-1)*100,"-")</f>
        <v>-19.242403409872132</v>
      </c>
    </row>
    <row r="187" spans="1:10" ht="14.25" customHeight="1" x14ac:dyDescent="0.3">
      <c r="A187" s="106" t="s">
        <v>282</v>
      </c>
      <c r="B187" s="107">
        <v>2128</v>
      </c>
      <c r="C187" s="107">
        <v>2190</v>
      </c>
      <c r="D187" s="107">
        <v>2552</v>
      </c>
      <c r="E187" s="107">
        <v>3230</v>
      </c>
      <c r="F187" s="120">
        <f>IFERROR(((C187/B187)-1)*100,"-")</f>
        <v>2.913533834586457</v>
      </c>
      <c r="G187" s="120">
        <f>IFERROR(((D187/C187)-1)*100,"-")</f>
        <v>16.529680365296805</v>
      </c>
      <c r="H187" s="120">
        <f>IFERROR(((E187/D187)-1)*100,"-")</f>
        <v>26.567398119122252</v>
      </c>
      <c r="I187" s="51"/>
      <c r="J187" s="51"/>
    </row>
    <row r="188" spans="1:10" ht="14.25" customHeight="1" x14ac:dyDescent="0.3">
      <c r="A188" s="104" t="s">
        <v>151</v>
      </c>
      <c r="B188" s="109">
        <v>87290</v>
      </c>
      <c r="C188" s="105">
        <v>72171</v>
      </c>
      <c r="D188" s="105">
        <v>41202</v>
      </c>
      <c r="E188" s="105">
        <v>45097</v>
      </c>
      <c r="F188" s="120">
        <f>IFERROR(((C188/B188)-1)*100,"-")</f>
        <v>-17.320426165654712</v>
      </c>
      <c r="G188" s="120">
        <f>IFERROR(((D188/C188)-1)*100,"-")</f>
        <v>-42.910587355031801</v>
      </c>
      <c r="H188" s="120">
        <f>IFERROR(((E188/D188)-1)*100,"-")</f>
        <v>9.453424591039262</v>
      </c>
      <c r="I188" s="51"/>
      <c r="J188" s="51"/>
    </row>
    <row r="189" spans="1:10" ht="14.25" customHeight="1" x14ac:dyDescent="0.3">
      <c r="A189" s="106" t="s">
        <v>283</v>
      </c>
      <c r="B189" s="107">
        <v>16295</v>
      </c>
      <c r="C189" s="107">
        <v>14170</v>
      </c>
      <c r="D189" s="107">
        <v>3227</v>
      </c>
      <c r="E189" s="107">
        <v>3456</v>
      </c>
      <c r="F189" s="120">
        <f>IFERROR(((C189/B189)-1)*100,"-")</f>
        <v>-13.040810064436947</v>
      </c>
      <c r="G189" s="120">
        <f>IFERROR(((D189/C189)-1)*100,"-")</f>
        <v>-77.226534932956952</v>
      </c>
      <c r="H189" s="120">
        <f>IFERROR(((E189/D189)-1)*100,"-")</f>
        <v>7.0963743414936387</v>
      </c>
      <c r="I189" s="51"/>
      <c r="J189" s="51"/>
    </row>
    <row r="190" spans="1:10" ht="14.25" customHeight="1" x14ac:dyDescent="0.3">
      <c r="A190" s="104" t="s">
        <v>284</v>
      </c>
      <c r="B190" s="105">
        <v>55413</v>
      </c>
      <c r="C190" s="105">
        <v>58001</v>
      </c>
      <c r="D190" s="105">
        <v>37975</v>
      </c>
      <c r="E190" s="105">
        <v>41641</v>
      </c>
      <c r="F190" s="120">
        <f>IFERROR(((C190/B190)-1)*100,"-")</f>
        <v>4.6703842058722689</v>
      </c>
      <c r="G190" s="120">
        <f>IFERROR(((D190/C190)-1)*100,"-")</f>
        <v>-34.52699091394976</v>
      </c>
      <c r="H190" s="120">
        <f>IFERROR(((E190/D190)-1)*100,"-")</f>
        <v>9.6537195523370691</v>
      </c>
      <c r="I190" s="51"/>
      <c r="J190" s="51"/>
    </row>
    <row r="191" spans="1:10" ht="14.25" customHeight="1" x14ac:dyDescent="0.3">
      <c r="A191" s="106" t="s">
        <v>154</v>
      </c>
      <c r="B191" s="107">
        <v>95063</v>
      </c>
      <c r="C191" s="107">
        <v>82967</v>
      </c>
      <c r="D191" s="107">
        <v>71662</v>
      </c>
      <c r="E191" s="107">
        <v>40739</v>
      </c>
      <c r="F191" s="120">
        <f>IFERROR(((C191/B191)-1)*100,"-")</f>
        <v>-12.724193429620357</v>
      </c>
      <c r="G191" s="120">
        <f>IFERROR(((D191/C191)-1)*100,"-")</f>
        <v>-13.625899453999779</v>
      </c>
      <c r="H191" s="120">
        <f>IFERROR(((E191/D191)-1)*100,"-")</f>
        <v>-43.151181937428483</v>
      </c>
      <c r="I191" s="51"/>
      <c r="J191" s="51"/>
    </row>
    <row r="192" spans="1:10" ht="14.25" customHeight="1" x14ac:dyDescent="0.3">
      <c r="A192" s="104" t="s">
        <v>155</v>
      </c>
      <c r="B192" s="105">
        <v>0</v>
      </c>
      <c r="C192" s="105">
        <v>0</v>
      </c>
      <c r="D192" s="105">
        <v>0</v>
      </c>
      <c r="E192" s="105">
        <v>0</v>
      </c>
      <c r="F192" s="120" t="str">
        <f>IFERROR(((C192/B192)-1)*100,"-")</f>
        <v>-</v>
      </c>
      <c r="G192" s="120" t="str">
        <f>IFERROR(((D192/C192)-1)*100,"-")</f>
        <v>-</v>
      </c>
      <c r="H192" s="120" t="str">
        <f>IFERROR(((E192/D192)-1)*100,"-")</f>
        <v>-</v>
      </c>
      <c r="I192" s="51"/>
      <c r="J192" s="51"/>
    </row>
    <row r="193" spans="1:10" ht="14.25" customHeight="1" x14ac:dyDescent="0.3">
      <c r="A193" s="106" t="s">
        <v>156</v>
      </c>
      <c r="B193" s="107">
        <v>0</v>
      </c>
      <c r="C193" s="107">
        <v>0</v>
      </c>
      <c r="D193" s="107">
        <v>0</v>
      </c>
      <c r="E193" s="107">
        <v>0</v>
      </c>
      <c r="F193" s="120" t="str">
        <f>IFERROR(((C193/B193)-1)*100,"-")</f>
        <v>-</v>
      </c>
      <c r="G193" s="120" t="str">
        <f>IFERROR(((D193/C193)-1)*100,"-")</f>
        <v>-</v>
      </c>
      <c r="H193" s="120" t="str">
        <f>IFERROR(((E193/D193)-1)*100,"-")</f>
        <v>-</v>
      </c>
      <c r="I193" s="51"/>
      <c r="J193" s="51"/>
    </row>
    <row r="194" spans="1:10" ht="14.25" customHeight="1" x14ac:dyDescent="0.3">
      <c r="A194" s="104" t="s">
        <v>157</v>
      </c>
      <c r="B194" s="105">
        <v>95063</v>
      </c>
      <c r="C194" s="105">
        <v>82967</v>
      </c>
      <c r="D194" s="105">
        <v>71662</v>
      </c>
      <c r="E194" s="105">
        <v>40739</v>
      </c>
      <c r="F194" s="120">
        <f>IFERROR(((C194/B194)-1)*100,"-")</f>
        <v>-12.724193429620357</v>
      </c>
      <c r="G194" s="120">
        <f>IFERROR(((D194/C194)-1)*100,"-")</f>
        <v>-13.625899453999779</v>
      </c>
      <c r="H194" s="120">
        <f>IFERROR(((E194/D194)-1)*100,"-")</f>
        <v>-43.151181937428483</v>
      </c>
      <c r="I194" s="51"/>
      <c r="J194" s="51"/>
    </row>
    <row r="195" spans="1:10" ht="14.25" customHeight="1" x14ac:dyDescent="0.3">
      <c r="A195" s="106" t="s">
        <v>158</v>
      </c>
      <c r="B195" s="107">
        <v>0</v>
      </c>
      <c r="C195" s="107">
        <v>0</v>
      </c>
      <c r="D195" s="107">
        <v>0</v>
      </c>
      <c r="E195" s="107">
        <v>0</v>
      </c>
      <c r="F195" s="120" t="str">
        <f>IFERROR(((C195/B195)-1)*100,"-")</f>
        <v>-</v>
      </c>
      <c r="G195" s="120" t="str">
        <f>IFERROR(((D195/C195)-1)*100,"-")</f>
        <v>-</v>
      </c>
      <c r="H195" s="120" t="str">
        <f>IFERROR(((E195/D195)-1)*100,"-")</f>
        <v>-</v>
      </c>
      <c r="I195" s="51"/>
      <c r="J195" s="107" t="s">
        <v>285</v>
      </c>
    </row>
    <row r="196" spans="1:10" ht="14.25" customHeight="1" x14ac:dyDescent="0.3">
      <c r="A196" s="104" t="s">
        <v>159</v>
      </c>
      <c r="B196" s="105">
        <v>0</v>
      </c>
      <c r="C196" s="105">
        <v>0</v>
      </c>
      <c r="D196" s="105">
        <v>0</v>
      </c>
      <c r="E196" s="105">
        <v>0</v>
      </c>
      <c r="F196" s="120" t="str">
        <f>IFERROR(((C196/B196)-1)*100,"-")</f>
        <v>-</v>
      </c>
      <c r="G196" s="120" t="str">
        <f>IFERROR(((D196/C196)-1)*100,"-")</f>
        <v>-</v>
      </c>
      <c r="H196" s="120" t="str">
        <f>IFERROR(((E196/D196)-1)*100,"-")</f>
        <v>-</v>
      </c>
      <c r="I196" s="51"/>
      <c r="J196" s="51"/>
    </row>
    <row r="197" spans="1:10" ht="14.25" customHeight="1" x14ac:dyDescent="0.3">
      <c r="A197" s="106" t="s">
        <v>160</v>
      </c>
      <c r="B197" s="107">
        <v>64485</v>
      </c>
      <c r="C197" s="107">
        <v>49708</v>
      </c>
      <c r="D197" s="107">
        <v>35645</v>
      </c>
      <c r="E197" s="107">
        <v>0</v>
      </c>
      <c r="F197" s="120">
        <f>IFERROR(((C197/B197)-1)*100,"-")</f>
        <v>-22.915406683724893</v>
      </c>
      <c r="G197" s="120">
        <f>IFERROR(((D197/C197)-1)*100,"-")</f>
        <v>-28.291220729057699</v>
      </c>
      <c r="H197" s="120">
        <f>IFERROR(((E197/D197)-1)*100,"-")</f>
        <v>-100</v>
      </c>
      <c r="I197" s="51"/>
      <c r="J197" s="51"/>
    </row>
    <row r="198" spans="1:10" ht="14.25" customHeight="1" x14ac:dyDescent="0.3">
      <c r="A198" s="104" t="s">
        <v>161</v>
      </c>
      <c r="B198" s="105">
        <v>0</v>
      </c>
      <c r="C198" s="105">
        <v>0</v>
      </c>
      <c r="D198" s="105">
        <v>0</v>
      </c>
      <c r="E198" s="105">
        <v>0</v>
      </c>
      <c r="F198" s="120" t="str">
        <f>IFERROR(((C198/B198)-1)*100,"-")</f>
        <v>-</v>
      </c>
      <c r="G198" s="120" t="str">
        <f>IFERROR(((D198/C198)-1)*100,"-")</f>
        <v>-</v>
      </c>
      <c r="H198" s="120" t="str">
        <f>IFERROR(((E198/D198)-1)*100,"-")</f>
        <v>-</v>
      </c>
      <c r="I198" s="51"/>
      <c r="J198" s="51"/>
    </row>
    <row r="199" spans="1:10" ht="14.25" customHeight="1" x14ac:dyDescent="0.3">
      <c r="A199" s="106" t="s">
        <v>162</v>
      </c>
      <c r="B199" s="107">
        <v>39578</v>
      </c>
      <c r="C199" s="107">
        <v>33259</v>
      </c>
      <c r="D199" s="107">
        <v>36008</v>
      </c>
      <c r="E199" s="107">
        <v>40739</v>
      </c>
      <c r="F199" s="120">
        <f>IFERROR(((C199/B199)-1)*100,"-")</f>
        <v>-15.965940674111877</v>
      </c>
      <c r="G199" s="120">
        <f>IFERROR(((D199/C199)-1)*100,"-")</f>
        <v>8.2654319131663545</v>
      </c>
      <c r="H199" s="120">
        <f>IFERROR(((E199/D199)-1)*100,"-")</f>
        <v>13.138746945123314</v>
      </c>
    </row>
    <row r="200" spans="1:10" ht="14.25" customHeight="1" x14ac:dyDescent="0.3">
      <c r="A200" s="104" t="s">
        <v>163</v>
      </c>
      <c r="B200" s="105">
        <v>1808055</v>
      </c>
      <c r="C200" s="105">
        <v>1524958</v>
      </c>
      <c r="D200" s="105">
        <v>1612709</v>
      </c>
      <c r="E200" s="105">
        <v>187189</v>
      </c>
      <c r="F200" s="120">
        <f>IFERROR(((C200/B200)-1)*100,"-")</f>
        <v>-15.657543603485513</v>
      </c>
      <c r="G200" s="120">
        <f>IFERROR(((D200/C200)-1)*100,"-")</f>
        <v>5.7543224141255012</v>
      </c>
      <c r="H200" s="120">
        <f>IFERROR(((E200/D200)-1)*100,"-")</f>
        <v>-88.392884271123933</v>
      </c>
    </row>
    <row r="201" spans="1:10" ht="14.25" customHeight="1" x14ac:dyDescent="0.3">
      <c r="A201" s="106" t="s">
        <v>164</v>
      </c>
      <c r="B201" s="107">
        <v>186914</v>
      </c>
      <c r="C201" s="107">
        <v>33480</v>
      </c>
      <c r="D201" s="107">
        <v>45638</v>
      </c>
      <c r="E201" s="107">
        <v>49938</v>
      </c>
      <c r="F201" s="120">
        <f>IFERROR(((C201/B201)-1)*100,"-")</f>
        <v>-82.088019088992809</v>
      </c>
      <c r="G201" s="120">
        <f>IFERROR(((D201/C201)-1)*100,"-")</f>
        <v>36.314217443249696</v>
      </c>
      <c r="H201" s="120">
        <f>IFERROR(((E201/D201)-1)*100,"-")</f>
        <v>9.4219729173057551</v>
      </c>
    </row>
    <row r="202" spans="1:10" ht="14.25" customHeight="1" x14ac:dyDescent="0.3">
      <c r="A202" s="104" t="s">
        <v>165</v>
      </c>
      <c r="B202" s="105">
        <v>35289</v>
      </c>
      <c r="C202" s="105">
        <v>33267</v>
      </c>
      <c r="D202" s="105">
        <v>44983</v>
      </c>
      <c r="E202" s="105">
        <v>47137</v>
      </c>
      <c r="F202" s="120">
        <f>IFERROR(((C202/B202)-1)*100,"-")</f>
        <v>-5.729830825469695</v>
      </c>
      <c r="G202" s="120">
        <f>IFERROR(((D202/C202)-1)*100,"-")</f>
        <v>35.218083987134399</v>
      </c>
      <c r="H202" s="120">
        <f>IFERROR(((E202/D202)-1)*100,"-")</f>
        <v>4.7884756463552947</v>
      </c>
    </row>
    <row r="203" spans="1:10" ht="14.25" customHeight="1" x14ac:dyDescent="0.3">
      <c r="A203" s="106" t="s">
        <v>267</v>
      </c>
      <c r="B203" s="107">
        <v>35289</v>
      </c>
      <c r="C203" s="107">
        <v>33267</v>
      </c>
      <c r="D203" s="107">
        <v>44983</v>
      </c>
      <c r="E203" s="107">
        <v>47137</v>
      </c>
      <c r="F203" s="120">
        <f>IFERROR(((C203/B203)-1)*100,"-")</f>
        <v>-5.729830825469695</v>
      </c>
      <c r="G203" s="120">
        <f>IFERROR(((D203/C203)-1)*100,"-")</f>
        <v>35.218083987134399</v>
      </c>
      <c r="H203" s="120">
        <f>IFERROR(((E203/D203)-1)*100,"-")</f>
        <v>4.7884756463552947</v>
      </c>
    </row>
    <row r="204" spans="1:10" ht="14.25" customHeight="1" x14ac:dyDescent="0.3">
      <c r="A204" s="104" t="s">
        <v>268</v>
      </c>
      <c r="B204" s="105">
        <v>0</v>
      </c>
      <c r="C204" s="105">
        <v>0</v>
      </c>
      <c r="D204" s="105">
        <v>0</v>
      </c>
      <c r="E204" s="105">
        <v>0</v>
      </c>
      <c r="F204" s="120" t="str">
        <f>IFERROR(((C204/B204)-1)*100,"-")</f>
        <v>-</v>
      </c>
      <c r="G204" s="120" t="str">
        <f>IFERROR(((D204/C204)-1)*100,"-")</f>
        <v>-</v>
      </c>
      <c r="H204" s="120" t="str">
        <f>IFERROR(((E204/D204)-1)*100,"-")</f>
        <v>-</v>
      </c>
    </row>
    <row r="205" spans="1:10" ht="14.25" customHeight="1" x14ac:dyDescent="0.3">
      <c r="A205" s="106" t="s">
        <v>109</v>
      </c>
      <c r="B205" s="107">
        <v>151625</v>
      </c>
      <c r="C205" s="107">
        <v>213</v>
      </c>
      <c r="D205" s="107">
        <v>655</v>
      </c>
      <c r="E205" s="107">
        <v>2801</v>
      </c>
      <c r="F205" s="120">
        <f>IFERROR(((C205/B205)-1)*100,"-")</f>
        <v>-99.859521846661167</v>
      </c>
      <c r="G205" s="120">
        <f>IFERROR(((D205/C205)-1)*100,"-")</f>
        <v>207.51173708920189</v>
      </c>
      <c r="H205" s="120">
        <f>IFERROR(((E205/D205)-1)*100,"-")</f>
        <v>327.63358778625957</v>
      </c>
    </row>
    <row r="206" spans="1:10" ht="14.25" customHeight="1" x14ac:dyDescent="0.3">
      <c r="A206" s="104" t="s">
        <v>168</v>
      </c>
      <c r="B206" s="105">
        <v>0</v>
      </c>
      <c r="C206" s="105">
        <v>0</v>
      </c>
      <c r="D206" s="105">
        <v>0</v>
      </c>
      <c r="E206" s="105">
        <v>0</v>
      </c>
      <c r="F206" s="120" t="str">
        <f>IFERROR(((C206/B206)-1)*100,"-")</f>
        <v>-</v>
      </c>
      <c r="G206" s="120" t="str">
        <f>IFERROR(((D206/C206)-1)*100,"-")</f>
        <v>-</v>
      </c>
      <c r="H206" s="120" t="str">
        <f>IFERROR(((E206/D206)-1)*100,"-")</f>
        <v>-</v>
      </c>
    </row>
    <row r="207" spans="1:10" ht="14.25" customHeight="1" x14ac:dyDescent="0.3">
      <c r="A207" s="106" t="s">
        <v>165</v>
      </c>
      <c r="B207" s="107">
        <v>0</v>
      </c>
      <c r="C207" s="107">
        <v>0</v>
      </c>
      <c r="D207" s="107">
        <v>0</v>
      </c>
      <c r="E207" s="107">
        <v>0</v>
      </c>
      <c r="F207" s="120" t="str">
        <f>IFERROR(((C207/B207)-1)*100,"-")</f>
        <v>-</v>
      </c>
      <c r="G207" s="120" t="str">
        <f>IFERROR(((D207/C207)-1)*100,"-")</f>
        <v>-</v>
      </c>
      <c r="H207" s="120" t="str">
        <f>IFERROR(((E207/D207)-1)*100,"-")</f>
        <v>-</v>
      </c>
    </row>
    <row r="208" spans="1:10" ht="14.25" customHeight="1" x14ac:dyDescent="0.3">
      <c r="A208" s="104" t="s">
        <v>267</v>
      </c>
      <c r="B208" s="105">
        <v>0</v>
      </c>
      <c r="C208" s="105">
        <v>0</v>
      </c>
      <c r="D208" s="105">
        <v>0</v>
      </c>
      <c r="E208" s="105">
        <v>0</v>
      </c>
      <c r="F208" s="120" t="str">
        <f>IFERROR(((C208/B208)-1)*100,"-")</f>
        <v>-</v>
      </c>
      <c r="G208" s="120" t="str">
        <f>IFERROR(((D208/C208)-1)*100,"-")</f>
        <v>-</v>
      </c>
      <c r="H208" s="120" t="str">
        <f>IFERROR(((E208/D208)-1)*100,"-")</f>
        <v>-</v>
      </c>
    </row>
    <row r="209" spans="1:8" ht="14.25" customHeight="1" x14ac:dyDescent="0.3">
      <c r="A209" s="106" t="s">
        <v>268</v>
      </c>
      <c r="B209" s="107">
        <v>0</v>
      </c>
      <c r="C209" s="107">
        <v>0</v>
      </c>
      <c r="D209" s="107">
        <v>0</v>
      </c>
      <c r="E209" s="107">
        <v>0</v>
      </c>
      <c r="F209" s="120" t="str">
        <f>IFERROR(((C209/B209)-1)*100,"-")</f>
        <v>-</v>
      </c>
      <c r="G209" s="120" t="str">
        <f>IFERROR(((D209/C209)-1)*100,"-")</f>
        <v>-</v>
      </c>
      <c r="H209" s="120" t="str">
        <f>IFERROR(((E209/D209)-1)*100,"-")</f>
        <v>-</v>
      </c>
    </row>
    <row r="210" spans="1:8" ht="14.25" customHeight="1" x14ac:dyDescent="0.3">
      <c r="A210" s="104" t="s">
        <v>109</v>
      </c>
      <c r="B210" s="105">
        <v>0</v>
      </c>
      <c r="C210" s="105">
        <v>0</v>
      </c>
      <c r="D210" s="105">
        <v>0</v>
      </c>
      <c r="E210" s="105">
        <v>0</v>
      </c>
      <c r="F210" s="120" t="str">
        <f>IFERROR(((C210/B210)-1)*100,"-")</f>
        <v>-</v>
      </c>
      <c r="G210" s="120" t="str">
        <f>IFERROR(((D210/C210)-1)*100,"-")</f>
        <v>-</v>
      </c>
      <c r="H210" s="120" t="str">
        <f>IFERROR(((E210/D210)-1)*100,"-")</f>
        <v>-</v>
      </c>
    </row>
    <row r="211" spans="1:8" ht="14.25" customHeight="1" x14ac:dyDescent="0.3">
      <c r="A211" s="106" t="s">
        <v>171</v>
      </c>
      <c r="B211" s="107">
        <v>1590221</v>
      </c>
      <c r="C211" s="107">
        <v>1456818</v>
      </c>
      <c r="D211" s="107">
        <v>1530665</v>
      </c>
      <c r="E211" s="107">
        <v>1785313</v>
      </c>
      <c r="F211" s="120">
        <f>IFERROR(((C211/B211)-1)*100,"-")</f>
        <v>-8.3889597735157579</v>
      </c>
      <c r="G211" s="120">
        <f>IFERROR(((D211/C211)-1)*100,"-")</f>
        <v>5.0690614750778851</v>
      </c>
      <c r="H211" s="120">
        <f>IFERROR(((E211/D211)-1)*100,"-")</f>
        <v>16.636429264404697</v>
      </c>
    </row>
    <row r="212" spans="1:8" ht="14.25" customHeight="1" x14ac:dyDescent="0.3">
      <c r="A212" s="104" t="s">
        <v>158</v>
      </c>
      <c r="B212" s="105">
        <v>0</v>
      </c>
      <c r="C212" s="105">
        <v>0</v>
      </c>
      <c r="D212" s="105">
        <v>0</v>
      </c>
      <c r="E212" s="105">
        <v>0</v>
      </c>
      <c r="F212" s="120" t="str">
        <f>IFERROR(((C212/B212)-1)*100,"-")</f>
        <v>-</v>
      </c>
      <c r="G212" s="120" t="str">
        <f>IFERROR(((D212/C212)-1)*100,"-")</f>
        <v>-</v>
      </c>
      <c r="H212" s="120" t="str">
        <f>IFERROR(((E212/D212)-1)*100,"-")</f>
        <v>-</v>
      </c>
    </row>
    <row r="213" spans="1:8" ht="14.25" customHeight="1" x14ac:dyDescent="0.3">
      <c r="A213" s="106" t="s">
        <v>159</v>
      </c>
      <c r="B213" s="107">
        <v>0</v>
      </c>
      <c r="C213" s="107">
        <v>0</v>
      </c>
      <c r="D213" s="107">
        <v>0</v>
      </c>
      <c r="E213" s="107">
        <v>0</v>
      </c>
      <c r="F213" s="120" t="str">
        <f>IFERROR(((C213/B213)-1)*100,"-")</f>
        <v>-</v>
      </c>
      <c r="G213" s="120" t="str">
        <f>IFERROR(((D213/C213)-1)*100,"-")</f>
        <v>-</v>
      </c>
      <c r="H213" s="120" t="str">
        <f>IFERROR(((E213/D213)-1)*100,"-")</f>
        <v>-</v>
      </c>
    </row>
    <row r="214" spans="1:8" ht="14.25" customHeight="1" x14ac:dyDescent="0.3">
      <c r="A214" s="104" t="s">
        <v>160</v>
      </c>
      <c r="B214" s="105">
        <v>17833</v>
      </c>
      <c r="C214" s="105">
        <v>20173</v>
      </c>
      <c r="D214" s="105">
        <v>16448</v>
      </c>
      <c r="E214" s="105">
        <v>35281</v>
      </c>
      <c r="F214" s="120">
        <f>IFERROR(((C214/B214)-1)*100,"-")</f>
        <v>13.121740593282126</v>
      </c>
      <c r="G214" s="120">
        <f>IFERROR(((D214/C214)-1)*100,"-")</f>
        <v>-18.465275368066226</v>
      </c>
      <c r="H214" s="120">
        <f>IFERROR(((E214/D214)-1)*100,"-")</f>
        <v>114.50024319066148</v>
      </c>
    </row>
    <row r="215" spans="1:8" ht="14.25" customHeight="1" x14ac:dyDescent="0.3">
      <c r="A215" s="106" t="s">
        <v>172</v>
      </c>
      <c r="B215" s="107">
        <v>1364275</v>
      </c>
      <c r="C215" s="107">
        <v>1257367</v>
      </c>
      <c r="D215" s="107">
        <v>1328718</v>
      </c>
      <c r="E215" s="107">
        <v>1506502</v>
      </c>
      <c r="F215" s="120">
        <f>IFERROR(((C215/B215)-1)*100,"-")</f>
        <v>-7.8362500229059435</v>
      </c>
      <c r="G215" s="120">
        <f>IFERROR(((D215/C215)-1)*100,"-")</f>
        <v>5.6746359654738843</v>
      </c>
      <c r="H215" s="120">
        <f>IFERROR(((E215/D215)-1)*100,"-")</f>
        <v>13.380115269003646</v>
      </c>
    </row>
    <row r="216" spans="1:8" ht="14.25" customHeight="1" x14ac:dyDescent="0.3">
      <c r="A216" s="104" t="s">
        <v>267</v>
      </c>
      <c r="B216" s="107">
        <v>1364275</v>
      </c>
      <c r="C216" s="107">
        <v>1257367</v>
      </c>
      <c r="D216" s="107">
        <v>1328718</v>
      </c>
      <c r="E216" s="107">
        <v>1506502</v>
      </c>
      <c r="F216" s="120">
        <f>IFERROR(((C216/B216)-1)*100,"-")</f>
        <v>-7.8362500229059435</v>
      </c>
      <c r="G216" s="120">
        <f>IFERROR(((D216/C216)-1)*100,"-")</f>
        <v>5.6746359654738843</v>
      </c>
      <c r="H216" s="120">
        <f>IFERROR(((E216/D216)-1)*100,"-")</f>
        <v>13.380115269003646</v>
      </c>
    </row>
    <row r="217" spans="1:8" ht="14.25" customHeight="1" x14ac:dyDescent="0.3">
      <c r="A217" s="106" t="s">
        <v>268</v>
      </c>
      <c r="B217" s="107">
        <v>0</v>
      </c>
      <c r="C217" s="107">
        <v>0</v>
      </c>
      <c r="D217" s="107">
        <v>0</v>
      </c>
      <c r="E217" s="107">
        <v>0</v>
      </c>
      <c r="F217" s="120" t="str">
        <f>IFERROR(((C217/B217)-1)*100,"-")</f>
        <v>-</v>
      </c>
      <c r="G217" s="120" t="str">
        <f>IFERROR(((D217/C217)-1)*100,"-")</f>
        <v>-</v>
      </c>
      <c r="H217" s="120" t="str">
        <f>IFERROR(((E217/D217)-1)*100,"-")</f>
        <v>-</v>
      </c>
    </row>
    <row r="218" spans="1:8" ht="14.25" customHeight="1" x14ac:dyDescent="0.3">
      <c r="A218" s="104" t="s">
        <v>173</v>
      </c>
      <c r="B218" s="105">
        <v>0</v>
      </c>
      <c r="C218" s="105">
        <v>0</v>
      </c>
      <c r="D218" s="105">
        <v>0</v>
      </c>
      <c r="E218" s="105">
        <v>0</v>
      </c>
      <c r="F218" s="120" t="str">
        <f>IFERROR(((C218/B218)-1)*100,"-")</f>
        <v>-</v>
      </c>
      <c r="G218" s="120" t="str">
        <f>IFERROR(((D218/C218)-1)*100,"-")</f>
        <v>-</v>
      </c>
      <c r="H218" s="120" t="str">
        <f>IFERROR(((E218/D218)-1)*100,"-")</f>
        <v>-</v>
      </c>
    </row>
    <row r="219" spans="1:8" ht="14.25" customHeight="1" x14ac:dyDescent="0.3">
      <c r="A219" s="106" t="s">
        <v>174</v>
      </c>
      <c r="B219" s="107">
        <v>0</v>
      </c>
      <c r="C219" s="107">
        <v>0</v>
      </c>
      <c r="D219" s="107">
        <v>0</v>
      </c>
      <c r="E219" s="107">
        <v>0</v>
      </c>
      <c r="F219" s="120" t="str">
        <f>IFERROR(((C219/B219)-1)*100,"-")</f>
        <v>-</v>
      </c>
      <c r="G219" s="120" t="str">
        <f>IFERROR(((D219/C219)-1)*100,"-")</f>
        <v>-</v>
      </c>
      <c r="H219" s="120" t="str">
        <f>IFERROR(((E219/D219)-1)*100,"-")</f>
        <v>-</v>
      </c>
    </row>
    <row r="220" spans="1:8" ht="27" x14ac:dyDescent="0.3">
      <c r="A220" s="104" t="s">
        <v>286</v>
      </c>
      <c r="B220" s="105">
        <v>103943</v>
      </c>
      <c r="C220" s="105">
        <v>94304</v>
      </c>
      <c r="D220" s="105">
        <v>86242</v>
      </c>
      <c r="E220" s="105">
        <v>148913</v>
      </c>
      <c r="F220" s="120">
        <f>IFERROR(((C220/B220)-1)*100,"-")</f>
        <v>-9.2733517408579722</v>
      </c>
      <c r="G220" s="120">
        <f>IFERROR(((D220/C220)-1)*100,"-")</f>
        <v>-8.5489480827960591</v>
      </c>
      <c r="H220" s="120">
        <f>IFERROR(((E220/D220)-1)*100,"-")</f>
        <v>72.668769277150332</v>
      </c>
    </row>
    <row r="221" spans="1:8" ht="14.4" x14ac:dyDescent="0.3">
      <c r="A221" s="106" t="s">
        <v>176</v>
      </c>
      <c r="B221" s="107">
        <v>30546</v>
      </c>
      <c r="C221" s="107">
        <v>27614</v>
      </c>
      <c r="D221" s="107">
        <v>31761</v>
      </c>
      <c r="E221" s="107">
        <v>34315</v>
      </c>
      <c r="F221" s="120">
        <f>IFERROR(((C221/B221)-1)*100,"-")</f>
        <v>-9.5986381195573891</v>
      </c>
      <c r="G221" s="120">
        <f>IFERROR(((D221/C221)-1)*100,"-")</f>
        <v>15.017744622293039</v>
      </c>
      <c r="H221" s="120">
        <f>IFERROR(((E221/D221)-1)*100,"-")</f>
        <v>8.0413085230313985</v>
      </c>
    </row>
    <row r="222" spans="1:8" ht="14.25" customHeight="1" x14ac:dyDescent="0.3">
      <c r="A222" s="104" t="s">
        <v>177</v>
      </c>
      <c r="B222" s="105">
        <v>73624</v>
      </c>
      <c r="C222" s="105">
        <v>57360</v>
      </c>
      <c r="D222" s="105">
        <v>67496</v>
      </c>
      <c r="E222" s="105">
        <v>60302</v>
      </c>
      <c r="F222" s="120">
        <f>IFERROR(((C222/B222)-1)*100,"-")</f>
        <v>-22.090622623057698</v>
      </c>
      <c r="G222" s="120">
        <f>IFERROR(((D222/C222)-1)*100,"-")</f>
        <v>17.670850767085078</v>
      </c>
      <c r="H222" s="120">
        <f>IFERROR(((E222/D222)-1)*100,"-")</f>
        <v>-10.658409387222944</v>
      </c>
    </row>
    <row r="223" spans="1:8" ht="14.25" customHeight="1" x14ac:dyDescent="0.3">
      <c r="A223" s="106" t="s">
        <v>178</v>
      </c>
      <c r="B223" s="107">
        <v>30920</v>
      </c>
      <c r="C223" s="107">
        <v>34660</v>
      </c>
      <c r="D223" s="107">
        <v>34406</v>
      </c>
      <c r="E223" s="107">
        <v>35938</v>
      </c>
      <c r="F223" s="120">
        <f>IFERROR(((C223/B223)-1)*100,"-")</f>
        <v>12.09573091849936</v>
      </c>
      <c r="G223" s="120">
        <f>IFERROR(((D223/C223)-1)*100,"-")</f>
        <v>-0.73283323716099025</v>
      </c>
      <c r="H223" s="120">
        <f>IFERROR(((E223/D223)-1)*100,"-")</f>
        <v>4.4527117363250657</v>
      </c>
    </row>
    <row r="224" spans="1:8" ht="14.25" customHeight="1" x14ac:dyDescent="0.3">
      <c r="A224" s="104" t="s">
        <v>179</v>
      </c>
      <c r="B224" s="105">
        <v>138228</v>
      </c>
      <c r="C224" s="105">
        <v>141555</v>
      </c>
      <c r="D224" s="105">
        <v>142097</v>
      </c>
      <c r="E224" s="105">
        <v>175562</v>
      </c>
      <c r="F224" s="120">
        <f>IFERROR(((C224/B224)-1)*100,"-")</f>
        <v>2.4068929594582844</v>
      </c>
      <c r="G224" s="120">
        <f>IFERROR(((D224/C224)-1)*100,"-")</f>
        <v>0.38289004273956984</v>
      </c>
      <c r="H224" s="120">
        <f>IFERROR(((E224/D224)-1)*100,"-")</f>
        <v>23.550813880658982</v>
      </c>
    </row>
    <row r="225" spans="1:8" ht="14.25" customHeight="1" x14ac:dyDescent="0.3">
      <c r="A225" s="106" t="s">
        <v>180</v>
      </c>
      <c r="B225" s="107">
        <v>0</v>
      </c>
      <c r="C225" s="107">
        <v>0</v>
      </c>
      <c r="D225" s="107">
        <v>0</v>
      </c>
      <c r="E225" s="107">
        <v>0</v>
      </c>
      <c r="F225" s="120" t="str">
        <f>IFERROR(((C225/B225)-1)*100,"-")</f>
        <v>-</v>
      </c>
      <c r="G225" s="120" t="str">
        <f>IFERROR(((D225/C225)-1)*100,"-")</f>
        <v>-</v>
      </c>
      <c r="H225" s="120" t="str">
        <f>IFERROR(((E225/D225)-1)*100,"-")</f>
        <v>-</v>
      </c>
    </row>
    <row r="226" spans="1:8" ht="14.25" customHeight="1" x14ac:dyDescent="0.3">
      <c r="A226" s="104" t="s">
        <v>181</v>
      </c>
      <c r="B226" s="105">
        <v>138228</v>
      </c>
      <c r="C226" s="105">
        <v>141555</v>
      </c>
      <c r="D226" s="105">
        <v>142097</v>
      </c>
      <c r="E226" s="105">
        <v>175562</v>
      </c>
      <c r="F226" s="120">
        <f>IFERROR(((C226/B226)-1)*100,"-")</f>
        <v>2.4068929594582844</v>
      </c>
      <c r="G226" s="120">
        <f>IFERROR(((D226/C226)-1)*100,"-")</f>
        <v>0.38289004273956984</v>
      </c>
      <c r="H226" s="120">
        <f>IFERROR(((E226/D226)-1)*100,"-")</f>
        <v>23.550813880658982</v>
      </c>
    </row>
    <row r="227" spans="1:8" ht="14.25" customHeight="1" x14ac:dyDescent="0.3">
      <c r="A227" s="106" t="s">
        <v>283</v>
      </c>
      <c r="B227" s="107">
        <v>23411</v>
      </c>
      <c r="C227" s="107">
        <v>29048</v>
      </c>
      <c r="D227" s="107">
        <v>27456</v>
      </c>
      <c r="E227" s="136">
        <v>41069</v>
      </c>
      <c r="F227" s="120">
        <f>IFERROR(((C227/B227)-1)*100,"-")</f>
        <v>24.078424672162658</v>
      </c>
      <c r="G227" s="120">
        <f>IFERROR(((D227/C227)-1)*100,"-")</f>
        <v>-5.4805838611952655</v>
      </c>
      <c r="H227" s="120">
        <f>IFERROR(((E227/D227)-1)*100,"-")</f>
        <v>49.581148018648015</v>
      </c>
    </row>
    <row r="228" spans="1:8" ht="14.25" customHeight="1" x14ac:dyDescent="0.3">
      <c r="A228" s="104" t="s">
        <v>284</v>
      </c>
      <c r="B228" s="105">
        <v>114817</v>
      </c>
      <c r="C228" s="107">
        <v>739225</v>
      </c>
      <c r="D228" s="105">
        <v>114641</v>
      </c>
      <c r="E228" s="105">
        <v>134493</v>
      </c>
      <c r="F228" s="120">
        <f>IFERROR(((C228/B228)-1)*100,"-")</f>
        <v>543.8288755149498</v>
      </c>
      <c r="G228" s="120">
        <f>IFERROR(((D228/C228)-1)*100,"-")</f>
        <v>-84.491731204978194</v>
      </c>
      <c r="H228" s="120">
        <f>IFERROR(((E228/D228)-1)*100,"-")</f>
        <v>17.316666812048041</v>
      </c>
    </row>
    <row r="229" spans="1:8" ht="14.25" customHeight="1" x14ac:dyDescent="0.3">
      <c r="A229" s="43" t="s">
        <v>128</v>
      </c>
      <c r="B229" s="103">
        <v>4730566</v>
      </c>
      <c r="C229" s="103">
        <v>4558013</v>
      </c>
      <c r="D229" s="103">
        <v>4749761</v>
      </c>
      <c r="E229" s="103">
        <v>4992502</v>
      </c>
      <c r="F229" s="9">
        <f>IFERROR(((C229/B229)-1)*100,"-")</f>
        <v>-3.6476184879356888</v>
      </c>
      <c r="G229" s="9">
        <f>IFERROR(((D229/C229)-1)*100,"-")</f>
        <v>4.2068331090762578</v>
      </c>
      <c r="H229" s="9">
        <f>IFERROR(((E229/D229)-1)*100,"-")</f>
        <v>5.1105939856763261</v>
      </c>
    </row>
    <row r="230" spans="1:8" ht="14.25" customHeight="1" x14ac:dyDescent="0.3">
      <c r="A230" s="45" t="s">
        <v>129</v>
      </c>
      <c r="B230" s="46">
        <f>B57/B229</f>
        <v>0.65589952661055784</v>
      </c>
      <c r="C230" s="46">
        <f>C57/C229</f>
        <v>0.6383560117094883</v>
      </c>
      <c r="D230" s="46">
        <f>D57/D229</f>
        <v>0.59615378542204545</v>
      </c>
      <c r="E230" s="46">
        <f>E57/E229</f>
        <v>0.56263933394518417</v>
      </c>
      <c r="F230" s="9">
        <f>IFERROR(((C230/B230)-1)*100,"-")</f>
        <v>-2.6747259586735517</v>
      </c>
      <c r="G230" s="9">
        <f>IFERROR(((D230/C230)-1)*100,"-")</f>
        <v>-6.6110799480727405</v>
      </c>
      <c r="H230" s="9">
        <f>IFERROR(((E230/D230)-1)*100,"-")</f>
        <v>-5.6217795301148339</v>
      </c>
    </row>
    <row r="231" spans="1:8" ht="14.25" customHeight="1" x14ac:dyDescent="0.3">
      <c r="A231" s="45" t="s">
        <v>130</v>
      </c>
      <c r="B231" s="46">
        <f>B124/B229</f>
        <v>0.34410047338944222</v>
      </c>
      <c r="C231" s="46">
        <f>C124/C229</f>
        <v>0.3616439882905117</v>
      </c>
      <c r="D231" s="46">
        <f>D124/D229</f>
        <v>0.40384621457795455</v>
      </c>
      <c r="E231" s="46">
        <f>E124/E229</f>
        <v>0.43736066605481583</v>
      </c>
      <c r="F231" s="9">
        <f>IFERROR(((C231/B231)-1)*100,"-")</f>
        <v>5.0983698825703971</v>
      </c>
      <c r="G231" s="9">
        <f>IFERROR(((D231/C231)-1)*100,"-")</f>
        <v>11.669550069650668</v>
      </c>
      <c r="H231" s="9">
        <f>IFERROR(((E231/D231)-1)*100,"-")</f>
        <v>8.2988153081702265</v>
      </c>
    </row>
    <row r="232" spans="1:8" ht="14.25" customHeight="1" x14ac:dyDescent="0.3">
      <c r="A232" s="45" t="s">
        <v>131</v>
      </c>
      <c r="B232" s="46">
        <f>B79/B56</f>
        <v>0.50784451585708767</v>
      </c>
      <c r="C232" s="46">
        <f>C79/C56</f>
        <v>0.48899136531642184</v>
      </c>
      <c r="D232" s="46">
        <f>D79/D56</f>
        <v>0.4614242695579841</v>
      </c>
      <c r="E232" s="46">
        <f>E79/E56</f>
        <v>0.43497749224737414</v>
      </c>
      <c r="F232" s="9">
        <f>IFERROR(((C232/B232)-1)*100,"-")</f>
        <v>-3.7123863607835594</v>
      </c>
      <c r="G232" s="9">
        <f>IFERROR(((D232/C232)-1)*100,"-")</f>
        <v>-5.637542442206378</v>
      </c>
      <c r="H232" s="9">
        <f>IFERROR(((E232/D232)-1)*100,"-")</f>
        <v>-5.731553161680103</v>
      </c>
    </row>
    <row r="233" spans="1:8" ht="14.25" customHeight="1" x14ac:dyDescent="0.3">
      <c r="A233" s="45" t="s">
        <v>132</v>
      </c>
      <c r="B233" s="47">
        <f>B58/B56</f>
        <v>1.4754894023252186E-2</v>
      </c>
      <c r="C233" s="47">
        <f>C58/C56</f>
        <v>1.2766966658497903E-2</v>
      </c>
      <c r="D233" s="47">
        <f>D58/D56</f>
        <v>1.2378096497907999E-2</v>
      </c>
      <c r="E233" s="47">
        <f>E58/E56</f>
        <v>1.1531893227083334E-2</v>
      </c>
      <c r="F233" s="9">
        <f>IFERROR(((C233/B233)-1)*100,"-")</f>
        <v>-13.473003341274525</v>
      </c>
      <c r="G233" s="9">
        <f>IFERROR(((D233/C233)-1)*100,"-")</f>
        <v>-3.0459087972244836</v>
      </c>
      <c r="H233" s="9">
        <f>IFERROR(((E233/D233)-1)*100,"-")</f>
        <v>-6.8362956369558141</v>
      </c>
    </row>
    <row r="234" spans="1:8" ht="14.25" customHeight="1" x14ac:dyDescent="0.3">
      <c r="A234" s="63" t="s">
        <v>182</v>
      </c>
      <c r="B234" s="64">
        <f>B170+B182</f>
        <v>4730566</v>
      </c>
      <c r="C234" s="64">
        <f>C170+C182</f>
        <v>4558013</v>
      </c>
      <c r="D234" s="64">
        <f>D170+D182</f>
        <v>4749761</v>
      </c>
      <c r="E234" s="64">
        <f>E170+E182</f>
        <v>4992502</v>
      </c>
      <c r="F234" s="9">
        <f>IFERROR(((C234/B234)-1)*100,"-")</f>
        <v>-3.6476184879356888</v>
      </c>
      <c r="G234" s="9">
        <f>IFERROR(((D234/C234)-1)*100,"-")</f>
        <v>4.2068331090762578</v>
      </c>
      <c r="H234" s="9">
        <f>IFERROR(((E234/D234)-1)*100,"-")</f>
        <v>5.1105939856763261</v>
      </c>
    </row>
    <row r="235" spans="1:8" ht="14.25" customHeight="1" x14ac:dyDescent="0.3">
      <c r="A235" s="65" t="s">
        <v>183</v>
      </c>
      <c r="B235" s="66">
        <f>B170/B234</f>
        <v>0.5500250921348524</v>
      </c>
      <c r="C235" s="66">
        <f>C170/C234</f>
        <v>0.59702572151505495</v>
      </c>
      <c r="D235" s="66">
        <f>D170/D234</f>
        <v>0.60314129489883805</v>
      </c>
      <c r="E235" s="66">
        <f>E170/E234</f>
        <v>0.56982971664307791</v>
      </c>
      <c r="F235" s="67"/>
      <c r="G235" s="67"/>
      <c r="H235" s="67"/>
    </row>
    <row r="236" spans="1:8" ht="14.25" customHeight="1" x14ac:dyDescent="0.3">
      <c r="A236" s="65" t="s">
        <v>184</v>
      </c>
      <c r="B236" s="66">
        <f>B191/B234</f>
        <v>2.0095481174979907E-2</v>
      </c>
      <c r="C236" s="66">
        <f>C191/C234</f>
        <v>1.8202449181255076E-2</v>
      </c>
      <c r="D236" s="66">
        <f>D191/D234</f>
        <v>1.5087495981376747E-2</v>
      </c>
      <c r="E236" s="66">
        <f>E191/E234</f>
        <v>8.1600367911720418E-3</v>
      </c>
      <c r="F236" s="67"/>
      <c r="G236" s="67"/>
      <c r="H236" s="67"/>
    </row>
    <row r="237" spans="1:8" ht="14.25" customHeight="1" x14ac:dyDescent="0.3">
      <c r="A237" s="65" t="s">
        <v>185</v>
      </c>
      <c r="B237" s="66">
        <f>B200/B234</f>
        <v>0.38220690716501998</v>
      </c>
      <c r="C237" s="66">
        <f>C200/C234</f>
        <v>0.33456639987643738</v>
      </c>
      <c r="D237" s="66">
        <f>D200/D234</f>
        <v>0.33953476817044059</v>
      </c>
      <c r="E237" s="66">
        <f>E200/E234</f>
        <v>3.7494026041451758E-2</v>
      </c>
      <c r="F237" s="68"/>
      <c r="G237" s="67"/>
      <c r="H237" s="67"/>
    </row>
    <row r="238" spans="1:8" ht="14.25" customHeight="1" x14ac:dyDescent="0.3">
      <c r="A238" s="69" t="s">
        <v>186</v>
      </c>
      <c r="B238" s="70">
        <f>B183/B234</f>
        <v>1.8452337415861018E-2</v>
      </c>
      <c r="C238" s="70">
        <f>C183/C234</f>
        <v>1.9149133624673735E-2</v>
      </c>
      <c r="D238" s="70">
        <f>D183/D234</f>
        <v>1.2319777774081685E-2</v>
      </c>
      <c r="E238" s="70">
        <f>E183/E234</f>
        <v>1.2045263076509534E-2</v>
      </c>
      <c r="F238" s="71"/>
      <c r="G238" s="72"/>
      <c r="H238" s="72"/>
    </row>
    <row r="239" spans="1:8" ht="14.25" customHeight="1" x14ac:dyDescent="0.3"/>
    <row r="240" spans="1:8" ht="14.25" customHeight="1" x14ac:dyDescent="0.3"/>
    <row r="241" spans="1:6" ht="14.25" customHeight="1" x14ac:dyDescent="0.3">
      <c r="A241" s="76" t="s">
        <v>61</v>
      </c>
      <c r="B241" s="77" t="str">
        <f>B1</f>
        <v>31.12.2019</v>
      </c>
      <c r="C241" s="77" t="str">
        <f>C1</f>
        <v>31.12.2020</v>
      </c>
      <c r="D241" s="77" t="str">
        <f>D1</f>
        <v>31.12.2021</v>
      </c>
      <c r="E241" s="77" t="str">
        <f>E1</f>
        <v>31.12.2022</v>
      </c>
    </row>
    <row r="242" spans="1:6" ht="14.25" customHeight="1" x14ac:dyDescent="0.3">
      <c r="A242" s="54" t="s">
        <v>188</v>
      </c>
      <c r="B242" s="80">
        <f>(B29+B41)/B3</f>
        <v>3.1016805129236889E-4</v>
      </c>
      <c r="C242" s="80">
        <f>(C29+C41)/C3</f>
        <v>8.087087827037409E-4</v>
      </c>
      <c r="D242" s="80">
        <f>(D29+D41)/D3</f>
        <v>7.1905358651225325E-4</v>
      </c>
      <c r="E242" s="80">
        <f>(E29+E41)/E3</f>
        <v>2.0297102335373293E-3</v>
      </c>
    </row>
    <row r="243" spans="1:6" ht="14.25" customHeight="1" x14ac:dyDescent="0.3">
      <c r="A243" s="54" t="s">
        <v>189</v>
      </c>
      <c r="B243" s="80">
        <f>(B29+B41)/B48</f>
        <v>2.0450174060945174E-2</v>
      </c>
      <c r="C243" s="80">
        <f>(C29+C41)/C48</f>
        <v>4.7194962845311703E-2</v>
      </c>
      <c r="D243" s="80">
        <f>(D29+D41)/D48</f>
        <v>1.9770549696542808E-2</v>
      </c>
      <c r="E243" s="80">
        <f>(E29+E41)/E48</f>
        <v>5.3494375509853594E-2</v>
      </c>
    </row>
    <row r="244" spans="1:6" ht="14.25" customHeight="1" x14ac:dyDescent="0.3">
      <c r="A244" s="81" t="s">
        <v>190</v>
      </c>
      <c r="B244" s="25">
        <f>(B29+B41)/B51</f>
        <v>3.1635764520729845E-2</v>
      </c>
      <c r="C244" s="25">
        <f>(C29+C41)/C51</f>
        <v>5.578230152278308E-2</v>
      </c>
      <c r="D244" s="25">
        <f>(D29+D41)/D51</f>
        <v>2.4134180863051184E-2</v>
      </c>
      <c r="E244" s="25">
        <f>(E29+E41)/E51</f>
        <v>7.2063246479076901E-2</v>
      </c>
    </row>
    <row r="245" spans="1:6" ht="14.25" customHeight="1" x14ac:dyDescent="0.3">
      <c r="A245" s="81" t="s">
        <v>191</v>
      </c>
      <c r="B245" s="25">
        <f>(B29+B41)/'Dane dodatkowe'!B2</f>
        <v>5.4807522923624552E-4</v>
      </c>
      <c r="C245" s="25">
        <f>(C29+C41)/'Dane dodatkowe'!C2</f>
        <v>1.4331577054835078E-3</v>
      </c>
      <c r="D245" s="25">
        <f>(D29+D41)/'Dane dodatkowe'!D2</f>
        <v>1.3208313824551391E-3</v>
      </c>
      <c r="E245" s="25">
        <f>(E29+E41)/'Dane dodatkowe'!E2</f>
        <v>4.0924778880966481E-3</v>
      </c>
      <c r="F245" s="99"/>
    </row>
    <row r="246" spans="1:6" ht="14.25" customHeight="1" x14ac:dyDescent="0.3">
      <c r="A246" s="81" t="s">
        <v>192</v>
      </c>
      <c r="B246" s="25">
        <f>(B29+B41)/'Dane dodatkowe'!B3</f>
        <v>1.0045821125819127E-3</v>
      </c>
      <c r="C246" s="25">
        <f>(C29+C41)/'Dane dodatkowe'!C3</f>
        <v>2.5007603536306581E-3</v>
      </c>
      <c r="D246" s="25">
        <f>(D29+D41)/'Dane dodatkowe'!D3</f>
        <v>2.2008482592640066E-3</v>
      </c>
      <c r="E246" s="25">
        <f>(E29+E41)/'Dane dodatkowe'!E3</f>
        <v>1.2732515305684157E-2</v>
      </c>
    </row>
    <row r="247" spans="1:6" ht="14.25" customHeight="1" x14ac:dyDescent="0.3">
      <c r="A247" s="78" t="s">
        <v>193</v>
      </c>
    </row>
    <row r="248" spans="1:6" ht="14.25" customHeight="1" x14ac:dyDescent="0.3">
      <c r="A248" s="82" t="s">
        <v>194</v>
      </c>
      <c r="B248" s="83">
        <f>(B191+B200+B211)/B56</f>
        <v>0.7384611059226317</v>
      </c>
      <c r="C248" s="83">
        <f>(C191+C200+C211)/C56</f>
        <v>0.67238575230039932</v>
      </c>
      <c r="D248" s="83">
        <f>(D191+D200+D211)/D56</f>
        <v>0.67688374215039449</v>
      </c>
      <c r="E248" s="83">
        <f>(E191+E200+E211)/E56</f>
        <v>0.40325291807594671</v>
      </c>
    </row>
    <row r="249" spans="1:6" ht="14.25" customHeight="1" x14ac:dyDescent="0.3">
      <c r="A249" s="82" t="s">
        <v>195</v>
      </c>
      <c r="B249" s="84">
        <f>(B191+B200+B211)/(B170+(B191+B200+B211))</f>
        <v>0.57312302377466851</v>
      </c>
      <c r="C249" s="84">
        <f>(C191+C200+C211)/(C170+(C191+C200+C211))</f>
        <v>0.52968305877952859</v>
      </c>
      <c r="D249" s="84">
        <f>(D191+D200+D211)/(D170+(D191+D200+D211))</f>
        <v>0.5288050800246652</v>
      </c>
      <c r="E249" s="84">
        <f>(E191+E200+E211)/(E170+(E191+E200+E211))</f>
        <v>0.41440768100068404</v>
      </c>
    </row>
    <row r="250" spans="1:6" ht="14.25" customHeight="1" x14ac:dyDescent="0.3">
      <c r="A250" s="85" t="s">
        <v>196</v>
      </c>
      <c r="B250" s="86">
        <f>(B170*100%)/B56</f>
        <v>0.5500250921348524</v>
      </c>
      <c r="C250" s="86">
        <f t="shared" ref="C250:E250" si="14">(C170*100%)/C56</f>
        <v>0.59702572151505495</v>
      </c>
      <c r="D250" s="86">
        <f t="shared" si="14"/>
        <v>0.60314129489883805</v>
      </c>
      <c r="E250" s="86">
        <f t="shared" si="14"/>
        <v>0.56982971664307791</v>
      </c>
    </row>
    <row r="251" spans="1:6" ht="14.25" customHeight="1" x14ac:dyDescent="0.3">
      <c r="A251" s="85" t="s">
        <v>197</v>
      </c>
      <c r="B251" s="86">
        <f>(B170*100%)/B57</f>
        <v>0.83858132201615587</v>
      </c>
      <c r="C251" s="86">
        <f t="shared" ref="C251:E251" si="15">(C170*100%)/C57</f>
        <v>0.9352551093178354</v>
      </c>
      <c r="D251" s="86">
        <f t="shared" si="15"/>
        <v>1.0117209848325392</v>
      </c>
      <c r="E251" s="86">
        <f t="shared" si="15"/>
        <v>1.012779736971952</v>
      </c>
      <c r="F251" s="36"/>
    </row>
    <row r="252" spans="1:6" ht="14.25" customHeight="1" x14ac:dyDescent="0.3">
      <c r="A252" s="82" t="s">
        <v>198</v>
      </c>
      <c r="B252" s="87">
        <f>B28/B41</f>
        <v>-7.3680277395827103</v>
      </c>
      <c r="C252" s="87">
        <f>C28/C41</f>
        <v>-14.029651284192942</v>
      </c>
      <c r="D252" s="87">
        <f>D28/D41</f>
        <v>-75.625310173697272</v>
      </c>
      <c r="E252" s="87">
        <f>E28/E41</f>
        <v>-64.294750273423261</v>
      </c>
    </row>
    <row r="253" spans="1:6" ht="14.25" customHeight="1" x14ac:dyDescent="0.3">
      <c r="A253" s="82" t="s">
        <v>199</v>
      </c>
      <c r="B253" s="88">
        <f>B51/B182</f>
        <v>3.8208505352723528E-2</v>
      </c>
      <c r="C253" s="88">
        <f>C51/C182</f>
        <v>6.4962689776900867E-2</v>
      </c>
      <c r="D253" s="88">
        <f>D51/D182</f>
        <v>0.13512104081520054</v>
      </c>
      <c r="E253" s="88">
        <f>E51/E182</f>
        <v>0.12880827481134982</v>
      </c>
    </row>
    <row r="254" spans="1:6" ht="14.25" customHeight="1" x14ac:dyDescent="0.3">
      <c r="A254" s="78" t="s">
        <v>200</v>
      </c>
    </row>
    <row r="255" spans="1:6" ht="14.25" customHeight="1" x14ac:dyDescent="0.3">
      <c r="A255" s="54" t="s">
        <v>201</v>
      </c>
      <c r="B255" s="89">
        <f>B124/B200</f>
        <v>0.90029894002118294</v>
      </c>
      <c r="C255" s="89">
        <f t="shared" ref="C255:E255" si="16">C124/C200</f>
        <v>1.0809333765257798</v>
      </c>
      <c r="D255" s="89">
        <f t="shared" si="16"/>
        <v>1.1894104888110626</v>
      </c>
      <c r="E255" s="89">
        <f t="shared" si="16"/>
        <v>11.664809363798087</v>
      </c>
    </row>
    <row r="256" spans="1:6" ht="14.25" customHeight="1" x14ac:dyDescent="0.3">
      <c r="A256" s="54" t="s">
        <v>202</v>
      </c>
      <c r="B256" s="90">
        <f>ROUND((B124-B125-B166)/B200,2)</f>
        <v>0.54</v>
      </c>
      <c r="C256" s="90">
        <f>ROUND((C124-C125-C166)/C200,2)</f>
        <v>0.62</v>
      </c>
      <c r="D256" s="90">
        <f>ROUND((D124-D125-D166)/D200,2)</f>
        <v>0.72</v>
      </c>
      <c r="E256" s="90">
        <f>ROUND((E124-E125-E166)/E200,2)</f>
        <v>6.74</v>
      </c>
      <c r="F256" s="101"/>
    </row>
    <row r="257" spans="1:6" ht="14.25" customHeight="1" x14ac:dyDescent="0.3">
      <c r="A257" s="54" t="s">
        <v>203</v>
      </c>
      <c r="B257" s="90">
        <f>ROUND((B161)/B200,3)</f>
        <v>4.3999999999999997E-2</v>
      </c>
      <c r="C257" s="90">
        <f>ROUND((C161)/C200,3)</f>
        <v>4.9000000000000002E-2</v>
      </c>
      <c r="D257" s="90">
        <f>ROUND((D161)/D200,3)</f>
        <v>4.9000000000000002E-2</v>
      </c>
      <c r="E257" s="90">
        <f>ROUND((E161)/E200,3)</f>
        <v>0.495</v>
      </c>
      <c r="F257" s="101"/>
    </row>
    <row r="258" spans="1:6" ht="14.25" customHeight="1" x14ac:dyDescent="0.3">
      <c r="A258" s="78" t="s">
        <v>204</v>
      </c>
      <c r="F258" s="101"/>
    </row>
    <row r="259" spans="1:6" ht="14.25" customHeight="1" x14ac:dyDescent="0.3">
      <c r="A259" s="54" t="s">
        <v>205</v>
      </c>
      <c r="B259" s="91">
        <f>B3/'Dane dodatkowe'!B3</f>
        <v>3.2388316862299238</v>
      </c>
      <c r="C259" s="91">
        <f>C3/'Dane dodatkowe'!C3</f>
        <v>3.0922878632156223</v>
      </c>
      <c r="D259" s="91">
        <f>D3/'Dane dodatkowe'!D3</f>
        <v>3.0607569457224346</v>
      </c>
      <c r="E259" s="91">
        <f>E3/'Dane dodatkowe'!E3</f>
        <v>6.273070458680321</v>
      </c>
    </row>
    <row r="260" spans="1:6" ht="14.25" customHeight="1" x14ac:dyDescent="0.3">
      <c r="A260" s="54" t="s">
        <v>206</v>
      </c>
      <c r="B260" s="93">
        <f>('Dane dodatkowe'!B7*365)/'Bilans + Rachunek '!B3</f>
        <v>3.9894016975221396</v>
      </c>
      <c r="C260" s="93">
        <f>('Dane dodatkowe'!C7*365)/'Bilans + Rachunek '!C3</f>
        <v>9.0570769673031855</v>
      </c>
      <c r="D260" s="93">
        <f>('Dane dodatkowe'!D7*365)/'Bilans + Rachunek '!D3</f>
        <v>4.9789299284794932</v>
      </c>
      <c r="E260" s="93">
        <f>('Dane dodatkowe'!E7*365)/'Bilans + Rachunek '!E3</f>
        <v>5.5253749924019502</v>
      </c>
      <c r="F260" s="101"/>
    </row>
    <row r="261" spans="1:6" ht="14.25" customHeight="1" x14ac:dyDescent="0.3">
      <c r="A261" s="54" t="s">
        <v>207</v>
      </c>
      <c r="B261" s="93">
        <f>('Dane dodatkowe'!B4*365)/'Bilans + Rachunek '!B3</f>
        <v>27.492051416291453</v>
      </c>
      <c r="C261" s="93">
        <f>('Dane dodatkowe'!C4*365)/'Bilans + Rachunek '!C3</f>
        <v>29.286929596651635</v>
      </c>
      <c r="D261" s="93">
        <f>('Dane dodatkowe'!D4*365)/'Bilans + Rachunek '!D3</f>
        <v>30.777013317873738</v>
      </c>
      <c r="E261" s="93">
        <f>('Dane dodatkowe'!E4*365)/'Bilans + Rachunek '!E3</f>
        <v>30.978140626592474</v>
      </c>
    </row>
    <row r="262" spans="1:6" ht="14.25" customHeight="1" x14ac:dyDescent="0.3">
      <c r="A262" s="54" t="s">
        <v>208</v>
      </c>
      <c r="B262" s="93">
        <f>('Dane dodatkowe'!B6*365)/'Bilans + Rachunek '!B3</f>
        <v>93.866719715489225</v>
      </c>
      <c r="C262" s="93">
        <f>('Dane dodatkowe'!C6*365)/'Bilans + Rachunek '!C3</f>
        <v>87.928263910252767</v>
      </c>
      <c r="D262" s="93">
        <f>('Dane dodatkowe'!D6*365)/'Bilans + Rachunek '!D3</f>
        <v>79.43116567979574</v>
      </c>
      <c r="E262" s="93">
        <f>('Dane dodatkowe'!E6*365)/'Bilans + Rachunek '!E3</f>
        <v>74.931925544913824</v>
      </c>
    </row>
    <row r="263" spans="1:6" ht="14.25" customHeight="1" x14ac:dyDescent="0.3">
      <c r="A263" s="94" t="s">
        <v>209</v>
      </c>
      <c r="B263" s="96">
        <f>B261+B260-B262</f>
        <v>-62.385266601675632</v>
      </c>
      <c r="C263" s="96">
        <f t="shared" ref="C263:E263" si="17">C261+C260-C262</f>
        <v>-49.584257346297946</v>
      </c>
      <c r="D263" s="96">
        <f t="shared" si="17"/>
        <v>-43.675222433442507</v>
      </c>
      <c r="E263" s="96">
        <f t="shared" si="17"/>
        <v>-38.428409925919397</v>
      </c>
    </row>
    <row r="264" spans="1:6" ht="14.25" customHeight="1" x14ac:dyDescent="0.3">
      <c r="A264" s="54" t="s">
        <v>210</v>
      </c>
      <c r="B264" s="91">
        <f>'Dane dodatkowe'!$B$8/'Bilans + Rachunek '!B51</f>
        <v>2.0090493286775191E-2</v>
      </c>
      <c r="C264" s="91">
        <f>'Dane dodatkowe'!$B$8/'Bilans + Rachunek '!C51</f>
        <v>1.3694152747630342E-2</v>
      </c>
      <c r="D264" s="91">
        <f>'Dane dodatkowe'!$B$8/'Bilans + Rachunek '!D51</f>
        <v>6.4153654677445316E-3</v>
      </c>
      <c r="E264" s="91">
        <f>'Dane dodatkowe'!$B$8/'Bilans + Rachunek '!E51</f>
        <v>5.9067642210590245E-3</v>
      </c>
      <c r="F264" s="101"/>
    </row>
    <row r="265" spans="1:6" ht="14.25" customHeight="1" x14ac:dyDescent="0.3">
      <c r="F265" s="101"/>
    </row>
    <row r="266" spans="1:6" ht="14.25" customHeight="1" x14ac:dyDescent="0.3"/>
    <row r="267" spans="1:6" ht="14.25" customHeight="1" x14ac:dyDescent="0.3"/>
    <row r="268" spans="1:6" ht="14.25" customHeight="1" x14ac:dyDescent="0.3"/>
    <row r="269" spans="1:6" ht="14.25" customHeight="1" x14ac:dyDescent="0.3"/>
    <row r="270" spans="1:6" ht="14.25" customHeight="1" x14ac:dyDescent="0.3"/>
    <row r="271" spans="1:6" ht="14.25" customHeight="1" x14ac:dyDescent="0.3"/>
    <row r="272" spans="1:6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6">
    <mergeCell ref="F1:H1"/>
    <mergeCell ref="A1:A2"/>
    <mergeCell ref="B1:B2"/>
    <mergeCell ref="C1:C2"/>
    <mergeCell ref="D1:D2"/>
    <mergeCell ref="E1:E2"/>
  </mergeCells>
  <pageMargins left="0.25" right="0.25" top="0.75" bottom="0.75" header="0" footer="0"/>
  <pageSetup paperSize="9" scale="8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B965-AE16-40BC-A681-19BC5A4C809D}">
  <dimension ref="A1:E8"/>
  <sheetViews>
    <sheetView workbookViewId="0">
      <selection activeCell="A28" sqref="A28"/>
    </sheetView>
  </sheetViews>
  <sheetFormatPr defaultRowHeight="14.4" x14ac:dyDescent="0.3"/>
  <cols>
    <col min="1" max="1" width="30.33203125" bestFit="1" customWidth="1"/>
  </cols>
  <sheetData>
    <row r="1" spans="1:5" x14ac:dyDescent="0.3">
      <c r="B1">
        <v>2019</v>
      </c>
      <c r="C1">
        <v>2020</v>
      </c>
      <c r="D1">
        <v>2021</v>
      </c>
      <c r="E1">
        <v>2022</v>
      </c>
    </row>
    <row r="2" spans="1:5" ht="15.6" x14ac:dyDescent="0.3">
      <c r="A2" t="s">
        <v>287</v>
      </c>
      <c r="B2" s="143">
        <v>4694611</v>
      </c>
      <c r="C2" s="142">
        <v>4644290</v>
      </c>
      <c r="D2" s="142">
        <v>4653887</v>
      </c>
      <c r="E2" s="143">
        <v>4871132</v>
      </c>
    </row>
    <row r="3" spans="1:5" x14ac:dyDescent="0.3">
      <c r="A3" s="156" t="s">
        <v>305</v>
      </c>
      <c r="B3" s="143">
        <f>(2601930+2520598)/2</f>
        <v>2561264</v>
      </c>
      <c r="C3">
        <f>(2601930+2721251)/2</f>
        <v>2661590.5</v>
      </c>
      <c r="D3">
        <f>(2721251+2864777)/2</f>
        <v>2793014</v>
      </c>
      <c r="E3">
        <f>(286477+2844876)/2</f>
        <v>1565676.5</v>
      </c>
    </row>
    <row r="4" spans="1:5" x14ac:dyDescent="0.3">
      <c r="A4" t="s">
        <v>288</v>
      </c>
      <c r="B4" s="143">
        <v>624823</v>
      </c>
      <c r="C4" s="143">
        <v>660392.5</v>
      </c>
      <c r="D4" s="143">
        <v>720834.5</v>
      </c>
      <c r="E4" s="143">
        <v>833575</v>
      </c>
    </row>
    <row r="5" spans="1:5" x14ac:dyDescent="0.3">
      <c r="A5" t="s">
        <v>289</v>
      </c>
      <c r="B5" s="143">
        <v>705859.5</v>
      </c>
      <c r="C5" s="143">
        <v>672549.5</v>
      </c>
      <c r="D5" s="143">
        <v>666083.80000000005</v>
      </c>
      <c r="E5" s="143">
        <v>731835</v>
      </c>
    </row>
    <row r="6" spans="1:5" x14ac:dyDescent="0.3">
      <c r="A6" s="156" t="s">
        <v>303</v>
      </c>
      <c r="B6">
        <f>(2128636+2138058)/2</f>
        <v>2133347</v>
      </c>
      <c r="C6">
        <f>(1836762+2128636)/2</f>
        <v>1982699</v>
      </c>
      <c r="D6">
        <f>(1884984+1835762)/2</f>
        <v>1860373</v>
      </c>
      <c r="E6">
        <f>(2147626+1884984)/2</f>
        <v>2016305</v>
      </c>
    </row>
    <row r="7" spans="1:5" x14ac:dyDescent="0.3">
      <c r="A7" s="156" t="s">
        <v>304</v>
      </c>
      <c r="B7">
        <f>(180839+163788+8895+9153)/4</f>
        <v>90668.75</v>
      </c>
      <c r="C7">
        <f>(209018+180839+9705+8895)/2</f>
        <v>204228.5</v>
      </c>
      <c r="D7">
        <f>(237556+209018+10171+9705)/4</f>
        <v>116612.5</v>
      </c>
      <c r="E7">
        <f>(9973+10171+337018+237556)/4</f>
        <v>148679.5</v>
      </c>
    </row>
    <row r="8" spans="1:5" x14ac:dyDescent="0.3">
      <c r="A8" t="s">
        <v>290</v>
      </c>
      <c r="B8" s="144">
        <v>1634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0465-8B84-4123-95DF-AC85D1104CBC}">
  <dimension ref="A1:X30"/>
  <sheetViews>
    <sheetView topLeftCell="G2" workbookViewId="0">
      <selection activeCell="O2" sqref="O2:R20"/>
    </sheetView>
  </sheetViews>
  <sheetFormatPr defaultRowHeight="14.4" x14ac:dyDescent="0.3"/>
  <cols>
    <col min="1" max="1" width="38" bestFit="1" customWidth="1"/>
    <col min="2" max="5" width="11.33203125" bestFit="1" customWidth="1"/>
    <col min="11" max="11" width="38" bestFit="1" customWidth="1"/>
    <col min="15" max="15" width="15.44140625" bestFit="1" customWidth="1"/>
  </cols>
  <sheetData>
    <row r="1" spans="1:24" x14ac:dyDescent="0.3">
      <c r="A1" s="97" t="s">
        <v>61</v>
      </c>
      <c r="B1" s="98">
        <v>43830</v>
      </c>
      <c r="C1" s="98">
        <v>44196</v>
      </c>
      <c r="D1" s="98">
        <v>44561</v>
      </c>
      <c r="E1" s="98">
        <v>44926</v>
      </c>
      <c r="F1" s="120">
        <f t="shared" ref="F1:H7" si="0">IFERROR(((C1/B1)-1)*100,"-")</f>
        <v>0.83504449007529846</v>
      </c>
      <c r="G1" s="120">
        <f t="shared" si="0"/>
        <v>0.82586659426191478</v>
      </c>
      <c r="H1" s="120">
        <f t="shared" si="0"/>
        <v>0.81910190525347204</v>
      </c>
      <c r="K1" s="159" t="s">
        <v>61</v>
      </c>
      <c r="L1" s="160" t="s">
        <v>291</v>
      </c>
      <c r="M1" s="160"/>
      <c r="N1" s="160"/>
      <c r="O1" s="159" t="s">
        <v>61</v>
      </c>
      <c r="P1" s="160" t="s">
        <v>291</v>
      </c>
      <c r="Q1" s="160"/>
      <c r="R1" s="160"/>
    </row>
    <row r="2" spans="1:24" ht="72" x14ac:dyDescent="0.3">
      <c r="A2" s="100"/>
      <c r="B2" s="100"/>
      <c r="C2" s="100"/>
      <c r="D2" s="100"/>
      <c r="E2" s="100"/>
      <c r="F2" s="120" t="str">
        <f t="shared" si="0"/>
        <v>-</v>
      </c>
      <c r="G2" s="120" t="str">
        <f t="shared" si="0"/>
        <v>-</v>
      </c>
      <c r="H2" s="120" t="str">
        <f t="shared" si="0"/>
        <v>-</v>
      </c>
      <c r="K2" s="161"/>
      <c r="L2" s="162" t="s">
        <v>292</v>
      </c>
      <c r="M2" s="162" t="s">
        <v>293</v>
      </c>
      <c r="N2" s="162" t="s">
        <v>294</v>
      </c>
      <c r="O2" s="161"/>
      <c r="P2" s="162" t="s">
        <v>292</v>
      </c>
      <c r="Q2" s="162" t="s">
        <v>293</v>
      </c>
      <c r="R2" s="162" t="s">
        <v>294</v>
      </c>
      <c r="U2" s="165" t="s">
        <v>299</v>
      </c>
      <c r="V2" s="166">
        <f>(L4*-1)/(L3*-1)*100%</f>
        <v>1.1193140658232543</v>
      </c>
      <c r="W2" s="166">
        <f>(M4*-1)/(M3*-1)*100%</f>
        <v>-0.40702901725180968</v>
      </c>
      <c r="X2" s="166">
        <f>(N4*-1)/(N3*-1)*100%</f>
        <v>-9.3144545008877769E-2</v>
      </c>
    </row>
    <row r="3" spans="1:24" ht="72" x14ac:dyDescent="0.3">
      <c r="A3" s="102" t="s">
        <v>242</v>
      </c>
      <c r="B3" s="103">
        <v>4730566</v>
      </c>
      <c r="C3" s="103">
        <v>4558013</v>
      </c>
      <c r="D3" s="103">
        <v>4749761</v>
      </c>
      <c r="E3" s="103">
        <v>4992502</v>
      </c>
      <c r="F3" s="120">
        <f t="shared" si="0"/>
        <v>-3.6476184879356888</v>
      </c>
      <c r="G3" s="120">
        <f t="shared" si="0"/>
        <v>4.2068331090762578</v>
      </c>
      <c r="H3" s="120">
        <f t="shared" si="0"/>
        <v>5.1105939856763261</v>
      </c>
      <c r="K3" s="102" t="s">
        <v>242</v>
      </c>
      <c r="L3" s="164">
        <f>C3-B3</f>
        <v>-172553</v>
      </c>
      <c r="M3" s="163">
        <f>D3-C3</f>
        <v>191748</v>
      </c>
      <c r="N3" s="163">
        <f>E3-D3</f>
        <v>242741</v>
      </c>
      <c r="O3" s="132" t="s">
        <v>62</v>
      </c>
      <c r="P3" s="167">
        <f>(C4-B4)/B4</f>
        <v>-6.2247806480390466E-2</v>
      </c>
      <c r="Q3" s="167">
        <f t="shared" ref="Q3:R3" si="1">(D4-C4)/C4</f>
        <v>-2.6823639391195114E-2</v>
      </c>
      <c r="R3" s="167">
        <f t="shared" si="1"/>
        <v>-7.9849187099253136E-3</v>
      </c>
      <c r="U3" s="165" t="s">
        <v>300</v>
      </c>
      <c r="V3" s="166">
        <f>L10/L3</f>
        <v>-0.11931406582325431</v>
      </c>
      <c r="W3" s="166">
        <f>M10/M3</f>
        <v>1.4070290172518096</v>
      </c>
      <c r="X3" s="166">
        <f>N10/N3</f>
        <v>1.0931445450088777</v>
      </c>
    </row>
    <row r="4" spans="1:24" ht="72" x14ac:dyDescent="0.3">
      <c r="A4" s="140" t="s">
        <v>62</v>
      </c>
      <c r="B4" s="141">
        <v>3102776</v>
      </c>
      <c r="C4" s="141">
        <v>2909635</v>
      </c>
      <c r="D4" s="141">
        <v>2831588</v>
      </c>
      <c r="E4" s="141">
        <v>2808978</v>
      </c>
      <c r="F4" s="120">
        <f t="shared" si="0"/>
        <v>-6.2247806480390411</v>
      </c>
      <c r="G4" s="120">
        <f t="shared" si="0"/>
        <v>-2.6823639391195142</v>
      </c>
      <c r="H4" s="120">
        <f t="shared" si="0"/>
        <v>-0.79849187099253482</v>
      </c>
      <c r="K4" s="132" t="s">
        <v>62</v>
      </c>
      <c r="L4" s="164">
        <f t="shared" ref="L4:L30" si="2">C4-B4</f>
        <v>-193141</v>
      </c>
      <c r="M4" s="164">
        <f t="shared" ref="M4:M30" si="3">D4-C4</f>
        <v>-78047</v>
      </c>
      <c r="N4" s="164">
        <f t="shared" ref="N4:N30" si="4">E4-D4</f>
        <v>-22610</v>
      </c>
      <c r="O4" s="168" t="s">
        <v>69</v>
      </c>
      <c r="P4" s="167">
        <f>(C6-B6)/B6</f>
        <v>-7.2246297753947836E-2</v>
      </c>
      <c r="Q4" s="167">
        <f t="shared" ref="Q4:R4" si="5">(D6-C6)/C6</f>
        <v>-1.6678713351271003E-2</v>
      </c>
      <c r="R4" s="167">
        <f t="shared" si="5"/>
        <v>-9.1387558717042593E-3</v>
      </c>
      <c r="U4" s="165" t="s">
        <v>301</v>
      </c>
      <c r="V4" s="166">
        <f>L4/L6</f>
        <v>1.1127941278145237</v>
      </c>
      <c r="W4" s="166">
        <f>M4/M6</f>
        <v>2.0995050303975895</v>
      </c>
      <c r="X4" s="166">
        <f>N4/N6</f>
        <v>1.1288631484347695</v>
      </c>
    </row>
    <row r="5" spans="1:24" ht="57.6" x14ac:dyDescent="0.3">
      <c r="A5" s="106" t="s">
        <v>63</v>
      </c>
      <c r="B5" s="107">
        <v>69799</v>
      </c>
      <c r="C5" s="107">
        <v>58192</v>
      </c>
      <c r="D5" s="107">
        <v>58793</v>
      </c>
      <c r="E5" s="107">
        <v>57573</v>
      </c>
      <c r="F5" s="120">
        <f t="shared" si="0"/>
        <v>-16.629178068453697</v>
      </c>
      <c r="G5" s="120">
        <f t="shared" si="0"/>
        <v>1.0327880120978739</v>
      </c>
      <c r="H5" s="120">
        <f t="shared" si="0"/>
        <v>-2.0750769649448109</v>
      </c>
      <c r="K5" s="109" t="s">
        <v>63</v>
      </c>
      <c r="L5" s="164">
        <f t="shared" si="2"/>
        <v>-11607</v>
      </c>
      <c r="M5" s="163">
        <f t="shared" si="3"/>
        <v>601</v>
      </c>
      <c r="N5" s="164">
        <f t="shared" si="4"/>
        <v>-1220</v>
      </c>
      <c r="O5" s="169" t="s">
        <v>96</v>
      </c>
      <c r="P5" s="170">
        <f>(C10-B10)/B10</f>
        <v>1.2647823122147206E-2</v>
      </c>
      <c r="Q5" s="170">
        <f t="shared" ref="Q5:R5" si="6">(D10-C10)/C10</f>
        <v>0.16367301674737225</v>
      </c>
      <c r="R5" s="170">
        <f t="shared" si="6"/>
        <v>0.13833528049868285</v>
      </c>
      <c r="U5" s="165" t="s">
        <v>302</v>
      </c>
      <c r="V5" s="166">
        <f>L4/(L3+L26)</f>
        <v>0.41586944772806061</v>
      </c>
      <c r="W5" s="166">
        <f>M4/(M3+M26)</f>
        <v>-0.32523648789432014</v>
      </c>
      <c r="X5" s="166">
        <f>N4/(N3+N26)</f>
        <v>-4.4738346956664551E-2</v>
      </c>
    </row>
    <row r="6" spans="1:24" x14ac:dyDescent="0.3">
      <c r="A6" s="104" t="s">
        <v>69</v>
      </c>
      <c r="B6" s="105">
        <v>2402393</v>
      </c>
      <c r="C6" s="105">
        <v>2228829</v>
      </c>
      <c r="D6" s="105">
        <v>2191655</v>
      </c>
      <c r="E6" s="105">
        <v>2171626</v>
      </c>
      <c r="F6" s="120">
        <f t="shared" si="0"/>
        <v>-7.2246297753947868</v>
      </c>
      <c r="G6" s="120">
        <f t="shared" si="0"/>
        <v>-1.6678713351271024</v>
      </c>
      <c r="H6" s="120">
        <f t="shared" si="0"/>
        <v>-0.91387558717042072</v>
      </c>
      <c r="K6" s="128" t="s">
        <v>69</v>
      </c>
      <c r="L6" s="164">
        <f>C6-B6</f>
        <v>-173564</v>
      </c>
      <c r="M6" s="164">
        <f t="shared" si="3"/>
        <v>-37174</v>
      </c>
      <c r="N6" s="164">
        <f t="shared" si="4"/>
        <v>-20029</v>
      </c>
      <c r="O6" s="171" t="s">
        <v>242</v>
      </c>
      <c r="P6" s="167">
        <f>(C3-B3)/B3</f>
        <v>-3.6476184879356929E-2</v>
      </c>
      <c r="Q6" s="167">
        <f t="shared" ref="Q6:R6" si="7">(D3-C3)/C3</f>
        <v>4.2068331090762578E-2</v>
      </c>
      <c r="R6" s="167">
        <f t="shared" si="7"/>
        <v>5.1105939856763316E-2</v>
      </c>
    </row>
    <row r="7" spans="1:24" ht="43.2" x14ac:dyDescent="0.3">
      <c r="A7" s="106" t="s">
        <v>78</v>
      </c>
      <c r="B7" s="107">
        <v>8895</v>
      </c>
      <c r="C7" s="107">
        <v>9705</v>
      </c>
      <c r="D7" s="107">
        <v>10171</v>
      </c>
      <c r="E7" s="107">
        <v>9973</v>
      </c>
      <c r="F7" s="120">
        <f t="shared" si="0"/>
        <v>9.1062394603709897</v>
      </c>
      <c r="G7" s="120">
        <f t="shared" si="0"/>
        <v>4.8016486347243648</v>
      </c>
      <c r="H7" s="120">
        <f t="shared" si="0"/>
        <v>-1.9467112378330542</v>
      </c>
      <c r="K7" s="109" t="s">
        <v>78</v>
      </c>
      <c r="L7" s="163">
        <f t="shared" si="2"/>
        <v>810</v>
      </c>
      <c r="M7" s="163">
        <f t="shared" si="3"/>
        <v>466</v>
      </c>
      <c r="N7" s="164">
        <f t="shared" si="4"/>
        <v>-198</v>
      </c>
      <c r="O7" s="173" t="s">
        <v>299</v>
      </c>
      <c r="P7" s="170">
        <f>P3/P6</f>
        <v>1.7065328154869219</v>
      </c>
      <c r="Q7" s="170">
        <f t="shared" ref="Q7:R7" si="8">Q3/Q6</f>
        <v>-0.63762071600423165</v>
      </c>
      <c r="R7" s="170">
        <f t="shared" si="8"/>
        <v>-0.15624247851237974</v>
      </c>
    </row>
    <row r="8" spans="1:24" ht="43.2" x14ac:dyDescent="0.3">
      <c r="A8" s="109" t="s">
        <v>82</v>
      </c>
      <c r="B8" s="110">
        <v>523472</v>
      </c>
      <c r="C8" s="110">
        <v>505533</v>
      </c>
      <c r="D8" s="110">
        <v>492931</v>
      </c>
      <c r="E8" s="110">
        <v>478416</v>
      </c>
      <c r="F8" s="120">
        <f t="shared" ref="F8:H11" si="9">IFERROR(((C8/B8)-1)*100,"-")</f>
        <v>-3.4269263685545726</v>
      </c>
      <c r="G8" s="120">
        <f t="shared" si="9"/>
        <v>-2.4928145145816427</v>
      </c>
      <c r="H8" s="120">
        <f t="shared" si="9"/>
        <v>-2.9446311958468807</v>
      </c>
      <c r="K8" s="109" t="s">
        <v>82</v>
      </c>
      <c r="L8" s="164">
        <f t="shared" si="2"/>
        <v>-17939</v>
      </c>
      <c r="M8" s="164">
        <f t="shared" si="3"/>
        <v>-12602</v>
      </c>
      <c r="N8" s="164">
        <f t="shared" si="4"/>
        <v>-14515</v>
      </c>
      <c r="O8" s="173" t="s">
        <v>300</v>
      </c>
      <c r="P8" s="170">
        <f>P5/P6</f>
        <v>-0.3467419403640819</v>
      </c>
      <c r="Q8" s="170">
        <f t="shared" ref="Q8:R8" si="10">Q5/Q6</f>
        <v>3.890646776413524</v>
      </c>
      <c r="R8" s="170">
        <f t="shared" si="10"/>
        <v>2.7068337043874102</v>
      </c>
    </row>
    <row r="9" spans="1:24" ht="43.2" x14ac:dyDescent="0.3">
      <c r="A9" s="106" t="s">
        <v>93</v>
      </c>
      <c r="B9" s="107">
        <v>98217</v>
      </c>
      <c r="C9" s="107">
        <v>107376</v>
      </c>
      <c r="D9" s="107">
        <v>78038</v>
      </c>
      <c r="E9" s="107">
        <v>91389</v>
      </c>
      <c r="F9" s="120">
        <f t="shared" si="9"/>
        <v>9.3252695561868215</v>
      </c>
      <c r="G9" s="120">
        <f t="shared" si="9"/>
        <v>-27.322679183430189</v>
      </c>
      <c r="H9" s="120">
        <f t="shared" si="9"/>
        <v>17.108331838335179</v>
      </c>
      <c r="K9" s="109" t="s">
        <v>93</v>
      </c>
      <c r="L9" s="163">
        <f t="shared" si="2"/>
        <v>9159</v>
      </c>
      <c r="M9" s="164">
        <f t="shared" si="3"/>
        <v>-29338</v>
      </c>
      <c r="N9" s="163">
        <f t="shared" si="4"/>
        <v>13351</v>
      </c>
      <c r="O9" s="173" t="s">
        <v>301</v>
      </c>
      <c r="P9" s="170">
        <f>P4/P3</f>
        <v>1.1606239936616423</v>
      </c>
      <c r="Q9" s="170">
        <f t="shared" ref="Q9:R9" si="11">Q4/Q3</f>
        <v>0.62179158868150486</v>
      </c>
      <c r="R9" s="170">
        <f t="shared" si="11"/>
        <v>1.1445020548981566</v>
      </c>
    </row>
    <row r="10" spans="1:24" ht="28.8" x14ac:dyDescent="0.3">
      <c r="A10" s="140" t="s">
        <v>96</v>
      </c>
      <c r="B10" s="141">
        <v>1627790</v>
      </c>
      <c r="C10" s="141">
        <v>1648378</v>
      </c>
      <c r="D10" s="141">
        <v>1918173</v>
      </c>
      <c r="E10" s="141">
        <v>2183524</v>
      </c>
      <c r="F10" s="120">
        <f t="shared" si="9"/>
        <v>1.2647823122147184</v>
      </c>
      <c r="G10" s="120">
        <f t="shared" si="9"/>
        <v>16.367301674737234</v>
      </c>
      <c r="H10" s="120">
        <f t="shared" si="9"/>
        <v>13.833528049868281</v>
      </c>
      <c r="K10" s="132" t="s">
        <v>96</v>
      </c>
      <c r="L10" s="163">
        <f t="shared" si="2"/>
        <v>20588</v>
      </c>
      <c r="M10" s="163">
        <f t="shared" si="3"/>
        <v>269795</v>
      </c>
      <c r="N10" s="163">
        <f t="shared" si="4"/>
        <v>265351</v>
      </c>
      <c r="O10" s="173" t="s">
        <v>302</v>
      </c>
      <c r="P10" s="170">
        <f>P3/(P6+P19)</f>
        <v>0.35858262718717626</v>
      </c>
      <c r="Q10" s="170">
        <f t="shared" ref="Q10:R10" si="12">Q3/(Q6+Q19)</f>
        <v>-0.3926053704310693</v>
      </c>
      <c r="R10" s="170">
        <f t="shared" si="12"/>
        <v>-4.1928845063812385E-2</v>
      </c>
    </row>
    <row r="11" spans="1:24" ht="27" x14ac:dyDescent="0.3">
      <c r="A11" s="106" t="s">
        <v>97</v>
      </c>
      <c r="B11" s="107">
        <v>642542</v>
      </c>
      <c r="C11" s="107">
        <v>678431</v>
      </c>
      <c r="D11" s="107">
        <v>736238</v>
      </c>
      <c r="E11" s="107">
        <v>903912</v>
      </c>
      <c r="F11" s="120">
        <f t="shared" si="9"/>
        <v>5.5854714555624296</v>
      </c>
      <c r="G11" s="120">
        <f t="shared" si="9"/>
        <v>8.5206896500896967</v>
      </c>
      <c r="H11" s="120">
        <f t="shared" si="9"/>
        <v>22.774428921082588</v>
      </c>
      <c r="K11" s="109" t="s">
        <v>97</v>
      </c>
      <c r="L11" s="163">
        <f t="shared" si="2"/>
        <v>35889</v>
      </c>
      <c r="M11" s="163">
        <f t="shared" si="3"/>
        <v>57807</v>
      </c>
      <c r="N11" s="163">
        <f t="shared" si="4"/>
        <v>167674</v>
      </c>
      <c r="O11" s="169" t="s">
        <v>133</v>
      </c>
      <c r="P11" s="170">
        <f>(C18-B18)/B18</f>
        <v>4.5858651078238076E-2</v>
      </c>
      <c r="Q11" s="170">
        <f t="shared" ref="Q11:R11" si="13">(D18-C18)/C18</f>
        <v>5.2742654021992089E-2</v>
      </c>
      <c r="R11" s="170">
        <f t="shared" si="13"/>
        <v>-6.9467885283915638E-3</v>
      </c>
    </row>
    <row r="12" spans="1:24" x14ac:dyDescent="0.3">
      <c r="A12" s="106" t="s">
        <v>103</v>
      </c>
      <c r="B12" s="107">
        <v>180839</v>
      </c>
      <c r="C12" s="107">
        <v>209018</v>
      </c>
      <c r="D12" s="107">
        <v>237556</v>
      </c>
      <c r="E12" s="107">
        <v>337018</v>
      </c>
      <c r="F12" s="120">
        <f t="shared" ref="F12:H13" si="14">IFERROR(((C12/B12)-1)*100,"-")</f>
        <v>15.58236884742783</v>
      </c>
      <c r="G12" s="120">
        <f t="shared" si="14"/>
        <v>13.653369566257446</v>
      </c>
      <c r="H12" s="120">
        <f t="shared" si="14"/>
        <v>41.868864604556386</v>
      </c>
      <c r="K12" s="109" t="s">
        <v>103</v>
      </c>
      <c r="L12" s="163">
        <f t="shared" si="2"/>
        <v>28179</v>
      </c>
      <c r="M12" s="163">
        <f t="shared" si="3"/>
        <v>28538</v>
      </c>
      <c r="N12" s="163">
        <f t="shared" si="4"/>
        <v>99462</v>
      </c>
      <c r="O12" s="170"/>
      <c r="P12" s="170"/>
      <c r="Q12" s="170"/>
      <c r="R12" s="170"/>
    </row>
    <row r="13" spans="1:24" ht="40.200000000000003" x14ac:dyDescent="0.3">
      <c r="A13" s="106" t="s">
        <v>116</v>
      </c>
      <c r="B13" s="107">
        <v>796305</v>
      </c>
      <c r="C13" s="107">
        <v>739225</v>
      </c>
      <c r="D13" s="107">
        <v>904048</v>
      </c>
      <c r="E13" s="107">
        <v>924994</v>
      </c>
      <c r="F13" s="120">
        <f t="shared" si="14"/>
        <v>-7.1681076974274944</v>
      </c>
      <c r="G13" s="120">
        <f t="shared" si="14"/>
        <v>22.296729683114069</v>
      </c>
      <c r="H13" s="120">
        <f t="shared" si="14"/>
        <v>2.3169123763340016</v>
      </c>
      <c r="K13" s="109" t="s">
        <v>116</v>
      </c>
      <c r="L13" s="164">
        <f t="shared" si="2"/>
        <v>-57080</v>
      </c>
      <c r="M13" s="163">
        <f t="shared" si="3"/>
        <v>164823</v>
      </c>
      <c r="N13" s="163">
        <f t="shared" si="4"/>
        <v>20946</v>
      </c>
      <c r="O13" s="172" t="s">
        <v>134</v>
      </c>
      <c r="P13" s="170">
        <f>(C19-B19)/B19</f>
        <v>0</v>
      </c>
      <c r="Q13" s="170">
        <f t="shared" ref="Q13:R13" si="15">(D19-C19)/C19</f>
        <v>0</v>
      </c>
      <c r="R13" s="170">
        <f t="shared" si="15"/>
        <v>0</v>
      </c>
    </row>
    <row r="14" spans="1:24" ht="40.200000000000003" x14ac:dyDescent="0.3">
      <c r="A14" s="104" t="s">
        <v>274</v>
      </c>
      <c r="B14" s="105">
        <v>8292</v>
      </c>
      <c r="C14" s="105">
        <v>21704</v>
      </c>
      <c r="D14" s="105">
        <v>13331</v>
      </c>
      <c r="E14" s="105">
        <v>17600</v>
      </c>
      <c r="F14" s="120">
        <f t="shared" ref="F14:H27" si="16">IFERROR(((C14/B14)-1)*100,"-")</f>
        <v>161.74626145682586</v>
      </c>
      <c r="G14" s="120">
        <f t="shared" si="16"/>
        <v>-38.578142277921124</v>
      </c>
      <c r="H14" s="120">
        <f t="shared" si="16"/>
        <v>32.02310404320756</v>
      </c>
      <c r="K14" s="128" t="s">
        <v>274</v>
      </c>
      <c r="L14" s="163">
        <f t="shared" si="2"/>
        <v>13412</v>
      </c>
      <c r="M14" s="163">
        <f t="shared" si="3"/>
        <v>-8373</v>
      </c>
      <c r="N14" s="163">
        <f t="shared" si="4"/>
        <v>4269</v>
      </c>
      <c r="O14" s="168" t="s">
        <v>135</v>
      </c>
      <c r="P14" s="170">
        <f>(C20-B20)/B20</f>
        <v>0</v>
      </c>
      <c r="Q14" s="170">
        <f t="shared" ref="Q14:R14" si="17">(D20-C20)/C20</f>
        <v>215.72058823529412</v>
      </c>
      <c r="R14" s="170">
        <f t="shared" si="17"/>
        <v>-0.99538576372396015</v>
      </c>
    </row>
    <row r="15" spans="1:24" ht="40.200000000000003" x14ac:dyDescent="0.3">
      <c r="A15" s="138" t="s">
        <v>126</v>
      </c>
      <c r="B15" s="139">
        <v>0</v>
      </c>
      <c r="C15" s="139">
        <v>0</v>
      </c>
      <c r="D15" s="139">
        <v>0</v>
      </c>
      <c r="E15" s="139">
        <v>0</v>
      </c>
      <c r="F15" s="120" t="str">
        <f t="shared" si="16"/>
        <v>-</v>
      </c>
      <c r="G15" s="120" t="str">
        <f t="shared" si="16"/>
        <v>-</v>
      </c>
      <c r="H15" s="120" t="str">
        <f t="shared" si="16"/>
        <v>-</v>
      </c>
      <c r="K15" s="102" t="s">
        <v>126</v>
      </c>
      <c r="L15" s="163">
        <f t="shared" si="2"/>
        <v>0</v>
      </c>
      <c r="M15" s="163">
        <f t="shared" si="3"/>
        <v>0</v>
      </c>
      <c r="N15" s="163">
        <f t="shared" si="4"/>
        <v>0</v>
      </c>
      <c r="O15" s="168" t="s">
        <v>139</v>
      </c>
      <c r="P15" s="170">
        <v>0</v>
      </c>
      <c r="Q15" s="170">
        <v>0</v>
      </c>
      <c r="R15" s="170">
        <v>0</v>
      </c>
    </row>
    <row r="16" spans="1:24" ht="53.4" x14ac:dyDescent="0.3">
      <c r="A16" s="140" t="s">
        <v>127</v>
      </c>
      <c r="B16" s="141">
        <v>0</v>
      </c>
      <c r="C16" s="141">
        <v>0</v>
      </c>
      <c r="D16" s="141">
        <v>0</v>
      </c>
      <c r="E16" s="141">
        <v>0</v>
      </c>
      <c r="F16" s="120" t="str">
        <f t="shared" si="16"/>
        <v>-</v>
      </c>
      <c r="G16" s="120" t="str">
        <f t="shared" si="16"/>
        <v>-</v>
      </c>
      <c r="H16" s="120" t="str">
        <f t="shared" si="16"/>
        <v>-</v>
      </c>
      <c r="K16" s="132" t="s">
        <v>127</v>
      </c>
      <c r="L16" s="163">
        <f t="shared" si="2"/>
        <v>0</v>
      </c>
      <c r="M16" s="163">
        <f t="shared" si="3"/>
        <v>0</v>
      </c>
      <c r="N16" s="163">
        <f t="shared" si="4"/>
        <v>0</v>
      </c>
      <c r="O16" s="168" t="s">
        <v>137</v>
      </c>
      <c r="P16" s="170">
        <v>0</v>
      </c>
      <c r="Q16" s="170">
        <v>0</v>
      </c>
      <c r="R16" s="170">
        <v>0</v>
      </c>
    </row>
    <row r="17" spans="1:18" ht="27" x14ac:dyDescent="0.3">
      <c r="A17" s="138" t="s">
        <v>275</v>
      </c>
      <c r="B17" s="139">
        <v>4730566</v>
      </c>
      <c r="C17" s="139">
        <v>4558013</v>
      </c>
      <c r="D17" s="139">
        <v>4749761</v>
      </c>
      <c r="E17" s="139">
        <v>4992502</v>
      </c>
      <c r="F17" s="158">
        <f t="shared" si="16"/>
        <v>-3.6476184879356888</v>
      </c>
      <c r="G17" s="158">
        <f t="shared" si="16"/>
        <v>4.2068331090762578</v>
      </c>
      <c r="H17" s="158">
        <f t="shared" si="16"/>
        <v>5.1105939856763261</v>
      </c>
      <c r="K17" s="102" t="s">
        <v>275</v>
      </c>
      <c r="L17" s="163">
        <f t="shared" si="2"/>
        <v>-172553</v>
      </c>
      <c r="M17" s="163">
        <f t="shared" si="3"/>
        <v>191748</v>
      </c>
      <c r="N17" s="163">
        <f t="shared" si="4"/>
        <v>242741</v>
      </c>
      <c r="O17" s="172" t="s">
        <v>142</v>
      </c>
      <c r="P17" s="170">
        <f>(C23-B23)/B23</f>
        <v>-1.7070058346975612</v>
      </c>
      <c r="Q17" s="170">
        <f t="shared" ref="Q17:R17" si="18">(D23-C23)/C23</f>
        <v>-1.0645668823843732</v>
      </c>
      <c r="R17" s="170">
        <f t="shared" si="18"/>
        <v>-1</v>
      </c>
    </row>
    <row r="18" spans="1:18" ht="27" x14ac:dyDescent="0.3">
      <c r="A18" s="140" t="s">
        <v>133</v>
      </c>
      <c r="B18" s="141">
        <v>2601930</v>
      </c>
      <c r="C18" s="141">
        <v>2721251</v>
      </c>
      <c r="D18" s="141">
        <v>2864777</v>
      </c>
      <c r="E18" s="141">
        <v>2844876</v>
      </c>
      <c r="F18" s="120">
        <f t="shared" si="16"/>
        <v>4.5858651078238166</v>
      </c>
      <c r="G18" s="120">
        <f t="shared" si="16"/>
        <v>5.2742654021992186</v>
      </c>
      <c r="H18" s="120">
        <f t="shared" si="16"/>
        <v>-0.69467885283915898</v>
      </c>
      <c r="K18" s="132" t="s">
        <v>133</v>
      </c>
      <c r="L18" s="163">
        <f t="shared" si="2"/>
        <v>119321</v>
      </c>
      <c r="M18" s="163">
        <f t="shared" si="3"/>
        <v>143526</v>
      </c>
      <c r="N18" s="163">
        <f t="shared" si="4"/>
        <v>-19901</v>
      </c>
      <c r="O18" s="168" t="s">
        <v>143</v>
      </c>
      <c r="P18" s="170">
        <f>(C24-B24)/B24</f>
        <v>0.46708552599222936</v>
      </c>
      <c r="Q18" s="170">
        <f t="shared" ref="Q18:Q19" si="19">H18-G18</f>
        <v>-5.9689442550383776</v>
      </c>
      <c r="R18" s="170">
        <f t="shared" ref="R18:R19" si="20">I18-H18</f>
        <v>0.69467885283915898</v>
      </c>
    </row>
    <row r="19" spans="1:18" ht="40.200000000000003" x14ac:dyDescent="0.3">
      <c r="A19" s="106" t="s">
        <v>134</v>
      </c>
      <c r="B19" s="107">
        <v>1970719</v>
      </c>
      <c r="C19" s="107">
        <v>1970719</v>
      </c>
      <c r="D19" s="107">
        <v>1970719</v>
      </c>
      <c r="E19" s="107">
        <v>1970719</v>
      </c>
      <c r="F19" s="120">
        <f t="shared" si="16"/>
        <v>0</v>
      </c>
      <c r="G19" s="120">
        <f t="shared" si="16"/>
        <v>0</v>
      </c>
      <c r="H19" s="120">
        <f t="shared" si="16"/>
        <v>0</v>
      </c>
      <c r="K19" s="109" t="s">
        <v>134</v>
      </c>
      <c r="L19" s="163">
        <f t="shared" si="2"/>
        <v>0</v>
      </c>
      <c r="M19" s="163">
        <f t="shared" si="3"/>
        <v>0</v>
      </c>
      <c r="N19" s="163">
        <f t="shared" si="4"/>
        <v>0</v>
      </c>
      <c r="O19" s="169" t="s">
        <v>145</v>
      </c>
      <c r="P19" s="170">
        <f>(C26-B26)/B26</f>
        <v>-0.1371178538744999</v>
      </c>
      <c r="Q19" s="170">
        <f t="shared" ref="Q19:R19" si="21">(D26-C26)/C26</f>
        <v>2.6253809693362558E-2</v>
      </c>
      <c r="R19" s="170">
        <f t="shared" si="21"/>
        <v>0.139333808668933</v>
      </c>
    </row>
    <row r="20" spans="1:18" x14ac:dyDescent="0.3">
      <c r="A20" s="104" t="s">
        <v>135</v>
      </c>
      <c r="B20" s="105">
        <v>204</v>
      </c>
      <c r="C20" s="105">
        <v>204</v>
      </c>
      <c r="D20" s="105">
        <v>44211</v>
      </c>
      <c r="E20" s="105">
        <v>204</v>
      </c>
      <c r="F20" s="120">
        <f t="shared" si="16"/>
        <v>0</v>
      </c>
      <c r="G20" s="120">
        <f t="shared" si="16"/>
        <v>21572.058823529413</v>
      </c>
      <c r="H20" s="120">
        <f t="shared" si="16"/>
        <v>-99.538576372396008</v>
      </c>
      <c r="K20" s="128" t="s">
        <v>135</v>
      </c>
      <c r="L20" s="163">
        <f t="shared" si="2"/>
        <v>0</v>
      </c>
      <c r="M20" s="163">
        <f t="shared" si="3"/>
        <v>44007</v>
      </c>
      <c r="N20" s="163">
        <f t="shared" si="4"/>
        <v>-44007</v>
      </c>
      <c r="O20" s="171" t="s">
        <v>275</v>
      </c>
      <c r="P20" s="170">
        <f>(C17-B17)/B17</f>
        <v>-3.6476184879356929E-2</v>
      </c>
      <c r="Q20" s="170">
        <f t="shared" ref="Q20:R20" si="22">(D17-C17)/C17</f>
        <v>4.2068331090762578E-2</v>
      </c>
      <c r="R20" s="170">
        <f t="shared" si="22"/>
        <v>5.1105939856763316E-2</v>
      </c>
    </row>
    <row r="21" spans="1:18" ht="27" x14ac:dyDescent="0.3">
      <c r="A21" s="104" t="s">
        <v>137</v>
      </c>
      <c r="B21" s="121">
        <v>-6970</v>
      </c>
      <c r="C21" s="121">
        <v>-6970</v>
      </c>
      <c r="D21" s="121">
        <v>-6970</v>
      </c>
      <c r="E21" s="121">
        <v>-6970</v>
      </c>
      <c r="F21" s="120">
        <f t="shared" si="16"/>
        <v>0</v>
      </c>
      <c r="G21" s="120">
        <f t="shared" si="16"/>
        <v>0</v>
      </c>
      <c r="H21" s="120">
        <f t="shared" si="16"/>
        <v>0</v>
      </c>
      <c r="K21" s="128" t="s">
        <v>137</v>
      </c>
      <c r="L21" s="163">
        <f t="shared" si="2"/>
        <v>0</v>
      </c>
      <c r="M21" s="163">
        <f t="shared" si="3"/>
        <v>0</v>
      </c>
      <c r="N21" s="163">
        <f t="shared" si="4"/>
        <v>0</v>
      </c>
    </row>
    <row r="22" spans="1:18" ht="27" x14ac:dyDescent="0.3">
      <c r="A22" s="104" t="s">
        <v>139</v>
      </c>
      <c r="B22" s="105">
        <v>604291</v>
      </c>
      <c r="C22" s="105">
        <v>604291</v>
      </c>
      <c r="D22" s="105">
        <v>604291</v>
      </c>
      <c r="E22" s="105">
        <v>604291</v>
      </c>
      <c r="F22" s="120">
        <f t="shared" si="16"/>
        <v>0</v>
      </c>
      <c r="G22" s="120">
        <f t="shared" si="16"/>
        <v>0</v>
      </c>
      <c r="H22" s="120">
        <f t="shared" si="16"/>
        <v>0</v>
      </c>
      <c r="K22" s="128" t="s">
        <v>139</v>
      </c>
      <c r="L22" s="163">
        <f t="shared" si="2"/>
        <v>0</v>
      </c>
      <c r="M22" s="163">
        <f t="shared" si="3"/>
        <v>0</v>
      </c>
      <c r="N22" s="163">
        <f t="shared" si="4"/>
        <v>0</v>
      </c>
    </row>
    <row r="23" spans="1:18" x14ac:dyDescent="0.3">
      <c r="A23" s="106" t="s">
        <v>142</v>
      </c>
      <c r="B23" s="111">
        <v>-47646</v>
      </c>
      <c r="C23" s="107">
        <v>33686</v>
      </c>
      <c r="D23" s="111">
        <v>-2175</v>
      </c>
      <c r="E23" s="107">
        <v>0</v>
      </c>
      <c r="F23" s="120">
        <f t="shared" si="16"/>
        <v>-170.70058346975611</v>
      </c>
      <c r="G23" s="120">
        <f t="shared" si="16"/>
        <v>-106.45668823843732</v>
      </c>
      <c r="H23" s="120">
        <f t="shared" si="16"/>
        <v>-100</v>
      </c>
      <c r="K23" s="109" t="s">
        <v>142</v>
      </c>
      <c r="L23" s="163">
        <f t="shared" si="2"/>
        <v>81332</v>
      </c>
      <c r="M23" s="163">
        <f t="shared" si="3"/>
        <v>-35861</v>
      </c>
      <c r="N23" s="163">
        <f t="shared" si="4"/>
        <v>2175</v>
      </c>
    </row>
    <row r="24" spans="1:18" x14ac:dyDescent="0.3">
      <c r="A24" s="104" t="s">
        <v>143</v>
      </c>
      <c r="B24" s="105">
        <v>81332</v>
      </c>
      <c r="C24" s="105">
        <v>119321</v>
      </c>
      <c r="D24" s="105">
        <v>254701</v>
      </c>
      <c r="E24" s="105">
        <v>276632</v>
      </c>
      <c r="F24" s="120">
        <f t="shared" si="16"/>
        <v>46.708552599222926</v>
      </c>
      <c r="G24" s="120">
        <f t="shared" si="16"/>
        <v>113.45865354799241</v>
      </c>
      <c r="H24" s="120">
        <f t="shared" si="16"/>
        <v>8.6104883765670372</v>
      </c>
      <c r="K24" s="128" t="s">
        <v>143</v>
      </c>
      <c r="L24" s="163">
        <f t="shared" si="2"/>
        <v>37989</v>
      </c>
      <c r="M24" s="163">
        <f t="shared" si="3"/>
        <v>135380</v>
      </c>
      <c r="N24" s="163">
        <f t="shared" si="4"/>
        <v>21931</v>
      </c>
    </row>
    <row r="25" spans="1:18" ht="27" x14ac:dyDescent="0.3">
      <c r="A25" s="106" t="s">
        <v>144</v>
      </c>
      <c r="B25" s="107">
        <v>0</v>
      </c>
      <c r="C25" s="107">
        <v>0</v>
      </c>
      <c r="D25" s="107">
        <v>0</v>
      </c>
      <c r="E25" s="107">
        <v>0</v>
      </c>
      <c r="F25" s="120" t="str">
        <f t="shared" si="16"/>
        <v>-</v>
      </c>
      <c r="G25" s="120" t="str">
        <f t="shared" si="16"/>
        <v>-</v>
      </c>
      <c r="H25" s="120" t="str">
        <f t="shared" si="16"/>
        <v>-</v>
      </c>
      <c r="K25" s="109" t="s">
        <v>144</v>
      </c>
      <c r="L25" s="163">
        <f t="shared" si="2"/>
        <v>0</v>
      </c>
      <c r="M25" s="163">
        <f t="shared" si="3"/>
        <v>0</v>
      </c>
      <c r="N25" s="163">
        <f t="shared" si="4"/>
        <v>0</v>
      </c>
    </row>
    <row r="26" spans="1:18" x14ac:dyDescent="0.3">
      <c r="A26" s="140" t="s">
        <v>145</v>
      </c>
      <c r="B26" s="141">
        <v>2128636</v>
      </c>
      <c r="C26" s="141">
        <v>1836762</v>
      </c>
      <c r="D26" s="141">
        <v>1884984</v>
      </c>
      <c r="E26" s="141">
        <v>2147626</v>
      </c>
      <c r="F26" s="120">
        <f t="shared" si="16"/>
        <v>-13.711785387449993</v>
      </c>
      <c r="G26" s="120">
        <f t="shared" si="16"/>
        <v>2.6253809693362662</v>
      </c>
      <c r="H26" s="120">
        <f t="shared" si="16"/>
        <v>13.933380866893309</v>
      </c>
      <c r="K26" s="132" t="s">
        <v>145</v>
      </c>
      <c r="L26" s="163">
        <f t="shared" si="2"/>
        <v>-291874</v>
      </c>
      <c r="M26" s="163">
        <f t="shared" si="3"/>
        <v>48222</v>
      </c>
      <c r="N26" s="163">
        <f t="shared" si="4"/>
        <v>262642</v>
      </c>
    </row>
    <row r="27" spans="1:18" x14ac:dyDescent="0.3">
      <c r="A27" s="106" t="s">
        <v>146</v>
      </c>
      <c r="B27" s="107">
        <v>87290</v>
      </c>
      <c r="C27" s="107">
        <v>87282</v>
      </c>
      <c r="D27" s="107">
        <v>58516</v>
      </c>
      <c r="E27" s="107">
        <v>60136</v>
      </c>
      <c r="F27" s="120">
        <f t="shared" si="16"/>
        <v>-9.1648527895560328E-3</v>
      </c>
      <c r="G27" s="120">
        <f t="shared" si="16"/>
        <v>-32.957539928049307</v>
      </c>
      <c r="H27" s="120">
        <f t="shared" si="16"/>
        <v>2.7684735798755966</v>
      </c>
      <c r="K27" s="109" t="s">
        <v>146</v>
      </c>
      <c r="L27" s="163">
        <f t="shared" si="2"/>
        <v>-8</v>
      </c>
      <c r="M27" s="163">
        <f t="shared" si="3"/>
        <v>-28766</v>
      </c>
      <c r="N27" s="163">
        <f t="shared" si="4"/>
        <v>1620</v>
      </c>
    </row>
    <row r="28" spans="1:18" x14ac:dyDescent="0.3">
      <c r="A28" s="106" t="s">
        <v>154</v>
      </c>
      <c r="B28" s="107">
        <v>95063</v>
      </c>
      <c r="C28" s="107">
        <v>82967</v>
      </c>
      <c r="D28" s="107">
        <v>71662</v>
      </c>
      <c r="E28" s="107">
        <v>40739</v>
      </c>
      <c r="F28" s="120">
        <f t="shared" ref="F28:H30" si="23">IFERROR(((C28/B28)-1)*100,"-")</f>
        <v>-12.724193429620357</v>
      </c>
      <c r="G28" s="120">
        <f t="shared" si="23"/>
        <v>-13.625899453999779</v>
      </c>
      <c r="H28" s="120">
        <f t="shared" si="23"/>
        <v>-43.151181937428483</v>
      </c>
      <c r="K28" s="109" t="s">
        <v>154</v>
      </c>
      <c r="L28" s="163">
        <f t="shared" si="2"/>
        <v>-12096</v>
      </c>
      <c r="M28" s="163">
        <f t="shared" si="3"/>
        <v>-11305</v>
      </c>
      <c r="N28" s="163">
        <f t="shared" si="4"/>
        <v>-30923</v>
      </c>
    </row>
    <row r="29" spans="1:18" x14ac:dyDescent="0.3">
      <c r="A29" s="104" t="s">
        <v>163</v>
      </c>
      <c r="B29" s="105">
        <v>1808055</v>
      </c>
      <c r="C29" s="105">
        <v>1524958</v>
      </c>
      <c r="D29" s="105">
        <v>1612709</v>
      </c>
      <c r="E29" s="105">
        <v>187189</v>
      </c>
      <c r="F29" s="120">
        <f t="shared" si="23"/>
        <v>-15.657543603485513</v>
      </c>
      <c r="G29" s="120">
        <f t="shared" si="23"/>
        <v>5.7543224141255012</v>
      </c>
      <c r="H29" s="120">
        <f t="shared" si="23"/>
        <v>-88.392884271123933</v>
      </c>
      <c r="K29" s="128" t="s">
        <v>163</v>
      </c>
      <c r="L29" s="163">
        <f t="shared" si="2"/>
        <v>-283097</v>
      </c>
      <c r="M29" s="163">
        <f t="shared" si="3"/>
        <v>87751</v>
      </c>
      <c r="N29" s="163">
        <f t="shared" si="4"/>
        <v>-1425520</v>
      </c>
    </row>
    <row r="30" spans="1:18" x14ac:dyDescent="0.3">
      <c r="A30" s="104" t="s">
        <v>179</v>
      </c>
      <c r="B30" s="105">
        <v>138228</v>
      </c>
      <c r="C30" s="105">
        <v>141555</v>
      </c>
      <c r="D30" s="105">
        <v>142097</v>
      </c>
      <c r="E30" s="105">
        <v>175562</v>
      </c>
      <c r="F30" s="120">
        <f t="shared" si="23"/>
        <v>2.4068929594582844</v>
      </c>
      <c r="G30" s="120">
        <f t="shared" si="23"/>
        <v>0.38289004273956984</v>
      </c>
      <c r="H30" s="120">
        <f t="shared" si="23"/>
        <v>23.550813880658982</v>
      </c>
      <c r="K30" s="128" t="s">
        <v>179</v>
      </c>
      <c r="L30" s="163">
        <f t="shared" si="2"/>
        <v>3327</v>
      </c>
      <c r="M30" s="163">
        <f t="shared" si="3"/>
        <v>542</v>
      </c>
      <c r="N30" s="163">
        <f t="shared" si="4"/>
        <v>33465</v>
      </c>
    </row>
  </sheetData>
  <mergeCells count="2">
    <mergeCell ref="L1:N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BADF-47F4-4570-97F3-D9DD0A3CFE63}">
  <dimension ref="A1:K101"/>
  <sheetViews>
    <sheetView tabSelected="1" workbookViewId="0">
      <selection activeCell="G1" sqref="G1:K99"/>
    </sheetView>
  </sheetViews>
  <sheetFormatPr defaultRowHeight="14.4" x14ac:dyDescent="0.3"/>
  <cols>
    <col min="2" max="5" width="9.88671875" bestFit="1" customWidth="1"/>
    <col min="8" max="11" width="9.88671875" bestFit="1" customWidth="1"/>
  </cols>
  <sheetData>
    <row r="1" spans="1:11" x14ac:dyDescent="0.3">
      <c r="A1" s="97" t="s">
        <v>61</v>
      </c>
      <c r="B1" s="98">
        <v>43830</v>
      </c>
      <c r="C1" s="98">
        <v>44196</v>
      </c>
      <c r="D1" s="98">
        <v>44561</v>
      </c>
      <c r="E1" s="98">
        <v>44926</v>
      </c>
      <c r="G1" s="97" t="s">
        <v>61</v>
      </c>
      <c r="H1" s="98">
        <v>43830</v>
      </c>
      <c r="I1" s="98">
        <v>44196</v>
      </c>
      <c r="J1" s="98">
        <v>44561</v>
      </c>
      <c r="K1" s="98">
        <v>44926</v>
      </c>
    </row>
    <row r="2" spans="1:11" x14ac:dyDescent="0.3">
      <c r="A2" s="100"/>
      <c r="B2" s="100"/>
      <c r="C2" s="100"/>
      <c r="D2" s="100"/>
      <c r="E2" s="100"/>
      <c r="G2" s="100"/>
      <c r="H2" s="100"/>
      <c r="I2" s="100"/>
      <c r="J2" s="100"/>
      <c r="K2" s="100"/>
    </row>
    <row r="3" spans="1:11" ht="27" x14ac:dyDescent="0.3">
      <c r="A3" s="102" t="s">
        <v>242</v>
      </c>
      <c r="B3" s="103">
        <v>4730566</v>
      </c>
      <c r="C3" s="103">
        <v>4558013</v>
      </c>
      <c r="D3" s="103">
        <v>4749761</v>
      </c>
      <c r="E3" s="103">
        <v>4992502</v>
      </c>
      <c r="G3" s="102" t="s">
        <v>242</v>
      </c>
      <c r="H3" s="176">
        <f>B3/$B$3</f>
        <v>1</v>
      </c>
      <c r="I3" s="176">
        <f>C3/$C$3</f>
        <v>1</v>
      </c>
      <c r="J3" s="176">
        <f>D3/$D$3</f>
        <v>1</v>
      </c>
      <c r="K3" s="176">
        <f>E3/$E$3</f>
        <v>1</v>
      </c>
    </row>
    <row r="4" spans="1:11" ht="40.200000000000003" x14ac:dyDescent="0.3">
      <c r="A4" s="140" t="s">
        <v>62</v>
      </c>
      <c r="B4" s="141">
        <v>3102776</v>
      </c>
      <c r="C4" s="141">
        <v>2909635</v>
      </c>
      <c r="D4" s="141">
        <v>2831588</v>
      </c>
      <c r="E4" s="141">
        <v>2808978</v>
      </c>
      <c r="G4" s="140" t="s">
        <v>62</v>
      </c>
      <c r="H4" s="176">
        <f t="shared" ref="H4:H37" si="0">B4/$B$3</f>
        <v>0.65589952661055784</v>
      </c>
      <c r="I4" s="176">
        <f t="shared" ref="I4:I37" si="1">C4/$C$3</f>
        <v>0.6383560117094883</v>
      </c>
      <c r="J4" s="176">
        <f t="shared" ref="J4:J37" si="2">D4/$D$3</f>
        <v>0.59615378542204545</v>
      </c>
      <c r="K4" s="176">
        <f t="shared" ref="K4:K37" si="3">E4/$E$3</f>
        <v>0.56263933394518417</v>
      </c>
    </row>
    <row r="5" spans="1:11" ht="66.599999999999994" x14ac:dyDescent="0.3">
      <c r="A5" s="106" t="s">
        <v>63</v>
      </c>
      <c r="B5" s="107">
        <v>69799</v>
      </c>
      <c r="C5" s="107">
        <v>58192</v>
      </c>
      <c r="D5" s="107">
        <v>58793</v>
      </c>
      <c r="E5" s="107">
        <v>57573</v>
      </c>
      <c r="G5" s="106" t="s">
        <v>63</v>
      </c>
      <c r="H5" s="176">
        <f t="shared" si="0"/>
        <v>1.4754894023252186E-2</v>
      </c>
      <c r="I5" s="176">
        <f t="shared" si="1"/>
        <v>1.2766966658497903E-2</v>
      </c>
      <c r="J5" s="176">
        <f t="shared" si="2"/>
        <v>1.2378096497907999E-2</v>
      </c>
      <c r="K5" s="176">
        <f t="shared" si="3"/>
        <v>1.1531893227083334E-2</v>
      </c>
    </row>
    <row r="6" spans="1:11" ht="40.200000000000003" x14ac:dyDescent="0.3">
      <c r="A6" s="106" t="s">
        <v>65</v>
      </c>
      <c r="B6" s="107">
        <v>38105</v>
      </c>
      <c r="C6" s="107">
        <v>30730</v>
      </c>
      <c r="D6" s="107">
        <v>23355</v>
      </c>
      <c r="E6" s="107">
        <v>15980</v>
      </c>
      <c r="G6" s="106" t="s">
        <v>65</v>
      </c>
      <c r="H6" s="176">
        <f t="shared" si="0"/>
        <v>8.0550614873569036E-3</v>
      </c>
      <c r="I6" s="176">
        <f t="shared" si="1"/>
        <v>6.7419728728285765E-3</v>
      </c>
      <c r="J6" s="176">
        <f t="shared" si="2"/>
        <v>4.9170895125038921E-3</v>
      </c>
      <c r="K6" s="176">
        <f t="shared" si="3"/>
        <v>3.2007999195593712E-3</v>
      </c>
    </row>
    <row r="7" spans="1:11" ht="66.599999999999994" x14ac:dyDescent="0.3">
      <c r="A7" s="104" t="s">
        <v>67</v>
      </c>
      <c r="B7" s="105">
        <v>31694</v>
      </c>
      <c r="C7" s="105">
        <v>27462</v>
      </c>
      <c r="D7" s="105">
        <v>35438</v>
      </c>
      <c r="E7" s="105">
        <v>41593</v>
      </c>
      <c r="G7" s="104" t="s">
        <v>67</v>
      </c>
      <c r="H7" s="176">
        <f t="shared" si="0"/>
        <v>6.6998325358952815E-3</v>
      </c>
      <c r="I7" s="176">
        <f t="shared" si="1"/>
        <v>6.0249937856693258E-3</v>
      </c>
      <c r="J7" s="176">
        <f t="shared" si="2"/>
        <v>7.4610069854041073E-3</v>
      </c>
      <c r="K7" s="176">
        <f t="shared" si="3"/>
        <v>8.3310933075239624E-3</v>
      </c>
    </row>
    <row r="8" spans="1:11" ht="53.4" x14ac:dyDescent="0.3">
      <c r="A8" s="104" t="s">
        <v>69</v>
      </c>
      <c r="B8" s="105">
        <v>2402393</v>
      </c>
      <c r="C8" s="105">
        <v>2228829</v>
      </c>
      <c r="D8" s="105">
        <v>2191655</v>
      </c>
      <c r="E8" s="105">
        <v>2171626</v>
      </c>
      <c r="G8" s="104" t="s">
        <v>69</v>
      </c>
      <c r="H8" s="176">
        <f t="shared" si="0"/>
        <v>0.50784472724828278</v>
      </c>
      <c r="I8" s="176">
        <f t="shared" si="1"/>
        <v>0.48899136531642184</v>
      </c>
      <c r="J8" s="176">
        <f t="shared" si="2"/>
        <v>0.4614242695579841</v>
      </c>
      <c r="K8" s="176">
        <f t="shared" si="3"/>
        <v>0.43497749224737414</v>
      </c>
    </row>
    <row r="9" spans="1:11" ht="27" x14ac:dyDescent="0.3">
      <c r="A9" s="106" t="s">
        <v>70</v>
      </c>
      <c r="B9" s="107">
        <v>2341830</v>
      </c>
      <c r="C9" s="107">
        <v>2184075</v>
      </c>
      <c r="D9" s="107">
        <v>2136455</v>
      </c>
      <c r="E9" s="107">
        <v>2089018</v>
      </c>
      <c r="G9" s="106" t="s">
        <v>70</v>
      </c>
      <c r="H9" s="176">
        <f t="shared" si="0"/>
        <v>0.49504224230250671</v>
      </c>
      <c r="I9" s="176">
        <f t="shared" si="1"/>
        <v>0.47917261315402127</v>
      </c>
      <c r="J9" s="176">
        <f t="shared" si="2"/>
        <v>0.44980263217454519</v>
      </c>
      <c r="K9" s="176">
        <f t="shared" si="3"/>
        <v>0.41843107924643796</v>
      </c>
    </row>
    <row r="10" spans="1:11" ht="93" x14ac:dyDescent="0.3">
      <c r="A10" s="104" t="s">
        <v>244</v>
      </c>
      <c r="B10" s="105">
        <v>436954</v>
      </c>
      <c r="C10" s="105">
        <v>391689</v>
      </c>
      <c r="D10" s="105">
        <v>404304</v>
      </c>
      <c r="E10" s="105">
        <v>383603</v>
      </c>
      <c r="G10" s="104" t="s">
        <v>244</v>
      </c>
      <c r="H10" s="176">
        <f t="shared" si="0"/>
        <v>9.2368228241609993E-2</v>
      </c>
      <c r="I10" s="176">
        <f t="shared" si="1"/>
        <v>8.593415595787024E-2</v>
      </c>
      <c r="J10" s="176">
        <f t="shared" si="2"/>
        <v>8.5120914504961412E-2</v>
      </c>
      <c r="K10" s="176">
        <f t="shared" si="3"/>
        <v>7.6835823000171055E-2</v>
      </c>
    </row>
    <row r="11" spans="1:11" ht="119.4" x14ac:dyDescent="0.3">
      <c r="A11" s="106" t="s">
        <v>245</v>
      </c>
      <c r="B11" s="107">
        <v>972578</v>
      </c>
      <c r="C11" s="107">
        <v>906864</v>
      </c>
      <c r="D11" s="107">
        <v>862669</v>
      </c>
      <c r="E11" s="107">
        <v>826336</v>
      </c>
      <c r="G11" s="106" t="s">
        <v>245</v>
      </c>
      <c r="H11" s="176">
        <f t="shared" si="0"/>
        <v>0.20559442569874303</v>
      </c>
      <c r="I11" s="176">
        <f t="shared" si="1"/>
        <v>0.1989603803236191</v>
      </c>
      <c r="J11" s="176">
        <f t="shared" si="2"/>
        <v>0.18162366485387371</v>
      </c>
      <c r="K11" s="176">
        <f t="shared" si="3"/>
        <v>0.16551540690419353</v>
      </c>
    </row>
    <row r="12" spans="1:11" ht="66.599999999999994" x14ac:dyDescent="0.3">
      <c r="A12" s="104" t="s">
        <v>73</v>
      </c>
      <c r="B12" s="105">
        <v>928827</v>
      </c>
      <c r="C12" s="105">
        <v>884246</v>
      </c>
      <c r="D12" s="105">
        <v>868899</v>
      </c>
      <c r="E12" s="105">
        <v>878320</v>
      </c>
      <c r="G12" s="104" t="s">
        <v>73</v>
      </c>
      <c r="H12" s="176">
        <f t="shared" si="0"/>
        <v>0.19634584952413728</v>
      </c>
      <c r="I12" s="176">
        <f t="shared" si="1"/>
        <v>0.19399813032564847</v>
      </c>
      <c r="J12" s="176">
        <f t="shared" si="2"/>
        <v>0.18293530979769299</v>
      </c>
      <c r="K12" s="176">
        <f t="shared" si="3"/>
        <v>0.17592782136091281</v>
      </c>
    </row>
    <row r="13" spans="1:11" ht="27" x14ac:dyDescent="0.3">
      <c r="A13" s="106" t="s">
        <v>74</v>
      </c>
      <c r="B13" s="107">
        <v>2145</v>
      </c>
      <c r="C13" s="107">
        <v>359</v>
      </c>
      <c r="D13" s="107">
        <v>4</v>
      </c>
      <c r="E13" s="107">
        <v>0</v>
      </c>
      <c r="G13" s="106" t="s">
        <v>74</v>
      </c>
      <c r="H13" s="176">
        <f t="shared" si="0"/>
        <v>4.5343411338093583E-4</v>
      </c>
      <c r="I13" s="176">
        <f t="shared" si="1"/>
        <v>7.8762390541668045E-5</v>
      </c>
      <c r="J13" s="176">
        <f t="shared" si="2"/>
        <v>8.4214763648107772E-7</v>
      </c>
      <c r="K13" s="176">
        <f t="shared" si="3"/>
        <v>0</v>
      </c>
    </row>
    <row r="14" spans="1:11" ht="40.200000000000003" x14ac:dyDescent="0.3">
      <c r="A14" s="104" t="s">
        <v>75</v>
      </c>
      <c r="B14" s="105">
        <v>1326</v>
      </c>
      <c r="C14" s="105">
        <v>899</v>
      </c>
      <c r="D14" s="105">
        <v>579</v>
      </c>
      <c r="E14" s="105">
        <v>759</v>
      </c>
      <c r="G14" s="104" t="s">
        <v>75</v>
      </c>
      <c r="H14" s="176">
        <f t="shared" si="0"/>
        <v>2.8030472463548762E-4</v>
      </c>
      <c r="I14" s="176">
        <f t="shared" si="1"/>
        <v>1.9723506712245007E-4</v>
      </c>
      <c r="J14" s="176">
        <f t="shared" si="2"/>
        <v>1.2190087038063599E-4</v>
      </c>
      <c r="K14" s="176">
        <f t="shared" si="3"/>
        <v>1.5202798116054837E-4</v>
      </c>
    </row>
    <row r="15" spans="1:11" ht="40.200000000000003" x14ac:dyDescent="0.3">
      <c r="A15" s="106" t="s">
        <v>76</v>
      </c>
      <c r="B15" s="107">
        <v>60542</v>
      </c>
      <c r="C15" s="107">
        <v>44584</v>
      </c>
      <c r="D15" s="107">
        <v>55176</v>
      </c>
      <c r="E15" s="107">
        <v>81554</v>
      </c>
      <c r="G15" s="106" t="s">
        <v>76</v>
      </c>
      <c r="H15" s="176">
        <f t="shared" si="0"/>
        <v>1.2798045730680007E-2</v>
      </c>
      <c r="I15" s="176">
        <f t="shared" si="1"/>
        <v>9.7814552086621948E-3</v>
      </c>
      <c r="J15" s="176">
        <f t="shared" si="2"/>
        <v>1.1616584497619986E-2</v>
      </c>
      <c r="K15" s="176">
        <f t="shared" si="3"/>
        <v>1.6335296410497181E-2</v>
      </c>
    </row>
    <row r="16" spans="1:11" ht="66.599999999999994" x14ac:dyDescent="0.3">
      <c r="A16" s="104" t="s">
        <v>251</v>
      </c>
      <c r="B16" s="105">
        <v>21</v>
      </c>
      <c r="C16" s="105">
        <v>170</v>
      </c>
      <c r="D16" s="105">
        <v>24</v>
      </c>
      <c r="E16" s="105">
        <v>1054</v>
      </c>
      <c r="G16" s="104" t="s">
        <v>251</v>
      </c>
      <c r="H16" s="176">
        <f t="shared" si="0"/>
        <v>4.4392150960371334E-6</v>
      </c>
      <c r="I16" s="176">
        <f t="shared" si="1"/>
        <v>3.7296953738394341E-5</v>
      </c>
      <c r="J16" s="176">
        <f t="shared" si="2"/>
        <v>5.0528858188864661E-6</v>
      </c>
      <c r="K16" s="176">
        <f t="shared" si="3"/>
        <v>2.1111659043902237E-4</v>
      </c>
    </row>
    <row r="17" spans="1:11" ht="40.200000000000003" x14ac:dyDescent="0.3">
      <c r="A17" s="109" t="s">
        <v>76</v>
      </c>
      <c r="B17" s="110">
        <v>60542</v>
      </c>
      <c r="C17" s="110">
        <v>44584</v>
      </c>
      <c r="D17" s="110">
        <v>55176</v>
      </c>
      <c r="E17" s="110">
        <v>81554</v>
      </c>
      <c r="G17" s="109" t="s">
        <v>76</v>
      </c>
      <c r="H17" s="176">
        <f t="shared" si="0"/>
        <v>1.2798045730680007E-2</v>
      </c>
      <c r="I17" s="176">
        <f t="shared" si="1"/>
        <v>9.7814552086621948E-3</v>
      </c>
      <c r="J17" s="176">
        <f t="shared" si="2"/>
        <v>1.1616584497619986E-2</v>
      </c>
      <c r="K17" s="176">
        <f t="shared" si="3"/>
        <v>1.6335296410497181E-2</v>
      </c>
    </row>
    <row r="18" spans="1:11" ht="53.4" x14ac:dyDescent="0.3">
      <c r="A18" s="104" t="s">
        <v>255</v>
      </c>
      <c r="B18" s="105">
        <v>8895</v>
      </c>
      <c r="C18" s="105">
        <v>9705</v>
      </c>
      <c r="D18" s="105">
        <v>10171</v>
      </c>
      <c r="E18" s="105">
        <v>9973</v>
      </c>
      <c r="G18" s="104" t="s">
        <v>255</v>
      </c>
      <c r="H18" s="176">
        <f t="shared" si="0"/>
        <v>1.8803246799643002E-3</v>
      </c>
      <c r="I18" s="176">
        <f t="shared" si="1"/>
        <v>2.129217270771277E-3</v>
      </c>
      <c r="J18" s="176">
        <f t="shared" si="2"/>
        <v>2.1413709026622601E-3</v>
      </c>
      <c r="K18" s="176">
        <f t="shared" si="3"/>
        <v>1.9975955943532923E-3</v>
      </c>
    </row>
    <row r="19" spans="1:11" ht="40.200000000000003" x14ac:dyDescent="0.3">
      <c r="A19" s="106" t="s">
        <v>65</v>
      </c>
      <c r="B19" s="107">
        <v>38105</v>
      </c>
      <c r="C19" s="107">
        <v>30730</v>
      </c>
      <c r="D19" s="107">
        <v>23355</v>
      </c>
      <c r="E19" s="107">
        <v>15980</v>
      </c>
      <c r="G19" s="106" t="s">
        <v>65</v>
      </c>
      <c r="H19" s="176">
        <f t="shared" si="0"/>
        <v>8.0550614873569036E-3</v>
      </c>
      <c r="I19" s="176">
        <f t="shared" si="1"/>
        <v>6.7419728728285765E-3</v>
      </c>
      <c r="J19" s="176">
        <f t="shared" si="2"/>
        <v>4.9170895125038921E-3</v>
      </c>
      <c r="K19" s="176">
        <f t="shared" si="3"/>
        <v>3.2007999195593712E-3</v>
      </c>
    </row>
    <row r="20" spans="1:11" ht="66.599999999999994" x14ac:dyDescent="0.3">
      <c r="A20" s="104" t="s">
        <v>67</v>
      </c>
      <c r="B20" s="105">
        <v>31694</v>
      </c>
      <c r="C20" s="105">
        <v>27462</v>
      </c>
      <c r="D20" s="105">
        <v>35438</v>
      </c>
      <c r="E20" s="105">
        <v>41593</v>
      </c>
      <c r="G20" s="104" t="s">
        <v>67</v>
      </c>
      <c r="H20" s="176">
        <f t="shared" si="0"/>
        <v>6.6998325358952815E-3</v>
      </c>
      <c r="I20" s="176">
        <f t="shared" si="1"/>
        <v>6.0249937856693258E-3</v>
      </c>
      <c r="J20" s="176">
        <f t="shared" si="2"/>
        <v>7.4610069854041073E-3</v>
      </c>
      <c r="K20" s="176">
        <f t="shared" si="3"/>
        <v>8.3310933075239624E-3</v>
      </c>
    </row>
    <row r="21" spans="1:11" ht="53.4" x14ac:dyDescent="0.3">
      <c r="A21" s="128" t="s">
        <v>69</v>
      </c>
      <c r="B21" s="129">
        <v>2402392</v>
      </c>
      <c r="C21" s="129">
        <v>2228829</v>
      </c>
      <c r="D21" s="129">
        <v>2191655</v>
      </c>
      <c r="E21" s="129">
        <v>2171626</v>
      </c>
      <c r="G21" s="128" t="s">
        <v>69</v>
      </c>
      <c r="H21" s="176">
        <f t="shared" si="0"/>
        <v>0.50784451585708767</v>
      </c>
      <c r="I21" s="176">
        <f t="shared" si="1"/>
        <v>0.48899136531642184</v>
      </c>
      <c r="J21" s="176">
        <f t="shared" si="2"/>
        <v>0.4614242695579841</v>
      </c>
      <c r="K21" s="176">
        <f t="shared" si="3"/>
        <v>0.43497749224737414</v>
      </c>
    </row>
    <row r="22" spans="1:11" ht="27" x14ac:dyDescent="0.3">
      <c r="A22" s="106" t="s">
        <v>70</v>
      </c>
      <c r="B22" s="107">
        <v>2341830</v>
      </c>
      <c r="C22" s="107">
        <v>2184075</v>
      </c>
      <c r="D22" s="107">
        <v>2136455</v>
      </c>
      <c r="E22" s="107">
        <v>2089018</v>
      </c>
      <c r="G22" s="106" t="s">
        <v>70</v>
      </c>
      <c r="H22" s="176">
        <f t="shared" si="0"/>
        <v>0.49504224230250671</v>
      </c>
      <c r="I22" s="176">
        <f t="shared" si="1"/>
        <v>0.47917261315402127</v>
      </c>
      <c r="J22" s="176">
        <f t="shared" si="2"/>
        <v>0.44980263217454519</v>
      </c>
      <c r="K22" s="176">
        <f t="shared" si="3"/>
        <v>0.41843107924643796</v>
      </c>
    </row>
    <row r="23" spans="1:11" ht="93" x14ac:dyDescent="0.3">
      <c r="A23" s="104" t="s">
        <v>244</v>
      </c>
      <c r="B23" s="105">
        <v>436954</v>
      </c>
      <c r="C23" s="105">
        <v>391689</v>
      </c>
      <c r="D23" s="105">
        <v>404304</v>
      </c>
      <c r="E23" s="105">
        <v>383603</v>
      </c>
      <c r="G23" s="104" t="s">
        <v>244</v>
      </c>
      <c r="H23" s="176">
        <f t="shared" si="0"/>
        <v>9.2368228241609993E-2</v>
      </c>
      <c r="I23" s="176">
        <f t="shared" si="1"/>
        <v>8.593415595787024E-2</v>
      </c>
      <c r="J23" s="176">
        <f t="shared" si="2"/>
        <v>8.5120914504961412E-2</v>
      </c>
      <c r="K23" s="176">
        <f t="shared" si="3"/>
        <v>7.6835823000171055E-2</v>
      </c>
    </row>
    <row r="24" spans="1:11" ht="119.4" x14ac:dyDescent="0.3">
      <c r="A24" s="109" t="s">
        <v>245</v>
      </c>
      <c r="B24" s="110">
        <v>972578</v>
      </c>
      <c r="C24" s="110">
        <v>906864</v>
      </c>
      <c r="D24" s="110">
        <v>864669</v>
      </c>
      <c r="E24" s="110">
        <v>826336</v>
      </c>
      <c r="G24" s="109" t="s">
        <v>245</v>
      </c>
      <c r="H24" s="176">
        <f t="shared" si="0"/>
        <v>0.20559442569874303</v>
      </c>
      <c r="I24" s="176">
        <f t="shared" si="1"/>
        <v>0.1989603803236191</v>
      </c>
      <c r="J24" s="176">
        <f t="shared" si="2"/>
        <v>0.18204473867211424</v>
      </c>
      <c r="K24" s="176">
        <f t="shared" si="3"/>
        <v>0.16551540690419353</v>
      </c>
    </row>
    <row r="25" spans="1:11" ht="66.599999999999994" x14ac:dyDescent="0.3">
      <c r="A25" s="128" t="s">
        <v>73</v>
      </c>
      <c r="B25" s="129">
        <v>928827</v>
      </c>
      <c r="C25" s="129">
        <v>884264</v>
      </c>
      <c r="D25" s="129">
        <v>868899</v>
      </c>
      <c r="E25" s="129">
        <v>878320</v>
      </c>
      <c r="G25" s="128" t="s">
        <v>73</v>
      </c>
      <c r="H25" s="176">
        <f t="shared" si="0"/>
        <v>0.19634584952413728</v>
      </c>
      <c r="I25" s="176">
        <f t="shared" si="1"/>
        <v>0.19400207941486783</v>
      </c>
      <c r="J25" s="176">
        <f t="shared" si="2"/>
        <v>0.18293530979769299</v>
      </c>
      <c r="K25" s="176">
        <f t="shared" si="3"/>
        <v>0.17592782136091281</v>
      </c>
    </row>
    <row r="26" spans="1:11" ht="27" x14ac:dyDescent="0.3">
      <c r="A26" s="109" t="s">
        <v>74</v>
      </c>
      <c r="B26" s="110">
        <v>2145</v>
      </c>
      <c r="C26" s="110">
        <v>359</v>
      </c>
      <c r="D26" s="110">
        <v>4</v>
      </c>
      <c r="E26" s="110">
        <v>0</v>
      </c>
      <c r="G26" s="109" t="s">
        <v>74</v>
      </c>
      <c r="H26" s="176">
        <f t="shared" si="0"/>
        <v>4.5343411338093583E-4</v>
      </c>
      <c r="I26" s="176">
        <f t="shared" si="1"/>
        <v>7.8762390541668045E-5</v>
      </c>
      <c r="J26" s="176">
        <f t="shared" si="2"/>
        <v>8.4214763648107772E-7</v>
      </c>
      <c r="K26" s="176">
        <f t="shared" si="3"/>
        <v>0</v>
      </c>
    </row>
    <row r="27" spans="1:11" ht="40.200000000000003" x14ac:dyDescent="0.3">
      <c r="A27" s="128" t="s">
        <v>75</v>
      </c>
      <c r="B27" s="129">
        <v>1326</v>
      </c>
      <c r="C27" s="129">
        <v>899</v>
      </c>
      <c r="D27" s="129">
        <v>579</v>
      </c>
      <c r="E27" s="129">
        <v>759</v>
      </c>
      <c r="G27" s="128" t="s">
        <v>75</v>
      </c>
      <c r="H27" s="176">
        <f t="shared" si="0"/>
        <v>2.8030472463548762E-4</v>
      </c>
      <c r="I27" s="176">
        <f t="shared" si="1"/>
        <v>1.9723506712245007E-4</v>
      </c>
      <c r="J27" s="176">
        <f t="shared" si="2"/>
        <v>1.2190087038063599E-4</v>
      </c>
      <c r="K27" s="176">
        <f t="shared" si="3"/>
        <v>1.5202798116054837E-4</v>
      </c>
    </row>
    <row r="28" spans="1:11" ht="66.599999999999994" x14ac:dyDescent="0.3">
      <c r="A28" s="104" t="s">
        <v>251</v>
      </c>
      <c r="B28" s="105">
        <v>21</v>
      </c>
      <c r="C28" s="105">
        <v>170</v>
      </c>
      <c r="D28" s="105">
        <v>24</v>
      </c>
      <c r="E28" s="105">
        <v>1054</v>
      </c>
      <c r="G28" s="104" t="s">
        <v>251</v>
      </c>
      <c r="H28" s="176">
        <f t="shared" si="0"/>
        <v>4.4392150960371334E-6</v>
      </c>
      <c r="I28" s="176">
        <f t="shared" si="1"/>
        <v>3.7296953738394341E-5</v>
      </c>
      <c r="J28" s="176">
        <f t="shared" si="2"/>
        <v>5.0528858188864661E-6</v>
      </c>
      <c r="K28" s="176">
        <f t="shared" si="3"/>
        <v>2.1111659043902237E-4</v>
      </c>
    </row>
    <row r="29" spans="1:11" ht="66.599999999999994" x14ac:dyDescent="0.3">
      <c r="A29" s="106" t="s">
        <v>78</v>
      </c>
      <c r="B29" s="107">
        <v>8895</v>
      </c>
      <c r="C29" s="107">
        <v>9705</v>
      </c>
      <c r="D29" s="107">
        <v>10171</v>
      </c>
      <c r="E29" s="107">
        <v>9973</v>
      </c>
      <c r="G29" s="106" t="s">
        <v>78</v>
      </c>
      <c r="H29" s="176">
        <f t="shared" si="0"/>
        <v>1.8803246799643002E-3</v>
      </c>
      <c r="I29" s="176">
        <f t="shared" si="1"/>
        <v>2.129217270771277E-3</v>
      </c>
      <c r="J29" s="176">
        <f t="shared" si="2"/>
        <v>2.1413709026622601E-3</v>
      </c>
      <c r="K29" s="176">
        <f t="shared" si="3"/>
        <v>1.9975955943532923E-3</v>
      </c>
    </row>
    <row r="30" spans="1:11" ht="53.4" x14ac:dyDescent="0.3">
      <c r="A30" s="104" t="s">
        <v>255</v>
      </c>
      <c r="B30" s="105">
        <v>8895</v>
      </c>
      <c r="C30" s="105">
        <v>9705</v>
      </c>
      <c r="D30" s="105">
        <v>10171</v>
      </c>
      <c r="E30" s="105">
        <v>9973</v>
      </c>
      <c r="G30" s="104" t="s">
        <v>255</v>
      </c>
      <c r="H30" s="176">
        <f t="shared" si="0"/>
        <v>1.8803246799643002E-3</v>
      </c>
      <c r="I30" s="176">
        <f t="shared" si="1"/>
        <v>2.129217270771277E-3</v>
      </c>
      <c r="J30" s="176">
        <f t="shared" si="2"/>
        <v>2.1413709026622601E-3</v>
      </c>
      <c r="K30" s="176">
        <f t="shared" si="3"/>
        <v>1.9975955943532923E-3</v>
      </c>
    </row>
    <row r="31" spans="1:11" ht="66.599999999999994" x14ac:dyDescent="0.3">
      <c r="A31" s="109" t="s">
        <v>82</v>
      </c>
      <c r="B31" s="110">
        <v>523472</v>
      </c>
      <c r="C31" s="110">
        <v>505533</v>
      </c>
      <c r="D31" s="110">
        <v>492931</v>
      </c>
      <c r="E31" s="110">
        <v>478416</v>
      </c>
      <c r="G31" s="109" t="s">
        <v>82</v>
      </c>
      <c r="H31" s="176">
        <f t="shared" si="0"/>
        <v>0.11065737165489288</v>
      </c>
      <c r="I31" s="176">
        <f t="shared" si="1"/>
        <v>0.11091082890724532</v>
      </c>
      <c r="J31" s="176">
        <f t="shared" si="2"/>
        <v>0.10378016914956352</v>
      </c>
      <c r="K31" s="176">
        <f t="shared" si="3"/>
        <v>9.5826902022272606E-2</v>
      </c>
    </row>
    <row r="32" spans="1:11" ht="40.200000000000003" x14ac:dyDescent="0.3">
      <c r="A32" s="104" t="s">
        <v>83</v>
      </c>
      <c r="B32" s="105">
        <v>523401</v>
      </c>
      <c r="C32" s="105">
        <v>505462</v>
      </c>
      <c r="D32" s="105">
        <v>492860</v>
      </c>
      <c r="E32" s="105">
        <v>478345</v>
      </c>
      <c r="G32" s="104" t="s">
        <v>83</v>
      </c>
      <c r="H32" s="176">
        <f t="shared" si="0"/>
        <v>0.11064236288004438</v>
      </c>
      <c r="I32" s="176">
        <f t="shared" si="1"/>
        <v>0.11089525194421342</v>
      </c>
      <c r="J32" s="176">
        <f t="shared" si="2"/>
        <v>0.10376522102901599</v>
      </c>
      <c r="K32" s="176">
        <f t="shared" si="3"/>
        <v>9.581268069597168E-2</v>
      </c>
    </row>
    <row r="33" spans="1:11" ht="66.599999999999994" x14ac:dyDescent="0.3">
      <c r="A33" s="128" t="s">
        <v>251</v>
      </c>
      <c r="B33" s="129">
        <v>21</v>
      </c>
      <c r="C33" s="129">
        <v>170</v>
      </c>
      <c r="D33" s="129">
        <v>24</v>
      </c>
      <c r="E33" s="129">
        <v>1054</v>
      </c>
      <c r="G33" s="128" t="s">
        <v>251</v>
      </c>
      <c r="H33" s="176">
        <f t="shared" si="0"/>
        <v>4.4392150960371334E-6</v>
      </c>
      <c r="I33" s="176">
        <f t="shared" si="1"/>
        <v>3.7296953738394341E-5</v>
      </c>
      <c r="J33" s="176">
        <f t="shared" si="2"/>
        <v>5.0528858188864661E-6</v>
      </c>
      <c r="K33" s="176">
        <f t="shared" si="3"/>
        <v>2.1111659043902237E-4</v>
      </c>
    </row>
    <row r="34" spans="1:11" ht="66.599999999999994" x14ac:dyDescent="0.3">
      <c r="A34" s="109" t="s">
        <v>78</v>
      </c>
      <c r="B34" s="110">
        <v>8895</v>
      </c>
      <c r="C34" s="110">
        <v>9705</v>
      </c>
      <c r="D34" s="110">
        <v>10171</v>
      </c>
      <c r="E34" s="110">
        <v>9973</v>
      </c>
      <c r="G34" s="109" t="s">
        <v>78</v>
      </c>
      <c r="H34" s="176">
        <f t="shared" si="0"/>
        <v>1.8803246799643002E-3</v>
      </c>
      <c r="I34" s="176">
        <f t="shared" si="1"/>
        <v>2.129217270771277E-3</v>
      </c>
      <c r="J34" s="176">
        <f t="shared" si="2"/>
        <v>2.1413709026622601E-3</v>
      </c>
      <c r="K34" s="176">
        <f t="shared" si="3"/>
        <v>1.9975955943532923E-3</v>
      </c>
    </row>
    <row r="35" spans="1:11" ht="53.4" x14ac:dyDescent="0.3">
      <c r="A35" s="128" t="s">
        <v>255</v>
      </c>
      <c r="B35" s="129">
        <v>8895</v>
      </c>
      <c r="C35" s="129">
        <v>9705</v>
      </c>
      <c r="D35" s="129">
        <v>10171</v>
      </c>
      <c r="E35" s="129">
        <v>9973</v>
      </c>
      <c r="G35" s="128" t="s">
        <v>255</v>
      </c>
      <c r="H35" s="176">
        <f t="shared" si="0"/>
        <v>1.8803246799643002E-3</v>
      </c>
      <c r="I35" s="176">
        <f t="shared" si="1"/>
        <v>2.129217270771277E-3</v>
      </c>
      <c r="J35" s="176">
        <f t="shared" si="2"/>
        <v>2.1413709026622601E-3</v>
      </c>
      <c r="K35" s="176">
        <f t="shared" si="3"/>
        <v>1.9975955943532923E-3</v>
      </c>
    </row>
    <row r="36" spans="1:11" ht="66.599999999999994" x14ac:dyDescent="0.3">
      <c r="A36" s="106" t="s">
        <v>82</v>
      </c>
      <c r="B36" s="107">
        <v>523472</v>
      </c>
      <c r="C36" s="107">
        <v>505533</v>
      </c>
      <c r="D36" s="107">
        <v>492931</v>
      </c>
      <c r="E36" s="107">
        <v>478416</v>
      </c>
      <c r="G36" s="106" t="s">
        <v>82</v>
      </c>
      <c r="H36" s="176">
        <f t="shared" si="0"/>
        <v>0.11065737165489288</v>
      </c>
      <c r="I36" s="176">
        <f t="shared" si="1"/>
        <v>0.11091082890724532</v>
      </c>
      <c r="J36" s="176">
        <f t="shared" si="2"/>
        <v>0.10378016914956352</v>
      </c>
      <c r="K36" s="176">
        <f t="shared" si="3"/>
        <v>9.5826902022272606E-2</v>
      </c>
    </row>
    <row r="37" spans="1:11" ht="40.200000000000003" x14ac:dyDescent="0.3">
      <c r="A37" s="104" t="s">
        <v>83</v>
      </c>
      <c r="B37" s="105">
        <v>523401</v>
      </c>
      <c r="C37" s="105">
        <v>505462</v>
      </c>
      <c r="D37" s="105">
        <v>492860</v>
      </c>
      <c r="E37" s="105">
        <v>478345</v>
      </c>
      <c r="G37" s="104" t="s">
        <v>83</v>
      </c>
      <c r="H37" s="176">
        <f t="shared" si="0"/>
        <v>0.11064236288004438</v>
      </c>
      <c r="I37" s="176">
        <f t="shared" si="1"/>
        <v>0.11089525194421342</v>
      </c>
      <c r="J37" s="176">
        <f t="shared" si="2"/>
        <v>0.10376522102901599</v>
      </c>
      <c r="K37" s="176">
        <f t="shared" si="3"/>
        <v>9.581268069597168E-2</v>
      </c>
    </row>
    <row r="38" spans="1:11" ht="93" x14ac:dyDescent="0.3">
      <c r="A38" s="106" t="s">
        <v>93</v>
      </c>
      <c r="B38" s="107">
        <v>98217</v>
      </c>
      <c r="C38" s="107">
        <v>107376</v>
      </c>
      <c r="D38" s="107">
        <v>78038</v>
      </c>
      <c r="E38" s="107">
        <v>91389</v>
      </c>
      <c r="G38" s="106" t="s">
        <v>93</v>
      </c>
      <c r="H38" s="176">
        <f t="shared" ref="H38:H60" si="4">B38/$B$3</f>
        <v>2.0762209004165675E-2</v>
      </c>
      <c r="I38" s="176">
        <f t="shared" ref="I38:I60" si="5">C38/$C$3</f>
        <v>2.3557633556551945E-2</v>
      </c>
      <c r="J38" s="176">
        <f t="shared" ref="J38:J60" si="6">D38/$D$3</f>
        <v>1.6429879313927587E-2</v>
      </c>
      <c r="K38" s="176">
        <f t="shared" ref="K38:K60" si="7">E38/$E$3</f>
        <v>1.8305250553730373E-2</v>
      </c>
    </row>
    <row r="39" spans="1:11" ht="93" x14ac:dyDescent="0.3">
      <c r="A39" s="104" t="s">
        <v>266</v>
      </c>
      <c r="B39" s="105">
        <v>91096</v>
      </c>
      <c r="C39" s="105">
        <v>102350</v>
      </c>
      <c r="D39" s="105">
        <v>75796</v>
      </c>
      <c r="E39" s="105">
        <v>90335</v>
      </c>
      <c r="G39" s="104" t="s">
        <v>266</v>
      </c>
      <c r="H39" s="176">
        <f t="shared" si="4"/>
        <v>1.9256892304218988E-2</v>
      </c>
      <c r="I39" s="176">
        <f t="shared" si="5"/>
        <v>2.2454960088968592E-2</v>
      </c>
      <c r="J39" s="176">
        <f t="shared" si="6"/>
        <v>1.5957855563679939E-2</v>
      </c>
      <c r="K39" s="176">
        <f t="shared" si="7"/>
        <v>1.8094133963291351E-2</v>
      </c>
    </row>
    <row r="40" spans="1:11" ht="66.599999999999994" x14ac:dyDescent="0.3">
      <c r="A40" s="106" t="s">
        <v>181</v>
      </c>
      <c r="B40" s="107">
        <v>7121</v>
      </c>
      <c r="C40" s="107">
        <v>5026</v>
      </c>
      <c r="D40" s="107">
        <v>2242</v>
      </c>
      <c r="E40" s="107">
        <v>1054</v>
      </c>
      <c r="G40" s="106" t="s">
        <v>181</v>
      </c>
      <c r="H40" s="176">
        <f t="shared" si="4"/>
        <v>1.5053166999466872E-3</v>
      </c>
      <c r="I40" s="176">
        <f t="shared" si="5"/>
        <v>1.1026734675833527E-3</v>
      </c>
      <c r="J40" s="176">
        <f t="shared" si="6"/>
        <v>4.7202375024764403E-4</v>
      </c>
      <c r="K40" s="176">
        <f t="shared" si="7"/>
        <v>2.1111659043902237E-4</v>
      </c>
    </row>
    <row r="41" spans="1:11" ht="40.200000000000003" x14ac:dyDescent="0.3">
      <c r="A41" s="140" t="s">
        <v>96</v>
      </c>
      <c r="B41" s="141">
        <v>1627790</v>
      </c>
      <c r="C41" s="141">
        <v>1648378</v>
      </c>
      <c r="D41" s="141">
        <v>1918173</v>
      </c>
      <c r="E41" s="141">
        <v>2183524</v>
      </c>
      <c r="G41" s="140" t="s">
        <v>96</v>
      </c>
      <c r="H41" s="176">
        <f t="shared" si="4"/>
        <v>0.34410047338944222</v>
      </c>
      <c r="I41" s="176">
        <f t="shared" si="5"/>
        <v>0.3616439882905117</v>
      </c>
      <c r="J41" s="176">
        <f t="shared" si="6"/>
        <v>0.40384621457795455</v>
      </c>
      <c r="K41" s="176">
        <f t="shared" si="7"/>
        <v>0.43736066605481583</v>
      </c>
    </row>
    <row r="42" spans="1:11" x14ac:dyDescent="0.3">
      <c r="A42" s="106" t="s">
        <v>97</v>
      </c>
      <c r="B42" s="107">
        <v>642542</v>
      </c>
      <c r="C42" s="107">
        <v>678431</v>
      </c>
      <c r="D42" s="107">
        <v>736238</v>
      </c>
      <c r="E42" s="107">
        <v>903912</v>
      </c>
      <c r="G42" s="106" t="s">
        <v>97</v>
      </c>
      <c r="H42" s="176">
        <f t="shared" si="4"/>
        <v>0.13582772124942344</v>
      </c>
      <c r="I42" s="176">
        <f t="shared" si="5"/>
        <v>0.14884358600995654</v>
      </c>
      <c r="J42" s="176">
        <f t="shared" si="6"/>
        <v>0.15500527289688892</v>
      </c>
      <c r="K42" s="176">
        <f t="shared" si="7"/>
        <v>0.18105390844109828</v>
      </c>
    </row>
    <row r="43" spans="1:11" x14ac:dyDescent="0.3">
      <c r="A43" s="106" t="s">
        <v>101</v>
      </c>
      <c r="B43" s="107">
        <v>642354</v>
      </c>
      <c r="C43" s="107">
        <v>678431</v>
      </c>
      <c r="D43" s="107">
        <v>763238</v>
      </c>
      <c r="E43" s="107">
        <v>903912</v>
      </c>
      <c r="G43" s="106" t="s">
        <v>101</v>
      </c>
      <c r="H43" s="176">
        <f t="shared" si="4"/>
        <v>0.13578797970475415</v>
      </c>
      <c r="I43" s="176">
        <f t="shared" si="5"/>
        <v>0.14884358600995654</v>
      </c>
      <c r="J43" s="176">
        <f t="shared" si="6"/>
        <v>0.1606897694431362</v>
      </c>
      <c r="K43" s="176">
        <f t="shared" si="7"/>
        <v>0.18105390844109828</v>
      </c>
    </row>
    <row r="44" spans="1:11" ht="66.599999999999994" x14ac:dyDescent="0.3">
      <c r="A44" s="106" t="s">
        <v>103</v>
      </c>
      <c r="B44" s="107">
        <v>180839</v>
      </c>
      <c r="C44" s="107">
        <v>209018</v>
      </c>
      <c r="D44" s="107">
        <v>237556</v>
      </c>
      <c r="E44" s="107">
        <v>337018</v>
      </c>
      <c r="G44" s="106" t="s">
        <v>103</v>
      </c>
      <c r="H44" s="176">
        <f t="shared" si="4"/>
        <v>3.8227772321536152E-2</v>
      </c>
      <c r="I44" s="176">
        <f t="shared" si="5"/>
        <v>4.5857262802892401E-2</v>
      </c>
      <c r="J44" s="176">
        <f t="shared" si="6"/>
        <v>5.0014305982974724E-2</v>
      </c>
      <c r="K44" s="176">
        <f t="shared" si="7"/>
        <v>6.7504830243433053E-2</v>
      </c>
    </row>
    <row r="45" spans="1:11" ht="79.8" x14ac:dyDescent="0.3">
      <c r="A45" s="104" t="s">
        <v>105</v>
      </c>
      <c r="B45" s="105">
        <v>9405</v>
      </c>
      <c r="C45" s="105">
        <v>5006</v>
      </c>
      <c r="D45" s="105">
        <v>3159</v>
      </c>
      <c r="E45" s="105">
        <v>4122</v>
      </c>
      <c r="G45" s="104" t="s">
        <v>105</v>
      </c>
      <c r="H45" s="176">
        <f t="shared" si="4"/>
        <v>1.9881341894394879E-3</v>
      </c>
      <c r="I45" s="176">
        <f t="shared" si="5"/>
        <v>1.0982855906729533E-3</v>
      </c>
      <c r="J45" s="176">
        <f t="shared" si="6"/>
        <v>6.6508609591093106E-4</v>
      </c>
      <c r="K45" s="176">
        <f t="shared" si="7"/>
        <v>8.2563812693515191E-4</v>
      </c>
    </row>
    <row r="46" spans="1:11" ht="66.599999999999994" x14ac:dyDescent="0.3">
      <c r="A46" s="106" t="s">
        <v>106</v>
      </c>
      <c r="B46" s="105">
        <v>9405</v>
      </c>
      <c r="C46" s="105">
        <v>5006</v>
      </c>
      <c r="D46" s="105">
        <v>3159</v>
      </c>
      <c r="E46" s="105">
        <v>4122</v>
      </c>
      <c r="G46" s="106" t="s">
        <v>106</v>
      </c>
      <c r="H46" s="176">
        <f t="shared" si="4"/>
        <v>1.9881341894394879E-3</v>
      </c>
      <c r="I46" s="176">
        <f t="shared" si="5"/>
        <v>1.0982855906729533E-3</v>
      </c>
      <c r="J46" s="176">
        <f t="shared" si="6"/>
        <v>6.6508609591093106E-4</v>
      </c>
      <c r="K46" s="176">
        <f t="shared" si="7"/>
        <v>8.2563812693515191E-4</v>
      </c>
    </row>
    <row r="47" spans="1:11" ht="27" x14ac:dyDescent="0.3">
      <c r="A47" s="104" t="s">
        <v>267</v>
      </c>
      <c r="B47" s="105">
        <v>9405</v>
      </c>
      <c r="C47" s="105">
        <v>5006</v>
      </c>
      <c r="D47" s="105">
        <v>3159</v>
      </c>
      <c r="E47" s="105">
        <v>4122</v>
      </c>
      <c r="G47" s="104" t="s">
        <v>267</v>
      </c>
      <c r="H47" s="176">
        <f t="shared" si="4"/>
        <v>1.9881341894394879E-3</v>
      </c>
      <c r="I47" s="176">
        <f t="shared" si="5"/>
        <v>1.0982855906729533E-3</v>
      </c>
      <c r="J47" s="176">
        <f t="shared" si="6"/>
        <v>6.6508609591093106E-4</v>
      </c>
      <c r="K47" s="176">
        <f t="shared" si="7"/>
        <v>8.2563812693515191E-4</v>
      </c>
    </row>
    <row r="48" spans="1:11" ht="79.8" x14ac:dyDescent="0.3">
      <c r="A48" s="104" t="s">
        <v>111</v>
      </c>
      <c r="B48" s="105">
        <v>171434</v>
      </c>
      <c r="C48" s="105">
        <v>204012</v>
      </c>
      <c r="D48" s="105">
        <v>234397</v>
      </c>
      <c r="E48" s="105">
        <v>332896</v>
      </c>
      <c r="G48" s="104" t="s">
        <v>111</v>
      </c>
      <c r="H48" s="176">
        <f t="shared" si="4"/>
        <v>3.6239638132096665E-2</v>
      </c>
      <c r="I48" s="176">
        <f t="shared" si="5"/>
        <v>4.4758977212219449E-2</v>
      </c>
      <c r="J48" s="176">
        <f t="shared" si="6"/>
        <v>4.934921988706379E-2</v>
      </c>
      <c r="K48" s="176">
        <f t="shared" si="7"/>
        <v>6.6679192116497907E-2</v>
      </c>
    </row>
    <row r="49" spans="1:11" ht="66.599999999999994" x14ac:dyDescent="0.3">
      <c r="A49" s="106" t="s">
        <v>106</v>
      </c>
      <c r="B49" s="107">
        <v>123834</v>
      </c>
      <c r="C49" s="107">
        <v>163309</v>
      </c>
      <c r="D49" s="107">
        <v>176735</v>
      </c>
      <c r="E49" s="107">
        <v>240544</v>
      </c>
      <c r="G49" s="106" t="s">
        <v>106</v>
      </c>
      <c r="H49" s="176">
        <f t="shared" si="4"/>
        <v>2.6177417247745829E-2</v>
      </c>
      <c r="I49" s="176">
        <f t="shared" si="5"/>
        <v>3.5828989518020243E-2</v>
      </c>
      <c r="J49" s="176">
        <f t="shared" si="6"/>
        <v>3.7209240633370819E-2</v>
      </c>
      <c r="K49" s="176">
        <f t="shared" si="7"/>
        <v>4.8181052306038134E-2</v>
      </c>
    </row>
    <row r="50" spans="1:11" ht="27" x14ac:dyDescent="0.3">
      <c r="A50" s="104" t="s">
        <v>267</v>
      </c>
      <c r="B50" s="107">
        <v>123834</v>
      </c>
      <c r="C50" s="107">
        <v>163309</v>
      </c>
      <c r="D50" s="107">
        <v>176735</v>
      </c>
      <c r="E50" s="107">
        <v>240544</v>
      </c>
      <c r="G50" s="104" t="s">
        <v>267</v>
      </c>
      <c r="H50" s="176">
        <f t="shared" si="4"/>
        <v>2.6177417247745829E-2</v>
      </c>
      <c r="I50" s="176">
        <f t="shared" si="5"/>
        <v>3.5828989518020243E-2</v>
      </c>
      <c r="J50" s="176">
        <f t="shared" si="6"/>
        <v>3.7209240633370819E-2</v>
      </c>
      <c r="K50" s="176">
        <f t="shared" si="7"/>
        <v>4.8181052306038134E-2</v>
      </c>
    </row>
    <row r="51" spans="1:11" x14ac:dyDescent="0.3">
      <c r="A51" s="106" t="s">
        <v>114</v>
      </c>
      <c r="B51" s="107">
        <v>47321</v>
      </c>
      <c r="C51" s="107">
        <v>40703</v>
      </c>
      <c r="D51" s="107">
        <v>57659</v>
      </c>
      <c r="E51" s="107">
        <v>92342</v>
      </c>
      <c r="G51" s="106" t="s">
        <v>114</v>
      </c>
      <c r="H51" s="176">
        <f t="shared" si="4"/>
        <v>1.0003242740932058E-2</v>
      </c>
      <c r="I51" s="176">
        <f t="shared" si="5"/>
        <v>8.9299876941992054E-3</v>
      </c>
      <c r="J51" s="176">
        <f t="shared" si="6"/>
        <v>1.2139347642965615E-2</v>
      </c>
      <c r="K51" s="176">
        <f t="shared" si="7"/>
        <v>1.8496136806755409E-2</v>
      </c>
    </row>
    <row r="52" spans="1:11" ht="66.599999999999994" x14ac:dyDescent="0.3">
      <c r="A52" s="106" t="s">
        <v>116</v>
      </c>
      <c r="B52" s="107">
        <v>796305</v>
      </c>
      <c r="C52" s="107">
        <v>739225</v>
      </c>
      <c r="D52" s="107">
        <v>904048</v>
      </c>
      <c r="E52" s="107">
        <v>924994</v>
      </c>
      <c r="G52" s="106" t="s">
        <v>116</v>
      </c>
      <c r="H52" s="176">
        <f t="shared" si="4"/>
        <v>0.16833186557380236</v>
      </c>
      <c r="I52" s="176">
        <f t="shared" si="5"/>
        <v>0.16218141545449738</v>
      </c>
      <c r="J52" s="176">
        <f t="shared" si="6"/>
        <v>0.19033547161636133</v>
      </c>
      <c r="K52" s="176">
        <f t="shared" si="7"/>
        <v>0.18527664085061959</v>
      </c>
    </row>
    <row r="53" spans="1:11" ht="66.599999999999994" x14ac:dyDescent="0.3">
      <c r="A53" s="104" t="s">
        <v>117</v>
      </c>
      <c r="B53" s="107">
        <v>796305</v>
      </c>
      <c r="C53" s="107">
        <v>739225</v>
      </c>
      <c r="D53" s="107">
        <v>904048</v>
      </c>
      <c r="E53" s="107">
        <v>924994</v>
      </c>
      <c r="G53" s="104" t="s">
        <v>117</v>
      </c>
      <c r="H53" s="176">
        <f t="shared" si="4"/>
        <v>0.16833186557380236</v>
      </c>
      <c r="I53" s="176">
        <f t="shared" si="5"/>
        <v>0.16218141545449738</v>
      </c>
      <c r="J53" s="176">
        <f t="shared" si="6"/>
        <v>0.19033547161636133</v>
      </c>
      <c r="K53" s="176">
        <f t="shared" si="7"/>
        <v>0.18527664085061959</v>
      </c>
    </row>
    <row r="54" spans="1:11" ht="66.599999999999994" x14ac:dyDescent="0.3">
      <c r="A54" s="106" t="s">
        <v>86</v>
      </c>
      <c r="B54" s="107">
        <v>717078</v>
      </c>
      <c r="C54" s="107">
        <v>664504</v>
      </c>
      <c r="D54" s="107">
        <v>824545</v>
      </c>
      <c r="E54" s="107">
        <v>832297</v>
      </c>
      <c r="G54" s="106" t="s">
        <v>86</v>
      </c>
      <c r="H54" s="176">
        <f t="shared" si="4"/>
        <v>0.15158397536362456</v>
      </c>
      <c r="I54" s="176">
        <f t="shared" si="5"/>
        <v>0.14578808792339995</v>
      </c>
      <c r="J54" s="176">
        <f t="shared" si="6"/>
        <v>0.17359715573057255</v>
      </c>
      <c r="K54" s="176">
        <f t="shared" si="7"/>
        <v>0.16670939741235957</v>
      </c>
    </row>
    <row r="55" spans="1:11" ht="66.599999999999994" x14ac:dyDescent="0.3">
      <c r="A55" s="106" t="s">
        <v>269</v>
      </c>
      <c r="B55" s="107">
        <v>717078</v>
      </c>
      <c r="C55" s="107">
        <v>664504</v>
      </c>
      <c r="D55" s="107">
        <v>824545</v>
      </c>
      <c r="E55" s="107">
        <v>832297</v>
      </c>
      <c r="G55" s="106" t="s">
        <v>269</v>
      </c>
      <c r="H55" s="176">
        <f t="shared" si="4"/>
        <v>0.15158397536362456</v>
      </c>
      <c r="I55" s="176">
        <f t="shared" si="5"/>
        <v>0.14578808792339995</v>
      </c>
      <c r="J55" s="176">
        <f t="shared" si="6"/>
        <v>0.17359715573057255</v>
      </c>
      <c r="K55" s="176">
        <f t="shared" si="7"/>
        <v>0.16670939741235957</v>
      </c>
    </row>
    <row r="56" spans="1:11" ht="66.599999999999994" x14ac:dyDescent="0.3">
      <c r="A56" s="106" t="s">
        <v>270</v>
      </c>
      <c r="B56" s="107">
        <v>79167</v>
      </c>
      <c r="C56" s="107">
        <v>74601</v>
      </c>
      <c r="D56" s="107">
        <v>79443</v>
      </c>
      <c r="E56" s="107">
        <v>92715</v>
      </c>
      <c r="G56" s="106" t="s">
        <v>270</v>
      </c>
      <c r="H56" s="176">
        <f t="shared" si="4"/>
        <v>1.6735206738474846E-2</v>
      </c>
      <c r="I56" s="176">
        <f t="shared" si="5"/>
        <v>1.6367000269635036E-2</v>
      </c>
      <c r="J56" s="176">
        <f t="shared" si="6"/>
        <v>1.6725683671241564E-2</v>
      </c>
      <c r="K56" s="176">
        <f t="shared" si="7"/>
        <v>1.8570848844927854E-2</v>
      </c>
    </row>
    <row r="57" spans="1:11" ht="79.8" x14ac:dyDescent="0.3">
      <c r="A57" s="104" t="s">
        <v>271</v>
      </c>
      <c r="B57" s="105">
        <v>16419</v>
      </c>
      <c r="C57" s="105">
        <v>11119</v>
      </c>
      <c r="D57" s="105">
        <v>13945</v>
      </c>
      <c r="E57" s="105">
        <v>15894</v>
      </c>
      <c r="G57" s="104" t="s">
        <v>271</v>
      </c>
      <c r="H57" s="176">
        <f t="shared" si="4"/>
        <v>3.4708320315158907E-3</v>
      </c>
      <c r="I57" s="176">
        <f t="shared" si="5"/>
        <v>2.4394401683365098E-3</v>
      </c>
      <c r="J57" s="176">
        <f t="shared" si="6"/>
        <v>2.9359371976821571E-3</v>
      </c>
      <c r="K57" s="176">
        <f t="shared" si="7"/>
        <v>3.183574087701918E-3</v>
      </c>
    </row>
    <row r="58" spans="1:11" ht="40.200000000000003" x14ac:dyDescent="0.3">
      <c r="A58" s="106" t="s">
        <v>272</v>
      </c>
      <c r="B58" s="107">
        <v>62748</v>
      </c>
      <c r="C58" s="107">
        <v>63482</v>
      </c>
      <c r="D58" s="107">
        <v>64498</v>
      </c>
      <c r="E58" s="107">
        <v>76821</v>
      </c>
      <c r="G58" s="106" t="s">
        <v>272</v>
      </c>
      <c r="H58" s="176">
        <f t="shared" si="4"/>
        <v>1.3264374706958956E-2</v>
      </c>
      <c r="I58" s="176">
        <f t="shared" si="5"/>
        <v>1.3927560101298527E-2</v>
      </c>
      <c r="J58" s="176">
        <f t="shared" si="6"/>
        <v>1.3579209564439138E-2</v>
      </c>
      <c r="K58" s="176">
        <f t="shared" si="7"/>
        <v>1.5387274757225936E-2</v>
      </c>
    </row>
    <row r="59" spans="1:11" ht="93" x14ac:dyDescent="0.3">
      <c r="A59" s="104" t="s">
        <v>274</v>
      </c>
      <c r="B59" s="105">
        <v>8292</v>
      </c>
      <c r="C59" s="105">
        <v>21704</v>
      </c>
      <c r="D59" s="105">
        <v>13331</v>
      </c>
      <c r="E59" s="105">
        <v>17600</v>
      </c>
      <c r="G59" s="104" t="s">
        <v>274</v>
      </c>
      <c r="H59" s="176">
        <f t="shared" si="4"/>
        <v>1.7528557893495198E-3</v>
      </c>
      <c r="I59" s="176">
        <f t="shared" si="5"/>
        <v>4.761724023165357E-3</v>
      </c>
      <c r="J59" s="176">
        <f t="shared" si="6"/>
        <v>2.8066675354823118E-3</v>
      </c>
      <c r="K59" s="176">
        <f t="shared" si="7"/>
        <v>3.5252865196648896E-3</v>
      </c>
    </row>
    <row r="60" spans="1:11" ht="93" x14ac:dyDescent="0.3">
      <c r="A60" s="138" t="s">
        <v>126</v>
      </c>
      <c r="B60" s="139">
        <v>0</v>
      </c>
      <c r="C60" s="139">
        <v>0</v>
      </c>
      <c r="D60" s="139">
        <v>0</v>
      </c>
      <c r="E60" s="139">
        <v>0</v>
      </c>
      <c r="G60" s="138" t="s">
        <v>126</v>
      </c>
      <c r="H60" s="176">
        <f t="shared" si="4"/>
        <v>0</v>
      </c>
      <c r="I60" s="176">
        <f t="shared" si="5"/>
        <v>0</v>
      </c>
      <c r="J60" s="176">
        <f t="shared" si="6"/>
        <v>0</v>
      </c>
      <c r="K60" s="176">
        <f t="shared" si="7"/>
        <v>0</v>
      </c>
    </row>
    <row r="61" spans="1:11" ht="27" x14ac:dyDescent="0.3">
      <c r="A61" s="138" t="s">
        <v>275</v>
      </c>
      <c r="B61" s="139">
        <v>4730566</v>
      </c>
      <c r="C61" s="139">
        <v>4558013</v>
      </c>
      <c r="D61" s="139">
        <v>4749761</v>
      </c>
      <c r="E61" s="139">
        <v>4992502</v>
      </c>
      <c r="F61" s="157"/>
      <c r="G61" s="138" t="s">
        <v>275</v>
      </c>
      <c r="H61" s="176">
        <f>B61/$B$61</f>
        <v>1</v>
      </c>
      <c r="I61" s="176">
        <f>C61/$C$61</f>
        <v>1</v>
      </c>
      <c r="J61" s="176">
        <f>D61/$D$61</f>
        <v>1</v>
      </c>
      <c r="K61" s="176">
        <f>E61/$E$61</f>
        <v>1</v>
      </c>
    </row>
    <row r="62" spans="1:11" ht="53.4" x14ac:dyDescent="0.3">
      <c r="A62" s="140" t="s">
        <v>133</v>
      </c>
      <c r="B62" s="141">
        <v>2601930</v>
      </c>
      <c r="C62" s="141">
        <v>2721251</v>
      </c>
      <c r="D62" s="141">
        <v>2864777</v>
      </c>
      <c r="E62" s="141">
        <v>2844876</v>
      </c>
      <c r="G62" s="140" t="s">
        <v>133</v>
      </c>
      <c r="H62" s="176">
        <f t="shared" ref="H62:H99" si="8">B62/$B$61</f>
        <v>0.5500250921348524</v>
      </c>
      <c r="I62" s="176">
        <f t="shared" ref="I62:I99" si="9">C62/$C$61</f>
        <v>0.59702572151505495</v>
      </c>
      <c r="J62" s="176">
        <f t="shared" ref="J62:J99" si="10">D62/$D$61</f>
        <v>0.60314129489883805</v>
      </c>
      <c r="K62" s="176">
        <f t="shared" ref="K62:K99" si="11">E62/$E$61</f>
        <v>0.56982971664307791</v>
      </c>
    </row>
    <row r="63" spans="1:11" ht="53.4" x14ac:dyDescent="0.3">
      <c r="A63" s="106" t="s">
        <v>134</v>
      </c>
      <c r="B63" s="107">
        <v>1970719</v>
      </c>
      <c r="C63" s="107">
        <v>1970719</v>
      </c>
      <c r="D63" s="107">
        <v>1970719</v>
      </c>
      <c r="E63" s="107">
        <v>1970719</v>
      </c>
      <c r="G63" s="106" t="s">
        <v>134</v>
      </c>
      <c r="H63" s="176">
        <f t="shared" si="8"/>
        <v>0.41659264451653355</v>
      </c>
      <c r="I63" s="176">
        <f t="shared" si="9"/>
        <v>0.43236361984926325</v>
      </c>
      <c r="J63" s="176">
        <f t="shared" si="10"/>
        <v>0.41490908700458823</v>
      </c>
      <c r="K63" s="176">
        <f t="shared" si="11"/>
        <v>0.39473574572428816</v>
      </c>
    </row>
    <row r="64" spans="1:11" ht="53.4" x14ac:dyDescent="0.3">
      <c r="A64" s="104" t="s">
        <v>135</v>
      </c>
      <c r="B64" s="105">
        <v>204</v>
      </c>
      <c r="C64" s="105">
        <v>204</v>
      </c>
      <c r="D64" s="105">
        <v>44211</v>
      </c>
      <c r="E64" s="105">
        <v>204</v>
      </c>
      <c r="G64" s="104" t="s">
        <v>135</v>
      </c>
      <c r="H64" s="176">
        <f t="shared" si="8"/>
        <v>4.3123803790075013E-5</v>
      </c>
      <c r="I64" s="176">
        <f t="shared" si="9"/>
        <v>4.4756344486073208E-5</v>
      </c>
      <c r="J64" s="176">
        <f t="shared" si="10"/>
        <v>9.3080472891162308E-3</v>
      </c>
      <c r="K64" s="176">
        <f t="shared" si="11"/>
        <v>4.0861275568843034E-5</v>
      </c>
    </row>
    <row r="65" spans="1:11" ht="93" x14ac:dyDescent="0.3">
      <c r="A65" s="104" t="s">
        <v>137</v>
      </c>
      <c r="B65" s="121">
        <v>6970</v>
      </c>
      <c r="C65" s="121">
        <v>6970</v>
      </c>
      <c r="D65" s="121">
        <v>6970</v>
      </c>
      <c r="E65" s="121">
        <v>6970</v>
      </c>
      <c r="G65" s="104" t="s">
        <v>137</v>
      </c>
      <c r="H65" s="176">
        <f t="shared" si="8"/>
        <v>1.4733966294942296E-3</v>
      </c>
      <c r="I65" s="176">
        <f t="shared" si="9"/>
        <v>1.5291751032741679E-3</v>
      </c>
      <c r="J65" s="176">
        <f t="shared" si="10"/>
        <v>1.4674422565682779E-3</v>
      </c>
      <c r="K65" s="176">
        <f t="shared" si="11"/>
        <v>1.3960935819354705E-3</v>
      </c>
    </row>
    <row r="66" spans="1:11" ht="93" x14ac:dyDescent="0.3">
      <c r="A66" s="104" t="s">
        <v>139</v>
      </c>
      <c r="B66" s="105">
        <v>604291</v>
      </c>
      <c r="C66" s="105">
        <v>604291</v>
      </c>
      <c r="D66" s="105">
        <v>604291</v>
      </c>
      <c r="E66" s="105">
        <v>604291</v>
      </c>
      <c r="G66" s="104" t="s">
        <v>139</v>
      </c>
      <c r="H66" s="176">
        <f t="shared" si="8"/>
        <v>0.12774179664758931</v>
      </c>
      <c r="I66" s="176">
        <f t="shared" si="9"/>
        <v>0.13257772630310621</v>
      </c>
      <c r="J66" s="176">
        <f t="shared" si="10"/>
        <v>0.12722555934919672</v>
      </c>
      <c r="K66" s="176">
        <f t="shared" si="11"/>
        <v>0.12103971115084181</v>
      </c>
    </row>
    <row r="67" spans="1:11" ht="53.4" x14ac:dyDescent="0.3">
      <c r="A67" s="106" t="s">
        <v>142</v>
      </c>
      <c r="B67" s="111">
        <v>-47646</v>
      </c>
      <c r="C67" s="107">
        <v>33686</v>
      </c>
      <c r="D67" s="111">
        <v>-2175</v>
      </c>
      <c r="E67" s="107">
        <v>0</v>
      </c>
      <c r="G67" s="106" t="s">
        <v>142</v>
      </c>
      <c r="H67" s="176">
        <f t="shared" si="8"/>
        <v>-1.0071944879323108E-2</v>
      </c>
      <c r="I67" s="176">
        <f t="shared" si="9"/>
        <v>7.3905010801855985E-3</v>
      </c>
      <c r="J67" s="176">
        <f t="shared" si="10"/>
        <v>-4.5791777733658601E-4</v>
      </c>
      <c r="K67" s="176">
        <f t="shared" si="11"/>
        <v>0</v>
      </c>
    </row>
    <row r="68" spans="1:11" ht="40.200000000000003" x14ac:dyDescent="0.3">
      <c r="A68" s="104" t="s">
        <v>143</v>
      </c>
      <c r="B68" s="105">
        <v>81332</v>
      </c>
      <c r="C68" s="105">
        <v>119321</v>
      </c>
      <c r="D68" s="105">
        <v>254701</v>
      </c>
      <c r="E68" s="105">
        <v>276632</v>
      </c>
      <c r="G68" s="104" t="s">
        <v>143</v>
      </c>
      <c r="H68" s="176">
        <f t="shared" si="8"/>
        <v>1.719286867575677E-2</v>
      </c>
      <c r="I68" s="176">
        <f t="shared" si="9"/>
        <v>2.6178293041287947E-2</v>
      </c>
      <c r="J68" s="176">
        <f t="shared" si="10"/>
        <v>5.3623961289841739E-2</v>
      </c>
      <c r="K68" s="176">
        <f t="shared" si="11"/>
        <v>5.5409492074314642E-2</v>
      </c>
    </row>
    <row r="69" spans="1:11" ht="93" x14ac:dyDescent="0.3">
      <c r="A69" s="140" t="s">
        <v>145</v>
      </c>
      <c r="B69" s="141">
        <v>2128636</v>
      </c>
      <c r="C69" s="141">
        <v>1836762</v>
      </c>
      <c r="D69" s="141">
        <v>1884984</v>
      </c>
      <c r="E69" s="141">
        <v>2147626</v>
      </c>
      <c r="G69" s="140" t="s">
        <v>145</v>
      </c>
      <c r="H69" s="176">
        <f t="shared" si="8"/>
        <v>0.44997490786514766</v>
      </c>
      <c r="I69" s="176">
        <f t="shared" si="9"/>
        <v>0.4029742784849451</v>
      </c>
      <c r="J69" s="176">
        <f t="shared" si="10"/>
        <v>0.39685870510116195</v>
      </c>
      <c r="K69" s="176">
        <f t="shared" si="11"/>
        <v>0.43017028335692203</v>
      </c>
    </row>
    <row r="70" spans="1:11" ht="66.599999999999994" x14ac:dyDescent="0.3">
      <c r="A70" s="106" t="s">
        <v>146</v>
      </c>
      <c r="B70" s="107">
        <v>87290</v>
      </c>
      <c r="C70" s="107">
        <v>87282</v>
      </c>
      <c r="D70" s="107">
        <v>58516</v>
      </c>
      <c r="E70" s="107">
        <v>60136</v>
      </c>
      <c r="G70" s="106" t="s">
        <v>146</v>
      </c>
      <c r="H70" s="176">
        <f t="shared" si="8"/>
        <v>1.8452337415861018E-2</v>
      </c>
      <c r="I70" s="176">
        <f t="shared" si="9"/>
        <v>1.9149133624673735E-2</v>
      </c>
      <c r="J70" s="176">
        <f t="shared" si="10"/>
        <v>1.2319777774081685E-2</v>
      </c>
      <c r="K70" s="176">
        <f t="shared" si="11"/>
        <v>1.2045263076509534E-2</v>
      </c>
    </row>
    <row r="71" spans="1:11" ht="106.2" x14ac:dyDescent="0.3">
      <c r="A71" s="104" t="s">
        <v>147</v>
      </c>
      <c r="B71" s="105">
        <v>1389</v>
      </c>
      <c r="C71" s="105">
        <v>277</v>
      </c>
      <c r="D71" s="105">
        <v>216</v>
      </c>
      <c r="E71" s="105">
        <v>62</v>
      </c>
      <c r="G71" s="104" t="s">
        <v>147</v>
      </c>
      <c r="H71" s="176">
        <f t="shared" si="8"/>
        <v>2.9362236992359897E-4</v>
      </c>
      <c r="I71" s="176">
        <f t="shared" si="9"/>
        <v>6.0772095209030777E-5</v>
      </c>
      <c r="J71" s="176">
        <f t="shared" si="10"/>
        <v>4.5475972369978197E-5</v>
      </c>
      <c r="K71" s="176">
        <f t="shared" si="11"/>
        <v>1.2418622967001315E-5</v>
      </c>
    </row>
    <row r="72" spans="1:11" ht="106.2" x14ac:dyDescent="0.3">
      <c r="A72" s="106" t="s">
        <v>148</v>
      </c>
      <c r="B72" s="107">
        <v>14193</v>
      </c>
      <c r="C72" s="107">
        <v>14834</v>
      </c>
      <c r="D72" s="107">
        <v>17098</v>
      </c>
      <c r="E72" s="107">
        <v>14977</v>
      </c>
      <c r="G72" s="106" t="s">
        <v>148</v>
      </c>
      <c r="H72" s="176">
        <f t="shared" si="8"/>
        <v>3.0002752313359545E-3</v>
      </c>
      <c r="I72" s="176">
        <f t="shared" si="9"/>
        <v>3.2544883044431862E-3</v>
      </c>
      <c r="J72" s="176">
        <f t="shared" si="10"/>
        <v>3.5997600721383665E-3</v>
      </c>
      <c r="K72" s="176">
        <f t="shared" si="11"/>
        <v>2.9998986480125598E-3</v>
      </c>
    </row>
    <row r="73" spans="1:11" ht="40.200000000000003" x14ac:dyDescent="0.3">
      <c r="A73" s="104" t="s">
        <v>281</v>
      </c>
      <c r="B73" s="105">
        <v>12065</v>
      </c>
      <c r="C73" s="105">
        <v>12644</v>
      </c>
      <c r="D73" s="105">
        <v>14546</v>
      </c>
      <c r="E73" s="105">
        <v>11747</v>
      </c>
      <c r="G73" s="104" t="s">
        <v>281</v>
      </c>
      <c r="H73" s="176">
        <f t="shared" si="8"/>
        <v>2.5504347682708583E-3</v>
      </c>
      <c r="I73" s="176">
        <f t="shared" si="9"/>
        <v>2.7740157827544588E-3</v>
      </c>
      <c r="J73" s="176">
        <f t="shared" si="10"/>
        <v>3.0624698800634392E-3</v>
      </c>
      <c r="K73" s="176">
        <f t="shared" si="11"/>
        <v>2.352928451505878E-3</v>
      </c>
    </row>
    <row r="74" spans="1:11" ht="40.200000000000003" x14ac:dyDescent="0.3">
      <c r="A74" s="106" t="s">
        <v>282</v>
      </c>
      <c r="B74" s="107">
        <v>2128</v>
      </c>
      <c r="C74" s="107">
        <v>2190</v>
      </c>
      <c r="D74" s="107">
        <v>2552</v>
      </c>
      <c r="E74" s="107">
        <v>3230</v>
      </c>
      <c r="G74" s="106" t="s">
        <v>282</v>
      </c>
      <c r="H74" s="176">
        <f t="shared" si="8"/>
        <v>4.4984046306509621E-4</v>
      </c>
      <c r="I74" s="176">
        <f t="shared" si="9"/>
        <v>4.8047252168872707E-4</v>
      </c>
      <c r="J74" s="176">
        <f t="shared" si="10"/>
        <v>5.3729019207492752E-4</v>
      </c>
      <c r="K74" s="176">
        <f t="shared" si="11"/>
        <v>6.4697019650668145E-4</v>
      </c>
    </row>
    <row r="75" spans="1:11" ht="40.200000000000003" x14ac:dyDescent="0.3">
      <c r="A75" s="104" t="s">
        <v>151</v>
      </c>
      <c r="B75" s="109">
        <v>87290</v>
      </c>
      <c r="C75" s="105">
        <v>72171</v>
      </c>
      <c r="D75" s="105">
        <v>41202</v>
      </c>
      <c r="E75" s="105">
        <v>45097</v>
      </c>
      <c r="G75" s="104" t="s">
        <v>151</v>
      </c>
      <c r="H75" s="176">
        <f t="shared" si="8"/>
        <v>1.8452337415861018E-2</v>
      </c>
      <c r="I75" s="176">
        <f t="shared" si="9"/>
        <v>1.5833873225021517E-2</v>
      </c>
      <c r="J75" s="176">
        <f t="shared" si="10"/>
        <v>8.6745417295733401E-3</v>
      </c>
      <c r="K75" s="176">
        <f t="shared" si="11"/>
        <v>9.0329458055299731E-3</v>
      </c>
    </row>
    <row r="76" spans="1:11" ht="40.200000000000003" x14ac:dyDescent="0.3">
      <c r="A76" s="106" t="s">
        <v>283</v>
      </c>
      <c r="B76" s="107">
        <v>16295</v>
      </c>
      <c r="C76" s="107">
        <v>14170</v>
      </c>
      <c r="D76" s="107">
        <v>3227</v>
      </c>
      <c r="E76" s="107">
        <v>3456</v>
      </c>
      <c r="G76" s="106" t="s">
        <v>283</v>
      </c>
      <c r="H76" s="176">
        <f t="shared" si="8"/>
        <v>3.4446195233297666E-3</v>
      </c>
      <c r="I76" s="176">
        <f t="shared" si="9"/>
        <v>3.1088107910179283E-3</v>
      </c>
      <c r="J76" s="176">
        <f t="shared" si="10"/>
        <v>6.7940260573110943E-4</v>
      </c>
      <c r="K76" s="176">
        <f t="shared" si="11"/>
        <v>6.9223808022510561E-4</v>
      </c>
    </row>
    <row r="77" spans="1:11" ht="40.200000000000003" x14ac:dyDescent="0.3">
      <c r="A77" s="104" t="s">
        <v>284</v>
      </c>
      <c r="B77" s="105">
        <v>55413</v>
      </c>
      <c r="C77" s="105">
        <v>58001</v>
      </c>
      <c r="D77" s="105">
        <v>37975</v>
      </c>
      <c r="E77" s="105">
        <v>41641</v>
      </c>
      <c r="G77" s="104" t="s">
        <v>284</v>
      </c>
      <c r="H77" s="176">
        <f t="shared" si="8"/>
        <v>1.1713820291271699E-2</v>
      </c>
      <c r="I77" s="176">
        <f t="shared" si="9"/>
        <v>1.2725062434003589E-2</v>
      </c>
      <c r="J77" s="176">
        <f t="shared" si="10"/>
        <v>7.9951391238422317E-3</v>
      </c>
      <c r="K77" s="176">
        <f t="shared" si="11"/>
        <v>8.3407077253048675E-3</v>
      </c>
    </row>
    <row r="78" spans="1:11" ht="66.599999999999994" x14ac:dyDescent="0.3">
      <c r="A78" s="106" t="s">
        <v>154</v>
      </c>
      <c r="B78" s="107">
        <v>95063</v>
      </c>
      <c r="C78" s="107">
        <v>82967</v>
      </c>
      <c r="D78" s="107">
        <v>71662</v>
      </c>
      <c r="E78" s="107">
        <v>40739</v>
      </c>
      <c r="G78" s="106" t="s">
        <v>154</v>
      </c>
      <c r="H78" s="176">
        <f t="shared" si="8"/>
        <v>2.0095481174979907E-2</v>
      </c>
      <c r="I78" s="176">
        <f t="shared" si="9"/>
        <v>1.8202449181255076E-2</v>
      </c>
      <c r="J78" s="176">
        <f t="shared" si="10"/>
        <v>1.5087495981376747E-2</v>
      </c>
      <c r="K78" s="176">
        <f t="shared" si="11"/>
        <v>8.1600367911720418E-3</v>
      </c>
    </row>
    <row r="79" spans="1:11" ht="53.4" x14ac:dyDescent="0.3">
      <c r="A79" s="104" t="s">
        <v>157</v>
      </c>
      <c r="B79" s="105">
        <v>95063</v>
      </c>
      <c r="C79" s="105">
        <v>82967</v>
      </c>
      <c r="D79" s="105">
        <v>71662</v>
      </c>
      <c r="E79" s="105">
        <v>40739</v>
      </c>
      <c r="G79" s="104" t="s">
        <v>157</v>
      </c>
      <c r="H79" s="176">
        <f t="shared" si="8"/>
        <v>2.0095481174979907E-2</v>
      </c>
      <c r="I79" s="176">
        <f t="shared" si="9"/>
        <v>1.8202449181255076E-2</v>
      </c>
      <c r="J79" s="176">
        <f t="shared" si="10"/>
        <v>1.5087495981376747E-2</v>
      </c>
      <c r="K79" s="176">
        <f t="shared" si="11"/>
        <v>8.1600367911720418E-3</v>
      </c>
    </row>
    <row r="80" spans="1:11" ht="53.4" x14ac:dyDescent="0.3">
      <c r="A80" s="106" t="s">
        <v>160</v>
      </c>
      <c r="B80" s="107">
        <v>64485</v>
      </c>
      <c r="C80" s="107">
        <v>49708</v>
      </c>
      <c r="D80" s="107">
        <v>35645</v>
      </c>
      <c r="E80" s="107">
        <v>0</v>
      </c>
      <c r="G80" s="106" t="s">
        <v>160</v>
      </c>
      <c r="H80" s="176">
        <f t="shared" si="8"/>
        <v>1.3631561212759742E-2</v>
      </c>
      <c r="I80" s="176">
        <f t="shared" si="9"/>
        <v>1.0905629273106504E-2</v>
      </c>
      <c r="J80" s="176">
        <f t="shared" si="10"/>
        <v>7.5045881255920033E-3</v>
      </c>
      <c r="K80" s="176">
        <f t="shared" si="11"/>
        <v>0</v>
      </c>
    </row>
    <row r="81" spans="1:11" x14ac:dyDescent="0.3">
      <c r="A81" s="106" t="s">
        <v>162</v>
      </c>
      <c r="B81" s="107">
        <v>39578</v>
      </c>
      <c r="C81" s="107">
        <v>33259</v>
      </c>
      <c r="D81" s="107">
        <v>36008</v>
      </c>
      <c r="E81" s="107">
        <v>40739</v>
      </c>
      <c r="G81" s="106" t="s">
        <v>162</v>
      </c>
      <c r="H81" s="176">
        <f t="shared" si="8"/>
        <v>8.366440717664651E-3</v>
      </c>
      <c r="I81" s="176">
        <f t="shared" si="9"/>
        <v>7.2968199081485724E-3</v>
      </c>
      <c r="J81" s="176">
        <f t="shared" si="10"/>
        <v>7.5810130236026617E-3</v>
      </c>
      <c r="K81" s="176">
        <f t="shared" si="11"/>
        <v>8.1600367911720418E-3</v>
      </c>
    </row>
    <row r="82" spans="1:11" ht="66.599999999999994" x14ac:dyDescent="0.3">
      <c r="A82" s="104" t="s">
        <v>163</v>
      </c>
      <c r="B82" s="105">
        <v>1808055</v>
      </c>
      <c r="C82" s="105">
        <v>1524958</v>
      </c>
      <c r="D82" s="105">
        <v>1612709</v>
      </c>
      <c r="E82" s="105">
        <v>187189</v>
      </c>
      <c r="G82" s="104" t="s">
        <v>163</v>
      </c>
      <c r="H82" s="176">
        <f t="shared" si="8"/>
        <v>0.38220690716501998</v>
      </c>
      <c r="I82" s="176">
        <f t="shared" si="9"/>
        <v>0.33456639987643738</v>
      </c>
      <c r="J82" s="176">
        <f t="shared" si="10"/>
        <v>0.33953476817044059</v>
      </c>
      <c r="K82" s="176">
        <f t="shared" si="11"/>
        <v>3.7494026041451758E-2</v>
      </c>
    </row>
    <row r="83" spans="1:11" ht="93" x14ac:dyDescent="0.3">
      <c r="A83" s="106" t="s">
        <v>164</v>
      </c>
      <c r="B83" s="107">
        <v>186914</v>
      </c>
      <c r="C83" s="107">
        <v>33480</v>
      </c>
      <c r="D83" s="107">
        <v>45638</v>
      </c>
      <c r="E83" s="107">
        <v>49938</v>
      </c>
      <c r="G83" s="106" t="s">
        <v>164</v>
      </c>
      <c r="H83" s="176">
        <f t="shared" si="8"/>
        <v>3.9511973831461183E-2</v>
      </c>
      <c r="I83" s="176">
        <f t="shared" si="9"/>
        <v>7.345305948008485E-3</v>
      </c>
      <c r="J83" s="176">
        <f t="shared" si="10"/>
        <v>9.608483458430855E-3</v>
      </c>
      <c r="K83" s="176">
        <f t="shared" si="11"/>
        <v>1.0002599898808253E-2</v>
      </c>
    </row>
    <row r="84" spans="1:11" ht="79.8" x14ac:dyDescent="0.3">
      <c r="A84" s="104" t="s">
        <v>165</v>
      </c>
      <c r="B84" s="105">
        <v>35289</v>
      </c>
      <c r="C84" s="105">
        <v>33267</v>
      </c>
      <c r="D84" s="105">
        <v>44983</v>
      </c>
      <c r="E84" s="105">
        <v>47137</v>
      </c>
      <c r="G84" s="104" t="s">
        <v>165</v>
      </c>
      <c r="H84" s="176">
        <f t="shared" si="8"/>
        <v>7.459783882097829E-3</v>
      </c>
      <c r="I84" s="176">
        <f t="shared" si="9"/>
        <v>7.2985750589127322E-3</v>
      </c>
      <c r="J84" s="176">
        <f t="shared" si="10"/>
        <v>9.4705817829570799E-3</v>
      </c>
      <c r="K84" s="176">
        <f t="shared" si="11"/>
        <v>9.4415585612184025E-3</v>
      </c>
    </row>
    <row r="85" spans="1:11" ht="27" x14ac:dyDescent="0.3">
      <c r="A85" s="106" t="s">
        <v>267</v>
      </c>
      <c r="B85" s="107">
        <v>35289</v>
      </c>
      <c r="C85" s="107">
        <v>33267</v>
      </c>
      <c r="D85" s="107">
        <v>44983</v>
      </c>
      <c r="E85" s="107">
        <v>47137</v>
      </c>
      <c r="G85" s="106" t="s">
        <v>267</v>
      </c>
      <c r="H85" s="176">
        <f t="shared" si="8"/>
        <v>7.459783882097829E-3</v>
      </c>
      <c r="I85" s="176">
        <f t="shared" si="9"/>
        <v>7.2985750589127322E-3</v>
      </c>
      <c r="J85" s="176">
        <f t="shared" si="10"/>
        <v>9.4705817829570799E-3</v>
      </c>
      <c r="K85" s="176">
        <f t="shared" si="11"/>
        <v>9.4415585612184025E-3</v>
      </c>
    </row>
    <row r="86" spans="1:11" ht="40.200000000000003" x14ac:dyDescent="0.3">
      <c r="A86" s="104" t="s">
        <v>268</v>
      </c>
      <c r="B86" s="107">
        <v>151625</v>
      </c>
      <c r="C86" s="107">
        <v>213</v>
      </c>
      <c r="D86" s="107">
        <v>655</v>
      </c>
      <c r="E86" s="107">
        <v>2801</v>
      </c>
      <c r="G86" s="106" t="s">
        <v>109</v>
      </c>
      <c r="H86" s="176">
        <f t="shared" si="8"/>
        <v>3.2052189949363354E-2</v>
      </c>
      <c r="I86" s="176">
        <f t="shared" si="9"/>
        <v>4.6730889095752907E-5</v>
      </c>
      <c r="J86" s="176">
        <f t="shared" si="10"/>
        <v>1.3790167547377647E-4</v>
      </c>
      <c r="K86" s="176">
        <f t="shared" si="11"/>
        <v>5.6104133758984971E-4</v>
      </c>
    </row>
    <row r="87" spans="1:11" ht="93" x14ac:dyDescent="0.3">
      <c r="A87" s="106" t="s">
        <v>109</v>
      </c>
      <c r="B87" s="107">
        <v>1590221</v>
      </c>
      <c r="C87" s="107">
        <v>1456818</v>
      </c>
      <c r="D87" s="107">
        <v>1530665</v>
      </c>
      <c r="E87" s="107">
        <v>1785313</v>
      </c>
      <c r="G87" s="106" t="s">
        <v>171</v>
      </c>
      <c r="H87" s="176">
        <f t="shared" si="8"/>
        <v>0.33615871758263177</v>
      </c>
      <c r="I87" s="176">
        <f t="shared" si="9"/>
        <v>0.31961690324270686</v>
      </c>
      <c r="J87" s="176">
        <f t="shared" si="10"/>
        <v>0.32226147799857718</v>
      </c>
      <c r="K87" s="176">
        <f t="shared" si="11"/>
        <v>0.35759885524332291</v>
      </c>
    </row>
    <row r="88" spans="1:11" ht="79.8" x14ac:dyDescent="0.3">
      <c r="A88" s="106" t="s">
        <v>159</v>
      </c>
      <c r="B88" s="105">
        <v>17833</v>
      </c>
      <c r="C88" s="105">
        <v>20173</v>
      </c>
      <c r="D88" s="105">
        <v>16448</v>
      </c>
      <c r="E88" s="105">
        <v>35281</v>
      </c>
      <c r="G88" s="104" t="s">
        <v>160</v>
      </c>
      <c r="H88" s="176">
        <f t="shared" si="8"/>
        <v>3.769739181315724E-3</v>
      </c>
      <c r="I88" s="176">
        <f t="shared" si="9"/>
        <v>4.4258320456742883E-3</v>
      </c>
      <c r="J88" s="176">
        <f t="shared" si="10"/>
        <v>3.4629110812101913E-3</v>
      </c>
      <c r="K88" s="176">
        <f t="shared" si="11"/>
        <v>7.0667973693350553E-3</v>
      </c>
    </row>
    <row r="89" spans="1:11" ht="79.8" x14ac:dyDescent="0.3">
      <c r="A89" s="104" t="s">
        <v>160</v>
      </c>
      <c r="B89" s="107">
        <v>1364275</v>
      </c>
      <c r="C89" s="107">
        <v>1257367</v>
      </c>
      <c r="D89" s="107">
        <v>1328718</v>
      </c>
      <c r="E89" s="107">
        <v>1506502</v>
      </c>
      <c r="G89" s="106" t="s">
        <v>172</v>
      </c>
      <c r="H89" s="176">
        <f t="shared" si="8"/>
        <v>0.28839572262600288</v>
      </c>
      <c r="I89" s="176">
        <f t="shared" si="9"/>
        <v>0.27585858135990399</v>
      </c>
      <c r="J89" s="176">
        <f t="shared" si="10"/>
        <v>0.27974418081246616</v>
      </c>
      <c r="K89" s="176">
        <f t="shared" si="11"/>
        <v>0.3017529086618293</v>
      </c>
    </row>
    <row r="90" spans="1:11" ht="79.8" x14ac:dyDescent="0.3">
      <c r="A90" s="106" t="s">
        <v>172</v>
      </c>
      <c r="B90" s="107">
        <v>1364275</v>
      </c>
      <c r="C90" s="107">
        <v>1257367</v>
      </c>
      <c r="D90" s="107">
        <v>1328718</v>
      </c>
      <c r="E90" s="107">
        <v>1506502</v>
      </c>
      <c r="G90" s="104" t="s">
        <v>267</v>
      </c>
      <c r="H90" s="176">
        <f t="shared" si="8"/>
        <v>0.28839572262600288</v>
      </c>
      <c r="I90" s="176">
        <f t="shared" si="9"/>
        <v>0.27585858135990399</v>
      </c>
      <c r="J90" s="176">
        <f t="shared" si="10"/>
        <v>0.27974418081246616</v>
      </c>
      <c r="K90" s="176">
        <f t="shared" si="11"/>
        <v>0.3017529086618293</v>
      </c>
    </row>
    <row r="91" spans="1:11" ht="40.200000000000003" x14ac:dyDescent="0.3">
      <c r="A91" s="104" t="s">
        <v>267</v>
      </c>
      <c r="B91" s="107">
        <v>0</v>
      </c>
      <c r="C91" s="107">
        <v>0</v>
      </c>
      <c r="D91" s="107">
        <v>0</v>
      </c>
      <c r="E91" s="107">
        <v>0</v>
      </c>
      <c r="G91" s="106" t="s">
        <v>268</v>
      </c>
      <c r="H91" s="176">
        <f t="shared" si="8"/>
        <v>0</v>
      </c>
      <c r="I91" s="176">
        <f t="shared" si="9"/>
        <v>0</v>
      </c>
      <c r="J91" s="176">
        <f t="shared" si="10"/>
        <v>0</v>
      </c>
      <c r="K91" s="176">
        <f t="shared" si="11"/>
        <v>0</v>
      </c>
    </row>
    <row r="92" spans="1:11" ht="172.2" x14ac:dyDescent="0.3">
      <c r="A92" s="106" t="s">
        <v>174</v>
      </c>
      <c r="B92" s="105">
        <v>103943</v>
      </c>
      <c r="C92" s="105">
        <v>94304</v>
      </c>
      <c r="D92" s="105">
        <v>86242</v>
      </c>
      <c r="E92" s="105">
        <v>148913</v>
      </c>
      <c r="G92" s="104" t="s">
        <v>286</v>
      </c>
      <c r="H92" s="176">
        <f t="shared" si="8"/>
        <v>2.1972634987018468E-2</v>
      </c>
      <c r="I92" s="176">
        <f t="shared" si="9"/>
        <v>2.0689717207914939E-2</v>
      </c>
      <c r="J92" s="176">
        <f t="shared" si="10"/>
        <v>1.8157124116350277E-2</v>
      </c>
      <c r="K92" s="176">
        <f t="shared" si="11"/>
        <v>2.9827329062662368E-2</v>
      </c>
    </row>
    <row r="93" spans="1:11" ht="172.2" x14ac:dyDescent="0.3">
      <c r="A93" s="104" t="s">
        <v>286</v>
      </c>
      <c r="B93" s="107">
        <v>30546</v>
      </c>
      <c r="C93" s="107">
        <v>27614</v>
      </c>
      <c r="D93" s="107">
        <v>31761</v>
      </c>
      <c r="E93" s="107">
        <v>34315</v>
      </c>
      <c r="G93" s="106" t="s">
        <v>176</v>
      </c>
      <c r="H93" s="176">
        <f t="shared" si="8"/>
        <v>6.4571554439785848E-3</v>
      </c>
      <c r="I93" s="176">
        <f t="shared" si="9"/>
        <v>6.0583416501883607E-3</v>
      </c>
      <c r="J93" s="176">
        <f t="shared" si="10"/>
        <v>6.6868627705688769E-3</v>
      </c>
      <c r="K93" s="176">
        <f t="shared" si="11"/>
        <v>6.8733072114943571E-3</v>
      </c>
    </row>
    <row r="94" spans="1:11" ht="40.200000000000003" x14ac:dyDescent="0.3">
      <c r="A94" s="106" t="s">
        <v>176</v>
      </c>
      <c r="B94" s="105">
        <v>73624</v>
      </c>
      <c r="C94" s="105">
        <v>57360</v>
      </c>
      <c r="D94" s="105">
        <v>67496</v>
      </c>
      <c r="E94" s="105">
        <v>60302</v>
      </c>
      <c r="G94" s="104" t="s">
        <v>177</v>
      </c>
      <c r="H94" s="176">
        <f t="shared" si="8"/>
        <v>1.5563465344316092E-2</v>
      </c>
      <c r="I94" s="176">
        <f t="shared" si="9"/>
        <v>1.258443097902529E-2</v>
      </c>
      <c r="J94" s="176">
        <f t="shared" si="10"/>
        <v>1.4210399217981704E-2</v>
      </c>
      <c r="K94" s="176">
        <f t="shared" si="11"/>
        <v>1.2078512938001827E-2</v>
      </c>
    </row>
    <row r="95" spans="1:11" ht="40.200000000000003" x14ac:dyDescent="0.3">
      <c r="A95" s="104" t="s">
        <v>177</v>
      </c>
      <c r="B95" s="107">
        <v>30920</v>
      </c>
      <c r="C95" s="107">
        <v>34660</v>
      </c>
      <c r="D95" s="107">
        <v>34406</v>
      </c>
      <c r="E95" s="107">
        <v>35938</v>
      </c>
      <c r="G95" s="106" t="s">
        <v>178</v>
      </c>
      <c r="H95" s="176">
        <f t="shared" si="8"/>
        <v>6.5362157509270564E-3</v>
      </c>
      <c r="I95" s="176">
        <f t="shared" si="9"/>
        <v>7.6041906857220462E-3</v>
      </c>
      <c r="J95" s="176">
        <f t="shared" si="10"/>
        <v>7.2437328951919892E-3</v>
      </c>
      <c r="K95" s="176">
        <f t="shared" si="11"/>
        <v>7.1983947127111821E-3</v>
      </c>
    </row>
    <row r="96" spans="1:11" ht="66.599999999999994" x14ac:dyDescent="0.3">
      <c r="A96" s="106" t="s">
        <v>178</v>
      </c>
      <c r="B96" s="105">
        <v>138228</v>
      </c>
      <c r="C96" s="105">
        <v>141555</v>
      </c>
      <c r="D96" s="105">
        <v>142097</v>
      </c>
      <c r="E96" s="105">
        <v>175562</v>
      </c>
      <c r="G96" s="104" t="s">
        <v>179</v>
      </c>
      <c r="H96" s="176">
        <f t="shared" si="8"/>
        <v>2.9220182109286712E-2</v>
      </c>
      <c r="I96" s="176">
        <f t="shared" si="9"/>
        <v>3.1056295802578886E-2</v>
      </c>
      <c r="J96" s="176">
        <f t="shared" si="10"/>
        <v>2.9916663175262925E-2</v>
      </c>
      <c r="K96" s="176">
        <f t="shared" si="11"/>
        <v>3.5165133634398146E-2</v>
      </c>
    </row>
    <row r="97" spans="1:11" ht="66.599999999999994" x14ac:dyDescent="0.3">
      <c r="A97" s="106" t="s">
        <v>180</v>
      </c>
      <c r="B97" s="105">
        <v>138228</v>
      </c>
      <c r="C97" s="105">
        <v>141555</v>
      </c>
      <c r="D97" s="105">
        <v>142097</v>
      </c>
      <c r="E97" s="105">
        <v>175562</v>
      </c>
      <c r="G97" s="104" t="s">
        <v>181</v>
      </c>
      <c r="H97" s="176">
        <f t="shared" si="8"/>
        <v>2.9220182109286712E-2</v>
      </c>
      <c r="I97" s="176">
        <f t="shared" si="9"/>
        <v>3.1056295802578886E-2</v>
      </c>
      <c r="J97" s="176">
        <f t="shared" si="10"/>
        <v>2.9916663175262925E-2</v>
      </c>
      <c r="K97" s="176">
        <f t="shared" si="11"/>
        <v>3.5165133634398146E-2</v>
      </c>
    </row>
    <row r="98" spans="1:11" ht="66.599999999999994" x14ac:dyDescent="0.3">
      <c r="A98" s="104" t="s">
        <v>181</v>
      </c>
      <c r="B98" s="107">
        <v>23411</v>
      </c>
      <c r="C98" s="107">
        <v>29048</v>
      </c>
      <c r="D98" s="107">
        <v>27456</v>
      </c>
      <c r="E98" s="136">
        <v>41069</v>
      </c>
      <c r="G98" s="106" t="s">
        <v>283</v>
      </c>
      <c r="H98" s="176">
        <f t="shared" si="8"/>
        <v>4.948879267301207E-3</v>
      </c>
      <c r="I98" s="176">
        <f t="shared" si="9"/>
        <v>6.3729524246639926E-3</v>
      </c>
      <c r="J98" s="176">
        <f t="shared" si="10"/>
        <v>5.7805013768061171E-3</v>
      </c>
      <c r="K98" s="176">
        <f t="shared" si="11"/>
        <v>8.2261359134157587E-3</v>
      </c>
    </row>
    <row r="99" spans="1:11" ht="40.200000000000003" x14ac:dyDescent="0.3">
      <c r="A99" s="106" t="s">
        <v>283</v>
      </c>
      <c r="B99" s="105">
        <v>114817</v>
      </c>
      <c r="C99" s="107">
        <v>739225</v>
      </c>
      <c r="D99" s="105">
        <v>114641</v>
      </c>
      <c r="E99" s="105">
        <v>134493</v>
      </c>
      <c r="G99" s="104" t="s">
        <v>284</v>
      </c>
      <c r="H99" s="176">
        <f t="shared" si="8"/>
        <v>2.4271302841985504E-2</v>
      </c>
      <c r="I99" s="176">
        <f t="shared" si="9"/>
        <v>0.16218141545449738</v>
      </c>
      <c r="J99" s="176">
        <f t="shared" si="10"/>
        <v>2.4136161798456807E-2</v>
      </c>
      <c r="K99" s="176">
        <f t="shared" si="11"/>
        <v>2.6938997720982384E-2</v>
      </c>
    </row>
    <row r="100" spans="1:11" ht="40.200000000000003" x14ac:dyDescent="0.3">
      <c r="A100" s="104" t="s">
        <v>284</v>
      </c>
    </row>
    <row r="101" spans="1:11" x14ac:dyDescent="0.3">
      <c r="A101" s="16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6030B424E77D543803CA1F6D7FEA947" ma:contentTypeVersion="4" ma:contentTypeDescription="Utwórz nowy dokument." ma:contentTypeScope="" ma:versionID="e35fbb62545fb1dc72688f411bc9bf05">
  <xsd:schema xmlns:xsd="http://www.w3.org/2001/XMLSchema" xmlns:xs="http://www.w3.org/2001/XMLSchema" xmlns:p="http://schemas.microsoft.com/office/2006/metadata/properties" xmlns:ns2="83fb5099-1971-4192-aa81-74629e09960a" targetNamespace="http://schemas.microsoft.com/office/2006/metadata/properties" ma:root="true" ma:fieldsID="c470b4a7fb244e940196fb5b6958aa49" ns2:_="">
    <xsd:import namespace="83fb5099-1971-4192-aa81-74629e099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b5099-1971-4192-aa81-74629e0996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69A8D3-E6BF-40AD-B361-C16CA6638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E0E864-CD86-4B1F-BA48-54AB7258A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b5099-1971-4192-aa81-74629e099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A85AB9-7A0A-4486-9C85-D21B8AEE03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Wzór</vt:lpstr>
      <vt:lpstr>Bilans + Rachunek </vt:lpstr>
      <vt:lpstr>Dane dodatkowe</vt:lpstr>
      <vt:lpstr>Analiza Pozioma</vt:lpstr>
      <vt:lpstr>Analiza Pionowa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Maurycy Jarmuła</dc:creator>
  <cp:keywords/>
  <dc:description/>
  <cp:lastModifiedBy>Maurycy Jarmuła</cp:lastModifiedBy>
  <cp:revision/>
  <dcterms:created xsi:type="dcterms:W3CDTF">2023-02-25T10:48:15Z</dcterms:created>
  <dcterms:modified xsi:type="dcterms:W3CDTF">2024-01-20T00:12:47Z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0x01010096030B424E77D543803CA1F6D7FEA947</vt:lpwstr>
  </property>
</Properties>
</file>