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C7BC8E32-03A0-46AA-B4B0-77797E570885}" xr6:coauthVersionLast="47" xr6:coauthVersionMax="47" xr10:uidLastSave="{00000000-0000-0000-0000-000000000000}"/>
  <bookViews>
    <workbookView xWindow="-108" yWindow="-108" windowWidth="23256" windowHeight="12456" tabRatio="702" xr2:uid="{00000000-000D-0000-FFFF-FFFF00000000}"/>
  </bookViews>
  <sheets>
    <sheet name="DF A1" sheetId="94" r:id="rId1"/>
    <sheet name="Investment" sheetId="97" r:id="rId2"/>
    <sheet name="sales" sheetId="96" r:id="rId3"/>
    <sheet name="Insurance DF A1" sheetId="95" r:id="rId4"/>
  </sheets>
  <externalReferences>
    <externalReference r:id="rId5"/>
    <externalReference r:id="rId6"/>
  </externalReferences>
  <definedNames>
    <definedName name="_zr35" localSheetId="1">[1]PMG!#REF!</definedName>
    <definedName name="_zr35">[1]PMG!#REF!</definedName>
    <definedName name="ABC" localSheetId="1">#REF!</definedName>
    <definedName name="ABC">#REF!</definedName>
    <definedName name="ans_amort_et_remplace">[2]Rentacrea!$G$30:$G$33,[2]Rentacrea!$I$30:$I$33</definedName>
    <definedName name="class" localSheetId="0">#REF!</definedName>
    <definedName name="class" localSheetId="3">#REF!</definedName>
    <definedName name="class" localSheetId="1">#REF!</definedName>
    <definedName name="class">#REF!</definedName>
    <definedName name="class1" localSheetId="0">#REF!</definedName>
    <definedName name="class1" localSheetId="3">#REF!</definedName>
    <definedName name="class1" localSheetId="1">#REF!</definedName>
    <definedName name="class1">#REF!</definedName>
    <definedName name="ColumnTitle1" localSheetId="1">#REF!</definedName>
    <definedName name="ColumnTitle1">#REF!</definedName>
    <definedName name="DEF" localSheetId="1">#REF!</definedName>
    <definedName name="DEF">#REF!</definedName>
    <definedName name="Enregistrer">#N/A</definedName>
    <definedName name="Excel_BuiltIn_Print_Area_6_1" localSheetId="0">#REF!</definedName>
    <definedName name="Excel_BuiltIn_Print_Area_6_1" localSheetId="3">#REF!</definedName>
    <definedName name="Excel_BuiltIn_Print_Area_6_1" localSheetId="1">#REF!</definedName>
    <definedName name="Excel_BuiltIn_Print_Area_6_1">#REF!</definedName>
    <definedName name="fdgvsd" localSheetId="1">#REF!</definedName>
    <definedName name="fdgvsd">#REF!</definedName>
    <definedName name="gfh" localSheetId="1">#REF!</definedName>
    <definedName name="gfh">#REF!</definedName>
    <definedName name="Goodwill" localSheetId="3">[2]Rentacrea!#REF!</definedName>
    <definedName name="Goodwill" localSheetId="1">[2]Rentacrea!#REF!</definedName>
    <definedName name="Goodwill">[2]Rentacrea!#REF!</definedName>
    <definedName name="Imprimé_f1">#N/A</definedName>
    <definedName name="Level" localSheetId="0">#REF!</definedName>
    <definedName name="Level" localSheetId="3">#REF!</definedName>
    <definedName name="Level" localSheetId="1">#REF!</definedName>
    <definedName name="Level">#REF!</definedName>
    <definedName name="MIRE" localSheetId="3">[2]Rentacrea!#REF!</definedName>
    <definedName name="MIRE" localSheetId="1">[2]Rentacrea!#REF!</definedName>
    <definedName name="MIRE">[2]Rentacrea!#REF!</definedName>
    <definedName name="North" localSheetId="1">#REF!</definedName>
    <definedName name="North">#REF!</definedName>
    <definedName name="_xlnm.Print_Area" localSheetId="0">'DF A1'!$A$1:$T$90</definedName>
    <definedName name="_xlnm.Print_Area" localSheetId="1">Investment!$A$1:$T$65</definedName>
    <definedName name="Sensibilitées">#N/A</definedName>
    <definedName name="Slicer_REGION">#N/A</definedName>
    <definedName name="South" localSheetId="3">#REF!</definedName>
    <definedName name="South" localSheetId="1">#REF!</definedName>
    <definedName name="South">#REF!</definedName>
    <definedName name="valeur_du_stock">"s21"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97" l="1"/>
  <c r="B1" i="97"/>
  <c r="H59" i="97"/>
  <c r="H58" i="97"/>
  <c r="H57" i="97"/>
  <c r="E45" i="97"/>
  <c r="AI39" i="97"/>
  <c r="AH39" i="97"/>
  <c r="AG39" i="97"/>
  <c r="AF39" i="97"/>
  <c r="AE39" i="97"/>
  <c r="AD39" i="97"/>
  <c r="AC39" i="97"/>
  <c r="AB39" i="97"/>
  <c r="AA39" i="97"/>
  <c r="Z39" i="97"/>
  <c r="F39" i="97"/>
  <c r="E37" i="97"/>
  <c r="E43" i="97" s="1"/>
  <c r="F37" i="97" s="1"/>
  <c r="H30" i="97"/>
  <c r="H29" i="97"/>
  <c r="H28" i="97"/>
  <c r="H27" i="97"/>
  <c r="H26" i="97"/>
  <c r="H25" i="97"/>
  <c r="H24" i="97"/>
  <c r="H23" i="97"/>
  <c r="H22" i="97"/>
  <c r="H21" i="97"/>
  <c r="H20" i="97"/>
  <c r="H19" i="97"/>
  <c r="H18" i="97"/>
  <c r="H17" i="97"/>
  <c r="H16" i="97"/>
  <c r="H15" i="97"/>
  <c r="H14" i="97"/>
  <c r="H12" i="97"/>
  <c r="H11" i="97"/>
  <c r="H10" i="97"/>
  <c r="H9" i="97"/>
  <c r="H8" i="97"/>
  <c r="H7" i="97"/>
  <c r="H6" i="97"/>
  <c r="H5" i="97"/>
  <c r="H4" i="97"/>
  <c r="I14" i="97" l="1"/>
  <c r="F45" i="97"/>
  <c r="H64" i="97"/>
  <c r="T21" i="94" s="1"/>
  <c r="E38" i="97"/>
  <c r="E44" i="97" s="1"/>
  <c r="E36" i="97"/>
  <c r="E42" i="97" s="1"/>
  <c r="F36" i="97" s="1"/>
  <c r="F42" i="97" s="1"/>
  <c r="B13" i="95"/>
  <c r="F43" i="97"/>
  <c r="G37" i="97" s="1"/>
  <c r="G43" i="97" s="1"/>
  <c r="G39" i="97"/>
  <c r="G45" i="97" s="1"/>
  <c r="H32" i="97"/>
  <c r="C7" i="96"/>
  <c r="C13" i="96" s="1"/>
  <c r="B23" i="94"/>
  <c r="B22" i="94"/>
  <c r="B21" i="94"/>
  <c r="B20" i="94"/>
  <c r="D7" i="96" l="1"/>
  <c r="G34" i="94"/>
  <c r="E40" i="97"/>
  <c r="E66" i="94"/>
  <c r="T20" i="94"/>
  <c r="B9" i="95"/>
  <c r="H39" i="97"/>
  <c r="H45" i="97" s="1"/>
  <c r="H37" i="97"/>
  <c r="H43" i="97" s="1"/>
  <c r="G36" i="97"/>
  <c r="G42" i="97" s="1"/>
  <c r="F38" i="97"/>
  <c r="F40" i="97" s="1"/>
  <c r="F48" i="97" s="1"/>
  <c r="Z96" i="94"/>
  <c r="AA96" i="94" s="1"/>
  <c r="AB96" i="94" s="1"/>
  <c r="AC96" i="94" s="1"/>
  <c r="AD96" i="94" s="1"/>
  <c r="AE96" i="94" s="1"/>
  <c r="AF96" i="94" s="1"/>
  <c r="AG96" i="94" s="1"/>
  <c r="AH96" i="94" s="1"/>
  <c r="AI96" i="94" s="1"/>
  <c r="AJ96" i="94" s="1"/>
  <c r="AK96" i="94" s="1"/>
  <c r="AL96" i="94" s="1"/>
  <c r="W96" i="94"/>
  <c r="X96" i="94" s="1"/>
  <c r="T96" i="94"/>
  <c r="U96" i="94" s="1"/>
  <c r="Q96" i="94"/>
  <c r="R96" i="94" s="1"/>
  <c r="N96" i="94"/>
  <c r="O96" i="94" s="1"/>
  <c r="K96" i="94"/>
  <c r="L96" i="94" s="1"/>
  <c r="Z95" i="94"/>
  <c r="AA95" i="94" s="1"/>
  <c r="AB95" i="94" s="1"/>
  <c r="AC95" i="94" s="1"/>
  <c r="AD95" i="94" s="1"/>
  <c r="AE95" i="94" s="1"/>
  <c r="AF95" i="94" s="1"/>
  <c r="AG95" i="94" s="1"/>
  <c r="AH95" i="94" s="1"/>
  <c r="AI95" i="94" s="1"/>
  <c r="AJ95" i="94" s="1"/>
  <c r="AK95" i="94" s="1"/>
  <c r="AL95" i="94" s="1"/>
  <c r="W95" i="94"/>
  <c r="X95" i="94" s="1"/>
  <c r="T95" i="94"/>
  <c r="U95" i="94" s="1"/>
  <c r="Q95" i="94"/>
  <c r="R95" i="94" s="1"/>
  <c r="N95" i="94"/>
  <c r="O95" i="94" s="1"/>
  <c r="K95" i="94"/>
  <c r="L95" i="94" s="1"/>
  <c r="Z94" i="94"/>
  <c r="AA94" i="94" s="1"/>
  <c r="AB94" i="94" s="1"/>
  <c r="AC94" i="94" s="1"/>
  <c r="AD94" i="94" s="1"/>
  <c r="AE94" i="94" s="1"/>
  <c r="AF94" i="94" s="1"/>
  <c r="AG94" i="94" s="1"/>
  <c r="AH94" i="94" s="1"/>
  <c r="AI94" i="94" s="1"/>
  <c r="AJ94" i="94" s="1"/>
  <c r="AK94" i="94" s="1"/>
  <c r="AL94" i="94" s="1"/>
  <c r="W94" i="94"/>
  <c r="X94" i="94" s="1"/>
  <c r="T94" i="94"/>
  <c r="U94" i="94" s="1"/>
  <c r="Q94" i="94"/>
  <c r="R94" i="94" s="1"/>
  <c r="N94" i="94"/>
  <c r="O94" i="94" s="1"/>
  <c r="K94" i="94"/>
  <c r="L94" i="94" s="1"/>
  <c r="Z93" i="94"/>
  <c r="AA93" i="94" s="1"/>
  <c r="AB93" i="94" s="1"/>
  <c r="AC93" i="94" s="1"/>
  <c r="AD93" i="94" s="1"/>
  <c r="AE93" i="94" s="1"/>
  <c r="AF93" i="94" s="1"/>
  <c r="AG93" i="94" s="1"/>
  <c r="AH93" i="94" s="1"/>
  <c r="AI93" i="94" s="1"/>
  <c r="AJ93" i="94" s="1"/>
  <c r="AK93" i="94" s="1"/>
  <c r="AL93" i="94" s="1"/>
  <c r="W93" i="94"/>
  <c r="X93" i="94" s="1"/>
  <c r="T93" i="94"/>
  <c r="U93" i="94" s="1"/>
  <c r="Q93" i="94"/>
  <c r="R93" i="94" s="1"/>
  <c r="N93" i="94"/>
  <c r="O93" i="94" s="1"/>
  <c r="K93" i="94"/>
  <c r="L93" i="94" s="1"/>
  <c r="D13" i="96" l="1"/>
  <c r="E7" i="96"/>
  <c r="H34" i="94"/>
  <c r="F44" i="97"/>
  <c r="G38" i="97" s="1"/>
  <c r="I37" i="97"/>
  <c r="I43" i="97" s="1"/>
  <c r="I39" i="97"/>
  <c r="I45" i="97" s="1"/>
  <c r="H36" i="97"/>
  <c r="H42" i="97" s="1"/>
  <c r="F95" i="94"/>
  <c r="G95" i="94" s="1"/>
  <c r="H95" i="94" s="1"/>
  <c r="I95" i="94" s="1"/>
  <c r="G40" i="97" l="1"/>
  <c r="G48" i="97" s="1"/>
  <c r="G44" i="97"/>
  <c r="H38" i="97" s="1"/>
  <c r="H40" i="97" s="1"/>
  <c r="H48" i="97" s="1"/>
  <c r="E13" i="96"/>
  <c r="I34" i="94"/>
  <c r="F7" i="96"/>
  <c r="I36" i="97"/>
  <c r="I42" i="97" s="1"/>
  <c r="J39" i="97"/>
  <c r="J45" i="97" s="1"/>
  <c r="J37" i="97"/>
  <c r="J43" i="97" s="1"/>
  <c r="G7" i="96" l="1"/>
  <c r="F13" i="96"/>
  <c r="J34" i="94"/>
  <c r="H44" i="97"/>
  <c r="I38" i="97" s="1"/>
  <c r="I40" i="97" s="1"/>
  <c r="I48" i="97" s="1"/>
  <c r="K37" i="97"/>
  <c r="K43" i="97" s="1"/>
  <c r="K39" i="97"/>
  <c r="K45" i="97" s="1"/>
  <c r="J36" i="97"/>
  <c r="J42" i="97" s="1"/>
  <c r="H60" i="94"/>
  <c r="I60" i="94" s="1"/>
  <c r="J60" i="94" s="1"/>
  <c r="K60" i="94" s="1"/>
  <c r="L60" i="94" s="1"/>
  <c r="M60" i="94" s="1"/>
  <c r="N60" i="94" s="1"/>
  <c r="O60" i="94" s="1"/>
  <c r="P60" i="94" s="1"/>
  <c r="Q60" i="94" s="1"/>
  <c r="R60" i="94" s="1"/>
  <c r="S60" i="94" s="1"/>
  <c r="T60" i="94" s="1"/>
  <c r="U60" i="94" s="1"/>
  <c r="V60" i="94" s="1"/>
  <c r="W60" i="94" s="1"/>
  <c r="X60" i="94" s="1"/>
  <c r="Y60" i="94" s="1"/>
  <c r="Z60" i="94" s="1"/>
  <c r="AA60" i="94" s="1"/>
  <c r="AB60" i="94" s="1"/>
  <c r="AC60" i="94" s="1"/>
  <c r="AD60" i="94" s="1"/>
  <c r="AE60" i="94" s="1"/>
  <c r="AF60" i="94" s="1"/>
  <c r="AG60" i="94" s="1"/>
  <c r="AH60" i="94" s="1"/>
  <c r="AI60" i="94" s="1"/>
  <c r="M45" i="96"/>
  <c r="M25" i="96"/>
  <c r="M24" i="96"/>
  <c r="E24" i="96"/>
  <c r="M23" i="96"/>
  <c r="M22" i="96"/>
  <c r="M21" i="96"/>
  <c r="M20" i="96"/>
  <c r="M19" i="96"/>
  <c r="B8" i="96"/>
  <c r="D6" i="96"/>
  <c r="C6" i="96"/>
  <c r="C5" i="96"/>
  <c r="D4" i="96"/>
  <c r="C4" i="96"/>
  <c r="M26" i="96" l="1"/>
  <c r="M46" i="96" s="1"/>
  <c r="C12" i="96"/>
  <c r="G32" i="94"/>
  <c r="I44" i="97"/>
  <c r="E6" i="96"/>
  <c r="D12" i="96"/>
  <c r="H32" i="94"/>
  <c r="G13" i="96"/>
  <c r="H7" i="96"/>
  <c r="K34" i="94"/>
  <c r="L37" i="97"/>
  <c r="L43" i="97" s="1"/>
  <c r="J38" i="97"/>
  <c r="J40" i="97" s="1"/>
  <c r="J48" i="97" s="1"/>
  <c r="K36" i="97"/>
  <c r="K42" i="97" s="1"/>
  <c r="L39" i="97"/>
  <c r="L45" i="97" s="1"/>
  <c r="G30" i="94"/>
  <c r="C11" i="96"/>
  <c r="C10" i="96"/>
  <c r="G28" i="94"/>
  <c r="E4" i="96"/>
  <c r="F4" i="96" s="1"/>
  <c r="D10" i="96"/>
  <c r="H28" i="94"/>
  <c r="D5" i="96"/>
  <c r="E5" i="96" s="1"/>
  <c r="F6" i="96"/>
  <c r="C8" i="96"/>
  <c r="F12" i="96" l="1"/>
  <c r="J32" i="94"/>
  <c r="H13" i="96"/>
  <c r="L34" i="94"/>
  <c r="I7" i="96"/>
  <c r="I32" i="94"/>
  <c r="E12" i="96"/>
  <c r="M37" i="97"/>
  <c r="M43" i="97" s="1"/>
  <c r="L36" i="97"/>
  <c r="L42" i="97" s="1"/>
  <c r="M39" i="97"/>
  <c r="M45" i="97" s="1"/>
  <c r="J44" i="97"/>
  <c r="D8" i="96"/>
  <c r="H30" i="94"/>
  <c r="D11" i="96"/>
  <c r="E11" i="96"/>
  <c r="I30" i="94"/>
  <c r="F10" i="96"/>
  <c r="J28" i="94"/>
  <c r="E10" i="96"/>
  <c r="I28" i="94"/>
  <c r="G6" i="96"/>
  <c r="F5" i="96"/>
  <c r="E8" i="96"/>
  <c r="G4" i="96"/>
  <c r="G12" i="96" l="1"/>
  <c r="K32" i="94"/>
  <c r="J7" i="96"/>
  <c r="I13" i="96"/>
  <c r="M34" i="94"/>
  <c r="N39" i="97"/>
  <c r="N45" i="97" s="1"/>
  <c r="M36" i="97"/>
  <c r="M42" i="97" s="1"/>
  <c r="K38" i="97"/>
  <c r="K40" i="97" s="1"/>
  <c r="K48" i="97" s="1"/>
  <c r="N37" i="97"/>
  <c r="N43" i="97" s="1"/>
  <c r="J30" i="94"/>
  <c r="F11" i="96"/>
  <c r="K28" i="94"/>
  <c r="G10" i="96"/>
  <c r="G5" i="96"/>
  <c r="F8" i="96"/>
  <c r="H6" i="96"/>
  <c r="H4" i="96"/>
  <c r="H12" i="96" l="1"/>
  <c r="L32" i="94"/>
  <c r="J13" i="96"/>
  <c r="K7" i="96"/>
  <c r="N34" i="94"/>
  <c r="K44" i="97"/>
  <c r="O37" i="97"/>
  <c r="O43" i="97" s="1"/>
  <c r="L38" i="97"/>
  <c r="L40" i="97" s="1"/>
  <c r="L48" i="97" s="1"/>
  <c r="O39" i="97"/>
  <c r="O45" i="97" s="1"/>
  <c r="N36" i="97"/>
  <c r="N42" i="97" s="1"/>
  <c r="K30" i="94"/>
  <c r="G11" i="96"/>
  <c r="L28" i="94"/>
  <c r="H10" i="96"/>
  <c r="I4" i="96"/>
  <c r="G8" i="96"/>
  <c r="H5" i="96"/>
  <c r="I6" i="96"/>
  <c r="K13" i="96" l="1"/>
  <c r="O34" i="94"/>
  <c r="L7" i="96"/>
  <c r="M32" i="94"/>
  <c r="I12" i="96"/>
  <c r="P39" i="97"/>
  <c r="P45" i="97" s="1"/>
  <c r="P37" i="97"/>
  <c r="P43" i="97" s="1"/>
  <c r="L44" i="97"/>
  <c r="O36" i="97"/>
  <c r="O42" i="97" s="1"/>
  <c r="L30" i="94"/>
  <c r="H11" i="96"/>
  <c r="I10" i="96"/>
  <c r="M28" i="94"/>
  <c r="J6" i="96"/>
  <c r="I5" i="96"/>
  <c r="H8" i="96"/>
  <c r="J4" i="96"/>
  <c r="M7" i="96" l="1"/>
  <c r="P34" i="94"/>
  <c r="L13" i="96"/>
  <c r="J12" i="96"/>
  <c r="N32" i="94"/>
  <c r="Q37" i="97"/>
  <c r="Q43" i="97" s="1"/>
  <c r="Q39" i="97"/>
  <c r="Q45" i="97" s="1"/>
  <c r="P36" i="97"/>
  <c r="P42" i="97" s="1"/>
  <c r="M38" i="97"/>
  <c r="M40" i="97" s="1"/>
  <c r="M48" i="97" s="1"/>
  <c r="M30" i="94"/>
  <c r="I11" i="96"/>
  <c r="J10" i="96"/>
  <c r="N28" i="94"/>
  <c r="K6" i="96"/>
  <c r="K4" i="96"/>
  <c r="J5" i="96"/>
  <c r="I8" i="96"/>
  <c r="K12" i="96" l="1"/>
  <c r="O32" i="94"/>
  <c r="M13" i="96"/>
  <c r="Q34" i="94"/>
  <c r="N7" i="96"/>
  <c r="R37" i="97"/>
  <c r="R43" i="97" s="1"/>
  <c r="Q36" i="97"/>
  <c r="Q42" i="97"/>
  <c r="M44" i="97"/>
  <c r="R39" i="97"/>
  <c r="R45" i="97" s="1"/>
  <c r="J11" i="96"/>
  <c r="N30" i="94"/>
  <c r="K10" i="96"/>
  <c r="O28" i="94"/>
  <c r="L4" i="96"/>
  <c r="L6" i="96"/>
  <c r="K5" i="96"/>
  <c r="J8" i="96"/>
  <c r="L12" i="96" l="1"/>
  <c r="P32" i="94"/>
  <c r="O7" i="96"/>
  <c r="N13" i="96"/>
  <c r="R34" i="94"/>
  <c r="S39" i="97"/>
  <c r="S45" i="97" s="1"/>
  <c r="R36" i="97"/>
  <c r="R42" i="97" s="1"/>
  <c r="N38" i="97"/>
  <c r="N40" i="97" s="1"/>
  <c r="N48" i="97" s="1"/>
  <c r="S37" i="97"/>
  <c r="S43" i="97" s="1"/>
  <c r="O30" i="94"/>
  <c r="K11" i="96"/>
  <c r="P28" i="94"/>
  <c r="L10" i="96"/>
  <c r="M6" i="96"/>
  <c r="M4" i="96"/>
  <c r="K8" i="96"/>
  <c r="L5" i="96"/>
  <c r="Q32" i="94" l="1"/>
  <c r="M12" i="96"/>
  <c r="O13" i="96"/>
  <c r="S34" i="94"/>
  <c r="P7" i="96"/>
  <c r="T39" i="97"/>
  <c r="T45" i="97" s="1"/>
  <c r="T37" i="97"/>
  <c r="T43" i="97" s="1"/>
  <c r="S36" i="97"/>
  <c r="S42" i="97" s="1"/>
  <c r="N44" i="97"/>
  <c r="P30" i="94"/>
  <c r="L11" i="96"/>
  <c r="M10" i="96"/>
  <c r="Q28" i="94"/>
  <c r="L8" i="96"/>
  <c r="M5" i="96"/>
  <c r="N6" i="96"/>
  <c r="N4" i="96"/>
  <c r="N12" i="96" l="1"/>
  <c r="R32" i="94"/>
  <c r="P13" i="96"/>
  <c r="T34" i="94"/>
  <c r="U34" i="94" s="1"/>
  <c r="V34" i="94" s="1"/>
  <c r="W34" i="94" s="1"/>
  <c r="X34" i="94" s="1"/>
  <c r="Y34" i="94" s="1"/>
  <c r="U37" i="97"/>
  <c r="U43" i="97" s="1"/>
  <c r="T36" i="97"/>
  <c r="T42" i="97" s="1"/>
  <c r="O38" i="97"/>
  <c r="O40" i="97" s="1"/>
  <c r="O48" i="97" s="1"/>
  <c r="U39" i="97"/>
  <c r="U45" i="97" s="1"/>
  <c r="M11" i="96"/>
  <c r="Q30" i="94"/>
  <c r="N10" i="96"/>
  <c r="R28" i="94"/>
  <c r="N5" i="96"/>
  <c r="M8" i="96"/>
  <c r="O4" i="96"/>
  <c r="O6" i="96"/>
  <c r="O12" i="96" l="1"/>
  <c r="S32" i="94"/>
  <c r="O44" i="97"/>
  <c r="P38" i="97" s="1"/>
  <c r="P40" i="97" s="1"/>
  <c r="P48" i="97" s="1"/>
  <c r="U36" i="97"/>
  <c r="U42" i="97" s="1"/>
  <c r="V39" i="97"/>
  <c r="V45" i="97" s="1"/>
  <c r="V37" i="97"/>
  <c r="V43" i="97" s="1"/>
  <c r="R30" i="94"/>
  <c r="N11" i="96"/>
  <c r="O10" i="96"/>
  <c r="S28" i="94"/>
  <c r="P4" i="96"/>
  <c r="P6" i="96"/>
  <c r="O5" i="96"/>
  <c r="N8" i="96"/>
  <c r="P12" i="96" l="1"/>
  <c r="T32" i="94"/>
  <c r="U32" i="94" s="1"/>
  <c r="V32" i="94" s="1"/>
  <c r="W32" i="94" s="1"/>
  <c r="X32" i="94" s="1"/>
  <c r="Y32" i="94" s="1"/>
  <c r="Q6" i="96"/>
  <c r="W39" i="97"/>
  <c r="W45" i="97" s="1"/>
  <c r="V36" i="97"/>
  <c r="V42" i="97" s="1"/>
  <c r="W37" i="97"/>
  <c r="W43" i="97" s="1"/>
  <c r="P44" i="97"/>
  <c r="O11" i="96"/>
  <c r="S30" i="94"/>
  <c r="P10" i="96"/>
  <c r="T28" i="94"/>
  <c r="Q4" i="96"/>
  <c r="O8" i="96"/>
  <c r="P5" i="96"/>
  <c r="U28" i="94" l="1"/>
  <c r="V28" i="94" s="1"/>
  <c r="W28" i="94" s="1"/>
  <c r="X28" i="94" s="1"/>
  <c r="Y28" i="94" s="1"/>
  <c r="T40" i="94"/>
  <c r="X37" i="97"/>
  <c r="X43" i="97" s="1"/>
  <c r="W36" i="97"/>
  <c r="W42" i="97" s="1"/>
  <c r="X39" i="97"/>
  <c r="X45" i="97" s="1"/>
  <c r="Q38" i="97"/>
  <c r="Q40" i="97" s="1"/>
  <c r="Q48" i="97" s="1"/>
  <c r="Q5" i="96"/>
  <c r="T30" i="94"/>
  <c r="U30" i="94" s="1"/>
  <c r="V30" i="94" s="1"/>
  <c r="W30" i="94" s="1"/>
  <c r="X30" i="94" s="1"/>
  <c r="Y30" i="94" s="1"/>
  <c r="P11" i="96"/>
  <c r="P8" i="96"/>
  <c r="Y39" i="97" l="1"/>
  <c r="Y45" i="97" s="1"/>
  <c r="Z45" i="97" s="1"/>
  <c r="AA45" i="97" s="1"/>
  <c r="AB45" i="97" s="1"/>
  <c r="AC45" i="97" s="1"/>
  <c r="AD45" i="97" s="1"/>
  <c r="AE45" i="97" s="1"/>
  <c r="AF45" i="97" s="1"/>
  <c r="AG45" i="97" s="1"/>
  <c r="AH45" i="97" s="1"/>
  <c r="AI45" i="97" s="1"/>
  <c r="X36" i="97"/>
  <c r="X42" i="97" s="1"/>
  <c r="Y37" i="97"/>
  <c r="Y43" i="97" s="1"/>
  <c r="Q44" i="97"/>
  <c r="Q7" i="96"/>
  <c r="Y36" i="97" l="1"/>
  <c r="Y42" i="97" s="1"/>
  <c r="Z37" i="97"/>
  <c r="Z43" i="97" s="1"/>
  <c r="R38" i="97"/>
  <c r="R40" i="97" s="1"/>
  <c r="R48" i="97" s="1"/>
  <c r="AA37" i="97" l="1"/>
  <c r="AA43" i="97" s="1"/>
  <c r="Z36" i="97"/>
  <c r="Z42" i="97" s="1"/>
  <c r="R44" i="97"/>
  <c r="C37" i="95"/>
  <c r="C33" i="95"/>
  <c r="C29" i="95"/>
  <c r="G56" i="94"/>
  <c r="H56" i="94" s="1"/>
  <c r="I56" i="94" s="1"/>
  <c r="J56" i="94" s="1"/>
  <c r="K56" i="94" s="1"/>
  <c r="L56" i="94" s="1"/>
  <c r="M56" i="94" s="1"/>
  <c r="N56" i="94" s="1"/>
  <c r="O56" i="94" s="1"/>
  <c r="P56" i="94" s="1"/>
  <c r="Q56" i="94" s="1"/>
  <c r="R56" i="94" s="1"/>
  <c r="S56" i="94" s="1"/>
  <c r="T56" i="94" s="1"/>
  <c r="U56" i="94" s="1"/>
  <c r="V56" i="94" s="1"/>
  <c r="W56" i="94" s="1"/>
  <c r="X56" i="94" s="1"/>
  <c r="Y56" i="94" s="1"/>
  <c r="G55" i="94"/>
  <c r="H55" i="94" s="1"/>
  <c r="I55" i="94" s="1"/>
  <c r="J55" i="94" s="1"/>
  <c r="K55" i="94" s="1"/>
  <c r="L55" i="94" s="1"/>
  <c r="AB37" i="97" l="1"/>
  <c r="AB43" i="97" s="1"/>
  <c r="AA36" i="97"/>
  <c r="S38" i="97"/>
  <c r="S40" i="97" s="1"/>
  <c r="S48" i="97" s="1"/>
  <c r="M55" i="94"/>
  <c r="N55" i="94" s="1"/>
  <c r="O55" i="94" s="1"/>
  <c r="P55" i="94" s="1"/>
  <c r="S44" i="97" l="1"/>
  <c r="T38" i="97" s="1"/>
  <c r="T40" i="97" s="1"/>
  <c r="T48" i="97" s="1"/>
  <c r="AC37" i="97"/>
  <c r="AC43" i="97" s="1"/>
  <c r="AA42" i="97"/>
  <c r="Q55" i="94"/>
  <c r="R55" i="94" s="1"/>
  <c r="AD37" i="97" l="1"/>
  <c r="AD43" i="97" s="1"/>
  <c r="AB36" i="97"/>
  <c r="T44" i="97"/>
  <c r="S55" i="94"/>
  <c r="T55" i="94"/>
  <c r="AE37" i="97" l="1"/>
  <c r="AE43" i="97" s="1"/>
  <c r="AB42" i="97"/>
  <c r="U38" i="97"/>
  <c r="U40" i="97" s="1"/>
  <c r="U48" i="97" s="1"/>
  <c r="V55" i="94"/>
  <c r="U55" i="94"/>
  <c r="AF37" i="97" l="1"/>
  <c r="AF43" i="97" s="1"/>
  <c r="AC36" i="97"/>
  <c r="AC42" i="97" s="1"/>
  <c r="U44" i="97"/>
  <c r="B4" i="95"/>
  <c r="AG37" i="97" l="1"/>
  <c r="AG43" i="97" s="1"/>
  <c r="AD36" i="97"/>
  <c r="AD42" i="97"/>
  <c r="V38" i="97"/>
  <c r="V40" i="97" s="1"/>
  <c r="V48" i="97" s="1"/>
  <c r="D37" i="95"/>
  <c r="D33" i="95"/>
  <c r="D29" i="95"/>
  <c r="D25" i="95"/>
  <c r="D21" i="95"/>
  <c r="D17" i="95"/>
  <c r="B5" i="95"/>
  <c r="B3" i="95"/>
  <c r="F96" i="94"/>
  <c r="G96" i="94" s="1"/>
  <c r="H96" i="94" s="1"/>
  <c r="I96" i="94" s="1"/>
  <c r="G62" i="94"/>
  <c r="H62" i="94" s="1"/>
  <c r="I62" i="94" s="1"/>
  <c r="J62" i="94" s="1"/>
  <c r="K62" i="94" s="1"/>
  <c r="L62" i="94" s="1"/>
  <c r="M62" i="94" s="1"/>
  <c r="N62" i="94" s="1"/>
  <c r="O62" i="94" s="1"/>
  <c r="P62" i="94" s="1"/>
  <c r="Q62" i="94" s="1"/>
  <c r="R62" i="94" s="1"/>
  <c r="S62" i="94" s="1"/>
  <c r="T62" i="94" s="1"/>
  <c r="U62" i="94" s="1"/>
  <c r="V62" i="94" s="1"/>
  <c r="W62" i="94" s="1"/>
  <c r="X62" i="94" s="1"/>
  <c r="Y62" i="94" s="1"/>
  <c r="Z62" i="94" s="1"/>
  <c r="AA62" i="94" s="1"/>
  <c r="AB62" i="94" s="1"/>
  <c r="AC62" i="94" s="1"/>
  <c r="AD62" i="94" s="1"/>
  <c r="AE62" i="94" s="1"/>
  <c r="AF62" i="94" s="1"/>
  <c r="AG62" i="94" s="1"/>
  <c r="AH62" i="94" s="1"/>
  <c r="AI62" i="94" s="1"/>
  <c r="H58" i="94"/>
  <c r="I58" i="94" s="1"/>
  <c r="J58" i="94" s="1"/>
  <c r="K58" i="94" s="1"/>
  <c r="L58" i="94" s="1"/>
  <c r="M58" i="94" s="1"/>
  <c r="N58" i="94" s="1"/>
  <c r="O58" i="94" s="1"/>
  <c r="P58" i="94" s="1"/>
  <c r="Q58" i="94" s="1"/>
  <c r="R58" i="94" s="1"/>
  <c r="S58" i="94" s="1"/>
  <c r="T58" i="94" s="1"/>
  <c r="U58" i="94" s="1"/>
  <c r="V58" i="94" s="1"/>
  <c r="W58" i="94" s="1"/>
  <c r="X58" i="94" s="1"/>
  <c r="Y58" i="94" s="1"/>
  <c r="Z58" i="94" s="1"/>
  <c r="AA58" i="94" s="1"/>
  <c r="AB58" i="94" s="1"/>
  <c r="AC58" i="94" s="1"/>
  <c r="AD58" i="94" s="1"/>
  <c r="AE58" i="94" s="1"/>
  <c r="AF58" i="94" s="1"/>
  <c r="AG58" i="94" s="1"/>
  <c r="AH58" i="94" s="1"/>
  <c r="AI58" i="94" s="1"/>
  <c r="F57" i="94"/>
  <c r="AI51" i="94"/>
  <c r="AH51" i="94"/>
  <c r="AG51" i="94"/>
  <c r="AF51" i="94"/>
  <c r="AE51" i="94"/>
  <c r="AD51" i="94"/>
  <c r="AC51" i="94"/>
  <c r="AB51" i="94"/>
  <c r="AA51" i="94"/>
  <c r="Z51" i="94"/>
  <c r="G51" i="94"/>
  <c r="H51" i="94" s="1"/>
  <c r="I51" i="94" s="1"/>
  <c r="J51" i="94" s="1"/>
  <c r="K51" i="94" s="1"/>
  <c r="L51" i="94" s="1"/>
  <c r="M51" i="94" s="1"/>
  <c r="N51" i="94" s="1"/>
  <c r="O51" i="94" s="1"/>
  <c r="P51" i="94" s="1"/>
  <c r="Q51" i="94" s="1"/>
  <c r="R51" i="94" s="1"/>
  <c r="S51" i="94" s="1"/>
  <c r="T51" i="94" s="1"/>
  <c r="U51" i="94" s="1"/>
  <c r="V51" i="94" s="1"/>
  <c r="W51" i="94" s="1"/>
  <c r="X51" i="94" s="1"/>
  <c r="Y51" i="94" s="1"/>
  <c r="F51" i="94"/>
  <c r="G49" i="94"/>
  <c r="H49" i="94" s="1"/>
  <c r="I49" i="94" s="1"/>
  <c r="J49" i="94" s="1"/>
  <c r="K49" i="94" s="1"/>
  <c r="L49" i="94" s="1"/>
  <c r="M49" i="94" s="1"/>
  <c r="N49" i="94" s="1"/>
  <c r="O49" i="94" s="1"/>
  <c r="P49" i="94" s="1"/>
  <c r="Q49" i="94" s="1"/>
  <c r="R49" i="94" s="1"/>
  <c r="S49" i="94" s="1"/>
  <c r="T49" i="94" s="1"/>
  <c r="U49" i="94" s="1"/>
  <c r="V49" i="94" s="1"/>
  <c r="W49" i="94" s="1"/>
  <c r="X49" i="94" s="1"/>
  <c r="Y49" i="94" s="1"/>
  <c r="Z49" i="94" s="1"/>
  <c r="AA49" i="94" s="1"/>
  <c r="AB49" i="94" s="1"/>
  <c r="AC49" i="94" s="1"/>
  <c r="AD49" i="94" s="1"/>
  <c r="AE49" i="94" s="1"/>
  <c r="AF49" i="94" s="1"/>
  <c r="AG49" i="94" s="1"/>
  <c r="AH49" i="94" s="1"/>
  <c r="AI49" i="94" s="1"/>
  <c r="F34" i="94"/>
  <c r="F32" i="94"/>
  <c r="F30" i="94"/>
  <c r="F28" i="94"/>
  <c r="F23" i="94"/>
  <c r="F22" i="94"/>
  <c r="D21" i="94"/>
  <c r="F94" i="94" s="1"/>
  <c r="G94" i="94" s="1"/>
  <c r="H94" i="94" s="1"/>
  <c r="I94" i="94" s="1"/>
  <c r="D20" i="94"/>
  <c r="F93" i="94" s="1"/>
  <c r="G93" i="94" s="1"/>
  <c r="H93" i="94" s="1"/>
  <c r="I93" i="94" s="1"/>
  <c r="F43" i="94" l="1"/>
  <c r="AH37" i="97"/>
  <c r="AH43" i="97" s="1"/>
  <c r="AE36" i="97"/>
  <c r="AE42" i="97" s="1"/>
  <c r="V44" i="97"/>
  <c r="F59" i="94"/>
  <c r="F52" i="94"/>
  <c r="F40" i="94"/>
  <c r="F41" i="94"/>
  <c r="G57" i="94"/>
  <c r="H57" i="94" s="1"/>
  <c r="I57" i="94" s="1"/>
  <c r="J57" i="94" s="1"/>
  <c r="K57" i="94" s="1"/>
  <c r="L57" i="94" s="1"/>
  <c r="M57" i="94" s="1"/>
  <c r="N57" i="94" s="1"/>
  <c r="O57" i="94" s="1"/>
  <c r="P57" i="94" s="1"/>
  <c r="Q57" i="94" s="1"/>
  <c r="R57" i="94" s="1"/>
  <c r="S57" i="94" s="1"/>
  <c r="T57" i="94" s="1"/>
  <c r="U57" i="94" s="1"/>
  <c r="V57" i="94" s="1"/>
  <c r="W57" i="94" s="1"/>
  <c r="X57" i="94" s="1"/>
  <c r="Y57" i="94" s="1"/>
  <c r="Z57" i="94" s="1"/>
  <c r="AA57" i="94" s="1"/>
  <c r="AB57" i="94" s="1"/>
  <c r="AC57" i="94" s="1"/>
  <c r="AD57" i="94" s="1"/>
  <c r="AE57" i="94" s="1"/>
  <c r="AF57" i="94" s="1"/>
  <c r="AG57" i="94" s="1"/>
  <c r="AH57" i="94" s="1"/>
  <c r="AI57" i="94" s="1"/>
  <c r="G42" i="94"/>
  <c r="F42" i="94"/>
  <c r="F44" i="94"/>
  <c r="H42" i="94"/>
  <c r="F37" i="94"/>
  <c r="AA56" i="94"/>
  <c r="AB56" i="94" s="1"/>
  <c r="AC56" i="94" s="1"/>
  <c r="AD56" i="94" s="1"/>
  <c r="Z56" i="94"/>
  <c r="F21" i="94"/>
  <c r="F48" i="94"/>
  <c r="F46" i="94"/>
  <c r="D13" i="95"/>
  <c r="F47" i="94"/>
  <c r="F20" i="94"/>
  <c r="F45" i="94"/>
  <c r="AF36" i="97" l="1"/>
  <c r="AI37" i="97"/>
  <c r="AI43" i="97" s="1"/>
  <c r="W38" i="97"/>
  <c r="W40" i="97" s="1"/>
  <c r="W48" i="97" s="1"/>
  <c r="G35" i="94"/>
  <c r="E58" i="94"/>
  <c r="E67" i="94" s="1"/>
  <c r="G41" i="94"/>
  <c r="G33" i="94"/>
  <c r="G44" i="94"/>
  <c r="G59" i="94"/>
  <c r="G40" i="94"/>
  <c r="G52" i="94"/>
  <c r="H33" i="94"/>
  <c r="G31" i="94"/>
  <c r="F53" i="94"/>
  <c r="D9" i="95"/>
  <c r="D39" i="95" s="1"/>
  <c r="G47" i="94"/>
  <c r="G45" i="94"/>
  <c r="G48" i="94"/>
  <c r="G46" i="94"/>
  <c r="G37" i="94"/>
  <c r="G29" i="94"/>
  <c r="AF56" i="94"/>
  <c r="AG56" i="94" s="1"/>
  <c r="AH56" i="94" s="1"/>
  <c r="AI56" i="94" s="1"/>
  <c r="AE56" i="94"/>
  <c r="F61" i="94" l="1"/>
  <c r="F63" i="94" s="1"/>
  <c r="W44" i="97"/>
  <c r="AF42" i="97"/>
  <c r="G43" i="94"/>
  <c r="G53" i="94" s="1"/>
  <c r="H40" i="94"/>
  <c r="H43" i="94"/>
  <c r="I40" i="94"/>
  <c r="I42" i="94"/>
  <c r="I52" i="94"/>
  <c r="H41" i="94"/>
  <c r="H52" i="94"/>
  <c r="I33" i="94"/>
  <c r="H44" i="94"/>
  <c r="H59" i="94"/>
  <c r="H31" i="94"/>
  <c r="H47" i="94"/>
  <c r="H45" i="94"/>
  <c r="H46" i="94"/>
  <c r="H37" i="94"/>
  <c r="H29" i="94"/>
  <c r="H48" i="94"/>
  <c r="E68" i="94"/>
  <c r="W55" i="94"/>
  <c r="X55" i="94" s="1"/>
  <c r="Y55" i="94" s="1"/>
  <c r="G61" i="94" l="1"/>
  <c r="H61" i="94" s="1"/>
  <c r="I61" i="94" s="1"/>
  <c r="J61" i="94" s="1"/>
  <c r="K61" i="94" s="1"/>
  <c r="L61" i="94" s="1"/>
  <c r="M61" i="94" s="1"/>
  <c r="N61" i="94" s="1"/>
  <c r="O61" i="94" s="1"/>
  <c r="P61" i="94" s="1"/>
  <c r="Q61" i="94" s="1"/>
  <c r="R61" i="94" s="1"/>
  <c r="S61" i="94" s="1"/>
  <c r="T61" i="94" s="1"/>
  <c r="U61" i="94" s="1"/>
  <c r="V61" i="94" s="1"/>
  <c r="W61" i="94" s="1"/>
  <c r="X61" i="94" s="1"/>
  <c r="Y61" i="94" s="1"/>
  <c r="Z61" i="94" s="1"/>
  <c r="AA61" i="94" s="1"/>
  <c r="AB61" i="94" s="1"/>
  <c r="AC61" i="94" s="1"/>
  <c r="AD61" i="94" s="1"/>
  <c r="AE61" i="94" s="1"/>
  <c r="AF61" i="94" s="1"/>
  <c r="AG61" i="94" s="1"/>
  <c r="AH61" i="94" s="1"/>
  <c r="AI61" i="94" s="1"/>
  <c r="F47" i="97"/>
  <c r="F49" i="97" s="1"/>
  <c r="F51" i="97" s="1"/>
  <c r="F52" i="97" s="1"/>
  <c r="AG36" i="97"/>
  <c r="X38" i="97"/>
  <c r="X40" i="97" s="1"/>
  <c r="X48" i="97" s="1"/>
  <c r="H35" i="94"/>
  <c r="I31" i="94"/>
  <c r="I43" i="94"/>
  <c r="I44" i="94"/>
  <c r="I41" i="94"/>
  <c r="J52" i="94"/>
  <c r="K33" i="94"/>
  <c r="J42" i="94"/>
  <c r="J33" i="94"/>
  <c r="J59" i="94"/>
  <c r="J40" i="94"/>
  <c r="I59" i="94"/>
  <c r="G63" i="94"/>
  <c r="I48" i="94"/>
  <c r="I46" i="94"/>
  <c r="I37" i="94"/>
  <c r="I29" i="94"/>
  <c r="I47" i="94"/>
  <c r="I45" i="94"/>
  <c r="Z55" i="94"/>
  <c r="AA55" i="94"/>
  <c r="AB55" i="94" s="1"/>
  <c r="AC55" i="94" s="1"/>
  <c r="AD55" i="94" s="1"/>
  <c r="H53" i="94"/>
  <c r="H63" i="94" s="1"/>
  <c r="F64" i="94" l="1"/>
  <c r="F65" i="94" s="1"/>
  <c r="F67" i="94" s="1"/>
  <c r="F68" i="94" s="1"/>
  <c r="H47" i="97"/>
  <c r="H49" i="97" s="1"/>
  <c r="H51" i="97" s="1"/>
  <c r="H52" i="97" s="1"/>
  <c r="G47" i="97"/>
  <c r="G49" i="97" s="1"/>
  <c r="G51" i="97" s="1"/>
  <c r="G52" i="97" s="1"/>
  <c r="G64" i="94" s="1"/>
  <c r="G65" i="94" s="1"/>
  <c r="G67" i="94" s="1"/>
  <c r="X44" i="97"/>
  <c r="AG42" i="97"/>
  <c r="J43" i="94"/>
  <c r="J31" i="94"/>
  <c r="I35" i="94"/>
  <c r="L33" i="94"/>
  <c r="K42" i="94"/>
  <c r="K40" i="94"/>
  <c r="K59" i="94"/>
  <c r="J41" i="94"/>
  <c r="J44" i="94"/>
  <c r="J48" i="94"/>
  <c r="J46" i="94"/>
  <c r="J47" i="94"/>
  <c r="J45" i="94"/>
  <c r="J37" i="94"/>
  <c r="J29" i="94"/>
  <c r="I53" i="94"/>
  <c r="I63" i="94" s="1"/>
  <c r="AF55" i="94"/>
  <c r="AG55" i="94" s="1"/>
  <c r="AH55" i="94" s="1"/>
  <c r="AI55" i="94" s="1"/>
  <c r="AE55" i="94"/>
  <c r="I47" i="97" l="1"/>
  <c r="I49" i="97" s="1"/>
  <c r="I51" i="97" s="1"/>
  <c r="I52" i="97" s="1"/>
  <c r="H64" i="94"/>
  <c r="AH36" i="97"/>
  <c r="AH42" i="97" s="1"/>
  <c r="Y38" i="97"/>
  <c r="Y40" i="97" s="1"/>
  <c r="Y48" i="97" s="1"/>
  <c r="J35" i="94"/>
  <c r="K43" i="94"/>
  <c r="K44" i="94"/>
  <c r="K31" i="94"/>
  <c r="L40" i="94"/>
  <c r="L59" i="94"/>
  <c r="K41" i="94"/>
  <c r="K52" i="94"/>
  <c r="M33" i="94"/>
  <c r="L42" i="94"/>
  <c r="G68" i="94"/>
  <c r="J53" i="94"/>
  <c r="J63" i="94" s="1"/>
  <c r="K47" i="94"/>
  <c r="K45" i="94"/>
  <c r="K29" i="94"/>
  <c r="K48" i="94"/>
  <c r="K37" i="94"/>
  <c r="K46" i="94"/>
  <c r="I64" i="94" l="1"/>
  <c r="J47" i="97"/>
  <c r="J49" i="97" s="1"/>
  <c r="J51" i="97" s="1"/>
  <c r="J52" i="97" s="1"/>
  <c r="J64" i="94" s="1"/>
  <c r="Y44" i="97"/>
  <c r="AI36" i="97"/>
  <c r="AI42" i="97" s="1"/>
  <c r="K35" i="94"/>
  <c r="L31" i="94"/>
  <c r="L44" i="94"/>
  <c r="L43" i="94"/>
  <c r="L52" i="94"/>
  <c r="H65" i="94"/>
  <c r="H67" i="94" s="1"/>
  <c r="H68" i="94" s="1"/>
  <c r="M31" i="94"/>
  <c r="L41" i="94"/>
  <c r="M40" i="94"/>
  <c r="N33" i="94"/>
  <c r="M42" i="94"/>
  <c r="K53" i="94"/>
  <c r="L47" i="94"/>
  <c r="L45" i="94"/>
  <c r="L48" i="94"/>
  <c r="L37" i="94"/>
  <c r="L29" i="94"/>
  <c r="L46" i="94"/>
  <c r="Z38" i="97" l="1"/>
  <c r="Z40" i="97" s="1"/>
  <c r="Z48" i="97" s="1"/>
  <c r="L35" i="94"/>
  <c r="M44" i="94"/>
  <c r="M59" i="94"/>
  <c r="N52" i="94"/>
  <c r="M41" i="94"/>
  <c r="O33" i="94"/>
  <c r="N42" i="94"/>
  <c r="N40" i="94"/>
  <c r="M43" i="94"/>
  <c r="M52" i="94"/>
  <c r="I65" i="94"/>
  <c r="I67" i="94" s="1"/>
  <c r="K63" i="94"/>
  <c r="L53" i="94"/>
  <c r="L63" i="94" s="1"/>
  <c r="M48" i="94"/>
  <c r="M46" i="94"/>
  <c r="M45" i="94"/>
  <c r="M47" i="94"/>
  <c r="M37" i="94"/>
  <c r="M29" i="94"/>
  <c r="L47" i="97" l="1"/>
  <c r="L49" i="97" s="1"/>
  <c r="L51" i="97" s="1"/>
  <c r="L52" i="97" s="1"/>
  <c r="L64" i="94" s="1"/>
  <c r="K47" i="97"/>
  <c r="K49" i="97" s="1"/>
  <c r="K51" i="97" s="1"/>
  <c r="K52" i="97" s="1"/>
  <c r="K64" i="94" s="1"/>
  <c r="Z44" i="97"/>
  <c r="N43" i="94"/>
  <c r="N59" i="94"/>
  <c r="N31" i="94"/>
  <c r="N44" i="94"/>
  <c r="M35" i="94"/>
  <c r="O40" i="94"/>
  <c r="O42" i="94"/>
  <c r="O52" i="94"/>
  <c r="N41" i="94"/>
  <c r="I68" i="94"/>
  <c r="N48" i="94"/>
  <c r="N46" i="94"/>
  <c r="N45" i="94"/>
  <c r="N47" i="94"/>
  <c r="N37" i="94"/>
  <c r="N29" i="94"/>
  <c r="M53" i="94"/>
  <c r="M63" i="94" s="1"/>
  <c r="M47" i="97" l="1"/>
  <c r="M49" i="97" s="1"/>
  <c r="M51" i="97" s="1"/>
  <c r="M52" i="97" s="1"/>
  <c r="M64" i="94" s="1"/>
  <c r="AA38" i="97"/>
  <c r="AA40" i="97" s="1"/>
  <c r="AA48" i="97" s="1"/>
  <c r="N35" i="94"/>
  <c r="O43" i="94"/>
  <c r="O31" i="94"/>
  <c r="O44" i="94"/>
  <c r="Q33" i="94"/>
  <c r="P42" i="94"/>
  <c r="P33" i="94"/>
  <c r="P40" i="94"/>
  <c r="P59" i="94"/>
  <c r="O41" i="94"/>
  <c r="O59" i="94"/>
  <c r="J65" i="94"/>
  <c r="J67" i="94" s="1"/>
  <c r="J68" i="94" s="1"/>
  <c r="O47" i="94"/>
  <c r="O45" i="94"/>
  <c r="O29" i="94"/>
  <c r="O46" i="94"/>
  <c r="O37" i="94"/>
  <c r="O48" i="94"/>
  <c r="N53" i="94"/>
  <c r="N63" i="94" s="1"/>
  <c r="AA44" i="97" l="1"/>
  <c r="N47" i="97"/>
  <c r="N49" i="97" s="1"/>
  <c r="N51" i="97" s="1"/>
  <c r="N52" i="97" s="1"/>
  <c r="AB38" i="97"/>
  <c r="AB40" i="97" s="1"/>
  <c r="AB48" i="97" s="1"/>
  <c r="P43" i="94"/>
  <c r="P44" i="94"/>
  <c r="P52" i="94"/>
  <c r="O35" i="94"/>
  <c r="Q40" i="94"/>
  <c r="Q52" i="94"/>
  <c r="P41" i="94"/>
  <c r="P31" i="94"/>
  <c r="R33" i="94"/>
  <c r="Q42" i="94"/>
  <c r="O53" i="94"/>
  <c r="O63" i="94" s="1"/>
  <c r="P47" i="94"/>
  <c r="P45" i="94"/>
  <c r="P46" i="94"/>
  <c r="P37" i="94"/>
  <c r="P29" i="94"/>
  <c r="P48" i="94"/>
  <c r="N64" i="94" l="1"/>
  <c r="O47" i="97"/>
  <c r="O49" i="97" s="1"/>
  <c r="O51" i="97" s="1"/>
  <c r="O52" i="97" s="1"/>
  <c r="O64" i="94" s="1"/>
  <c r="AB44" i="97"/>
  <c r="P35" i="94"/>
  <c r="Q44" i="94"/>
  <c r="R40" i="94"/>
  <c r="S33" i="94"/>
  <c r="R42" i="94"/>
  <c r="R43" i="94"/>
  <c r="Q41" i="94"/>
  <c r="Q43" i="94"/>
  <c r="Q31" i="94"/>
  <c r="Q59" i="94"/>
  <c r="K65" i="94"/>
  <c r="K67" i="94" s="1"/>
  <c r="K68" i="94" s="1"/>
  <c r="P53" i="94"/>
  <c r="P63" i="94" s="1"/>
  <c r="Q48" i="94"/>
  <c r="Q46" i="94"/>
  <c r="Q45" i="94"/>
  <c r="Q37" i="94"/>
  <c r="Q29" i="94"/>
  <c r="Q47" i="94"/>
  <c r="P47" i="97" l="1"/>
  <c r="P49" i="97" s="1"/>
  <c r="P51" i="97" s="1"/>
  <c r="P52" i="97" s="1"/>
  <c r="AC38" i="97"/>
  <c r="AC40" i="97" s="1"/>
  <c r="AC48" i="97" s="1"/>
  <c r="S40" i="94"/>
  <c r="T33" i="94"/>
  <c r="S42" i="94"/>
  <c r="Q35" i="94"/>
  <c r="S31" i="94"/>
  <c r="R41" i="94"/>
  <c r="R52" i="94"/>
  <c r="R31" i="94"/>
  <c r="R44" i="94"/>
  <c r="R59" i="94"/>
  <c r="R35" i="94"/>
  <c r="R48" i="94"/>
  <c r="R46" i="94"/>
  <c r="R47" i="94"/>
  <c r="R37" i="94"/>
  <c r="R29" i="94"/>
  <c r="R45" i="94"/>
  <c r="Q53" i="94"/>
  <c r="Q63" i="94" s="1"/>
  <c r="P64" i="94" l="1"/>
  <c r="Q47" i="97"/>
  <c r="Q49" i="97" s="1"/>
  <c r="Q51" i="97" s="1"/>
  <c r="Q52" i="97" s="1"/>
  <c r="AC44" i="97"/>
  <c r="S44" i="94"/>
  <c r="T59" i="94"/>
  <c r="S41" i="94"/>
  <c r="S52" i="94"/>
  <c r="T42" i="94"/>
  <c r="S43" i="94"/>
  <c r="S59" i="94"/>
  <c r="L65" i="94"/>
  <c r="L67" i="94" s="1"/>
  <c r="L68" i="94" s="1"/>
  <c r="S47" i="94"/>
  <c r="S45" i="94"/>
  <c r="S46" i="94"/>
  <c r="S48" i="94"/>
  <c r="S37" i="94"/>
  <c r="S29" i="94"/>
  <c r="R53" i="94"/>
  <c r="R63" i="94" s="1"/>
  <c r="Q64" i="94" l="1"/>
  <c r="R47" i="97"/>
  <c r="R49" i="97" s="1"/>
  <c r="R51" i="97" s="1"/>
  <c r="R52" i="97" s="1"/>
  <c r="AD38" i="97"/>
  <c r="AD40" i="97" s="1"/>
  <c r="AD48" i="97" s="1"/>
  <c r="T43" i="94"/>
  <c r="T31" i="94"/>
  <c r="T44" i="94"/>
  <c r="T52" i="94"/>
  <c r="S35" i="94"/>
  <c r="V33" i="94"/>
  <c r="U42" i="94"/>
  <c r="U33" i="94"/>
  <c r="U40" i="94"/>
  <c r="U59" i="94"/>
  <c r="T41" i="94"/>
  <c r="S53" i="94"/>
  <c r="S63" i="94" s="1"/>
  <c r="T47" i="94"/>
  <c r="T45" i="94"/>
  <c r="T48" i="94"/>
  <c r="T37" i="94"/>
  <c r="T29" i="94"/>
  <c r="T46" i="94"/>
  <c r="R64" i="94" l="1"/>
  <c r="S47" i="97"/>
  <c r="S49" i="97" s="1"/>
  <c r="S51" i="97" s="1"/>
  <c r="S52" i="97" s="1"/>
  <c r="AD44" i="97"/>
  <c r="U43" i="94"/>
  <c r="T35" i="94"/>
  <c r="U31" i="94"/>
  <c r="V52" i="94"/>
  <c r="U41" i="94"/>
  <c r="U44" i="94"/>
  <c r="V40" i="94"/>
  <c r="U52" i="94"/>
  <c r="W33" i="94"/>
  <c r="V42" i="94"/>
  <c r="M65" i="94"/>
  <c r="M67" i="94" s="1"/>
  <c r="U35" i="94"/>
  <c r="U48" i="94"/>
  <c r="U46" i="94"/>
  <c r="U47" i="94"/>
  <c r="U45" i="94"/>
  <c r="U37" i="94"/>
  <c r="U29" i="94"/>
  <c r="T53" i="94"/>
  <c r="T63" i="94" s="1"/>
  <c r="S64" i="94" l="1"/>
  <c r="T47" i="97"/>
  <c r="T49" i="97" s="1"/>
  <c r="T51" i="97" s="1"/>
  <c r="T52" i="97" s="1"/>
  <c r="T64" i="94" s="1"/>
  <c r="AE38" i="97"/>
  <c r="AE40" i="97" s="1"/>
  <c r="AE48" i="97" s="1"/>
  <c r="M68" i="94"/>
  <c r="T22" i="94" s="1"/>
  <c r="V43" i="94"/>
  <c r="V44" i="94"/>
  <c r="W52" i="94"/>
  <c r="V41" i="94"/>
  <c r="V31" i="94"/>
  <c r="W40" i="94"/>
  <c r="X33" i="94"/>
  <c r="W42" i="94"/>
  <c r="V59" i="94"/>
  <c r="V35" i="94"/>
  <c r="V48" i="94"/>
  <c r="V46" i="94"/>
  <c r="V45" i="94"/>
  <c r="V47" i="94"/>
  <c r="V37" i="94"/>
  <c r="V29" i="94"/>
  <c r="U53" i="94"/>
  <c r="U63" i="94" s="1"/>
  <c r="U47" i="97" l="1"/>
  <c r="U49" i="97" s="1"/>
  <c r="U51" i="97" s="1"/>
  <c r="U52" i="97" s="1"/>
  <c r="U64" i="94" s="1"/>
  <c r="AE44" i="97"/>
  <c r="W31" i="94"/>
  <c r="W43" i="94"/>
  <c r="W59" i="94"/>
  <c r="W44" i="94"/>
  <c r="Y42" i="94"/>
  <c r="X42" i="94"/>
  <c r="X40" i="94"/>
  <c r="X59" i="94"/>
  <c r="W41" i="94"/>
  <c r="N65" i="94"/>
  <c r="N67" i="94" s="1"/>
  <c r="N68" i="94" s="1"/>
  <c r="Z32" i="94"/>
  <c r="AA32" i="94" s="1"/>
  <c r="AB32" i="94" s="1"/>
  <c r="AC32" i="94" s="1"/>
  <c r="AD32" i="94" s="1"/>
  <c r="AE32" i="94" s="1"/>
  <c r="AF32" i="94" s="1"/>
  <c r="AG32" i="94" s="1"/>
  <c r="AH32" i="94" s="1"/>
  <c r="AI32" i="94" s="1"/>
  <c r="W47" i="94"/>
  <c r="W45" i="94"/>
  <c r="W29" i="94"/>
  <c r="W48" i="94"/>
  <c r="W46" i="94"/>
  <c r="W37" i="94"/>
  <c r="V53" i="94"/>
  <c r="V63" i="94" s="1"/>
  <c r="V47" i="97" l="1"/>
  <c r="V49" i="97" s="1"/>
  <c r="V51" i="97" s="1"/>
  <c r="V52" i="97" s="1"/>
  <c r="AF38" i="97"/>
  <c r="AF40" i="97" s="1"/>
  <c r="AF48" i="97" s="1"/>
  <c r="X44" i="94"/>
  <c r="W35" i="94"/>
  <c r="X31" i="94"/>
  <c r="Y33" i="94"/>
  <c r="Z33" i="94" s="1"/>
  <c r="AA33" i="94" s="1"/>
  <c r="AB33" i="94" s="1"/>
  <c r="AC33" i="94" s="1"/>
  <c r="AD33" i="94" s="1"/>
  <c r="AE33" i="94" s="1"/>
  <c r="AF33" i="94" s="1"/>
  <c r="AG33" i="94" s="1"/>
  <c r="AH33" i="94" s="1"/>
  <c r="AI33" i="94" s="1"/>
  <c r="X52" i="94"/>
  <c r="X43" i="94"/>
  <c r="Y41" i="94"/>
  <c r="X41" i="94"/>
  <c r="Y40" i="94"/>
  <c r="W53" i="94"/>
  <c r="X47" i="94"/>
  <c r="X45" i="94"/>
  <c r="X46" i="94"/>
  <c r="X37" i="94"/>
  <c r="X29" i="94"/>
  <c r="X48" i="94"/>
  <c r="V64" i="94" l="1"/>
  <c r="AF44" i="97"/>
  <c r="Y31" i="94"/>
  <c r="Z31" i="94" s="1"/>
  <c r="AA31" i="94" s="1"/>
  <c r="X35" i="94"/>
  <c r="Y52" i="94"/>
  <c r="Y44" i="94"/>
  <c r="Y43" i="94"/>
  <c r="Z30" i="94"/>
  <c r="Z41" i="94" s="1"/>
  <c r="Y59" i="94"/>
  <c r="O65" i="94"/>
  <c r="O67" i="94" s="1"/>
  <c r="O68" i="94" s="1"/>
  <c r="W63" i="94"/>
  <c r="X53" i="94"/>
  <c r="X63" i="94" s="1"/>
  <c r="Y48" i="94"/>
  <c r="Y46" i="94"/>
  <c r="Y37" i="94"/>
  <c r="Y29" i="94"/>
  <c r="Z29" i="94" s="1"/>
  <c r="AA29" i="94" s="1"/>
  <c r="AB29" i="94" s="1"/>
  <c r="AC29" i="94" s="1"/>
  <c r="AD29" i="94" s="1"/>
  <c r="AE29" i="94" s="1"/>
  <c r="AF29" i="94" s="1"/>
  <c r="AG29" i="94" s="1"/>
  <c r="AH29" i="94" s="1"/>
  <c r="AI29" i="94" s="1"/>
  <c r="Y47" i="94"/>
  <c r="Y45" i="94"/>
  <c r="Z28" i="94"/>
  <c r="W47" i="97" l="1"/>
  <c r="W49" i="97" s="1"/>
  <c r="W51" i="97" s="1"/>
  <c r="W52" i="97" s="1"/>
  <c r="X47" i="97"/>
  <c r="X49" i="97" s="1"/>
  <c r="X51" i="97" s="1"/>
  <c r="X52" i="97" s="1"/>
  <c r="X64" i="94" s="1"/>
  <c r="AG38" i="97"/>
  <c r="AG40" i="97" s="1"/>
  <c r="AG48" i="97" s="1"/>
  <c r="Z42" i="94"/>
  <c r="AA30" i="94"/>
  <c r="AA41" i="94" s="1"/>
  <c r="Z34" i="94"/>
  <c r="Y35" i="94"/>
  <c r="Z35" i="94" s="1"/>
  <c r="AA35" i="94" s="1"/>
  <c r="AB35" i="94" s="1"/>
  <c r="AC35" i="94" s="1"/>
  <c r="AD35" i="94" s="1"/>
  <c r="AE35" i="94" s="1"/>
  <c r="AF35" i="94" s="1"/>
  <c r="AG35" i="94" s="1"/>
  <c r="AH35" i="94" s="1"/>
  <c r="AI35" i="94" s="1"/>
  <c r="AB31" i="94"/>
  <c r="AA42" i="94"/>
  <c r="AB30" i="94"/>
  <c r="Z48" i="94"/>
  <c r="Z46" i="94"/>
  <c r="Z44" i="94"/>
  <c r="Z47" i="94"/>
  <c r="Z45" i="94"/>
  <c r="Z52" i="94"/>
  <c r="Z40" i="94"/>
  <c r="AA28" i="94"/>
  <c r="Y53" i="94"/>
  <c r="Y63" i="94" s="1"/>
  <c r="W64" i="94" l="1"/>
  <c r="Y47" i="97"/>
  <c r="Y49" i="97" s="1"/>
  <c r="Y51" i="97" s="1"/>
  <c r="Y52" i="97" s="1"/>
  <c r="AG44" i="97"/>
  <c r="Z43" i="94"/>
  <c r="Z53" i="94" s="1"/>
  <c r="Z63" i="94" s="1"/>
  <c r="AA34" i="94"/>
  <c r="AC31" i="94"/>
  <c r="AB42" i="94"/>
  <c r="P65" i="94"/>
  <c r="P67" i="94" s="1"/>
  <c r="AC30" i="94"/>
  <c r="AB41" i="94"/>
  <c r="AA47" i="94"/>
  <c r="AA45" i="94"/>
  <c r="AA52" i="94"/>
  <c r="AB28" i="94"/>
  <c r="AA48" i="94"/>
  <c r="AA44" i="94"/>
  <c r="AA40" i="94"/>
  <c r="AA46" i="94"/>
  <c r="Z50" i="97" l="1"/>
  <c r="Y64" i="94"/>
  <c r="AH38" i="97"/>
  <c r="AH40" i="97" s="1"/>
  <c r="AH48" i="97" s="1"/>
  <c r="P68" i="94"/>
  <c r="AB34" i="94"/>
  <c r="AA43" i="94"/>
  <c r="AA53" i="94" s="1"/>
  <c r="AA63" i="94" s="1"/>
  <c r="AD31" i="94"/>
  <c r="AC42" i="94"/>
  <c r="AD30" i="94"/>
  <c r="AC41" i="94"/>
  <c r="AB47" i="94"/>
  <c r="AB45" i="94"/>
  <c r="AB52" i="94"/>
  <c r="AB48" i="94"/>
  <c r="AB44" i="94"/>
  <c r="AB40" i="94"/>
  <c r="AC28" i="94"/>
  <c r="AB46" i="94"/>
  <c r="Z47" i="97" l="1"/>
  <c r="Z49" i="97" s="1"/>
  <c r="Z51" i="97" s="1"/>
  <c r="AH44" i="97"/>
  <c r="AC34" i="94"/>
  <c r="AB43" i="94"/>
  <c r="AB53" i="94" s="1"/>
  <c r="AB63" i="94" s="1"/>
  <c r="AE31" i="94"/>
  <c r="AD42" i="94"/>
  <c r="Q65" i="94"/>
  <c r="Q67" i="94" s="1"/>
  <c r="AD41" i="94"/>
  <c r="AE30" i="94"/>
  <c r="AC52" i="94"/>
  <c r="AC48" i="94"/>
  <c r="AC46" i="94"/>
  <c r="AC44" i="94"/>
  <c r="AC40" i="94"/>
  <c r="AD28" i="94"/>
  <c r="AC45" i="94"/>
  <c r="AC47" i="94"/>
  <c r="AA47" i="97" l="1"/>
  <c r="AA49" i="97" s="1"/>
  <c r="AA50" i="97"/>
  <c r="Z52" i="97"/>
  <c r="AI38" i="97"/>
  <c r="AI40" i="97" s="1"/>
  <c r="AI48" i="97" s="1"/>
  <c r="Q68" i="94"/>
  <c r="AC43" i="94"/>
  <c r="AC53" i="94" s="1"/>
  <c r="AC63" i="94" s="1"/>
  <c r="AD34" i="94"/>
  <c r="AF31" i="94"/>
  <c r="AE42" i="94"/>
  <c r="AD48" i="94"/>
  <c r="AD46" i="94"/>
  <c r="AD44" i="94"/>
  <c r="AD45" i="94"/>
  <c r="AD40" i="94"/>
  <c r="AE28" i="94"/>
  <c r="AD52" i="94"/>
  <c r="AD47" i="94"/>
  <c r="AE41" i="94"/>
  <c r="AF30" i="94"/>
  <c r="AI44" i="97" l="1"/>
  <c r="AA51" i="97"/>
  <c r="AB50" i="97" s="1"/>
  <c r="AA52" i="97"/>
  <c r="AB47" i="97"/>
  <c r="AB49" i="97" s="1"/>
  <c r="AE34" i="94"/>
  <c r="AD43" i="94"/>
  <c r="AD53" i="94" s="1"/>
  <c r="AD63" i="94" s="1"/>
  <c r="AG31" i="94"/>
  <c r="AF42" i="94"/>
  <c r="R65" i="94"/>
  <c r="R67" i="94" s="1"/>
  <c r="AG30" i="94"/>
  <c r="AF41" i="94"/>
  <c r="AE47" i="94"/>
  <c r="AE45" i="94"/>
  <c r="AF28" i="94"/>
  <c r="AE44" i="94"/>
  <c r="AE46" i="94"/>
  <c r="AE40" i="94"/>
  <c r="AE52" i="94"/>
  <c r="AE48" i="94"/>
  <c r="AB51" i="97" l="1"/>
  <c r="AB52" i="97" s="1"/>
  <c r="AC47" i="97"/>
  <c r="AC49" i="97" s="1"/>
  <c r="R68" i="94"/>
  <c r="AF34" i="94"/>
  <c r="AE43" i="94"/>
  <c r="AE53" i="94" s="1"/>
  <c r="AE63" i="94" s="1"/>
  <c r="AH31" i="94"/>
  <c r="AG42" i="94"/>
  <c r="AF47" i="94"/>
  <c r="AF45" i="94"/>
  <c r="AF52" i="94"/>
  <c r="AF46" i="94"/>
  <c r="AF40" i="94"/>
  <c r="AG28" i="94"/>
  <c r="AF48" i="94"/>
  <c r="AF44" i="94"/>
  <c r="AH30" i="94"/>
  <c r="AG41" i="94"/>
  <c r="AC50" i="97" l="1"/>
  <c r="AC51" i="97" s="1"/>
  <c r="AC52" i="97" s="1"/>
  <c r="AD47" i="97"/>
  <c r="AD49" i="97" s="1"/>
  <c r="AF43" i="94"/>
  <c r="AF53" i="94" s="1"/>
  <c r="AF63" i="94" s="1"/>
  <c r="AG34" i="94"/>
  <c r="AI31" i="94"/>
  <c r="AI42" i="94" s="1"/>
  <c r="AH42" i="94"/>
  <c r="S65" i="94"/>
  <c r="S67" i="94" s="1"/>
  <c r="AG52" i="94"/>
  <c r="AG48" i="94"/>
  <c r="AG46" i="94"/>
  <c r="AG44" i="94"/>
  <c r="AG45" i="94"/>
  <c r="AG47" i="94"/>
  <c r="AG40" i="94"/>
  <c r="AH28" i="94"/>
  <c r="AH41" i="94"/>
  <c r="AI30" i="94"/>
  <c r="AI41" i="94" s="1"/>
  <c r="AD50" i="97" l="1"/>
  <c r="AD51" i="97" s="1"/>
  <c r="AE47" i="97"/>
  <c r="AE49" i="97" s="1"/>
  <c r="S68" i="94"/>
  <c r="AG43" i="94"/>
  <c r="AG53" i="94" s="1"/>
  <c r="AG63" i="94" s="1"/>
  <c r="AH34" i="94"/>
  <c r="AH48" i="94"/>
  <c r="AH46" i="94"/>
  <c r="AH44" i="94"/>
  <c r="AH47" i="94"/>
  <c r="AH52" i="94"/>
  <c r="AH45" i="94"/>
  <c r="AH40" i="94"/>
  <c r="AI28" i="94"/>
  <c r="AF47" i="97" l="1"/>
  <c r="AF49" i="97" s="1"/>
  <c r="AD52" i="97"/>
  <c r="AE50" i="97"/>
  <c r="AE51" i="97" s="1"/>
  <c r="AI34" i="94"/>
  <c r="AI43" i="94" s="1"/>
  <c r="AH43" i="94"/>
  <c r="AH53" i="94" s="1"/>
  <c r="AH63" i="94" s="1"/>
  <c r="T65" i="94"/>
  <c r="T67" i="94" s="1"/>
  <c r="AI47" i="94"/>
  <c r="AI45" i="94"/>
  <c r="AI52" i="94"/>
  <c r="AI46" i="94"/>
  <c r="AI48" i="94"/>
  <c r="AI44" i="94"/>
  <c r="AI40" i="94"/>
  <c r="AE52" i="97" l="1"/>
  <c r="AF50" i="97"/>
  <c r="AF51" i="97" s="1"/>
  <c r="AG47" i="97"/>
  <c r="AG49" i="97" s="1"/>
  <c r="T24" i="94"/>
  <c r="T23" i="94"/>
  <c r="T68" i="94"/>
  <c r="AI53" i="94"/>
  <c r="AI63" i="94" s="1"/>
  <c r="AF52" i="97" l="1"/>
  <c r="AG50" i="97"/>
  <c r="AG51" i="97" s="1"/>
  <c r="AI47" i="97"/>
  <c r="AI49" i="97" s="1"/>
  <c r="AH47" i="97"/>
  <c r="AH49" i="97" s="1"/>
  <c r="U65" i="94"/>
  <c r="U67" i="94" s="1"/>
  <c r="U68" i="94" s="1"/>
  <c r="AG52" i="97" l="1"/>
  <c r="AH50" i="97"/>
  <c r="AH51" i="97" s="1"/>
  <c r="V65" i="94"/>
  <c r="V67" i="94" s="1"/>
  <c r="V68" i="94" s="1"/>
  <c r="AI50" i="97" l="1"/>
  <c r="AI51" i="97" s="1"/>
  <c r="AI52" i="97" s="1"/>
  <c r="AH52" i="97"/>
  <c r="W65" i="94"/>
  <c r="W67" i="94" s="1"/>
  <c r="W68" i="94" s="1"/>
  <c r="X65" i="94" l="1"/>
  <c r="X67" i="94" s="1"/>
  <c r="X68" i="94" s="1"/>
  <c r="Y65" i="94" l="1"/>
  <c r="Y67" i="94" s="1"/>
  <c r="Y68" i="94" s="1"/>
  <c r="Z64" i="94" l="1"/>
  <c r="Z65" i="94" s="1"/>
  <c r="Z67" i="94" s="1"/>
  <c r="Z68" i="94" s="1"/>
  <c r="AA64" i="94" l="1"/>
  <c r="AA65" i="94" s="1"/>
  <c r="AA67" i="94" s="1"/>
  <c r="AA68" i="94" s="1"/>
  <c r="AB64" i="94" l="1"/>
  <c r="AB65" i="94" s="1"/>
  <c r="AB67" i="94" s="1"/>
  <c r="AB68" i="94" s="1"/>
  <c r="AC64" i="94" l="1"/>
  <c r="AC65" i="94" s="1"/>
  <c r="AC67" i="94" s="1"/>
  <c r="AC68" i="94" s="1"/>
  <c r="AD64" i="94" l="1"/>
  <c r="AD65" i="94" s="1"/>
  <c r="AD67" i="94" s="1"/>
  <c r="AD68" i="94" s="1"/>
  <c r="AF64" i="94" l="1"/>
  <c r="AF65" i="94" s="1"/>
  <c r="AF67" i="94" s="1"/>
  <c r="AE64" i="94"/>
  <c r="AE65" i="94" s="1"/>
  <c r="AE67" i="94" s="1"/>
  <c r="AE68" i="94" s="1"/>
  <c r="AF68" i="94" l="1"/>
  <c r="AG64" i="94"/>
  <c r="AG65" i="94" s="1"/>
  <c r="AG67" i="94" s="1"/>
  <c r="AG68" i="94" l="1"/>
  <c r="AH64" i="94"/>
  <c r="AH65" i="94" s="1"/>
  <c r="AH67" i="94" s="1"/>
  <c r="AH68" i="94" l="1"/>
  <c r="AI64" i="94"/>
  <c r="AI65" i="94" s="1"/>
  <c r="AI67" i="94" s="1"/>
  <c r="AI68" i="94" l="1"/>
</calcChain>
</file>

<file path=xl/sharedStrings.xml><?xml version="1.0" encoding="utf-8"?>
<sst xmlns="http://schemas.openxmlformats.org/spreadsheetml/2006/main" count="320" uniqueCount="267">
  <si>
    <t xml:space="preserve">PROPOSAL FOR NEW PETROL PUMP </t>
  </si>
  <si>
    <t>Date:</t>
  </si>
  <si>
    <t>Retail Outlet Category:</t>
  </si>
  <si>
    <t>Smart Signages Category:</t>
  </si>
  <si>
    <t>Genset Category:</t>
  </si>
  <si>
    <t xml:space="preserve">   -----</t>
  </si>
  <si>
    <t xml:space="preserve">District: </t>
  </si>
  <si>
    <t xml:space="preserve">Dealer Name: </t>
  </si>
  <si>
    <t xml:space="preserve">Feeding Point : </t>
  </si>
  <si>
    <t xml:space="preserve">Land Lord Name: </t>
  </si>
  <si>
    <t>Sales Area:</t>
  </si>
  <si>
    <t>Area Executive:</t>
  </si>
  <si>
    <t>Case Referred by:</t>
  </si>
  <si>
    <t>SALES ESTIMATES PER DAY</t>
  </si>
  <si>
    <t>Product</t>
  </si>
  <si>
    <t>Qty
(Ltrs)</t>
  </si>
  <si>
    <t>Dist. Margin
(Rs/Ltr)</t>
  </si>
  <si>
    <t>Lic. Fee
(Rs./Ltr)</t>
  </si>
  <si>
    <t>Amount
(Rs)</t>
  </si>
  <si>
    <t>STANDARD</t>
  </si>
  <si>
    <t>ACTUAL</t>
  </si>
  <si>
    <t>PMG</t>
  </si>
  <si>
    <t>Co's Investment (In PKR)</t>
  </si>
  <si>
    <t>HSD</t>
  </si>
  <si>
    <t>Dealer's Investment (In PKR)</t>
  </si>
  <si>
    <t>LUBE</t>
  </si>
  <si>
    <t>Payback Period (Year's)</t>
  </si>
  <si>
    <t>IRR:</t>
  </si>
  <si>
    <t>YEARS</t>
  </si>
  <si>
    <t>Standard</t>
  </si>
  <si>
    <t>Sales(Volume in liters) PMG</t>
  </si>
  <si>
    <t>Sales(Volume in liters) HSD</t>
  </si>
  <si>
    <t>Sales(Volume in liters) LUBE</t>
  </si>
  <si>
    <t>Contribution Margins</t>
  </si>
  <si>
    <t>LUBES</t>
  </si>
  <si>
    <r>
      <t xml:space="preserve">Tuck Shop Rent </t>
    </r>
    <r>
      <rPr>
        <b/>
        <sz val="13"/>
        <rFont val="Book Antiqua"/>
        <family val="1"/>
      </rPr>
      <t>@ Rs/Ltr</t>
    </r>
  </si>
  <si>
    <r>
      <t xml:space="preserve">Tyre Shop Rent </t>
    </r>
    <r>
      <rPr>
        <b/>
        <sz val="13"/>
        <rFont val="Book Antiqua"/>
        <family val="1"/>
      </rPr>
      <t>@ Rs/Ltr</t>
    </r>
  </si>
  <si>
    <r>
      <t xml:space="preserve">Service Station Rent </t>
    </r>
    <r>
      <rPr>
        <b/>
        <sz val="13"/>
        <rFont val="Book Antiqua"/>
        <family val="1"/>
      </rPr>
      <t>@ Rs/Ltr</t>
    </r>
  </si>
  <si>
    <t>Oil Suction Machine Rent @Rs/Ltr</t>
  </si>
  <si>
    <r>
      <t xml:space="preserve">Genset License Fee </t>
    </r>
    <r>
      <rPr>
        <b/>
        <sz val="13"/>
        <rFont val="Book Antiqua"/>
        <family val="1"/>
      </rPr>
      <t>@ Rs./Ltr</t>
    </r>
  </si>
  <si>
    <t>Joining Fee</t>
  </si>
  <si>
    <t>Markup on Security deposit</t>
  </si>
  <si>
    <t>Total License Fee</t>
  </si>
  <si>
    <t>Total Contribution Margins</t>
  </si>
  <si>
    <t>Less: Expenses</t>
  </si>
  <si>
    <t>Maintenance</t>
  </si>
  <si>
    <t>Fixed Rentals Per Month @ Rs.</t>
  </si>
  <si>
    <t>Insurance Cost</t>
  </si>
  <si>
    <t>Gross C.M</t>
  </si>
  <si>
    <t>Cash Flows</t>
  </si>
  <si>
    <t>Cumulative Cash Flows</t>
  </si>
  <si>
    <t>General Comments:</t>
  </si>
  <si>
    <t>1.</t>
  </si>
  <si>
    <t>2.</t>
  </si>
  <si>
    <t>3.</t>
  </si>
  <si>
    <t>5.</t>
  </si>
  <si>
    <t>6.</t>
  </si>
  <si>
    <t>Recommendations:</t>
  </si>
  <si>
    <t>Sr. Manager (F &amp; A)</t>
  </si>
  <si>
    <t xml:space="preserve"> Investment by the Company</t>
  </si>
  <si>
    <t>Item</t>
  </si>
  <si>
    <t>Qty</t>
  </si>
  <si>
    <t>Unit Rate
(Rs)</t>
  </si>
  <si>
    <t>Total Cost
(Rs)</t>
  </si>
  <si>
    <t>Site Name Plate</t>
  </si>
  <si>
    <t>Fire Bucket Shed</t>
  </si>
  <si>
    <t>Stickers, Safety Signs, Fire fighting equipments, Branding of Tatsuno Units etc.</t>
  </si>
  <si>
    <t>Tyre Shop Fascia</t>
  </si>
  <si>
    <t>Service Station Fascia</t>
  </si>
  <si>
    <t>TOTAL COST</t>
  </si>
  <si>
    <t>Depreciation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</si>
  <si>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</si>
  <si>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</si>
  <si>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</si>
  <si>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</si>
  <si>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</si>
  <si>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</si>
  <si>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</si>
  <si>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</si>
  <si>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</si>
  <si>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</si>
  <si>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</si>
  <si>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</si>
  <si>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</si>
  <si>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</si>
  <si>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</si>
  <si>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</si>
  <si>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</si>
  <si>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</si>
  <si>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</si>
  <si>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</si>
  <si>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</si>
  <si>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</si>
  <si>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</si>
  <si>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</si>
  <si>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</si>
  <si>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</si>
  <si>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</si>
  <si>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</si>
  <si>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</si>
  <si>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</si>
  <si>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</si>
  <si>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Pumps, Tanks, M &amp; E &amp; Misc. Work</t>
  </si>
  <si>
    <t>Building &amp; Civil</t>
  </si>
  <si>
    <t>Signage</t>
  </si>
  <si>
    <t>Total</t>
  </si>
  <si>
    <t>Book Value</t>
  </si>
  <si>
    <t>Building</t>
  </si>
  <si>
    <t>Tax Working</t>
  </si>
  <si>
    <t>Less: Depreciation</t>
  </si>
  <si>
    <t>Earnings Before Tax</t>
  </si>
  <si>
    <t>Loss B/f</t>
  </si>
  <si>
    <t>Taxable Income / Loss</t>
  </si>
  <si>
    <t>Estimated Investment by the Dealer (Excluding Land Cost)</t>
  </si>
  <si>
    <t>Unit rate 
(Rs)</t>
  </si>
  <si>
    <t>Total Cost 
(Rs)</t>
  </si>
  <si>
    <t>Insurance Working</t>
  </si>
  <si>
    <t>Insurance As per Fire Policy</t>
  </si>
  <si>
    <t>Assets Cost</t>
  </si>
  <si>
    <t>Rate</t>
  </si>
  <si>
    <t>Insurance Premiuim</t>
  </si>
  <si>
    <t>Generators  Insurance As per MBD Policy</t>
  </si>
  <si>
    <t>Compressor Insurance As per MBD Policy</t>
  </si>
  <si>
    <t>OSM As per MBD Policy</t>
  </si>
  <si>
    <t>Total Insurance Premium</t>
  </si>
  <si>
    <t>4.</t>
  </si>
  <si>
    <t>HBL ATM Rent @ Rs./month</t>
  </si>
  <si>
    <t>0.01 - 0.03</t>
  </si>
  <si>
    <t>0.01 - 0.02</t>
  </si>
  <si>
    <t>Equipments</t>
  </si>
  <si>
    <t>Tank Transportation Cost</t>
  </si>
  <si>
    <t>Oil Change Fascia</t>
  </si>
  <si>
    <t>Tuck Shop Fascia</t>
  </si>
  <si>
    <t>Tank of 3,000 Gallons</t>
  </si>
  <si>
    <t>Cash Counters</t>
  </si>
  <si>
    <t>Wall Sign</t>
  </si>
  <si>
    <t>In/Out Sign</t>
  </si>
  <si>
    <t>Connecting Lines and Downfitting costs</t>
  </si>
  <si>
    <t>ESTIMATES ON 15 YEARS BASIS</t>
  </si>
  <si>
    <t>Canopy Spreaders (Full lighting system with LED's)</t>
  </si>
  <si>
    <t>Canopy Spreaders (Without lighting)</t>
  </si>
  <si>
    <t>Initial lease period would be 15 years.</t>
  </si>
  <si>
    <t>Civil &amp; Building works etc.</t>
  </si>
  <si>
    <t>Electrical &amp; Mechanical works etc.</t>
  </si>
  <si>
    <t>Manager (Retail Sales)</t>
  </si>
  <si>
    <t>Qty as per Standard (Ltrs)</t>
  </si>
  <si>
    <t>Max 50% of Sales Mix</t>
  </si>
  <si>
    <t>Canopy Fascia without Red Bar (RFT)</t>
  </si>
  <si>
    <t>Disp Units Insurance As per MBD Policy</t>
  </si>
  <si>
    <t>Transformers Insurance As per MBD Policy</t>
  </si>
  <si>
    <t>Hoist As per MBD Policy</t>
  </si>
  <si>
    <t>Other Electrical Equipments Insurance As per MBD Policy</t>
  </si>
  <si>
    <t>Approach Road Rentals (NHA)</t>
  </si>
  <si>
    <t>%age Increment</t>
  </si>
  <si>
    <t>Sales Mix (Volume in liters) Per day</t>
  </si>
  <si>
    <t>Advertisement</t>
  </si>
  <si>
    <t>Net Earning (without depreciation expense)</t>
  </si>
  <si>
    <t>Lease Registration &amp; Stamp Duty Charges</t>
  </si>
  <si>
    <t xml:space="preserve">Construction start date: </t>
  </si>
  <si>
    <t xml:space="preserve">Construction completion date: </t>
  </si>
  <si>
    <t>Tax @ 46% (10% super tax included)</t>
  </si>
  <si>
    <t xml:space="preserve">Tax @ 46% </t>
  </si>
  <si>
    <t>Digital Pylon Sign (9.2 M)</t>
  </si>
  <si>
    <t>Lube</t>
  </si>
  <si>
    <t>Canopy Fascia with Red Bar (RFT)</t>
  </si>
  <si>
    <t>'SSP A+'</t>
  </si>
  <si>
    <t>Tank of 10,000 Gallons</t>
  </si>
  <si>
    <t>Tank of 5,000 Gallons</t>
  </si>
  <si>
    <t>XTRON</t>
  </si>
  <si>
    <t>Sales(Volume in liters) XTRON</t>
  </si>
  <si>
    <t>(Budget 2024-25)</t>
  </si>
  <si>
    <t>Sr. Manager (Retail)</t>
  </si>
  <si>
    <t>Special Approval is required for the following:</t>
  </si>
  <si>
    <t>a)</t>
  </si>
  <si>
    <t>b)</t>
  </si>
  <si>
    <t>Tank of 10,000 Gallons with Partition</t>
  </si>
  <si>
    <t>Under Canopy LED lights</t>
  </si>
  <si>
    <t>Company Investment</t>
  </si>
  <si>
    <t>Monthly Sales Bonus @ Rs.1.0/ltr or 100% of sales mix with max cap of Rs.700,000/-pm (excl fixed rentals) with no minimum qualifying volume</t>
  </si>
  <si>
    <t xml:space="preserve">  -  Fixed lease rentals @ Rs.200,000/-pm, which are more than the policy of maximum Rs.50,000/-pm.</t>
  </si>
  <si>
    <t>5000-6000</t>
  </si>
  <si>
    <t>c)</t>
  </si>
  <si>
    <t>NPV @ 13.48%*</t>
  </si>
  <si>
    <t>* Avg Kibor offer rate of last 10 years + 2%.</t>
  </si>
  <si>
    <t>PMG annual sales increment @ 20% in 2nd year, 2% in 4th year, 5% from 3-5 years &amp; 1% onwards; HSD @ 12% in 2nd year, 5% from 3-5 years &amp; 1% onwards; whereas no increment on lube as recommended by retail department.</t>
  </si>
  <si>
    <t>Your approval is solicited to develop this site on DF 'A1' (with civil &amp; mechanical works) basis.</t>
  </si>
  <si>
    <t>DF 'A1' (with civil &amp; mechanical works)</t>
  </si>
  <si>
    <t xml:space="preserve">  -  Monthly Sales bonus being offered @ 100% of sales mix with no minimum qualifying volume, whereas policy requires that</t>
  </si>
  <si>
    <t xml:space="preserve">     MSB should be maximum 50% of sales mix and minimum qualifying volume should also be defined.</t>
  </si>
  <si>
    <t xml:space="preserve">Expected Sale Figures 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</si>
  <si>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</si>
  <si>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</si>
  <si>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</si>
  <si>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</si>
  <si>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</si>
  <si>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</si>
  <si>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</si>
  <si>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</si>
  <si>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Year-9</t>
  </si>
  <si>
    <t>Year-10</t>
  </si>
  <si>
    <t>Year-11</t>
  </si>
  <si>
    <t>Year-12</t>
  </si>
  <si>
    <t>Year-13</t>
  </si>
  <si>
    <t>Year-14</t>
  </si>
  <si>
    <t>Year-15</t>
  </si>
  <si>
    <t>PMG / Day</t>
  </si>
  <si>
    <t>HSD/Day</t>
  </si>
  <si>
    <t>HOBC/Day</t>
  </si>
  <si>
    <t>Lube/Day</t>
  </si>
  <si>
    <t>Total Fuel Sale</t>
  </si>
  <si>
    <t>NFR Site</t>
  </si>
  <si>
    <t>Tuck shop</t>
  </si>
  <si>
    <t>Expenses</t>
  </si>
  <si>
    <t>Car wash</t>
  </si>
  <si>
    <t>Manager</t>
  </si>
  <si>
    <t>Tyre Shop</t>
  </si>
  <si>
    <t xml:space="preserve">Sales Man: </t>
  </si>
  <si>
    <t>Oil Change</t>
  </si>
  <si>
    <t>Accountant</t>
  </si>
  <si>
    <t>Fast Food</t>
  </si>
  <si>
    <t xml:space="preserve">Cashier </t>
  </si>
  <si>
    <t xml:space="preserve">Super visor </t>
  </si>
  <si>
    <t xml:space="preserve">Cleaner </t>
  </si>
  <si>
    <t>with incremental increase by 5% per annum</t>
  </si>
  <si>
    <t>Guard</t>
  </si>
  <si>
    <t xml:space="preserve">Add: Bonus </t>
  </si>
  <si>
    <t>as per actual</t>
  </si>
  <si>
    <t>Indirect Cost allocation</t>
  </si>
  <si>
    <t>Telephone/Communication</t>
  </si>
  <si>
    <t>Weight &amp; Measures</t>
  </si>
  <si>
    <t>Generator Diesel Expense</t>
  </si>
  <si>
    <t>Water</t>
  </si>
  <si>
    <t>Stationary &amp; Photocopies</t>
  </si>
  <si>
    <t>Uniform &amp; accessories</t>
  </si>
  <si>
    <t>Conveyance/Traveling</t>
  </si>
  <si>
    <t>Electricity</t>
  </si>
  <si>
    <t>Rates, Taxes &amp; Fees</t>
  </si>
  <si>
    <t>Entertainment/House Keeping</t>
  </si>
  <si>
    <t>Bank Charges (Credit Card)</t>
  </si>
  <si>
    <t>Stock Insurance</t>
  </si>
  <si>
    <t>Cash Insurance</t>
  </si>
  <si>
    <t>Financial Cost (Working Capital)</t>
  </si>
  <si>
    <t>Office Running Expenses</t>
  </si>
  <si>
    <t>Security Services</t>
  </si>
  <si>
    <t>Submersible pumps (02 of 0.75 HP &amp; 02 of 1.50 HP)</t>
  </si>
  <si>
    <t>Shut off valves &amp; dry run protection</t>
  </si>
  <si>
    <t>Imported Units - Tatsuno (Single product pressure type)</t>
  </si>
  <si>
    <t>Imported Units - Tatsuno (Dual product pressure type)</t>
  </si>
  <si>
    <t>Furniture</t>
  </si>
  <si>
    <t>Site inaugration/promotion expense</t>
  </si>
  <si>
    <t>Lube Trolleys (Cabinet Double side)</t>
  </si>
  <si>
    <t>Asstt. General Manager</t>
  </si>
  <si>
    <t>Installation of Petrol Pump at _________________</t>
  </si>
  <si>
    <t>Rawalpindi</t>
  </si>
  <si>
    <t>Mr. ____</t>
  </si>
  <si>
    <t>ABC</t>
  </si>
  <si>
    <t>Proposed site is located at _______________</t>
  </si>
  <si>
    <t>Steel Canopy - (Sqft)</t>
  </si>
  <si>
    <t>Company's investment will be on Smart Signages (SSP A+) with Digital Pylon Sign including Canopy Fascia with Red Bar (210 RFT), Tuck Shop Fascia, Tyre Shop Fascia, Service Station Fascia &amp; Oil Change Fascia, Steel Canopy 3600 Sqft, 06 Tatsuno units pressure type (02 Dual &amp; 04 Single), 06 Submersible pumps, 03 storage tanks, UPP lines with downfitting.</t>
  </si>
  <si>
    <r>
      <t xml:space="preserve">Security deposit of </t>
    </r>
    <r>
      <rPr>
        <b/>
        <sz val="15"/>
        <rFont val="Book Antiqua"/>
        <family val="1"/>
      </rPr>
      <t xml:space="preserve">Rs. 200,000/- </t>
    </r>
    <r>
      <rPr>
        <sz val="15"/>
        <rFont val="Book Antiqua"/>
        <family val="1"/>
      </rPr>
      <t xml:space="preserve">&amp; Joining fee of </t>
    </r>
    <r>
      <rPr>
        <b/>
        <sz val="15"/>
        <rFont val="Book Antiqua"/>
        <family val="1"/>
      </rPr>
      <t xml:space="preserve">Rs. 500,000/- </t>
    </r>
    <r>
      <rPr>
        <sz val="15"/>
        <rFont val="Book Antiqua"/>
        <family val="1"/>
      </rPr>
      <t>to be deposited by the dealer.</t>
    </r>
  </si>
  <si>
    <t>Maintenance and overhauling charges of Rs. 10,000,000/- against signages are added in every 7th year and Rs.2,000,000/- against other assets in 11th year in maintenance expense.</t>
  </si>
  <si>
    <t>(As Per Policy Jul-2024)</t>
  </si>
  <si>
    <t xml:space="preserve">  -  PMG, HSD &amp; XTRON Sales Mix is 3,100 ltrs/day instead of minimum 5,000 ltrs/day as per Policy.</t>
  </si>
  <si>
    <t>d)</t>
  </si>
  <si>
    <t>50 - 100 Million</t>
  </si>
  <si>
    <t xml:space="preserve">  -  Payback period is more than 06 years.</t>
  </si>
  <si>
    <t>PROPOSAL # :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</si>
</sst>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[$-409]dd\-mmm\-yy;@"/>
    <numFmt numFmtId="166" formatCode="#,##0;[Red]#,##0"/>
    <numFmt numFmtId="167" formatCode="_(* #,##0_);_(* \(#,##0\);_(* &quot;-&quot;??_);_(@_)"/>
    <numFmt numFmtId="168" formatCode="0.0%"/>
    <numFmt numFmtId="169" formatCode="[$-409]d\-mmm\-yy;@"/>
    <numFmt numFmtId="170" formatCode="General_)"/>
    <numFmt numFmtId="171" formatCode="[$-409]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Book Antiqua"/>
      <family val="1"/>
    </font>
    <font>
      <sz val="11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u/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4"/>
      <name val="Book Antiqua"/>
      <family val="1"/>
    </font>
    <font>
      <sz val="13"/>
      <name val="Book Antiqua"/>
      <family val="1"/>
    </font>
    <font>
      <b/>
      <u/>
      <sz val="13"/>
      <name val="Book Antiqua"/>
      <family val="1"/>
    </font>
    <font>
      <u/>
      <sz val="13"/>
      <name val="Book Antiqua"/>
      <family val="1"/>
    </font>
    <font>
      <u/>
      <sz val="14"/>
      <name val="Book Antiqua"/>
      <family val="1"/>
    </font>
    <font>
      <b/>
      <sz val="13"/>
      <name val="Book Antiqua"/>
      <family val="1"/>
    </font>
    <font>
      <sz val="13"/>
      <color theme="0"/>
      <name val="Book Antiqua"/>
      <family val="1"/>
    </font>
    <font>
      <sz val="13"/>
      <color rgb="FFFF0000"/>
      <name val="Book Antiqua"/>
      <family val="1"/>
    </font>
    <font>
      <sz val="10"/>
      <name val="Arial"/>
      <family val="2"/>
    </font>
    <font>
      <sz val="13"/>
      <color indexed="9"/>
      <name val="Book Antiqua"/>
      <family val="1"/>
    </font>
    <font>
      <sz val="13"/>
      <color indexed="10"/>
      <name val="Book Antiqua"/>
      <family val="1"/>
    </font>
    <font>
      <b/>
      <u/>
      <sz val="15"/>
      <name val="Book Antiqua"/>
      <family val="1"/>
    </font>
    <font>
      <sz val="15"/>
      <name val="Book Antiqua"/>
      <family val="1"/>
    </font>
    <font>
      <b/>
      <sz val="15"/>
      <name val="Book Antiqua"/>
      <family val="1"/>
    </font>
    <font>
      <sz val="11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i/>
      <sz val="10"/>
      <name val="MS Sans Serif"/>
      <family val="2"/>
    </font>
    <font>
      <i/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b/>
      <u/>
      <sz val="14.4"/>
      <color indexed="8"/>
      <name val="Arial"/>
      <family val="2"/>
    </font>
    <font>
      <b/>
      <sz val="11"/>
      <name val="Book Antiqua"/>
      <family val="1"/>
    </font>
    <font>
      <sz val="9"/>
      <name val="Book Antiqua"/>
      <family val="1"/>
    </font>
    <font>
      <sz val="12"/>
      <name val="Helv"/>
    </font>
    <font>
      <sz val="10"/>
      <name val="MS Sans Serif"/>
      <family val="2"/>
    </font>
    <font>
      <b/>
      <sz val="17"/>
      <name val="Book Antiqua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6"/>
      <color theme="0"/>
      <name val="Calibri"/>
      <family val="2"/>
    </font>
    <font>
      <b/>
      <sz val="16"/>
      <color indexed="8"/>
      <name val="Calibri"/>
      <family val="2"/>
    </font>
    <font>
      <sz val="16"/>
      <name val="Arial"/>
      <family val="2"/>
    </font>
    <font>
      <sz val="16"/>
      <color rgb="FFFF0000"/>
      <name val="Arial"/>
      <family val="2"/>
    </font>
    <font>
      <sz val="16"/>
      <color theme="0"/>
      <name val="Calibri"/>
      <family val="2"/>
      <scheme val="minor"/>
    </font>
    <font>
      <sz val="16"/>
      <color theme="0"/>
      <name val="Arial"/>
      <family val="2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03">
    <xf numFmtId="0" fontId="0" fillId="0" borderId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  <xf numFmtId="169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9" fontId="2" fillId="0" borderId="0"/>
    <xf numFmtId="0" fontId="1" fillId="0" borderId="0"/>
    <xf numFmtId="169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5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70" fontId="38" fillId="0" borderId="0"/>
    <xf numFmtId="164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51" fillId="0" borderId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4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2" applyFont="1" applyAlignment="1">
      <alignment horizontal="right" vertical="center"/>
    </xf>
    <xf numFmtId="165" fontId="5" fillId="0" borderId="0" xfId="2" applyNumberFormat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9" fillId="0" borderId="0" xfId="3" applyFont="1" applyFill="1" applyAlignment="1">
      <alignment horizontal="left" vertical="center"/>
    </xf>
    <xf numFmtId="0" fontId="10" fillId="0" borderId="0" xfId="2" applyFont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4" fillId="0" borderId="0" xfId="2" applyFont="1"/>
    <xf numFmtId="0" fontId="15" fillId="0" borderId="4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/>
    </xf>
    <xf numFmtId="0" fontId="15" fillId="0" borderId="11" xfId="1" applyFont="1" applyBorder="1" applyAlignment="1">
      <alignment vertical="center"/>
    </xf>
    <xf numFmtId="166" fontId="11" fillId="0" borderId="12" xfId="1" applyNumberFormat="1" applyFont="1" applyBorder="1" applyAlignment="1">
      <alignment vertical="center"/>
    </xf>
    <xf numFmtId="2" fontId="11" fillId="0" borderId="12" xfId="1" applyNumberFormat="1" applyFont="1" applyFill="1" applyBorder="1" applyAlignment="1">
      <alignment vertical="center"/>
    </xf>
    <xf numFmtId="2" fontId="11" fillId="0" borderId="14" xfId="1" applyNumberFormat="1" applyFont="1" applyFill="1" applyBorder="1" applyAlignment="1">
      <alignment vertical="center"/>
    </xf>
    <xf numFmtId="167" fontId="15" fillId="0" borderId="15" xfId="4" applyNumberFormat="1" applyFont="1" applyBorder="1" applyAlignment="1">
      <alignment vertical="center"/>
    </xf>
    <xf numFmtId="0" fontId="11" fillId="0" borderId="16" xfId="1" applyFont="1" applyBorder="1" applyAlignment="1">
      <alignment vertical="center"/>
    </xf>
    <xf numFmtId="0" fontId="11" fillId="0" borderId="17" xfId="1" applyFont="1" applyBorder="1" applyAlignment="1">
      <alignment vertical="center"/>
    </xf>
    <xf numFmtId="166" fontId="15" fillId="0" borderId="18" xfId="1" applyNumberFormat="1" applyFont="1" applyBorder="1" applyAlignment="1">
      <alignment horizontal="right" vertical="center"/>
    </xf>
    <xf numFmtId="166" fontId="15" fillId="0" borderId="18" xfId="1" applyNumberFormat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0" borderId="12" xfId="1" applyFont="1" applyBorder="1" applyAlignment="1">
      <alignment vertical="center"/>
    </xf>
    <xf numFmtId="166" fontId="11" fillId="0" borderId="18" xfId="1" applyNumberFormat="1" applyFont="1" applyBorder="1" applyAlignment="1">
      <alignment horizontal="right" vertical="center"/>
    </xf>
    <xf numFmtId="166" fontId="11" fillId="0" borderId="18" xfId="1" applyNumberFormat="1" applyFont="1" applyBorder="1" applyAlignment="1">
      <alignment vertical="center"/>
    </xf>
    <xf numFmtId="0" fontId="15" fillId="0" borderId="19" xfId="1" applyFont="1" applyBorder="1" applyAlignment="1">
      <alignment vertical="center"/>
    </xf>
    <xf numFmtId="166" fontId="11" fillId="0" borderId="20" xfId="1" applyNumberFormat="1" applyFont="1" applyBorder="1" applyAlignment="1">
      <alignment horizontal="center" vertical="center"/>
    </xf>
    <xf numFmtId="0" fontId="11" fillId="0" borderId="20" xfId="1" applyFont="1" applyFill="1" applyBorder="1" applyAlignment="1">
      <alignment vertical="center"/>
    </xf>
    <xf numFmtId="0" fontId="11" fillId="0" borderId="21" xfId="1" applyFont="1" applyBorder="1" applyAlignment="1">
      <alignment vertical="center"/>
    </xf>
    <xf numFmtId="167" fontId="15" fillId="0" borderId="22" xfId="4" applyNumberFormat="1" applyFont="1" applyBorder="1" applyAlignment="1">
      <alignment vertical="center"/>
    </xf>
    <xf numFmtId="0" fontId="15" fillId="0" borderId="11" xfId="1" applyFont="1" applyBorder="1" applyAlignment="1">
      <alignment horizontal="left" vertical="center"/>
    </xf>
    <xf numFmtId="167" fontId="11" fillId="0" borderId="0" xfId="1" applyNumberFormat="1" applyFont="1" applyBorder="1" applyAlignment="1">
      <alignment vertical="center"/>
    </xf>
    <xf numFmtId="167" fontId="15" fillId="0" borderId="18" xfId="4" quotePrefix="1" applyNumberFormat="1" applyFont="1" applyFill="1" applyBorder="1" applyAlignment="1">
      <alignment horizontal="right" vertical="center"/>
    </xf>
    <xf numFmtId="0" fontId="11" fillId="0" borderId="0" xfId="1" applyFont="1" applyBorder="1" applyAlignment="1">
      <alignment horizontal="left" vertical="center"/>
    </xf>
    <xf numFmtId="10" fontId="15" fillId="0" borderId="28" xfId="1" applyNumberFormat="1" applyFont="1" applyFill="1" applyBorder="1" applyAlignment="1">
      <alignment horizontal="right" vertical="center"/>
    </xf>
    <xf numFmtId="0" fontId="17" fillId="0" borderId="0" xfId="1" applyFont="1" applyBorder="1" applyAlignment="1">
      <alignment horizontal="left" vertical="center"/>
    </xf>
    <xf numFmtId="167" fontId="16" fillId="0" borderId="0" xfId="1" applyNumberFormat="1" applyFont="1" applyBorder="1" applyAlignment="1">
      <alignment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5" fillId="0" borderId="31" xfId="1" applyFont="1" applyBorder="1" applyAlignment="1">
      <alignment vertical="center"/>
    </xf>
    <xf numFmtId="0" fontId="11" fillId="0" borderId="32" xfId="1" applyFont="1" applyBorder="1" applyAlignment="1">
      <alignment vertical="center"/>
    </xf>
    <xf numFmtId="167" fontId="11" fillId="0" borderId="4" xfId="4" applyNumberFormat="1" applyFont="1" applyBorder="1" applyAlignment="1">
      <alignment vertical="center"/>
    </xf>
    <xf numFmtId="167" fontId="11" fillId="0" borderId="33" xfId="4" applyNumberFormat="1" applyFont="1" applyBorder="1" applyAlignment="1">
      <alignment vertical="center"/>
    </xf>
    <xf numFmtId="0" fontId="15" fillId="0" borderId="24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167" fontId="11" fillId="0" borderId="11" xfId="4" applyNumberFormat="1" applyFont="1" applyBorder="1" applyAlignment="1">
      <alignment vertical="center"/>
    </xf>
    <xf numFmtId="167" fontId="11" fillId="0" borderId="12" xfId="4" applyNumberFormat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34" xfId="1" applyFont="1" applyBorder="1" applyAlignment="1">
      <alignment vertical="center"/>
    </xf>
    <xf numFmtId="167" fontId="11" fillId="0" borderId="17" xfId="4" applyNumberFormat="1" applyFont="1" applyBorder="1" applyAlignment="1">
      <alignment vertical="center"/>
    </xf>
    <xf numFmtId="167" fontId="11" fillId="0" borderId="35" xfId="4" applyNumberFormat="1" applyFont="1" applyBorder="1" applyAlignment="1">
      <alignment vertical="center"/>
    </xf>
    <xf numFmtId="167" fontId="11" fillId="0" borderId="18" xfId="4" applyNumberFormat="1" applyFont="1" applyBorder="1" applyAlignment="1">
      <alignment vertical="center"/>
    </xf>
    <xf numFmtId="164" fontId="11" fillId="0" borderId="14" xfId="4" applyNumberFormat="1" applyFont="1" applyFill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67" fontId="11" fillId="0" borderId="12" xfId="4" applyNumberFormat="1" applyFont="1" applyFill="1" applyBorder="1" applyAlignment="1">
      <alignment vertical="center"/>
    </xf>
    <xf numFmtId="167" fontId="11" fillId="0" borderId="15" xfId="4" applyNumberFormat="1" applyFont="1" applyFill="1" applyBorder="1" applyAlignment="1">
      <alignment vertical="center"/>
    </xf>
    <xf numFmtId="167" fontId="11" fillId="0" borderId="25" xfId="4" applyNumberFormat="1" applyFont="1" applyFill="1" applyBorder="1" applyAlignment="1">
      <alignment vertical="center"/>
    </xf>
    <xf numFmtId="38" fontId="11" fillId="0" borderId="11" xfId="6" applyNumberFormat="1" applyFont="1" applyBorder="1" applyAlignment="1">
      <alignment horizontal="center" vertical="center"/>
    </xf>
    <xf numFmtId="168" fontId="11" fillId="0" borderId="14" xfId="1" applyNumberFormat="1" applyFont="1" applyBorder="1" applyAlignment="1">
      <alignment vertical="center"/>
    </xf>
    <xf numFmtId="0" fontId="19" fillId="0" borderId="11" xfId="1" applyFont="1" applyBorder="1" applyAlignment="1">
      <alignment vertical="center"/>
    </xf>
    <xf numFmtId="167" fontId="11" fillId="0" borderId="25" xfId="4" applyNumberFormat="1" applyFont="1" applyBorder="1" applyAlignment="1">
      <alignment vertical="center"/>
    </xf>
    <xf numFmtId="167" fontId="11" fillId="0" borderId="15" xfId="4" applyNumberFormat="1" applyFont="1" applyBorder="1" applyAlignment="1">
      <alignment vertical="center"/>
    </xf>
    <xf numFmtId="0" fontId="11" fillId="0" borderId="14" xfId="1" applyFont="1" applyFill="1" applyBorder="1" applyAlignment="1">
      <alignment vertical="center"/>
    </xf>
    <xf numFmtId="167" fontId="11" fillId="0" borderId="12" xfId="1" applyNumberFormat="1" applyFont="1" applyBorder="1" applyAlignment="1">
      <alignment vertical="center"/>
    </xf>
    <xf numFmtId="167" fontId="11" fillId="0" borderId="25" xfId="1" applyNumberFormat="1" applyFont="1" applyBorder="1" applyAlignment="1">
      <alignment vertical="center"/>
    </xf>
    <xf numFmtId="167" fontId="11" fillId="0" borderId="15" xfId="1" applyNumberFormat="1" applyFont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167" fontId="11" fillId="0" borderId="34" xfId="4" applyNumberFormat="1" applyFont="1" applyBorder="1" applyAlignment="1">
      <alignment vertical="center"/>
    </xf>
    <xf numFmtId="0" fontId="11" fillId="0" borderId="24" xfId="1" applyFont="1" applyFill="1" applyBorder="1" applyAlignment="1">
      <alignment vertical="center"/>
    </xf>
    <xf numFmtId="167" fontId="11" fillId="0" borderId="34" xfId="5" applyNumberFormat="1" applyFont="1" applyFill="1" applyBorder="1" applyAlignment="1">
      <alignment vertical="center"/>
    </xf>
    <xf numFmtId="167" fontId="11" fillId="0" borderId="11" xfId="4" applyNumberFormat="1" applyFont="1" applyFill="1" applyBorder="1" applyAlignment="1">
      <alignment vertical="center"/>
    </xf>
    <xf numFmtId="0" fontId="11" fillId="0" borderId="0" xfId="1" applyFont="1" applyFill="1" applyAlignment="1">
      <alignment vertical="center"/>
    </xf>
    <xf numFmtId="167" fontId="17" fillId="0" borderId="11" xfId="7" applyNumberFormat="1" applyFont="1" applyFill="1" applyBorder="1" applyAlignment="1">
      <alignment vertical="center"/>
    </xf>
    <xf numFmtId="167" fontId="11" fillId="0" borderId="12" xfId="7" applyNumberFormat="1" applyFont="1" applyFill="1" applyBorder="1" applyAlignment="1">
      <alignment vertical="center"/>
    </xf>
    <xf numFmtId="167" fontId="11" fillId="0" borderId="25" xfId="7" applyNumberFormat="1" applyFont="1" applyFill="1" applyBorder="1" applyAlignment="1">
      <alignment vertical="center"/>
    </xf>
    <xf numFmtId="167" fontId="11" fillId="0" borderId="15" xfId="7" applyNumberFormat="1" applyFont="1" applyFill="1" applyBorder="1" applyAlignment="1">
      <alignment vertical="center"/>
    </xf>
    <xf numFmtId="9" fontId="15" fillId="0" borderId="24" xfId="1" applyNumberFormat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11" fillId="0" borderId="37" xfId="1" applyFont="1" applyBorder="1" applyAlignment="1">
      <alignment vertical="center"/>
    </xf>
    <xf numFmtId="166" fontId="20" fillId="0" borderId="16" xfId="1" applyNumberFormat="1" applyFont="1" applyBorder="1" applyAlignment="1">
      <alignment vertical="center"/>
    </xf>
    <xf numFmtId="167" fontId="11" fillId="0" borderId="17" xfId="1" applyNumberFormat="1" applyFont="1" applyBorder="1" applyAlignment="1">
      <alignment vertical="center"/>
    </xf>
    <xf numFmtId="167" fontId="11" fillId="0" borderId="18" xfId="1" applyNumberFormat="1" applyFont="1" applyBorder="1" applyAlignment="1">
      <alignment vertical="center"/>
    </xf>
    <xf numFmtId="167" fontId="11" fillId="0" borderId="35" xfId="1" applyNumberFormat="1" applyFont="1" applyBorder="1" applyAlignment="1">
      <alignment vertical="center"/>
    </xf>
    <xf numFmtId="0" fontId="15" fillId="0" borderId="26" xfId="1" applyFont="1" applyBorder="1" applyAlignment="1">
      <alignment vertical="center"/>
    </xf>
    <xf numFmtId="0" fontId="15" fillId="0" borderId="21" xfId="1" applyFont="1" applyBorder="1" applyAlignment="1">
      <alignment vertical="center"/>
    </xf>
    <xf numFmtId="167" fontId="15" fillId="0" borderId="20" xfId="1" applyNumberFormat="1" applyFont="1" applyBorder="1" applyAlignment="1">
      <alignment vertical="center"/>
    </xf>
    <xf numFmtId="167" fontId="15" fillId="0" borderId="28" xfId="1" applyNumberFormat="1" applyFont="1" applyBorder="1" applyAlignment="1">
      <alignment vertical="center"/>
    </xf>
    <xf numFmtId="167" fontId="15" fillId="0" borderId="22" xfId="1" applyNumberFormat="1" applyFont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2" fillId="0" borderId="0" xfId="1" applyFont="1" applyAlignment="1">
      <alignment vertical="center"/>
    </xf>
    <xf numFmtId="0" fontId="23" fillId="0" borderId="0" xfId="1" applyFont="1" applyFill="1" applyAlignment="1">
      <alignment vertical="center"/>
    </xf>
    <xf numFmtId="0" fontId="22" fillId="0" borderId="0" xfId="1" applyFont="1" applyFill="1" applyAlignment="1">
      <alignment vertical="center"/>
    </xf>
    <xf numFmtId="0" fontId="22" fillId="0" borderId="0" xfId="2" applyFont="1" applyFill="1" applyAlignment="1">
      <alignment vertical="center"/>
    </xf>
    <xf numFmtId="0" fontId="24" fillId="0" borderId="0" xfId="1" applyFont="1"/>
    <xf numFmtId="0" fontId="6" fillId="0" borderId="38" xfId="1" applyFont="1" applyFill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6" fillId="0" borderId="38" xfId="1" applyFont="1" applyBorder="1" applyAlignment="1">
      <alignment vertical="center"/>
    </xf>
    <xf numFmtId="0" fontId="25" fillId="0" borderId="0" xfId="1" applyFont="1"/>
    <xf numFmtId="0" fontId="15" fillId="0" borderId="0" xfId="1" applyFont="1" applyBorder="1" applyAlignment="1">
      <alignment vertical="center"/>
    </xf>
    <xf numFmtId="0" fontId="15" fillId="0" borderId="0" xfId="1" applyFont="1" applyBorder="1" applyAlignment="1">
      <alignment horizontal="center" vertical="center"/>
    </xf>
    <xf numFmtId="0" fontId="11" fillId="0" borderId="40" xfId="1" applyFont="1" applyFill="1" applyBorder="1" applyAlignment="1">
      <alignment horizontal="center"/>
    </xf>
    <xf numFmtId="167" fontId="11" fillId="0" borderId="5" xfId="4" applyNumberFormat="1" applyFont="1" applyFill="1" applyBorder="1" applyAlignment="1">
      <alignment horizontal="right" vertical="center" wrapText="1" shrinkToFit="1"/>
    </xf>
    <xf numFmtId="167" fontId="11" fillId="0" borderId="18" xfId="1" applyNumberFormat="1" applyFont="1" applyFill="1" applyBorder="1"/>
    <xf numFmtId="0" fontId="11" fillId="0" borderId="25" xfId="1" applyFont="1" applyFill="1" applyBorder="1" applyAlignment="1">
      <alignment horizontal="center"/>
    </xf>
    <xf numFmtId="167" fontId="11" fillId="0" borderId="12" xfId="4" applyNumberFormat="1" applyFont="1" applyFill="1" applyBorder="1" applyAlignment="1">
      <alignment horizontal="right" vertical="center" wrapText="1" shrinkToFit="1"/>
    </xf>
    <xf numFmtId="167" fontId="11" fillId="0" borderId="15" xfId="1" applyNumberFormat="1" applyFont="1" applyFill="1" applyBorder="1"/>
    <xf numFmtId="37" fontId="11" fillId="0" borderId="25" xfId="4" applyNumberFormat="1" applyFont="1" applyFill="1" applyBorder="1" applyAlignment="1">
      <alignment horizontal="center"/>
    </xf>
    <xf numFmtId="167" fontId="11" fillId="0" borderId="15" xfId="1" applyNumberFormat="1" applyFont="1" applyFill="1" applyBorder="1" applyAlignment="1">
      <alignment vertical="center"/>
    </xf>
    <xf numFmtId="167" fontId="11" fillId="0" borderId="0" xfId="1" applyNumberFormat="1" applyFont="1" applyAlignment="1">
      <alignment vertical="center"/>
    </xf>
    <xf numFmtId="0" fontId="15" fillId="0" borderId="42" xfId="1" applyFont="1" applyBorder="1" applyAlignment="1">
      <alignment horizontal="center" vertical="center"/>
    </xf>
    <xf numFmtId="0" fontId="15" fillId="0" borderId="43" xfId="1" applyFont="1" applyBorder="1" applyAlignment="1">
      <alignment horizontal="center" vertical="center"/>
    </xf>
    <xf numFmtId="166" fontId="11" fillId="0" borderId="16" xfId="1" applyNumberFormat="1" applyFont="1" applyBorder="1" applyAlignment="1">
      <alignment vertical="center"/>
    </xf>
    <xf numFmtId="166" fontId="11" fillId="0" borderId="17" xfId="1" applyNumberFormat="1" applyFont="1" applyBorder="1" applyAlignment="1">
      <alignment vertical="center"/>
    </xf>
    <xf numFmtId="166" fontId="11" fillId="0" borderId="11" xfId="1" applyNumberFormat="1" applyFont="1" applyBorder="1" applyAlignment="1">
      <alignment vertical="center"/>
    </xf>
    <xf numFmtId="166" fontId="11" fillId="0" borderId="15" xfId="1" applyNumberFormat="1" applyFont="1" applyBorder="1" applyAlignment="1">
      <alignment vertical="center"/>
    </xf>
    <xf numFmtId="166" fontId="11" fillId="0" borderId="41" xfId="1" applyNumberFormat="1" applyFont="1" applyBorder="1" applyAlignment="1">
      <alignment vertical="center"/>
    </xf>
    <xf numFmtId="166" fontId="15" fillId="0" borderId="45" xfId="1" applyNumberFormat="1" applyFont="1" applyBorder="1" applyAlignment="1">
      <alignment vertical="center"/>
    </xf>
    <xf numFmtId="166" fontId="15" fillId="0" borderId="47" xfId="1" applyNumberFormat="1" applyFont="1" applyBorder="1" applyAlignment="1">
      <alignment vertical="center"/>
    </xf>
    <xf numFmtId="166" fontId="11" fillId="0" borderId="1" xfId="1" applyNumberFormat="1" applyFont="1" applyBorder="1" applyAlignment="1">
      <alignment vertical="center"/>
    </xf>
    <xf numFmtId="166" fontId="11" fillId="0" borderId="2" xfId="1" applyNumberFormat="1" applyFont="1" applyBorder="1" applyAlignment="1">
      <alignment vertical="center"/>
    </xf>
    <xf numFmtId="166" fontId="11" fillId="0" borderId="3" xfId="1" applyNumberFormat="1" applyFont="1" applyBorder="1" applyAlignment="1">
      <alignment vertical="center"/>
    </xf>
    <xf numFmtId="167" fontId="11" fillId="0" borderId="34" xfId="1" applyNumberFormat="1" applyFont="1" applyBorder="1" applyAlignment="1">
      <alignment vertical="center"/>
    </xf>
    <xf numFmtId="0" fontId="11" fillId="0" borderId="11" xfId="1" applyFont="1" applyBorder="1"/>
    <xf numFmtId="167" fontId="11" fillId="0" borderId="12" xfId="1" applyNumberFormat="1" applyFont="1" applyFill="1" applyBorder="1"/>
    <xf numFmtId="167" fontId="11" fillId="0" borderId="34" xfId="1" applyNumberFormat="1" applyFont="1" applyBorder="1"/>
    <xf numFmtId="167" fontId="11" fillId="0" borderId="15" xfId="1" applyNumberFormat="1" applyFont="1" applyBorder="1"/>
    <xf numFmtId="0" fontId="11" fillId="0" borderId="0" xfId="1" applyFont="1"/>
    <xf numFmtId="0" fontId="11" fillId="0" borderId="19" xfId="1" applyFont="1" applyBorder="1" applyAlignment="1">
      <alignment vertical="center"/>
    </xf>
    <xf numFmtId="167" fontId="11" fillId="0" borderId="20" xfId="4" applyNumberFormat="1" applyFont="1" applyFill="1" applyBorder="1" applyAlignment="1">
      <alignment vertical="center"/>
    </xf>
    <xf numFmtId="166" fontId="11" fillId="0" borderId="0" xfId="1" applyNumberFormat="1" applyFont="1" applyBorder="1" applyAlignment="1">
      <alignment vertical="center"/>
    </xf>
    <xf numFmtId="0" fontId="11" fillId="0" borderId="40" xfId="1" applyFont="1" applyFill="1" applyBorder="1" applyAlignment="1">
      <alignment vertical="center"/>
    </xf>
    <xf numFmtId="0" fontId="15" fillId="0" borderId="5" xfId="1" applyFont="1" applyFill="1" applyBorder="1" applyAlignment="1">
      <alignment vertical="center"/>
    </xf>
    <xf numFmtId="0" fontId="11" fillId="0" borderId="35" xfId="1" applyFont="1" applyFill="1" applyBorder="1" applyAlignment="1">
      <alignment vertical="center"/>
    </xf>
    <xf numFmtId="0" fontId="15" fillId="0" borderId="17" xfId="1" applyFont="1" applyFill="1" applyBorder="1" applyAlignment="1">
      <alignment vertical="center"/>
    </xf>
    <xf numFmtId="0" fontId="11" fillId="0" borderId="25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0" fontId="11" fillId="0" borderId="25" xfId="1" applyFont="1" applyFill="1" applyBorder="1" applyAlignment="1">
      <alignment horizontal="left" vertical="center"/>
    </xf>
    <xf numFmtId="0" fontId="29" fillId="0" borderId="0" xfId="2" applyFont="1"/>
    <xf numFmtId="0" fontId="2" fillId="0" borderId="0" xfId="2"/>
    <xf numFmtId="0" fontId="30" fillId="0" borderId="0" xfId="2" applyFont="1"/>
    <xf numFmtId="0" fontId="31" fillId="0" borderId="0" xfId="2" applyFont="1"/>
    <xf numFmtId="0" fontId="32" fillId="0" borderId="10" xfId="2" applyFont="1" applyBorder="1" applyAlignment="1">
      <alignment horizontal="center" wrapText="1"/>
    </xf>
    <xf numFmtId="167" fontId="31" fillId="0" borderId="49" xfId="4" applyNumberFormat="1" applyFont="1" applyBorder="1"/>
    <xf numFmtId="167" fontId="31" fillId="0" borderId="49" xfId="2" applyNumberFormat="1" applyFont="1" applyBorder="1"/>
    <xf numFmtId="167" fontId="31" fillId="0" borderId="0" xfId="2" applyNumberFormat="1" applyFont="1" applyBorder="1"/>
    <xf numFmtId="10" fontId="31" fillId="0" borderId="0" xfId="2" applyNumberFormat="1" applyFont="1" applyBorder="1"/>
    <xf numFmtId="0" fontId="32" fillId="0" borderId="50" xfId="2" applyFont="1" applyBorder="1"/>
    <xf numFmtId="0" fontId="31" fillId="0" borderId="50" xfId="2" applyFont="1" applyBorder="1"/>
    <xf numFmtId="167" fontId="32" fillId="0" borderId="50" xfId="2" applyNumberFormat="1" applyFont="1" applyBorder="1"/>
    <xf numFmtId="167" fontId="4" fillId="0" borderId="0" xfId="11" applyNumberFormat="1" applyFont="1" applyAlignment="1">
      <alignment vertical="center"/>
    </xf>
    <xf numFmtId="9" fontId="11" fillId="0" borderId="0" xfId="1" applyNumberFormat="1" applyFont="1" applyAlignment="1">
      <alignment vertical="center"/>
    </xf>
    <xf numFmtId="0" fontId="11" fillId="0" borderId="38" xfId="1" applyFont="1" applyBorder="1" applyAlignment="1">
      <alignment vertical="center" wrapText="1"/>
    </xf>
    <xf numFmtId="167" fontId="11" fillId="0" borderId="51" xfId="7" applyNumberFormat="1" applyFont="1" applyFill="1" applyBorder="1" applyAlignment="1">
      <alignment horizontal="center" vertical="center" wrapText="1"/>
    </xf>
    <xf numFmtId="0" fontId="15" fillId="0" borderId="54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167" fontId="11" fillId="0" borderId="14" xfId="4" applyNumberFormat="1" applyFont="1" applyFill="1" applyBorder="1" applyAlignment="1">
      <alignment vertical="center"/>
    </xf>
    <xf numFmtId="37" fontId="11" fillId="0" borderId="25" xfId="4" applyNumberFormat="1" applyFont="1" applyFill="1" applyBorder="1" applyAlignment="1">
      <alignment horizontal="center" vertical="center"/>
    </xf>
    <xf numFmtId="167" fontId="11" fillId="2" borderId="15" xfId="1" applyNumberFormat="1" applyFont="1" applyFill="1" applyBorder="1"/>
    <xf numFmtId="0" fontId="11" fillId="2" borderId="25" xfId="1" applyFont="1" applyFill="1" applyBorder="1" applyAlignment="1">
      <alignment horizontal="center"/>
    </xf>
    <xf numFmtId="167" fontId="11" fillId="2" borderId="12" xfId="4" applyNumberFormat="1" applyFont="1" applyFill="1" applyBorder="1" applyAlignment="1">
      <alignment horizontal="right" vertical="center" wrapText="1" shrinkToFit="1"/>
    </xf>
    <xf numFmtId="164" fontId="11" fillId="0" borderId="0" xfId="1" applyNumberFormat="1" applyFont="1" applyAlignment="1">
      <alignment vertical="center"/>
    </xf>
    <xf numFmtId="167" fontId="11" fillId="0" borderId="41" xfId="7" applyNumberFormat="1" applyFont="1" applyFill="1" applyBorder="1" applyAlignment="1">
      <alignment vertical="center"/>
    </xf>
    <xf numFmtId="0" fontId="11" fillId="0" borderId="38" xfId="1" applyFont="1" applyBorder="1" applyAlignment="1">
      <alignment vertical="center"/>
    </xf>
    <xf numFmtId="167" fontId="11" fillId="0" borderId="41" xfId="4" applyNumberFormat="1" applyFont="1" applyBorder="1" applyAlignment="1">
      <alignment vertical="center"/>
    </xf>
    <xf numFmtId="167" fontId="11" fillId="0" borderId="41" xfId="4" applyNumberFormat="1" applyFont="1" applyFill="1" applyBorder="1" applyAlignment="1">
      <alignment vertical="center"/>
    </xf>
    <xf numFmtId="167" fontId="11" fillId="0" borderId="41" xfId="1" applyNumberFormat="1" applyFont="1" applyBorder="1" applyAlignment="1">
      <alignment vertical="center"/>
    </xf>
    <xf numFmtId="167" fontId="11" fillId="0" borderId="48" xfId="1" applyNumberFormat="1" applyFont="1" applyBorder="1" applyAlignment="1">
      <alignment vertical="center"/>
    </xf>
    <xf numFmtId="167" fontId="15" fillId="0" borderId="55" xfId="1" applyNumberFormat="1" applyFont="1" applyBorder="1" applyAlignment="1">
      <alignment vertical="center"/>
    </xf>
    <xf numFmtId="0" fontId="15" fillId="0" borderId="44" xfId="1" applyFont="1" applyBorder="1" applyAlignment="1">
      <alignment horizontal="center" vertical="center"/>
    </xf>
    <xf numFmtId="167" fontId="11" fillId="0" borderId="41" xfId="1" applyNumberFormat="1" applyFont="1" applyBorder="1"/>
    <xf numFmtId="0" fontId="36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167" fontId="4" fillId="0" borderId="0" xfId="11" applyNumberFormat="1" applyFont="1" applyBorder="1" applyAlignment="1">
      <alignment vertical="center"/>
    </xf>
    <xf numFmtId="167" fontId="36" fillId="0" borderId="0" xfId="11" applyNumberFormat="1" applyFont="1" applyBorder="1" applyAlignment="1">
      <alignment vertical="center"/>
    </xf>
    <xf numFmtId="0" fontId="11" fillId="0" borderId="46" xfId="1" applyFont="1" applyFill="1" applyBorder="1" applyAlignment="1">
      <alignment horizontal="center"/>
    </xf>
    <xf numFmtId="167" fontId="11" fillId="0" borderId="56" xfId="4" applyNumberFormat="1" applyFont="1" applyFill="1" applyBorder="1" applyAlignment="1">
      <alignment horizontal="right" vertical="center" wrapText="1" shrinkToFit="1"/>
    </xf>
    <xf numFmtId="167" fontId="11" fillId="0" borderId="57" xfId="1" applyNumberFormat="1" applyFont="1" applyFill="1" applyBorder="1"/>
    <xf numFmtId="0" fontId="36" fillId="0" borderId="0" xfId="1" applyFont="1" applyAlignment="1">
      <alignment vertical="center"/>
    </xf>
    <xf numFmtId="10" fontId="15" fillId="0" borderId="22" xfId="1" applyNumberFormat="1" applyFont="1" applyFill="1" applyBorder="1" applyAlignment="1">
      <alignment vertical="center"/>
    </xf>
    <xf numFmtId="0" fontId="15" fillId="0" borderId="10" xfId="1" applyFont="1" applyBorder="1" applyAlignment="1">
      <alignment horizontal="center" vertical="center"/>
    </xf>
    <xf numFmtId="164" fontId="22" fillId="0" borderId="0" xfId="2" applyNumberFormat="1" applyFont="1" applyFill="1" applyAlignment="1">
      <alignment vertical="center"/>
    </xf>
    <xf numFmtId="0" fontId="15" fillId="0" borderId="16" xfId="1" applyFont="1" applyBorder="1" applyAlignment="1">
      <alignment vertical="center"/>
    </xf>
    <xf numFmtId="167" fontId="11" fillId="0" borderId="58" xfId="4" applyNumberFormat="1" applyFont="1" applyBorder="1" applyAlignment="1">
      <alignment vertical="center"/>
    </xf>
    <xf numFmtId="0" fontId="22" fillId="0" borderId="0" xfId="2" quotePrefix="1" applyFont="1" applyFill="1" applyAlignment="1">
      <alignment horizontal="right" vertical="top"/>
    </xf>
    <xf numFmtId="0" fontId="6" fillId="0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  <xf numFmtId="0" fontId="9" fillId="0" borderId="0" xfId="1" applyFont="1" applyFill="1" applyAlignment="1">
      <alignment vertical="center"/>
    </xf>
    <xf numFmtId="0" fontId="9" fillId="0" borderId="0" xfId="3" quotePrefix="1" applyFont="1" applyFill="1" applyAlignment="1">
      <alignment horizontal="left" vertical="center"/>
    </xf>
    <xf numFmtId="0" fontId="21" fillId="0" borderId="0" xfId="1" applyFont="1" applyAlignment="1">
      <alignment vertical="center"/>
    </xf>
    <xf numFmtId="2" fontId="11" fillId="0" borderId="34" xfId="1" applyNumberFormat="1" applyFont="1" applyFill="1" applyBorder="1" applyAlignment="1">
      <alignment vertical="center"/>
    </xf>
    <xf numFmtId="164" fontId="15" fillId="0" borderId="15" xfId="4" applyNumberFormat="1" applyFont="1" applyFill="1" applyBorder="1" applyAlignment="1">
      <alignment horizontal="right" vertical="center"/>
    </xf>
    <xf numFmtId="166" fontId="11" fillId="0" borderId="12" xfId="1" applyNumberFormat="1" applyFont="1" applyFill="1" applyBorder="1" applyAlignment="1">
      <alignment vertical="center"/>
    </xf>
    <xf numFmtId="166" fontId="11" fillId="0" borderId="20" xfId="1" applyNumberFormat="1" applyFont="1" applyFill="1" applyBorder="1" applyAlignment="1">
      <alignment horizontal="right" vertical="center"/>
    </xf>
    <xf numFmtId="0" fontId="14" fillId="0" borderId="0" xfId="2" applyFont="1" applyFill="1" applyAlignment="1">
      <alignment vertical="center"/>
    </xf>
    <xf numFmtId="0" fontId="14" fillId="0" borderId="0" xfId="2" applyFont="1" applyFill="1"/>
    <xf numFmtId="166" fontId="15" fillId="0" borderId="18" xfId="4" applyNumberFormat="1" applyFont="1" applyFill="1" applyBorder="1" applyAlignment="1">
      <alignment vertical="center"/>
    </xf>
    <xf numFmtId="167" fontId="11" fillId="0" borderId="20" xfId="92" applyNumberFormat="1" applyFont="1" applyFill="1" applyBorder="1" applyAlignment="1">
      <alignment vertical="center"/>
    </xf>
    <xf numFmtId="167" fontId="11" fillId="0" borderId="25" xfId="1" applyNumberFormat="1" applyFont="1" applyFill="1" applyBorder="1"/>
    <xf numFmtId="0" fontId="15" fillId="0" borderId="0" xfId="1" applyFont="1" applyBorder="1" applyAlignment="1">
      <alignment horizontal="left" vertical="center"/>
    </xf>
    <xf numFmtId="10" fontId="15" fillId="0" borderId="0" xfId="1" applyNumberFormat="1" applyFont="1" applyFill="1" applyBorder="1" applyAlignment="1">
      <alignment horizontal="right" vertical="center"/>
    </xf>
    <xf numFmtId="10" fontId="15" fillId="0" borderId="0" xfId="1" applyNumberFormat="1" applyFont="1" applyFill="1" applyBorder="1" applyAlignment="1">
      <alignment vertical="center"/>
    </xf>
    <xf numFmtId="0" fontId="37" fillId="0" borderId="0" xfId="1" applyFont="1" applyBorder="1" applyAlignment="1">
      <alignment horizontal="left" vertical="center"/>
    </xf>
    <xf numFmtId="9" fontId="11" fillId="0" borderId="12" xfId="37" applyFont="1" applyBorder="1" applyAlignment="1">
      <alignment vertical="center"/>
    </xf>
    <xf numFmtId="167" fontId="15" fillId="0" borderId="12" xfId="4" applyNumberFormat="1" applyFont="1" applyBorder="1" applyAlignment="1">
      <alignment vertical="center"/>
    </xf>
    <xf numFmtId="9" fontId="11" fillId="0" borderId="25" xfId="37" applyFont="1" applyBorder="1" applyAlignment="1">
      <alignment vertical="center"/>
    </xf>
    <xf numFmtId="9" fontId="11" fillId="0" borderId="15" xfId="37" applyFont="1" applyBorder="1" applyAlignment="1">
      <alignment vertical="center"/>
    </xf>
    <xf numFmtId="167" fontId="11" fillId="0" borderId="27" xfId="92" applyNumberFormat="1" applyFont="1" applyFill="1" applyBorder="1" applyAlignment="1">
      <alignment vertical="center"/>
    </xf>
    <xf numFmtId="167" fontId="11" fillId="0" borderId="22" xfId="92" applyNumberFormat="1" applyFont="1" applyFill="1" applyBorder="1" applyAlignment="1">
      <alignment vertical="center"/>
    </xf>
    <xf numFmtId="171" fontId="13" fillId="0" borderId="0" xfId="2" applyNumberFormat="1" applyFont="1" applyFill="1" applyAlignment="1">
      <alignment horizontal="left" vertical="center"/>
    </xf>
    <xf numFmtId="2" fontId="4" fillId="0" borderId="0" xfId="1" applyNumberFormat="1" applyFont="1" applyBorder="1" applyAlignment="1">
      <alignment vertical="center"/>
    </xf>
    <xf numFmtId="167" fontId="15" fillId="0" borderId="25" xfId="4" applyNumberFormat="1" applyFont="1" applyBorder="1" applyAlignment="1">
      <alignment vertical="center"/>
    </xf>
    <xf numFmtId="0" fontId="15" fillId="3" borderId="30" xfId="1" applyFont="1" applyFill="1" applyBorder="1" applyAlignment="1">
      <alignment horizontal="center" vertical="center"/>
    </xf>
    <xf numFmtId="0" fontId="15" fillId="3" borderId="30" xfId="1" applyFont="1" applyFill="1" applyBorder="1" applyAlignment="1">
      <alignment horizontal="center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1" fillId="3" borderId="8" xfId="1" applyFont="1" applyFill="1" applyBorder="1" applyAlignment="1">
      <alignment vertical="center"/>
    </xf>
    <xf numFmtId="0" fontId="11" fillId="3" borderId="43" xfId="1" applyFont="1" applyFill="1" applyBorder="1" applyAlignment="1">
      <alignment vertical="center"/>
    </xf>
    <xf numFmtId="167" fontId="15" fillId="3" borderId="9" xfId="1" applyNumberFormat="1" applyFont="1" applyFill="1" applyBorder="1" applyAlignment="1">
      <alignment vertical="center"/>
    </xf>
    <xf numFmtId="0" fontId="15" fillId="0" borderId="8" xfId="1" applyFont="1" applyFill="1" applyBorder="1" applyAlignment="1">
      <alignment horizontal="left" vertical="center"/>
    </xf>
    <xf numFmtId="0" fontId="15" fillId="0" borderId="10" xfId="1" applyFont="1" applyFill="1" applyBorder="1" applyAlignment="1">
      <alignment horizontal="center" vertical="center"/>
    </xf>
    <xf numFmtId="0" fontId="15" fillId="0" borderId="10" xfId="1" applyFont="1" applyFill="1" applyBorder="1" applyAlignment="1">
      <alignment horizontal="center" vertical="center" wrapText="1"/>
    </xf>
    <xf numFmtId="167" fontId="11" fillId="0" borderId="7" xfId="1" applyNumberFormat="1" applyFont="1" applyFill="1" applyBorder="1" applyAlignment="1">
      <alignment vertical="center"/>
    </xf>
    <xf numFmtId="167" fontId="11" fillId="0" borderId="12" xfId="9" applyNumberFormat="1" applyFont="1" applyFill="1" applyBorder="1" applyAlignment="1">
      <alignment vertical="center"/>
    </xf>
    <xf numFmtId="3" fontId="11" fillId="0" borderId="12" xfId="1" applyNumberFormat="1" applyFont="1" applyFill="1" applyBorder="1" applyAlignment="1">
      <alignment vertical="center"/>
    </xf>
    <xf numFmtId="167" fontId="11" fillId="0" borderId="15" xfId="9" applyNumberFormat="1" applyFont="1" applyFill="1" applyBorder="1" applyAlignment="1">
      <alignment vertical="center"/>
    </xf>
    <xf numFmtId="167" fontId="11" fillId="0" borderId="0" xfId="1" applyNumberFormat="1" applyFont="1" applyFill="1" applyAlignment="1">
      <alignment vertical="center"/>
    </xf>
    <xf numFmtId="0" fontId="11" fillId="0" borderId="21" xfId="1" applyFont="1" applyFill="1" applyBorder="1" applyAlignment="1">
      <alignment horizontal="left" vertical="center"/>
    </xf>
    <xf numFmtId="0" fontId="11" fillId="0" borderId="2" xfId="1" applyFont="1" applyFill="1" applyBorder="1" applyAlignment="1">
      <alignment vertical="center"/>
    </xf>
    <xf numFmtId="167" fontId="15" fillId="0" borderId="10" xfId="1" applyNumberFormat="1" applyFont="1" applyFill="1" applyBorder="1" applyAlignment="1">
      <alignment vertical="center"/>
    </xf>
    <xf numFmtId="49" fontId="23" fillId="0" borderId="0" xfId="1" quotePrefix="1" applyNumberFormat="1" applyFont="1" applyFill="1" applyBorder="1" applyAlignment="1">
      <alignment horizontal="right" vertical="top"/>
    </xf>
    <xf numFmtId="0" fontId="40" fillId="0" borderId="0" xfId="1" applyFont="1" applyFill="1" applyAlignment="1">
      <alignment vertical="center"/>
    </xf>
    <xf numFmtId="49" fontId="23" fillId="0" borderId="0" xfId="1" applyNumberFormat="1" applyFont="1" applyFill="1" applyBorder="1" applyAlignment="1">
      <alignment horizontal="right" vertical="top"/>
    </xf>
    <xf numFmtId="167" fontId="11" fillId="0" borderId="0" xfId="92" applyNumberFormat="1" applyFont="1" applyAlignment="1">
      <alignment vertical="center"/>
    </xf>
    <xf numFmtId="167" fontId="11" fillId="0" borderId="16" xfId="1" applyNumberFormat="1" applyFont="1" applyBorder="1" applyAlignment="1">
      <alignment vertical="center"/>
    </xf>
    <xf numFmtId="0" fontId="11" fillId="0" borderId="24" xfId="1" applyFont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41" fillId="0" borderId="0" xfId="98" applyFont="1"/>
    <xf numFmtId="0" fontId="42" fillId="0" borderId="0" xfId="98" applyFont="1"/>
    <xf numFmtId="0" fontId="43" fillId="4" borderId="12" xfId="98" applyFont="1" applyFill="1" applyBorder="1"/>
    <xf numFmtId="0" fontId="44" fillId="2" borderId="0" xfId="98" applyFont="1" applyFill="1" applyBorder="1"/>
    <xf numFmtId="0" fontId="45" fillId="5" borderId="12" xfId="98" applyFont="1" applyFill="1" applyBorder="1"/>
    <xf numFmtId="167" fontId="46" fillId="0" borderId="12" xfId="99" applyNumberFormat="1" applyFont="1" applyBorder="1"/>
    <xf numFmtId="167" fontId="46" fillId="2" borderId="0" xfId="92" applyNumberFormat="1" applyFont="1" applyFill="1" applyBorder="1"/>
    <xf numFmtId="167" fontId="47" fillId="2" borderId="0" xfId="99" applyNumberFormat="1" applyFont="1" applyFill="1" applyBorder="1"/>
    <xf numFmtId="0" fontId="48" fillId="2" borderId="0" xfId="98" applyFont="1" applyFill="1"/>
    <xf numFmtId="0" fontId="45" fillId="6" borderId="0" xfId="98" applyFont="1" applyFill="1" applyBorder="1"/>
    <xf numFmtId="0" fontId="42" fillId="0" borderId="0" xfId="98" applyFont="1" applyBorder="1"/>
    <xf numFmtId="167" fontId="42" fillId="0" borderId="0" xfId="98" applyNumberFormat="1" applyFont="1" applyBorder="1"/>
    <xf numFmtId="0" fontId="48" fillId="0" borderId="0" xfId="98" applyFont="1" applyBorder="1"/>
    <xf numFmtId="0" fontId="48" fillId="0" borderId="0" xfId="98" applyFont="1"/>
    <xf numFmtId="0" fontId="42" fillId="7" borderId="0" xfId="98" applyFont="1" applyFill="1"/>
    <xf numFmtId="0" fontId="41" fillId="7" borderId="0" xfId="100" applyFont="1" applyFill="1"/>
    <xf numFmtId="0" fontId="42" fillId="7" borderId="0" xfId="100" applyFont="1" applyFill="1"/>
    <xf numFmtId="167" fontId="42" fillId="7" borderId="0" xfId="11" applyNumberFormat="1" applyFont="1" applyFill="1"/>
    <xf numFmtId="0" fontId="42" fillId="0" borderId="0" xfId="100" applyFont="1"/>
    <xf numFmtId="0" fontId="50" fillId="7" borderId="0" xfId="100" applyFont="1" applyFill="1"/>
    <xf numFmtId="167" fontId="42" fillId="7" borderId="0" xfId="99" applyNumberFormat="1" applyFont="1" applyFill="1"/>
    <xf numFmtId="0" fontId="42" fillId="7" borderId="0" xfId="100" applyFont="1" applyFill="1" applyAlignment="1">
      <alignment horizontal="justify" vertical="center" wrapText="1"/>
    </xf>
    <xf numFmtId="167" fontId="50" fillId="7" borderId="0" xfId="11" applyNumberFormat="1" applyFont="1" applyFill="1"/>
    <xf numFmtId="0" fontId="41" fillId="0" borderId="0" xfId="100" applyFont="1"/>
    <xf numFmtId="0" fontId="46" fillId="7" borderId="0" xfId="100" applyFont="1" applyFill="1"/>
    <xf numFmtId="167" fontId="46" fillId="7" borderId="0" xfId="99" applyNumberFormat="1" applyFont="1" applyFill="1"/>
    <xf numFmtId="167" fontId="41" fillId="7" borderId="0" xfId="99" applyNumberFormat="1" applyFont="1" applyFill="1"/>
    <xf numFmtId="165" fontId="15" fillId="0" borderId="0" xfId="1" applyNumberFormat="1" applyFont="1" applyBorder="1" applyAlignment="1">
      <alignment vertical="center"/>
    </xf>
    <xf numFmtId="10" fontId="31" fillId="0" borderId="49" xfId="2" applyNumberFormat="1" applyFont="1" applyBorder="1"/>
    <xf numFmtId="0" fontId="11" fillId="0" borderId="24" xfId="1" applyFont="1" applyBorder="1" applyAlignment="1">
      <alignment horizontal="left" vertical="center"/>
    </xf>
    <xf numFmtId="9" fontId="46" fillId="0" borderId="0" xfId="102" applyFont="1" applyAlignment="1">
      <alignment horizontal="center"/>
    </xf>
    <xf numFmtId="9" fontId="49" fillId="2" borderId="0" xfId="102" applyFont="1" applyFill="1"/>
    <xf numFmtId="164" fontId="4" fillId="0" borderId="0" xfId="11" applyFont="1" applyAlignment="1">
      <alignment vertical="center"/>
    </xf>
    <xf numFmtId="0" fontId="11" fillId="0" borderId="24" xfId="1" applyFont="1" applyFill="1" applyBorder="1" applyAlignment="1">
      <alignment horizontal="left" vertical="center"/>
    </xf>
    <xf numFmtId="0" fontId="11" fillId="0" borderId="14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5" fillId="0" borderId="24" xfId="1" applyFont="1" applyFill="1" applyBorder="1" applyAlignment="1">
      <alignment horizontal="left" vertical="center"/>
    </xf>
    <xf numFmtId="0" fontId="11" fillId="0" borderId="14" xfId="1" applyFont="1" applyFill="1" applyBorder="1" applyAlignment="1">
      <alignment horizontal="left" vertical="center" wrapText="1"/>
    </xf>
    <xf numFmtId="0" fontId="11" fillId="0" borderId="34" xfId="1" applyFont="1" applyFill="1" applyBorder="1" applyAlignment="1">
      <alignment horizontal="left" vertical="center" wrapText="1"/>
    </xf>
    <xf numFmtId="0" fontId="15" fillId="0" borderId="3" xfId="1" applyFont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2" xfId="1" applyFont="1" applyFill="1" applyBorder="1" applyAlignment="1">
      <alignment horizontal="left" vertical="center"/>
    </xf>
    <xf numFmtId="0" fontId="15" fillId="3" borderId="24" xfId="1" applyFont="1" applyFill="1" applyBorder="1" applyAlignment="1">
      <alignment horizontal="left" vertical="center"/>
    </xf>
    <xf numFmtId="0" fontId="15" fillId="3" borderId="14" xfId="1" applyFont="1" applyFill="1" applyBorder="1" applyAlignment="1">
      <alignment horizontal="left" vertical="center"/>
    </xf>
    <xf numFmtId="0" fontId="15" fillId="3" borderId="34" xfId="1" applyFont="1" applyFill="1" applyBorder="1" applyAlignment="1">
      <alignment horizontal="left" vertical="center"/>
    </xf>
    <xf numFmtId="0" fontId="11" fillId="0" borderId="24" xfId="1" applyFont="1" applyFill="1" applyBorder="1" applyAlignment="1">
      <alignment horizontal="left" vertical="center" wrapText="1"/>
    </xf>
    <xf numFmtId="0" fontId="11" fillId="0" borderId="14" xfId="1" applyFont="1" applyFill="1" applyBorder="1" applyAlignment="1">
      <alignment horizontal="left" vertical="center" wrapText="1"/>
    </xf>
    <xf numFmtId="0" fontId="11" fillId="0" borderId="34" xfId="1" applyFont="1" applyFill="1" applyBorder="1" applyAlignment="1">
      <alignment horizontal="left" vertical="center" wrapText="1"/>
    </xf>
    <xf numFmtId="0" fontId="22" fillId="0" borderId="0" xfId="2" applyFont="1" applyFill="1" applyAlignment="1">
      <alignment horizontal="justify" vertical="center" wrapText="1"/>
    </xf>
    <xf numFmtId="0" fontId="5" fillId="0" borderId="23" xfId="1" applyFont="1" applyFill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1" fillId="2" borderId="24" xfId="1" applyFont="1" applyFill="1" applyBorder="1" applyAlignment="1">
      <alignment horizontal="left" vertical="center" wrapText="1"/>
    </xf>
    <xf numFmtId="0" fontId="11" fillId="2" borderId="14" xfId="1" applyFont="1" applyFill="1" applyBorder="1" applyAlignment="1">
      <alignment horizontal="left" vertical="center" wrapText="1"/>
    </xf>
    <xf numFmtId="0" fontId="11" fillId="2" borderId="34" xfId="1" applyFont="1" applyFill="1" applyBorder="1" applyAlignment="1">
      <alignment horizontal="left" vertical="center" wrapText="1"/>
    </xf>
    <xf numFmtId="0" fontId="11" fillId="0" borderId="24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3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15" fillId="3" borderId="1" xfId="1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 wrapText="1"/>
    </xf>
    <xf numFmtId="0" fontId="15" fillId="3" borderId="2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1" fillId="0" borderId="52" xfId="1" applyFont="1" applyBorder="1" applyAlignment="1">
      <alignment horizontal="center" vertical="center"/>
    </xf>
    <xf numFmtId="0" fontId="11" fillId="0" borderId="53" xfId="1" applyFont="1" applyBorder="1" applyAlignment="1">
      <alignment horizontal="center" vertical="center"/>
    </xf>
    <xf numFmtId="166" fontId="11" fillId="0" borderId="13" xfId="1" applyNumberFormat="1" applyFont="1" applyBorder="1" applyAlignment="1">
      <alignment horizontal="center" vertical="center"/>
    </xf>
    <xf numFmtId="166" fontId="11" fillId="0" borderId="56" xfId="1" applyNumberFormat="1" applyFont="1" applyBorder="1" applyAlignment="1">
      <alignment horizontal="center" vertical="center"/>
    </xf>
    <xf numFmtId="166" fontId="11" fillId="0" borderId="17" xfId="1" applyNumberFormat="1" applyFont="1" applyBorder="1" applyAlignment="1">
      <alignment horizontal="center" vertical="center"/>
    </xf>
    <xf numFmtId="0" fontId="15" fillId="0" borderId="24" xfId="1" applyFont="1" applyFill="1" applyBorder="1" applyAlignment="1">
      <alignment horizontal="left" vertical="center"/>
    </xf>
    <xf numFmtId="0" fontId="15" fillId="0" borderId="25" xfId="1" applyFont="1" applyFill="1" applyBorder="1" applyAlignment="1">
      <alignment horizontal="left" vertical="center"/>
    </xf>
    <xf numFmtId="0" fontId="15" fillId="0" borderId="26" xfId="1" applyFont="1" applyBorder="1" applyAlignment="1">
      <alignment horizontal="left" vertical="center"/>
    </xf>
    <xf numFmtId="0" fontId="15" fillId="0" borderId="27" xfId="1" applyFont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1" fillId="0" borderId="31" xfId="1" applyFont="1" applyFill="1" applyBorder="1" applyAlignment="1">
      <alignment horizontal="left" vertical="center"/>
    </xf>
    <xf numFmtId="0" fontId="11" fillId="0" borderId="32" xfId="1" applyFont="1" applyFill="1" applyBorder="1" applyAlignment="1">
      <alignment horizontal="left" vertical="center"/>
    </xf>
    <xf numFmtId="0" fontId="11" fillId="0" borderId="39" xfId="1" applyFont="1" applyFill="1" applyBorder="1" applyAlignment="1">
      <alignment horizontal="left" vertical="center"/>
    </xf>
    <xf numFmtId="0" fontId="11" fillId="0" borderId="24" xfId="1" applyFont="1" applyFill="1" applyBorder="1" applyAlignment="1">
      <alignment horizontal="left" vertical="center"/>
    </xf>
    <xf numFmtId="0" fontId="11" fillId="0" borderId="14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15" fillId="3" borderId="1" xfId="1" applyFont="1" applyFill="1" applyBorder="1" applyAlignment="1">
      <alignment horizontal="left" vertical="center"/>
    </xf>
    <xf numFmtId="0" fontId="15" fillId="3" borderId="2" xfId="1" applyFont="1" applyFill="1" applyBorder="1" applyAlignment="1">
      <alignment horizontal="left" vertical="center"/>
    </xf>
    <xf numFmtId="0" fontId="15" fillId="3" borderId="3" xfId="1" applyFont="1" applyFill="1" applyBorder="1" applyAlignment="1">
      <alignment horizontal="left" vertical="center"/>
    </xf>
    <xf numFmtId="0" fontId="11" fillId="0" borderId="26" xfId="1" applyFont="1" applyFill="1" applyBorder="1" applyAlignment="1">
      <alignment horizontal="left" vertical="center" wrapText="1"/>
    </xf>
    <xf numFmtId="0" fontId="11" fillId="0" borderId="21" xfId="1" applyFont="1" applyFill="1" applyBorder="1" applyAlignment="1">
      <alignment horizontal="left" vertical="center" wrapText="1"/>
    </xf>
    <xf numFmtId="0" fontId="11" fillId="0" borderId="28" xfId="1" applyFont="1" applyFill="1" applyBorder="1" applyAlignment="1">
      <alignment horizontal="left" vertical="center" wrapText="1"/>
    </xf>
    <xf numFmtId="0" fontId="15" fillId="0" borderId="23" xfId="1" applyFont="1" applyBorder="1" applyAlignment="1">
      <alignment vertical="center" wrapText="1"/>
    </xf>
    <xf numFmtId="0" fontId="11" fillId="0" borderId="31" xfId="1" applyFont="1" applyBorder="1" applyAlignment="1">
      <alignment horizontal="left" vertical="center"/>
    </xf>
    <xf numFmtId="0" fontId="11" fillId="0" borderId="32" xfId="1" applyFont="1" applyBorder="1" applyAlignment="1">
      <alignment horizontal="left" vertical="center"/>
    </xf>
    <xf numFmtId="0" fontId="11" fillId="0" borderId="39" xfId="1" applyFont="1" applyBorder="1" applyAlignment="1">
      <alignment horizontal="left" vertical="center"/>
    </xf>
    <xf numFmtId="0" fontId="11" fillId="0" borderId="34" xfId="1" applyFont="1" applyBorder="1" applyAlignment="1">
      <alignment horizontal="left" vertical="center"/>
    </xf>
    <xf numFmtId="0" fontId="15" fillId="0" borderId="21" xfId="1" applyFont="1" applyBorder="1" applyAlignment="1">
      <alignment horizontal="left" vertical="center"/>
    </xf>
    <xf numFmtId="0" fontId="15" fillId="0" borderId="28" xfId="1" applyFont="1" applyBorder="1" applyAlignment="1">
      <alignment horizontal="left" vertical="center"/>
    </xf>
    <xf numFmtId="9" fontId="15" fillId="0" borderId="31" xfId="1" applyNumberFormat="1" applyFont="1" applyBorder="1" applyAlignment="1">
      <alignment horizontal="left" vertical="center"/>
    </xf>
    <xf numFmtId="9" fontId="15" fillId="0" borderId="32" xfId="1" applyNumberFormat="1" applyFont="1" applyBorder="1" applyAlignment="1">
      <alignment horizontal="left" vertical="center"/>
    </xf>
    <xf numFmtId="9" fontId="15" fillId="0" borderId="39" xfId="1" applyNumberFormat="1" applyFont="1" applyBorder="1" applyAlignment="1">
      <alignment horizontal="left" vertical="center"/>
    </xf>
    <xf numFmtId="0" fontId="15" fillId="0" borderId="24" xfId="1" applyFont="1" applyBorder="1" applyAlignment="1">
      <alignment horizontal="left" vertical="center"/>
    </xf>
    <xf numFmtId="0" fontId="15" fillId="0" borderId="14" xfId="1" applyFont="1" applyBorder="1" applyAlignment="1">
      <alignment horizontal="left" vertical="center"/>
    </xf>
    <xf numFmtId="0" fontId="15" fillId="0" borderId="34" xfId="1" applyFont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2" xfId="1" applyFont="1" applyFill="1" applyBorder="1" applyAlignment="1">
      <alignment horizontal="left" vertical="center"/>
    </xf>
    <xf numFmtId="0" fontId="15" fillId="0" borderId="3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 wrapText="1"/>
    </xf>
    <xf numFmtId="0" fontId="11" fillId="0" borderId="32" xfId="1" applyFont="1" applyFill="1" applyBorder="1" applyAlignment="1">
      <alignment horizontal="left" vertical="center" wrapText="1"/>
    </xf>
    <xf numFmtId="0" fontId="11" fillId="0" borderId="39" xfId="1" applyFont="1" applyFill="1" applyBorder="1" applyAlignment="1">
      <alignment horizontal="left" vertical="center" wrapText="1"/>
    </xf>
    <xf numFmtId="0" fontId="32" fillId="3" borderId="10" xfId="2" applyFont="1" applyFill="1" applyBorder="1" applyAlignment="1">
      <alignment horizontal="center"/>
    </xf>
  </cellXfs>
  <cellStyles count="103">
    <cellStyle name="=C:\WINNT\SYSTEM32\COMMAND.COM" xfId="47" xr:uid="{00000000-0005-0000-0000-000000000000}"/>
    <cellStyle name="Comma" xfId="92" builtinId="3"/>
    <cellStyle name="Comma 10" xfId="10" xr:uid="{00000000-0005-0000-0000-000002000000}"/>
    <cellStyle name="Comma 10 2" xfId="5" xr:uid="{00000000-0005-0000-0000-000003000000}"/>
    <cellStyle name="Comma 10 3" xfId="91" xr:uid="{00000000-0005-0000-0000-000004000000}"/>
    <cellStyle name="Comma 11" xfId="11" xr:uid="{00000000-0005-0000-0000-000005000000}"/>
    <cellStyle name="Comma 11 2" xfId="48" xr:uid="{00000000-0005-0000-0000-000006000000}"/>
    <cellStyle name="Comma 12" xfId="41" xr:uid="{00000000-0005-0000-0000-000007000000}"/>
    <cellStyle name="Comma 13" xfId="43" xr:uid="{00000000-0005-0000-0000-000008000000}"/>
    <cellStyle name="Comma 13 2" xfId="49" xr:uid="{00000000-0005-0000-0000-000009000000}"/>
    <cellStyle name="Comma 13 3" xfId="50" xr:uid="{00000000-0005-0000-0000-00000A000000}"/>
    <cellStyle name="Comma 14" xfId="51" xr:uid="{00000000-0005-0000-0000-00000B000000}"/>
    <cellStyle name="Comma 15" xfId="52" xr:uid="{00000000-0005-0000-0000-00000C000000}"/>
    <cellStyle name="Comma 16" xfId="53" xr:uid="{00000000-0005-0000-0000-00000D000000}"/>
    <cellStyle name="Comma 16 2 2" xfId="94" xr:uid="{00000000-0005-0000-0000-00000E000000}"/>
    <cellStyle name="Comma 17" xfId="54" xr:uid="{00000000-0005-0000-0000-00000F000000}"/>
    <cellStyle name="Comma 17 2" xfId="55" xr:uid="{00000000-0005-0000-0000-000010000000}"/>
    <cellStyle name="Comma 17 3" xfId="99" xr:uid="{00000000-0005-0000-0000-000011000000}"/>
    <cellStyle name="Comma 18" xfId="56" xr:uid="{00000000-0005-0000-0000-000012000000}"/>
    <cellStyle name="Comma 19" xfId="57" xr:uid="{00000000-0005-0000-0000-000013000000}"/>
    <cellStyle name="Comma 2" xfId="12" xr:uid="{00000000-0005-0000-0000-000014000000}"/>
    <cellStyle name="Comma 2 2" xfId="4" xr:uid="{00000000-0005-0000-0000-000015000000}"/>
    <cellStyle name="Comma 2 2 2" xfId="13" xr:uid="{00000000-0005-0000-0000-000016000000}"/>
    <cellStyle name="Comma 2 2 2 2" xfId="46" xr:uid="{00000000-0005-0000-0000-000017000000}"/>
    <cellStyle name="Comma 2 3" xfId="7" xr:uid="{00000000-0005-0000-0000-000018000000}"/>
    <cellStyle name="Comma 2 4" xfId="6" xr:uid="{00000000-0005-0000-0000-000019000000}"/>
    <cellStyle name="Comma 2 4 2" xfId="58" xr:uid="{00000000-0005-0000-0000-00001A000000}"/>
    <cellStyle name="Comma 20" xfId="59" xr:uid="{00000000-0005-0000-0000-00001B000000}"/>
    <cellStyle name="Comma 20 2" xfId="89" xr:uid="{00000000-0005-0000-0000-00001C000000}"/>
    <cellStyle name="Comma 21" xfId="96" xr:uid="{00000000-0005-0000-0000-00001D000000}"/>
    <cellStyle name="Comma 28" xfId="60" xr:uid="{00000000-0005-0000-0000-00001E000000}"/>
    <cellStyle name="Comma 3" xfId="14" xr:uid="{00000000-0005-0000-0000-00001F000000}"/>
    <cellStyle name="Comma 3 2" xfId="9" xr:uid="{00000000-0005-0000-0000-000020000000}"/>
    <cellStyle name="Comma 3 2 2" xfId="61" xr:uid="{00000000-0005-0000-0000-000021000000}"/>
    <cellStyle name="Comma 4" xfId="15" xr:uid="{00000000-0005-0000-0000-000022000000}"/>
    <cellStyle name="Comma 4 2" xfId="16" xr:uid="{00000000-0005-0000-0000-000023000000}"/>
    <cellStyle name="Comma 5" xfId="17" xr:uid="{00000000-0005-0000-0000-000024000000}"/>
    <cellStyle name="Comma 6" xfId="18" xr:uid="{00000000-0005-0000-0000-000025000000}"/>
    <cellStyle name="Comma 6 2" xfId="62" xr:uid="{00000000-0005-0000-0000-000026000000}"/>
    <cellStyle name="Comma 6 3" xfId="63" xr:uid="{00000000-0005-0000-0000-000027000000}"/>
    <cellStyle name="Comma 7" xfId="19" xr:uid="{00000000-0005-0000-0000-000028000000}"/>
    <cellStyle name="Comma 7 2" xfId="64" xr:uid="{00000000-0005-0000-0000-000029000000}"/>
    <cellStyle name="Comma 8" xfId="20" xr:uid="{00000000-0005-0000-0000-00002A000000}"/>
    <cellStyle name="Comma 8 2" xfId="21" xr:uid="{00000000-0005-0000-0000-00002B000000}"/>
    <cellStyle name="Comma 9" xfId="22" xr:uid="{00000000-0005-0000-0000-00002C000000}"/>
    <cellStyle name="Comma 9 2" xfId="23" xr:uid="{00000000-0005-0000-0000-00002D000000}"/>
    <cellStyle name="Comma 9 2 2" xfId="65" xr:uid="{00000000-0005-0000-0000-00002E000000}"/>
    <cellStyle name="Hyperlink 2" xfId="24" xr:uid="{00000000-0005-0000-0000-00002F000000}"/>
    <cellStyle name="Normal" xfId="0" builtinId="0"/>
    <cellStyle name="Normal 10" xfId="25" xr:uid="{00000000-0005-0000-0000-000031000000}"/>
    <cellStyle name="Normal 11" xfId="40" xr:uid="{00000000-0005-0000-0000-000032000000}"/>
    <cellStyle name="Normal 12" xfId="66" xr:uid="{00000000-0005-0000-0000-000033000000}"/>
    <cellStyle name="Normal 13" xfId="67" xr:uid="{00000000-0005-0000-0000-000034000000}"/>
    <cellStyle name="Normal 13 2" xfId="68" xr:uid="{00000000-0005-0000-0000-000035000000}"/>
    <cellStyle name="Normal 14" xfId="69" xr:uid="{00000000-0005-0000-0000-000036000000}"/>
    <cellStyle name="Normal 14 2 2" xfId="93" xr:uid="{00000000-0005-0000-0000-000037000000}"/>
    <cellStyle name="Normal 15" xfId="70" xr:uid="{00000000-0005-0000-0000-000038000000}"/>
    <cellStyle name="Normal 15 2" xfId="98" xr:uid="{00000000-0005-0000-0000-000039000000}"/>
    <cellStyle name="Normal 16" xfId="95" xr:uid="{00000000-0005-0000-0000-00003A000000}"/>
    <cellStyle name="Normal 17" xfId="101" xr:uid="{00000000-0005-0000-0000-00003B000000}"/>
    <cellStyle name="Normal 19" xfId="88" xr:uid="{00000000-0005-0000-0000-00003C000000}"/>
    <cellStyle name="Normal 2" xfId="26" xr:uid="{00000000-0005-0000-0000-00003D000000}"/>
    <cellStyle name="Normal 2 2" xfId="2" xr:uid="{00000000-0005-0000-0000-00003E000000}"/>
    <cellStyle name="Normal 2 2 2" xfId="27" xr:uid="{00000000-0005-0000-0000-00003F000000}"/>
    <cellStyle name="Normal 2 2 2 2" xfId="44" xr:uid="{00000000-0005-0000-0000-000040000000}"/>
    <cellStyle name="Normal 2 2 3" xfId="71" xr:uid="{00000000-0005-0000-0000-000041000000}"/>
    <cellStyle name="Normal 2 3" xfId="8" xr:uid="{00000000-0005-0000-0000-000042000000}"/>
    <cellStyle name="Normal 2 3 2" xfId="72" xr:uid="{00000000-0005-0000-0000-000043000000}"/>
    <cellStyle name="Normal 2 4" xfId="73" xr:uid="{00000000-0005-0000-0000-000044000000}"/>
    <cellStyle name="Normal 2 5" xfId="74" xr:uid="{00000000-0005-0000-0000-000045000000}"/>
    <cellStyle name="Normal 21" xfId="100" xr:uid="{00000000-0005-0000-0000-000046000000}"/>
    <cellStyle name="Normal 22" xfId="75" xr:uid="{00000000-0005-0000-0000-000047000000}"/>
    <cellStyle name="Normal 3" xfId="28" xr:uid="{00000000-0005-0000-0000-000048000000}"/>
    <cellStyle name="Normal 3 2" xfId="45" xr:uid="{00000000-0005-0000-0000-000049000000}"/>
    <cellStyle name="Normal 3 2 2" xfId="76" xr:uid="{00000000-0005-0000-0000-00004A000000}"/>
    <cellStyle name="Normal 3 3" xfId="77" xr:uid="{00000000-0005-0000-0000-00004B000000}"/>
    <cellStyle name="Normal 4" xfId="29" xr:uid="{00000000-0005-0000-0000-00004C000000}"/>
    <cellStyle name="Normal 4 2" xfId="78" xr:uid="{00000000-0005-0000-0000-00004D000000}"/>
    <cellStyle name="Normal 4 2 2" xfId="79" xr:uid="{00000000-0005-0000-0000-00004E000000}"/>
    <cellStyle name="Normal 4_Final Accounts 1.1" xfId="80" xr:uid="{00000000-0005-0000-0000-00004F000000}"/>
    <cellStyle name="Normal 5" xfId="30" xr:uid="{00000000-0005-0000-0000-000050000000}"/>
    <cellStyle name="Normal 6" xfId="31" xr:uid="{00000000-0005-0000-0000-000051000000}"/>
    <cellStyle name="Normal 6 2" xfId="32" xr:uid="{00000000-0005-0000-0000-000052000000}"/>
    <cellStyle name="Normal 6 3" xfId="81" xr:uid="{00000000-0005-0000-0000-000053000000}"/>
    <cellStyle name="Normal 7" xfId="1" xr:uid="{00000000-0005-0000-0000-000054000000}"/>
    <cellStyle name="Normal 7 2" xfId="33" xr:uid="{00000000-0005-0000-0000-000055000000}"/>
    <cellStyle name="Normal 7 3" xfId="34" xr:uid="{00000000-0005-0000-0000-000056000000}"/>
    <cellStyle name="Normal 8" xfId="35" xr:uid="{00000000-0005-0000-0000-000057000000}"/>
    <cellStyle name="Normal 8 2" xfId="3" xr:uid="{00000000-0005-0000-0000-000058000000}"/>
    <cellStyle name="Normal 9" xfId="36" xr:uid="{00000000-0005-0000-0000-000059000000}"/>
    <cellStyle name="Percent 2" xfId="37" xr:uid="{00000000-0005-0000-0000-00005A000000}"/>
    <cellStyle name="Percent 2 2" xfId="42" xr:uid="{00000000-0005-0000-0000-00005B000000}"/>
    <cellStyle name="Percent 3" xfId="38" xr:uid="{00000000-0005-0000-0000-00005C000000}"/>
    <cellStyle name="Percent 3 2" xfId="82" xr:uid="{00000000-0005-0000-0000-00005D000000}"/>
    <cellStyle name="Percent 3 2 2" xfId="83" xr:uid="{00000000-0005-0000-0000-00005E000000}"/>
    <cellStyle name="Percent 4" xfId="84" xr:uid="{00000000-0005-0000-0000-00005F000000}"/>
    <cellStyle name="Percent 5" xfId="85" xr:uid="{00000000-0005-0000-0000-000060000000}"/>
    <cellStyle name="Percent 6" xfId="86" xr:uid="{00000000-0005-0000-0000-000061000000}"/>
    <cellStyle name="Percent 6 2" xfId="90" xr:uid="{00000000-0005-0000-0000-000062000000}"/>
    <cellStyle name="Percent 7" xfId="87" xr:uid="{00000000-0005-0000-0000-000063000000}"/>
    <cellStyle name="Percent 8" xfId="97" xr:uid="{00000000-0005-0000-0000-000064000000}"/>
    <cellStyle name="Percent 8 2" xfId="102" xr:uid="{00000000-0005-0000-0000-000065000000}"/>
    <cellStyle name="RowLevel_2_PRO-COST" xfId="39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12700</xdr:rowOff>
    </xdr:from>
    <xdr:to>
      <xdr:col>8</xdr:col>
      <xdr:colOff>152400</xdr:colOff>
      <xdr:row>15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277350" y="25568275"/>
          <a:ext cx="152400" cy="40640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nlock%20Upliftment%20sheets%20Dec-2018\Daily%20Upliftement%20Mar%20%202019\Regions%20MAR-2019\QUETTA\Daily%20upliftment%20March%2024-2019%20Quet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hahzadlatif/Local%20Settings/Temporary%20Internet%20Files/Content.Outlook/2A6ME0RR/Paris%20File%20Working/After%20TAX/Narang%20Mandi%20(Rentacre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G"/>
      <sheetName val="HSD"/>
      <sheetName val="LUBE"/>
      <sheetName val="HOBC"/>
      <sheetName val="MIX"/>
      <sheetName val="Summary (KL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TC"/>
      <sheetName val="PA"/>
      <sheetName val="FA"/>
      <sheetName val="Rentacrea"/>
      <sheetName val="SAP"/>
      <sheetName val="Environmental Survey"/>
      <sheetName val="Assumptions"/>
      <sheetName val="Sheet1"/>
      <sheetName val="Project File"/>
      <sheetName val="IS"/>
      <sheetName val="st. of RE"/>
      <sheetName val="AP sch."/>
      <sheetName val="AR sch."/>
      <sheetName val="Cash bug."/>
      <sheetName val="B-S"/>
      <sheetName val="st. of OE"/>
      <sheetName val="cash flow"/>
      <sheetName val="ratios"/>
    </sheetNames>
    <sheetDataSet>
      <sheetData sheetId="0"/>
      <sheetData sheetId="1"/>
      <sheetData sheetId="2"/>
      <sheetData sheetId="3"/>
      <sheetData sheetId="4">
        <row r="30">
          <cell r="G30">
            <v>10</v>
          </cell>
          <cell r="I30">
            <v>8</v>
          </cell>
        </row>
        <row r="31">
          <cell r="G31">
            <v>10</v>
          </cell>
          <cell r="I31">
            <v>8</v>
          </cell>
        </row>
        <row r="32">
          <cell r="G32">
            <v>10</v>
          </cell>
          <cell r="I32">
            <v>15</v>
          </cell>
        </row>
        <row r="33">
          <cell r="G33">
            <v>20</v>
          </cell>
          <cell r="I33">
            <v>15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"/>
  <sheetViews>
    <sheetView tabSelected="1" view="pageBreakPreview" topLeftCell="A45" zoomScale="54" zoomScaleNormal="75" zoomScaleSheetLayoutView="58" workbookViewId="0">
      <selection activeCell="A62" sqref="A62"/>
    </sheetView>
  </sheetViews>
  <sheetFormatPr defaultColWidth="9.109375" defaultRowHeight="14.4" x14ac:dyDescent="0.3"/>
  <cols>
    <col min="1" max="1" width="9.5546875" style="1" customWidth="1"/>
    <col min="2" max="2" width="23.33203125" style="1" customWidth="1"/>
    <col min="3" max="3" width="22.44140625" style="1" customWidth="1"/>
    <col min="4" max="4" width="17.6640625" style="1" customWidth="1"/>
    <col min="5" max="5" width="16.44140625" style="1" customWidth="1"/>
    <col min="6" max="6" width="16.88671875" style="1" customWidth="1"/>
    <col min="7" max="7" width="16.109375" style="1" customWidth="1"/>
    <col min="8" max="8" width="16.6640625" style="1" customWidth="1"/>
    <col min="9" max="9" width="17.33203125" style="1" customWidth="1"/>
    <col min="10" max="10" width="19.44140625" style="1" customWidth="1"/>
    <col min="11" max="11" width="18.6640625" style="1" customWidth="1"/>
    <col min="12" max="14" width="15.6640625" style="1" customWidth="1"/>
    <col min="15" max="15" width="20.44140625" style="1" customWidth="1"/>
    <col min="16" max="19" width="15.6640625" style="1" customWidth="1"/>
    <col min="20" max="20" width="19" style="1" customWidth="1"/>
    <col min="21" max="21" width="16.6640625" style="1" customWidth="1"/>
    <col min="22" max="25" width="15.6640625" style="1" customWidth="1"/>
    <col min="26" max="35" width="15.6640625" style="1" hidden="1" customWidth="1"/>
    <col min="36" max="16384" width="9.109375" style="1"/>
  </cols>
  <sheetData>
    <row r="1" spans="1:23" ht="23.4" x14ac:dyDescent="0.45">
      <c r="A1" s="306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</row>
    <row r="2" spans="1:23" s="2" customFormat="1" ht="18" x14ac:dyDescent="0.35">
      <c r="A2" s="307" t="s">
        <v>170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</row>
    <row r="3" spans="1:23" s="2" customFormat="1" ht="18" x14ac:dyDescent="0.35">
      <c r="A3" s="307" t="s">
        <v>261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</row>
    <row r="4" spans="1:23" s="2" customFormat="1" ht="18" x14ac:dyDescent="0.35">
      <c r="A4" s="307" t="s">
        <v>266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</row>
    <row r="5" spans="1:23" s="2" customFormat="1" ht="18" x14ac:dyDescent="0.3">
      <c r="B5" s="3"/>
      <c r="C5" s="3"/>
      <c r="D5" s="3"/>
      <c r="E5" s="3"/>
      <c r="F5" s="3"/>
      <c r="G5" s="3"/>
      <c r="I5" s="4" t="s">
        <v>1</v>
      </c>
      <c r="J5" s="5">
        <v>45734</v>
      </c>
    </row>
    <row r="6" spans="1:23" s="2" customFormat="1" ht="18" x14ac:dyDescent="0.3">
      <c r="B6" s="3"/>
      <c r="C6" s="3"/>
      <c r="D6" s="3"/>
      <c r="E6" s="3"/>
      <c r="F6" s="3"/>
      <c r="G6" s="3"/>
      <c r="I6" s="4"/>
      <c r="J6" s="5"/>
    </row>
    <row r="7" spans="1:23" s="2" customFormat="1" ht="18" x14ac:dyDescent="0.3">
      <c r="B7" s="3"/>
      <c r="C7" s="3"/>
      <c r="D7" s="3"/>
      <c r="E7" s="3"/>
      <c r="F7" s="3"/>
      <c r="G7" s="3"/>
      <c r="H7" s="197" t="s">
        <v>2</v>
      </c>
      <c r="I7" s="198"/>
      <c r="J7" s="6" t="s">
        <v>186</v>
      </c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3" s="2" customFormat="1" ht="21" x14ac:dyDescent="0.3">
      <c r="A8" s="7"/>
      <c r="B8" s="3"/>
      <c r="C8" s="3"/>
      <c r="D8" s="3"/>
      <c r="E8" s="3"/>
      <c r="F8" s="3"/>
      <c r="G8" s="3"/>
      <c r="H8" s="197" t="s">
        <v>3</v>
      </c>
      <c r="I8" s="198"/>
      <c r="J8" s="199" t="s">
        <v>165</v>
      </c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3" s="2" customFormat="1" ht="18" x14ac:dyDescent="0.3">
      <c r="A9" s="8"/>
      <c r="B9" s="3"/>
      <c r="C9" s="3"/>
      <c r="D9" s="3"/>
      <c r="E9" s="3"/>
      <c r="F9" s="3"/>
      <c r="G9" s="3"/>
      <c r="H9" s="197" t="s">
        <v>4</v>
      </c>
      <c r="I9" s="198"/>
      <c r="J9" s="9" t="s">
        <v>5</v>
      </c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3" s="11" customFormat="1" ht="18" x14ac:dyDescent="0.3">
      <c r="A10" s="10" t="s">
        <v>252</v>
      </c>
      <c r="C10" s="12"/>
      <c r="D10" s="12"/>
      <c r="E10" s="12"/>
      <c r="F10" s="12"/>
      <c r="G10" s="12"/>
      <c r="H10" s="146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</row>
    <row r="11" spans="1:23" s="11" customFormat="1" ht="9" customHeight="1" x14ac:dyDescent="0.3">
      <c r="A11" s="13"/>
      <c r="C11" s="12"/>
      <c r="D11" s="12"/>
      <c r="E11" s="12"/>
      <c r="F11" s="12"/>
      <c r="G11" s="12"/>
      <c r="H11" s="12"/>
    </row>
    <row r="12" spans="1:23" s="11" customFormat="1" ht="18" x14ac:dyDescent="0.35">
      <c r="A12" s="13" t="s">
        <v>6</v>
      </c>
      <c r="B12" s="14"/>
      <c r="C12" s="205" t="s">
        <v>253</v>
      </c>
      <c r="D12" s="14"/>
      <c r="E12" s="14"/>
      <c r="H12" s="13" t="s">
        <v>7</v>
      </c>
      <c r="J12" s="206" t="s">
        <v>255</v>
      </c>
      <c r="K12" s="82"/>
    </row>
    <row r="13" spans="1:23" s="11" customFormat="1" ht="18" x14ac:dyDescent="0.35">
      <c r="A13" s="13" t="s">
        <v>8</v>
      </c>
      <c r="B13" s="14"/>
      <c r="C13" s="205"/>
      <c r="D13" s="14"/>
      <c r="E13" s="14"/>
      <c r="H13" s="13" t="s">
        <v>9</v>
      </c>
      <c r="I13" s="15"/>
      <c r="J13" s="206" t="s">
        <v>255</v>
      </c>
    </row>
    <row r="14" spans="1:23" s="11" customFormat="1" ht="18" x14ac:dyDescent="0.35">
      <c r="A14" s="13" t="s">
        <v>10</v>
      </c>
      <c r="B14" s="14"/>
      <c r="C14" s="205"/>
      <c r="D14" s="14"/>
      <c r="E14" s="14"/>
      <c r="F14" s="14"/>
      <c r="I14" s="15"/>
      <c r="J14" s="206"/>
      <c r="W14" s="15"/>
    </row>
    <row r="15" spans="1:23" s="11" customFormat="1" ht="18" x14ac:dyDescent="0.3">
      <c r="A15" s="13" t="s">
        <v>11</v>
      </c>
      <c r="B15" s="14"/>
      <c r="C15" s="205" t="s">
        <v>254</v>
      </c>
      <c r="D15" s="14"/>
      <c r="E15" s="14"/>
      <c r="F15" s="14"/>
      <c r="G15" s="13"/>
      <c r="H15" s="13" t="s">
        <v>158</v>
      </c>
      <c r="J15" s="220">
        <v>45992</v>
      </c>
      <c r="W15" s="14"/>
    </row>
    <row r="16" spans="1:23" s="11" customFormat="1" ht="18" x14ac:dyDescent="0.35">
      <c r="A16" s="13" t="s">
        <v>12</v>
      </c>
      <c r="B16" s="14"/>
      <c r="C16" s="205" t="s">
        <v>254</v>
      </c>
      <c r="D16" s="14"/>
      <c r="E16" s="14"/>
      <c r="F16" s="14"/>
      <c r="G16" s="13"/>
      <c r="H16" s="13" t="s">
        <v>159</v>
      </c>
      <c r="I16" s="15"/>
      <c r="J16" s="220">
        <v>46203</v>
      </c>
      <c r="W16" s="14"/>
    </row>
    <row r="17" spans="1:35" s="11" customFormat="1" ht="9" customHeight="1" thickBot="1" x14ac:dyDescent="0.35">
      <c r="A17" s="14"/>
      <c r="B17" s="14"/>
      <c r="C17" s="14"/>
      <c r="D17" s="14"/>
      <c r="E17" s="14"/>
      <c r="F17" s="14"/>
      <c r="G17" s="14"/>
      <c r="H17" s="14"/>
      <c r="I17" s="14"/>
      <c r="W17" s="14"/>
    </row>
    <row r="18" spans="1:35" s="11" customFormat="1" ht="21" customHeight="1" thickBot="1" x14ac:dyDescent="0.35">
      <c r="A18" s="308" t="s">
        <v>13</v>
      </c>
      <c r="B18" s="309"/>
      <c r="C18" s="309"/>
      <c r="D18" s="309"/>
      <c r="E18" s="309"/>
      <c r="F18" s="310"/>
      <c r="H18" s="311" t="s">
        <v>138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3"/>
    </row>
    <row r="19" spans="1:35" s="11" customFormat="1" ht="29.25" customHeight="1" thickBot="1" x14ac:dyDescent="0.35">
      <c r="A19" s="16" t="s">
        <v>14</v>
      </c>
      <c r="B19" s="17" t="s">
        <v>15</v>
      </c>
      <c r="C19" s="17" t="s">
        <v>145</v>
      </c>
      <c r="D19" s="17" t="s">
        <v>16</v>
      </c>
      <c r="E19" s="18" t="s">
        <v>17</v>
      </c>
      <c r="F19" s="19" t="s">
        <v>18</v>
      </c>
      <c r="H19" s="314"/>
      <c r="I19" s="315"/>
      <c r="J19" s="165" t="s">
        <v>19</v>
      </c>
      <c r="K19" s="12"/>
      <c r="L19" s="12"/>
      <c r="M19" s="12"/>
      <c r="N19" s="12"/>
      <c r="O19" s="12"/>
      <c r="T19" s="166" t="s">
        <v>20</v>
      </c>
    </row>
    <row r="20" spans="1:35" s="11" customFormat="1" ht="17.399999999999999" x14ac:dyDescent="0.3">
      <c r="A20" s="21" t="s">
        <v>21</v>
      </c>
      <c r="B20" s="203">
        <f>+sales!B4</f>
        <v>1800</v>
      </c>
      <c r="C20" s="316" t="s">
        <v>180</v>
      </c>
      <c r="D20" s="23">
        <f>6+0.47+0.47+0.47+0.46</f>
        <v>7.8699999999999992</v>
      </c>
      <c r="E20" s="24">
        <v>0.3</v>
      </c>
      <c r="F20" s="25">
        <f>(B20*D20)+(B20*E20)</f>
        <v>14705.999999999998</v>
      </c>
      <c r="H20" s="193" t="s">
        <v>22</v>
      </c>
      <c r="I20" s="27"/>
      <c r="J20" s="28" t="s">
        <v>264</v>
      </c>
      <c r="K20" s="12"/>
      <c r="L20" s="12"/>
      <c r="M20" s="12"/>
      <c r="N20" s="12"/>
      <c r="O20" s="12"/>
      <c r="P20" s="12"/>
      <c r="Q20" s="12"/>
      <c r="R20" s="12"/>
      <c r="S20" s="12"/>
      <c r="T20" s="29">
        <f>+Investment!H32</f>
        <v>80530000</v>
      </c>
    </row>
    <row r="21" spans="1:35" s="11" customFormat="1" ht="17.399999999999999" x14ac:dyDescent="0.3">
      <c r="A21" s="21" t="s">
        <v>23</v>
      </c>
      <c r="B21" s="203">
        <f>+sales!B5</f>
        <v>1000</v>
      </c>
      <c r="C21" s="317"/>
      <c r="D21" s="23">
        <f>6+0.47+0.47+0.47+0.46</f>
        <v>7.8699999999999992</v>
      </c>
      <c r="E21" s="24">
        <v>0.3</v>
      </c>
      <c r="F21" s="25">
        <f>(B21*D21)+(B21*E21)</f>
        <v>8169.9999999999991</v>
      </c>
      <c r="H21" s="21" t="s">
        <v>24</v>
      </c>
      <c r="I21" s="31"/>
      <c r="J21" s="32"/>
      <c r="K21" s="12"/>
      <c r="L21" s="12"/>
      <c r="M21" s="12"/>
      <c r="N21" s="12"/>
      <c r="O21" s="12"/>
      <c r="P21" s="12"/>
      <c r="Q21" s="12"/>
      <c r="R21" s="12"/>
      <c r="S21" s="12"/>
      <c r="T21" s="33">
        <f>+Investment!H64</f>
        <v>100000000</v>
      </c>
    </row>
    <row r="22" spans="1:35" s="11" customFormat="1" ht="17.399999999999999" x14ac:dyDescent="0.3">
      <c r="A22" s="21" t="s">
        <v>168</v>
      </c>
      <c r="B22" s="203">
        <f>+sales!B6</f>
        <v>300</v>
      </c>
      <c r="C22" s="318"/>
      <c r="D22" s="23">
        <v>7.87</v>
      </c>
      <c r="E22" s="24">
        <v>0.3</v>
      </c>
      <c r="F22" s="25">
        <f>(B22*D22)+(B22*E22)</f>
        <v>2451</v>
      </c>
      <c r="H22" s="39" t="s">
        <v>26</v>
      </c>
      <c r="I22" s="31"/>
      <c r="J22" s="202">
        <v>6</v>
      </c>
      <c r="K22" s="12"/>
      <c r="L22" s="12"/>
      <c r="M22" s="12"/>
      <c r="N22" s="12"/>
      <c r="O22" s="12"/>
      <c r="P22" s="12"/>
      <c r="Q22" s="12"/>
      <c r="R22" s="12"/>
      <c r="S22" s="12"/>
      <c r="T22" s="202">
        <f>7+(M67-M68)/M67</f>
        <v>7.5841927029303271</v>
      </c>
    </row>
    <row r="23" spans="1:35" s="11" customFormat="1" ht="18" thickBot="1" x14ac:dyDescent="0.35">
      <c r="A23" s="34" t="s">
        <v>25</v>
      </c>
      <c r="B23" s="204">
        <f>+sales!B7</f>
        <v>8</v>
      </c>
      <c r="C23" s="35">
        <v>8</v>
      </c>
      <c r="D23" s="36">
        <v>80</v>
      </c>
      <c r="E23" s="37"/>
      <c r="F23" s="38">
        <f>(B23*D23)+(B23*E23)</f>
        <v>640</v>
      </c>
      <c r="H23" s="319" t="s">
        <v>182</v>
      </c>
      <c r="I23" s="320"/>
      <c r="J23" s="41"/>
      <c r="K23" s="146"/>
      <c r="L23" s="146"/>
      <c r="M23" s="146"/>
      <c r="N23" s="146"/>
      <c r="O23" s="146"/>
      <c r="P23" s="146"/>
      <c r="Q23" s="146"/>
      <c r="R23" s="146"/>
      <c r="S23" s="146"/>
      <c r="T23" s="207">
        <f>NPV(0.1348,F67:T67)+E67</f>
        <v>1360114.3739130944</v>
      </c>
      <c r="U23" s="243"/>
    </row>
    <row r="24" spans="1:35" s="11" customFormat="1" ht="18" thickBot="1" x14ac:dyDescent="0.35">
      <c r="A24" s="42"/>
      <c r="B24" s="42"/>
      <c r="C24" s="42"/>
      <c r="D24" s="42"/>
      <c r="E24" s="42"/>
      <c r="F24" s="40"/>
      <c r="H24" s="321" t="s">
        <v>27</v>
      </c>
      <c r="I24" s="322"/>
      <c r="J24" s="43"/>
      <c r="K24" s="174"/>
      <c r="L24" s="174"/>
      <c r="M24" s="174"/>
      <c r="N24" s="174"/>
      <c r="O24" s="174"/>
      <c r="P24" s="174"/>
      <c r="Q24" s="174"/>
      <c r="R24" s="174"/>
      <c r="S24" s="174"/>
      <c r="T24" s="190">
        <f>IRR(E67:T67)</f>
        <v>0.1376426066525398</v>
      </c>
      <c r="U24" s="172"/>
      <c r="V24" s="172"/>
    </row>
    <row r="25" spans="1:35" s="11" customFormat="1" ht="17.399999999999999" x14ac:dyDescent="0.3">
      <c r="A25" s="42"/>
      <c r="B25" s="42"/>
      <c r="C25" s="42"/>
      <c r="D25" s="42"/>
      <c r="E25" s="42"/>
      <c r="F25" s="40"/>
      <c r="H25" s="213" t="s">
        <v>183</v>
      </c>
      <c r="I25" s="210"/>
      <c r="J25" s="211"/>
      <c r="K25" s="12"/>
      <c r="L25" s="12"/>
      <c r="M25" s="12"/>
      <c r="N25" s="12"/>
      <c r="O25" s="12"/>
      <c r="P25" s="12"/>
      <c r="Q25" s="12"/>
      <c r="R25" s="12"/>
      <c r="S25" s="12"/>
      <c r="T25" s="212"/>
      <c r="U25" s="172"/>
      <c r="V25" s="172"/>
    </row>
    <row r="26" spans="1:35" s="11" customFormat="1" ht="3.75" customHeight="1" thickBot="1" x14ac:dyDescent="0.35">
      <c r="A26" s="42"/>
      <c r="B26" s="42"/>
      <c r="C26" s="42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</row>
    <row r="27" spans="1:35" s="11" customFormat="1" ht="18" thickBot="1" x14ac:dyDescent="0.35">
      <c r="A27" s="246" t="s">
        <v>28</v>
      </c>
      <c r="B27" s="46"/>
      <c r="C27" s="47"/>
      <c r="D27" s="48" t="s">
        <v>29</v>
      </c>
      <c r="E27" s="48">
        <v>0</v>
      </c>
      <c r="F27" s="191">
        <v>1</v>
      </c>
      <c r="G27" s="247">
        <v>2</v>
      </c>
      <c r="H27" s="191">
        <v>3</v>
      </c>
      <c r="I27" s="191">
        <v>4</v>
      </c>
      <c r="J27" s="191">
        <v>5</v>
      </c>
      <c r="K27" s="248">
        <v>6</v>
      </c>
      <c r="L27" s="191">
        <v>7</v>
      </c>
      <c r="M27" s="191">
        <v>8</v>
      </c>
      <c r="N27" s="191">
        <v>9</v>
      </c>
      <c r="O27" s="191">
        <v>10</v>
      </c>
      <c r="P27" s="248">
        <v>11</v>
      </c>
      <c r="Q27" s="191">
        <v>12</v>
      </c>
      <c r="R27" s="191">
        <v>13</v>
      </c>
      <c r="S27" s="246">
        <v>14</v>
      </c>
      <c r="T27" s="191">
        <v>15</v>
      </c>
      <c r="U27" s="248">
        <v>16</v>
      </c>
      <c r="V27" s="191">
        <v>17</v>
      </c>
      <c r="W27" s="191">
        <v>18</v>
      </c>
      <c r="X27" s="191">
        <v>19</v>
      </c>
      <c r="Y27" s="191">
        <v>20</v>
      </c>
      <c r="Z27" s="49">
        <v>21</v>
      </c>
      <c r="AA27" s="49">
        <v>22</v>
      </c>
      <c r="AB27" s="49">
        <v>23</v>
      </c>
      <c r="AC27" s="49">
        <v>24</v>
      </c>
      <c r="AD27" s="49">
        <v>25</v>
      </c>
      <c r="AE27" s="49">
        <v>26</v>
      </c>
      <c r="AF27" s="49">
        <v>27</v>
      </c>
      <c r="AG27" s="49">
        <v>28</v>
      </c>
      <c r="AH27" s="49">
        <v>29</v>
      </c>
      <c r="AI27" s="49">
        <v>30</v>
      </c>
    </row>
    <row r="28" spans="1:35" s="11" customFormat="1" ht="17.399999999999999" x14ac:dyDescent="0.3">
      <c r="A28" s="50" t="s">
        <v>30</v>
      </c>
      <c r="B28" s="51"/>
      <c r="C28" s="51"/>
      <c r="D28" s="52"/>
      <c r="E28" s="52"/>
      <c r="F28" s="60">
        <f>+($B$20*365)</f>
        <v>657000</v>
      </c>
      <c r="G28" s="60">
        <f>+sales!C4*365</f>
        <v>755550</v>
      </c>
      <c r="H28" s="60">
        <f>+sales!D4*365</f>
        <v>831105</v>
      </c>
      <c r="I28" s="60">
        <f>+sales!E4*365</f>
        <v>914215.50000000012</v>
      </c>
      <c r="J28" s="60">
        <f>+sales!F4*365</f>
        <v>959926.27500000014</v>
      </c>
      <c r="K28" s="60">
        <f>+sales!G4*365</f>
        <v>1007922.5887500002</v>
      </c>
      <c r="L28" s="60">
        <f>+sales!H4*365</f>
        <v>1058318.7181875003</v>
      </c>
      <c r="M28" s="60">
        <f>+sales!I4*365</f>
        <v>1111234.6540968753</v>
      </c>
      <c r="N28" s="60">
        <f>+sales!J4*365</f>
        <v>1166796.386801719</v>
      </c>
      <c r="O28" s="60">
        <f>+sales!K4*365</f>
        <v>1225136.206141805</v>
      </c>
      <c r="P28" s="60">
        <f>+sales!L4*365</f>
        <v>1286393.0164488954</v>
      </c>
      <c r="Q28" s="60">
        <f>+sales!M4*365</f>
        <v>1350712.6672713403</v>
      </c>
      <c r="R28" s="60">
        <f>+sales!N4*365</f>
        <v>1418248.3006349073</v>
      </c>
      <c r="S28" s="60">
        <f>+sales!O4*365</f>
        <v>1489160.7156666527</v>
      </c>
      <c r="T28" s="60">
        <f>+sales!P4*365</f>
        <v>1563618.7514499854</v>
      </c>
      <c r="U28" s="60">
        <f>+T28</f>
        <v>1563618.7514499854</v>
      </c>
      <c r="V28" s="60">
        <f t="shared" ref="V28:Y28" si="0">+U28</f>
        <v>1563618.7514499854</v>
      </c>
      <c r="W28" s="60">
        <f t="shared" si="0"/>
        <v>1563618.7514499854</v>
      </c>
      <c r="X28" s="60">
        <f t="shared" si="0"/>
        <v>1563618.7514499854</v>
      </c>
      <c r="Y28" s="60">
        <f t="shared" si="0"/>
        <v>1563618.7514499854</v>
      </c>
      <c r="Z28" s="53">
        <f t="shared" ref="Z28:AI35" si="1">Y28*1.02</f>
        <v>1594891.1264789852</v>
      </c>
      <c r="AA28" s="53">
        <f t="shared" si="1"/>
        <v>1626788.9490085649</v>
      </c>
      <c r="AB28" s="53">
        <f t="shared" si="1"/>
        <v>1659324.7279887362</v>
      </c>
      <c r="AC28" s="53">
        <f t="shared" si="1"/>
        <v>1692511.2225485109</v>
      </c>
      <c r="AD28" s="53">
        <f t="shared" si="1"/>
        <v>1726361.4469994812</v>
      </c>
      <c r="AE28" s="53">
        <f t="shared" si="1"/>
        <v>1760888.6759394708</v>
      </c>
      <c r="AF28" s="53">
        <f t="shared" si="1"/>
        <v>1796106.4494582603</v>
      </c>
      <c r="AG28" s="53">
        <f t="shared" si="1"/>
        <v>1832028.5784474255</v>
      </c>
      <c r="AH28" s="53">
        <f t="shared" si="1"/>
        <v>1868669.150016374</v>
      </c>
      <c r="AI28" s="194">
        <f t="shared" si="1"/>
        <v>1906042.5330167015</v>
      </c>
    </row>
    <row r="29" spans="1:35" s="11" customFormat="1" ht="17.399999999999999" x14ac:dyDescent="0.3">
      <c r="A29" s="88" t="s">
        <v>153</v>
      </c>
      <c r="B29" s="55"/>
      <c r="C29" s="55"/>
      <c r="D29" s="56"/>
      <c r="E29" s="56"/>
      <c r="F29" s="60"/>
      <c r="G29" s="214">
        <f>(G28-F28)/F28</f>
        <v>0.15</v>
      </c>
      <c r="H29" s="214">
        <f t="shared" ref="H29:Y29" si="2">(H28-G28)/G28</f>
        <v>0.1</v>
      </c>
      <c r="I29" s="214">
        <f t="shared" si="2"/>
        <v>0.10000000000000014</v>
      </c>
      <c r="J29" s="214">
        <f t="shared" si="2"/>
        <v>5.0000000000000017E-2</v>
      </c>
      <c r="K29" s="214">
        <f t="shared" si="2"/>
        <v>5.0000000000000086E-2</v>
      </c>
      <c r="L29" s="214">
        <f t="shared" si="2"/>
        <v>5.0000000000000017E-2</v>
      </c>
      <c r="M29" s="214">
        <f t="shared" si="2"/>
        <v>5.0000000000000065E-2</v>
      </c>
      <c r="N29" s="214">
        <f t="shared" si="2"/>
        <v>4.9999999999999871E-2</v>
      </c>
      <c r="O29" s="214">
        <f t="shared" si="2"/>
        <v>5.0000000000000107E-2</v>
      </c>
      <c r="P29" s="214">
        <f t="shared" si="2"/>
        <v>5.0000000000000121E-2</v>
      </c>
      <c r="Q29" s="214">
        <f t="shared" si="2"/>
        <v>5.0000000000000037E-2</v>
      </c>
      <c r="R29" s="214">
        <f t="shared" si="2"/>
        <v>5.0000000000000037E-2</v>
      </c>
      <c r="S29" s="214">
        <f t="shared" si="2"/>
        <v>4.9999999999999975E-2</v>
      </c>
      <c r="T29" s="217">
        <f t="shared" si="2"/>
        <v>5.0000000000000093E-2</v>
      </c>
      <c r="U29" s="216">
        <f t="shared" si="2"/>
        <v>0</v>
      </c>
      <c r="V29" s="214">
        <f t="shared" si="2"/>
        <v>0</v>
      </c>
      <c r="W29" s="214">
        <f t="shared" si="2"/>
        <v>0</v>
      </c>
      <c r="X29" s="214">
        <f t="shared" si="2"/>
        <v>0</v>
      </c>
      <c r="Y29" s="214">
        <f t="shared" si="2"/>
        <v>0</v>
      </c>
      <c r="Z29" s="57">
        <f t="shared" si="1"/>
        <v>0</v>
      </c>
      <c r="AA29" s="57">
        <f t="shared" si="1"/>
        <v>0</v>
      </c>
      <c r="AB29" s="57">
        <f t="shared" si="1"/>
        <v>0</v>
      </c>
      <c r="AC29" s="57">
        <f t="shared" si="1"/>
        <v>0</v>
      </c>
      <c r="AD29" s="57">
        <f t="shared" si="1"/>
        <v>0</v>
      </c>
      <c r="AE29" s="57">
        <f t="shared" si="1"/>
        <v>0</v>
      </c>
      <c r="AF29" s="57">
        <f t="shared" si="1"/>
        <v>0</v>
      </c>
      <c r="AG29" s="57">
        <f t="shared" si="1"/>
        <v>0</v>
      </c>
      <c r="AH29" s="57">
        <f t="shared" si="1"/>
        <v>0</v>
      </c>
      <c r="AI29" s="72">
        <f t="shared" si="1"/>
        <v>0</v>
      </c>
    </row>
    <row r="30" spans="1:35" s="11" customFormat="1" ht="17.399999999999999" x14ac:dyDescent="0.3">
      <c r="A30" s="54" t="s">
        <v>31</v>
      </c>
      <c r="B30" s="55"/>
      <c r="C30" s="55"/>
      <c r="D30" s="56"/>
      <c r="E30" s="56"/>
      <c r="F30" s="60">
        <f>+B21*365</f>
        <v>365000</v>
      </c>
      <c r="G30" s="60">
        <f>+sales!C5*365</f>
        <v>419750</v>
      </c>
      <c r="H30" s="60">
        <f>+sales!D5*365</f>
        <v>461725</v>
      </c>
      <c r="I30" s="60">
        <f>+sales!E5*365</f>
        <v>507897.5</v>
      </c>
      <c r="J30" s="60">
        <f>+sales!F5*365</f>
        <v>533292.375</v>
      </c>
      <c r="K30" s="60">
        <f>+sales!G5*365</f>
        <v>543958.22250000003</v>
      </c>
      <c r="L30" s="60">
        <f>+sales!H5*365</f>
        <v>554837.38695000007</v>
      </c>
      <c r="M30" s="60">
        <f>+sales!I5*365</f>
        <v>565934.13468900009</v>
      </c>
      <c r="N30" s="60">
        <f>+sales!J5*365</f>
        <v>577252.81738278002</v>
      </c>
      <c r="O30" s="60">
        <f>+sales!K5*365</f>
        <v>588797.87373043562</v>
      </c>
      <c r="P30" s="60">
        <f>+sales!L5*365</f>
        <v>600573.83120504429</v>
      </c>
      <c r="Q30" s="60">
        <f>+sales!M5*365</f>
        <v>612585.30782914523</v>
      </c>
      <c r="R30" s="60">
        <f>+sales!N5*365</f>
        <v>624837.01398572815</v>
      </c>
      <c r="S30" s="60">
        <f>+sales!O5*365</f>
        <v>637333.75426544272</v>
      </c>
      <c r="T30" s="60">
        <f>+sales!P5*365</f>
        <v>650080.42935075157</v>
      </c>
      <c r="U30" s="60">
        <f>+T30</f>
        <v>650080.42935075157</v>
      </c>
      <c r="V30" s="60">
        <f t="shared" ref="V30:Y30" si="3">+U30</f>
        <v>650080.42935075157</v>
      </c>
      <c r="W30" s="60">
        <f t="shared" si="3"/>
        <v>650080.42935075157</v>
      </c>
      <c r="X30" s="60">
        <f t="shared" si="3"/>
        <v>650080.42935075157</v>
      </c>
      <c r="Y30" s="60">
        <f t="shared" si="3"/>
        <v>650080.42935075157</v>
      </c>
      <c r="Z30" s="57">
        <f t="shared" si="1"/>
        <v>663082.03793776664</v>
      </c>
      <c r="AA30" s="57">
        <f t="shared" si="1"/>
        <v>676343.67869652202</v>
      </c>
      <c r="AB30" s="57">
        <f t="shared" si="1"/>
        <v>689870.55227045249</v>
      </c>
      <c r="AC30" s="57">
        <f t="shared" si="1"/>
        <v>703667.96331586153</v>
      </c>
      <c r="AD30" s="57">
        <f t="shared" si="1"/>
        <v>717741.32258217875</v>
      </c>
      <c r="AE30" s="57">
        <f t="shared" si="1"/>
        <v>732096.14903382235</v>
      </c>
      <c r="AF30" s="57">
        <f t="shared" si="1"/>
        <v>746738.07201449876</v>
      </c>
      <c r="AG30" s="57">
        <f t="shared" si="1"/>
        <v>761672.83345478878</v>
      </c>
      <c r="AH30" s="57">
        <f t="shared" si="1"/>
        <v>776906.29012388457</v>
      </c>
      <c r="AI30" s="72">
        <f t="shared" si="1"/>
        <v>792444.41592636227</v>
      </c>
    </row>
    <row r="31" spans="1:35" s="11" customFormat="1" ht="17.399999999999999" x14ac:dyDescent="0.3">
      <c r="A31" s="88" t="s">
        <v>153</v>
      </c>
      <c r="B31" s="55"/>
      <c r="C31" s="55"/>
      <c r="D31" s="56"/>
      <c r="E31" s="56"/>
      <c r="F31" s="60"/>
      <c r="G31" s="214">
        <f>(G30-F30)/F30</f>
        <v>0.15</v>
      </c>
      <c r="H31" s="214">
        <f t="shared" ref="H31:Y31" si="4">(H30-G30)/G30</f>
        <v>0.1</v>
      </c>
      <c r="I31" s="214">
        <f t="shared" si="4"/>
        <v>0.1</v>
      </c>
      <c r="J31" s="214">
        <f t="shared" si="4"/>
        <v>0.05</v>
      </c>
      <c r="K31" s="214">
        <f t="shared" si="4"/>
        <v>2.0000000000000059E-2</v>
      </c>
      <c r="L31" s="214">
        <f t="shared" si="4"/>
        <v>2.0000000000000073E-2</v>
      </c>
      <c r="M31" s="214">
        <f t="shared" si="4"/>
        <v>2.0000000000000021E-2</v>
      </c>
      <c r="N31" s="214">
        <f t="shared" si="4"/>
        <v>1.9999999999999879E-2</v>
      </c>
      <c r="O31" s="214">
        <f t="shared" si="4"/>
        <v>1.9999999999999997E-2</v>
      </c>
      <c r="P31" s="214">
        <f t="shared" si="4"/>
        <v>1.9999999999999934E-2</v>
      </c>
      <c r="Q31" s="214">
        <f t="shared" si="4"/>
        <v>2.000000000000008E-2</v>
      </c>
      <c r="R31" s="214">
        <f t="shared" si="4"/>
        <v>2.0000000000000028E-2</v>
      </c>
      <c r="S31" s="214">
        <f t="shared" si="4"/>
        <v>2.0000000000000021E-2</v>
      </c>
      <c r="T31" s="217">
        <f t="shared" si="4"/>
        <v>1.9999999999999987E-2</v>
      </c>
      <c r="U31" s="216">
        <f t="shared" si="4"/>
        <v>0</v>
      </c>
      <c r="V31" s="214">
        <f t="shared" si="4"/>
        <v>0</v>
      </c>
      <c r="W31" s="214">
        <f t="shared" si="4"/>
        <v>0</v>
      </c>
      <c r="X31" s="214">
        <f t="shared" si="4"/>
        <v>0</v>
      </c>
      <c r="Y31" s="214">
        <f t="shared" si="4"/>
        <v>0</v>
      </c>
      <c r="Z31" s="57">
        <f t="shared" si="1"/>
        <v>0</v>
      </c>
      <c r="AA31" s="57">
        <f t="shared" si="1"/>
        <v>0</v>
      </c>
      <c r="AB31" s="57">
        <f t="shared" si="1"/>
        <v>0</v>
      </c>
      <c r="AC31" s="57">
        <f t="shared" si="1"/>
        <v>0</v>
      </c>
      <c r="AD31" s="57">
        <f t="shared" si="1"/>
        <v>0</v>
      </c>
      <c r="AE31" s="57">
        <f t="shared" si="1"/>
        <v>0</v>
      </c>
      <c r="AF31" s="57">
        <f t="shared" si="1"/>
        <v>0</v>
      </c>
      <c r="AG31" s="57">
        <f t="shared" si="1"/>
        <v>0</v>
      </c>
      <c r="AH31" s="57">
        <f t="shared" si="1"/>
        <v>0</v>
      </c>
      <c r="AI31" s="72">
        <f t="shared" si="1"/>
        <v>0</v>
      </c>
    </row>
    <row r="32" spans="1:35" s="11" customFormat="1" ht="17.399999999999999" x14ac:dyDescent="0.3">
      <c r="A32" s="54" t="s">
        <v>169</v>
      </c>
      <c r="B32" s="55"/>
      <c r="C32" s="55"/>
      <c r="D32" s="56"/>
      <c r="E32" s="56"/>
      <c r="F32" s="60">
        <f>+B22*365</f>
        <v>109500</v>
      </c>
      <c r="G32" s="60">
        <f>+sales!C6*365</f>
        <v>125925</v>
      </c>
      <c r="H32" s="60">
        <f>+sales!D6*365</f>
        <v>138517.50000000003</v>
      </c>
      <c r="I32" s="60">
        <f>+sales!E6*365</f>
        <v>152369.25000000003</v>
      </c>
      <c r="J32" s="60">
        <f>+sales!F6*365</f>
        <v>159987.71250000005</v>
      </c>
      <c r="K32" s="60">
        <f>+sales!G6*365</f>
        <v>167987.09812500005</v>
      </c>
      <c r="L32" s="60">
        <f>+sales!H6*365</f>
        <v>176386.45303125007</v>
      </c>
      <c r="M32" s="60">
        <f>+sales!I6*365</f>
        <v>185205.77568281256</v>
      </c>
      <c r="N32" s="60">
        <f>+sales!J6*365</f>
        <v>194466.06446695319</v>
      </c>
      <c r="O32" s="60">
        <f>+sales!K6*365</f>
        <v>204189.36769030086</v>
      </c>
      <c r="P32" s="60">
        <f>+sales!L6*365</f>
        <v>214398.83607481592</v>
      </c>
      <c r="Q32" s="60">
        <f>+sales!M6*365</f>
        <v>225118.77787855672</v>
      </c>
      <c r="R32" s="60">
        <f>+sales!N6*365</f>
        <v>236374.71677248456</v>
      </c>
      <c r="S32" s="60">
        <f>+sales!O6*365</f>
        <v>248193.45261110881</v>
      </c>
      <c r="T32" s="60">
        <f>+sales!P6*365</f>
        <v>260603.12524166427</v>
      </c>
      <c r="U32" s="60">
        <f>+T32</f>
        <v>260603.12524166427</v>
      </c>
      <c r="V32" s="60">
        <f t="shared" ref="V32:Y32" si="5">+U32</f>
        <v>260603.12524166427</v>
      </c>
      <c r="W32" s="60">
        <f t="shared" si="5"/>
        <v>260603.12524166427</v>
      </c>
      <c r="X32" s="60">
        <f t="shared" si="5"/>
        <v>260603.12524166427</v>
      </c>
      <c r="Y32" s="60">
        <f t="shared" si="5"/>
        <v>260603.12524166427</v>
      </c>
      <c r="Z32" s="57">
        <f t="shared" si="1"/>
        <v>265815.18774649757</v>
      </c>
      <c r="AA32" s="57">
        <f t="shared" si="1"/>
        <v>271131.49150142755</v>
      </c>
      <c r="AB32" s="57">
        <f t="shared" si="1"/>
        <v>276554.12133145612</v>
      </c>
      <c r="AC32" s="57">
        <f t="shared" si="1"/>
        <v>282085.20375808526</v>
      </c>
      <c r="AD32" s="57">
        <f t="shared" si="1"/>
        <v>287726.90783324698</v>
      </c>
      <c r="AE32" s="57">
        <f t="shared" si="1"/>
        <v>293481.44598991191</v>
      </c>
      <c r="AF32" s="57">
        <f t="shared" si="1"/>
        <v>299351.07490971015</v>
      </c>
      <c r="AG32" s="57">
        <f t="shared" si="1"/>
        <v>305338.09640790435</v>
      </c>
      <c r="AH32" s="57">
        <f t="shared" si="1"/>
        <v>311444.85833606246</v>
      </c>
      <c r="AI32" s="72">
        <f t="shared" si="1"/>
        <v>317673.75550278369</v>
      </c>
    </row>
    <row r="33" spans="1:35" s="11" customFormat="1" ht="17.399999999999999" x14ac:dyDescent="0.3">
      <c r="A33" s="88" t="s">
        <v>153</v>
      </c>
      <c r="B33" s="55"/>
      <c r="C33" s="55"/>
      <c r="D33" s="56"/>
      <c r="E33" s="56"/>
      <c r="F33" s="60"/>
      <c r="G33" s="214">
        <f>(G32-F32)/F32</f>
        <v>0.15</v>
      </c>
      <c r="H33" s="214">
        <f t="shared" ref="H33" si="6">(H32-G32)/G32</f>
        <v>0.10000000000000023</v>
      </c>
      <c r="I33" s="214">
        <f t="shared" ref="I33" si="7">(I32-H32)/H32</f>
        <v>9.9999999999999978E-2</v>
      </c>
      <c r="J33" s="214">
        <f t="shared" ref="J33" si="8">(J32-I32)/I32</f>
        <v>5.0000000000000142E-2</v>
      </c>
      <c r="K33" s="214">
        <f t="shared" ref="K33" si="9">(K32-J32)/J32</f>
        <v>4.9999999999999954E-2</v>
      </c>
      <c r="L33" s="214">
        <f t="shared" ref="L33" si="10">(L32-K32)/K32</f>
        <v>5.0000000000000128E-2</v>
      </c>
      <c r="M33" s="214">
        <f t="shared" ref="M33" si="11">(M32-L32)/L32</f>
        <v>4.9999999999999892E-2</v>
      </c>
      <c r="N33" s="214">
        <f t="shared" ref="N33" si="12">(N32-M32)/M32</f>
        <v>5.0000000000000031E-2</v>
      </c>
      <c r="O33" s="214">
        <f t="shared" ref="O33" si="13">(O32-N32)/N32</f>
        <v>5.0000000000000051E-2</v>
      </c>
      <c r="P33" s="214">
        <f t="shared" ref="P33" si="14">(P32-O32)/O32</f>
        <v>5.0000000000000072E-2</v>
      </c>
      <c r="Q33" s="214">
        <f t="shared" ref="Q33" si="15">(Q32-P32)/P32</f>
        <v>5.0000000000000031E-2</v>
      </c>
      <c r="R33" s="214">
        <f t="shared" ref="R33" si="16">(R32-Q32)/Q32</f>
        <v>5.0000000000000031E-2</v>
      </c>
      <c r="S33" s="214">
        <f t="shared" ref="S33" si="17">(S32-R32)/R32</f>
        <v>5.0000000000000058E-2</v>
      </c>
      <c r="T33" s="217">
        <f t="shared" ref="T33" si="18">(T32-S32)/S32</f>
        <v>5.0000000000000086E-2</v>
      </c>
      <c r="U33" s="216">
        <f t="shared" ref="U33" si="19">(U32-T32)/T32</f>
        <v>0</v>
      </c>
      <c r="V33" s="214">
        <f t="shared" ref="V33" si="20">(V32-U32)/U32</f>
        <v>0</v>
      </c>
      <c r="W33" s="214">
        <f t="shared" ref="W33" si="21">(W32-V32)/V32</f>
        <v>0</v>
      </c>
      <c r="X33" s="214">
        <f t="shared" ref="X33" si="22">(X32-W32)/W32</f>
        <v>0</v>
      </c>
      <c r="Y33" s="214">
        <f t="shared" ref="Y33" si="23">(Y32-X32)/X32</f>
        <v>0</v>
      </c>
      <c r="Z33" s="57">
        <f t="shared" si="1"/>
        <v>0</v>
      </c>
      <c r="AA33" s="57">
        <f t="shared" si="1"/>
        <v>0</v>
      </c>
      <c r="AB33" s="57">
        <f t="shared" si="1"/>
        <v>0</v>
      </c>
      <c r="AC33" s="57">
        <f t="shared" si="1"/>
        <v>0</v>
      </c>
      <c r="AD33" s="57">
        <f t="shared" si="1"/>
        <v>0</v>
      </c>
      <c r="AE33" s="57">
        <f t="shared" si="1"/>
        <v>0</v>
      </c>
      <c r="AF33" s="57">
        <f t="shared" si="1"/>
        <v>0</v>
      </c>
      <c r="AG33" s="57">
        <f t="shared" si="1"/>
        <v>0</v>
      </c>
      <c r="AH33" s="57">
        <f t="shared" si="1"/>
        <v>0</v>
      </c>
      <c r="AI33" s="72">
        <f t="shared" si="1"/>
        <v>0</v>
      </c>
    </row>
    <row r="34" spans="1:35" s="11" customFormat="1" ht="17.399999999999999" x14ac:dyDescent="0.3">
      <c r="A34" s="54" t="s">
        <v>32</v>
      </c>
      <c r="B34" s="55"/>
      <c r="C34" s="55"/>
      <c r="D34" s="30"/>
      <c r="E34" s="30"/>
      <c r="F34" s="60">
        <f>+B23*365</f>
        <v>2920</v>
      </c>
      <c r="G34" s="60">
        <f>+sales!C7*365</f>
        <v>2949.2</v>
      </c>
      <c r="H34" s="60">
        <f>+sales!D7*365</f>
        <v>2978.692</v>
      </c>
      <c r="I34" s="60">
        <f>+sales!E7*365</f>
        <v>3008.4789199999996</v>
      </c>
      <c r="J34" s="60">
        <f>+sales!F7*365</f>
        <v>3038.5637092000002</v>
      </c>
      <c r="K34" s="60">
        <f>+sales!G7*365</f>
        <v>3068.949346292</v>
      </c>
      <c r="L34" s="60">
        <f>+sales!H7*365</f>
        <v>3099.6388397549199</v>
      </c>
      <c r="M34" s="60">
        <f>+sales!I7*365</f>
        <v>3130.6352281524687</v>
      </c>
      <c r="N34" s="60">
        <f>+sales!J7*365</f>
        <v>3161.9415804339937</v>
      </c>
      <c r="O34" s="60">
        <f>+sales!K7*365</f>
        <v>3193.5609962383337</v>
      </c>
      <c r="P34" s="60">
        <f>+sales!L7*365</f>
        <v>3225.496606200717</v>
      </c>
      <c r="Q34" s="60">
        <f>+sales!M7*365</f>
        <v>3257.7515722627245</v>
      </c>
      <c r="R34" s="60">
        <f>+sales!N7*365</f>
        <v>3290.3290879853516</v>
      </c>
      <c r="S34" s="60">
        <f>+sales!O7*365</f>
        <v>3323.2323788652052</v>
      </c>
      <c r="T34" s="60">
        <f>+sales!P7*365</f>
        <v>3356.4647026538573</v>
      </c>
      <c r="U34" s="60">
        <f>+T34</f>
        <v>3356.4647026538573</v>
      </c>
      <c r="V34" s="60">
        <f t="shared" ref="V34:Y34" si="24">+U34</f>
        <v>3356.4647026538573</v>
      </c>
      <c r="W34" s="60">
        <f t="shared" si="24"/>
        <v>3356.4647026538573</v>
      </c>
      <c r="X34" s="60">
        <f t="shared" si="24"/>
        <v>3356.4647026538573</v>
      </c>
      <c r="Y34" s="60">
        <f t="shared" si="24"/>
        <v>3356.4647026538573</v>
      </c>
      <c r="Z34" s="57">
        <f t="shared" si="1"/>
        <v>3423.5939967069344</v>
      </c>
      <c r="AA34" s="57">
        <f t="shared" si="1"/>
        <v>3492.0658766410729</v>
      </c>
      <c r="AB34" s="57">
        <f t="shared" si="1"/>
        <v>3561.9071941738944</v>
      </c>
      <c r="AC34" s="57">
        <f t="shared" si="1"/>
        <v>3633.1453380573721</v>
      </c>
      <c r="AD34" s="57">
        <f t="shared" si="1"/>
        <v>3705.8082448185196</v>
      </c>
      <c r="AE34" s="57">
        <f t="shared" si="1"/>
        <v>3779.9244097148899</v>
      </c>
      <c r="AF34" s="57">
        <f t="shared" si="1"/>
        <v>3855.5228979091876</v>
      </c>
      <c r="AG34" s="57">
        <f t="shared" si="1"/>
        <v>3932.6333558673714</v>
      </c>
      <c r="AH34" s="57">
        <f t="shared" si="1"/>
        <v>4011.2860229847188</v>
      </c>
      <c r="AI34" s="57">
        <f t="shared" si="1"/>
        <v>4091.5117434444132</v>
      </c>
    </row>
    <row r="35" spans="1:35" s="11" customFormat="1" ht="17.399999999999999" x14ac:dyDescent="0.3">
      <c r="A35" s="88" t="s">
        <v>153</v>
      </c>
      <c r="B35" s="55"/>
      <c r="C35" s="55"/>
      <c r="D35" s="56"/>
      <c r="E35" s="56"/>
      <c r="F35" s="60"/>
      <c r="G35" s="214">
        <f>(G34-F34)/F34</f>
        <v>9.9999999999999378E-3</v>
      </c>
      <c r="H35" s="214">
        <f t="shared" ref="H35:Y35" si="25">(H34-G34)/G34</f>
        <v>1.0000000000000064E-2</v>
      </c>
      <c r="I35" s="214">
        <f t="shared" si="25"/>
        <v>9.999999999999851E-3</v>
      </c>
      <c r="J35" s="214">
        <f t="shared" si="25"/>
        <v>1.0000000000000205E-2</v>
      </c>
      <c r="K35" s="214">
        <f t="shared" si="25"/>
        <v>9.9999999999999326E-3</v>
      </c>
      <c r="L35" s="214">
        <f t="shared" si="25"/>
        <v>9.9999999999999759E-3</v>
      </c>
      <c r="M35" s="214">
        <f t="shared" si="25"/>
        <v>9.9999999999998701E-3</v>
      </c>
      <c r="N35" s="214">
        <f t="shared" si="25"/>
        <v>1.0000000000000116E-2</v>
      </c>
      <c r="O35" s="214">
        <f t="shared" si="25"/>
        <v>1.0000000000000004E-2</v>
      </c>
      <c r="P35" s="214">
        <f t="shared" si="25"/>
        <v>9.9999999999999863E-3</v>
      </c>
      <c r="Q35" s="214">
        <f t="shared" si="25"/>
        <v>1.0000000000000101E-2</v>
      </c>
      <c r="R35" s="214">
        <f t="shared" si="25"/>
        <v>9.9999999999999672E-3</v>
      </c>
      <c r="S35" s="214">
        <f t="shared" si="25"/>
        <v>1.0000000000000012E-2</v>
      </c>
      <c r="T35" s="217">
        <f t="shared" si="25"/>
        <v>1.0000000000000026E-2</v>
      </c>
      <c r="U35" s="216">
        <f t="shared" si="25"/>
        <v>0</v>
      </c>
      <c r="V35" s="214">
        <f t="shared" si="25"/>
        <v>0</v>
      </c>
      <c r="W35" s="214">
        <f t="shared" si="25"/>
        <v>0</v>
      </c>
      <c r="X35" s="214">
        <f t="shared" si="25"/>
        <v>0</v>
      </c>
      <c r="Y35" s="214">
        <f t="shared" si="25"/>
        <v>0</v>
      </c>
      <c r="Z35" s="57">
        <f t="shared" si="1"/>
        <v>0</v>
      </c>
      <c r="AA35" s="57">
        <f t="shared" si="1"/>
        <v>0</v>
      </c>
      <c r="AB35" s="57">
        <f t="shared" si="1"/>
        <v>0</v>
      </c>
      <c r="AC35" s="57">
        <f t="shared" si="1"/>
        <v>0</v>
      </c>
      <c r="AD35" s="57">
        <f t="shared" si="1"/>
        <v>0</v>
      </c>
      <c r="AE35" s="57">
        <f t="shared" si="1"/>
        <v>0</v>
      </c>
      <c r="AF35" s="57">
        <f t="shared" si="1"/>
        <v>0</v>
      </c>
      <c r="AG35" s="57">
        <f t="shared" si="1"/>
        <v>0</v>
      </c>
      <c r="AH35" s="57">
        <f t="shared" si="1"/>
        <v>0</v>
      </c>
      <c r="AI35" s="72">
        <f t="shared" si="1"/>
        <v>0</v>
      </c>
    </row>
    <row r="36" spans="1:35" s="11" customFormat="1" ht="5.25" customHeight="1" x14ac:dyDescent="0.3">
      <c r="A36" s="54"/>
      <c r="B36" s="55"/>
      <c r="C36" s="55"/>
      <c r="D36" s="30"/>
      <c r="E36" s="3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2"/>
      <c r="U36" s="61"/>
      <c r="V36" s="60"/>
      <c r="W36" s="60"/>
      <c r="X36" s="60"/>
      <c r="Y36" s="60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1:35" s="11" customFormat="1" ht="17.399999999999999" x14ac:dyDescent="0.3">
      <c r="A37" s="54" t="s">
        <v>154</v>
      </c>
      <c r="B37" s="55"/>
      <c r="C37" s="55"/>
      <c r="D37" s="30"/>
      <c r="E37" s="30"/>
      <c r="F37" s="215">
        <f>(F28+F30+F32)/365</f>
        <v>3100</v>
      </c>
      <c r="G37" s="215">
        <f t="shared" ref="G37:Y37" si="26">(G28+G30+G32)/365</f>
        <v>3565</v>
      </c>
      <c r="H37" s="215">
        <f t="shared" si="26"/>
        <v>3921.5</v>
      </c>
      <c r="I37" s="215">
        <f t="shared" si="26"/>
        <v>4313.6499999999996</v>
      </c>
      <c r="J37" s="215">
        <f t="shared" si="26"/>
        <v>4529.3325000000004</v>
      </c>
      <c r="K37" s="215">
        <f t="shared" si="26"/>
        <v>4711.966875000001</v>
      </c>
      <c r="L37" s="215">
        <f t="shared" si="26"/>
        <v>4902.8563237500011</v>
      </c>
      <c r="M37" s="215">
        <f t="shared" si="26"/>
        <v>5102.3960670375009</v>
      </c>
      <c r="N37" s="215">
        <f t="shared" si="26"/>
        <v>5311.0007360313766</v>
      </c>
      <c r="O37" s="215">
        <f t="shared" si="26"/>
        <v>5529.1053357877854</v>
      </c>
      <c r="P37" s="215">
        <f t="shared" si="26"/>
        <v>5757.1662567911117</v>
      </c>
      <c r="Q37" s="215">
        <f t="shared" si="26"/>
        <v>5995.6623369288836</v>
      </c>
      <c r="R37" s="215">
        <f t="shared" si="26"/>
        <v>6245.0959764195068</v>
      </c>
      <c r="S37" s="215">
        <f t="shared" si="26"/>
        <v>6505.9943083375447</v>
      </c>
      <c r="T37" s="25">
        <f t="shared" si="26"/>
        <v>6778.9104275134277</v>
      </c>
      <c r="U37" s="222">
        <f t="shared" si="26"/>
        <v>6778.9104275134277</v>
      </c>
      <c r="V37" s="215">
        <f t="shared" si="26"/>
        <v>6778.9104275134277</v>
      </c>
      <c r="W37" s="215">
        <f t="shared" si="26"/>
        <v>6778.9104275134277</v>
      </c>
      <c r="X37" s="215">
        <f t="shared" si="26"/>
        <v>6778.9104275134277</v>
      </c>
      <c r="Y37" s="215">
        <f t="shared" si="26"/>
        <v>6778.9104275134277</v>
      </c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1:35" s="11" customFormat="1" ht="7.5" customHeight="1" x14ac:dyDescent="0.3">
      <c r="A38" s="54"/>
      <c r="B38" s="55"/>
      <c r="C38" s="55"/>
      <c r="D38" s="30"/>
      <c r="E38" s="3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2"/>
      <c r="U38" s="61"/>
      <c r="V38" s="60"/>
      <c r="W38" s="60"/>
      <c r="X38" s="60"/>
      <c r="Y38" s="60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1:35" s="11" customFormat="1" ht="17.399999999999999" x14ac:dyDescent="0.3">
      <c r="A39" s="291" t="s">
        <v>33</v>
      </c>
      <c r="B39" s="292"/>
      <c r="C39" s="293"/>
      <c r="D39" s="58"/>
      <c r="E39" s="58"/>
      <c r="F39" s="60"/>
      <c r="G39" s="60"/>
      <c r="H39" s="60"/>
      <c r="I39" s="60"/>
      <c r="J39" s="60"/>
      <c r="K39" s="61"/>
      <c r="L39" s="60"/>
      <c r="M39" s="60"/>
      <c r="N39" s="60"/>
      <c r="O39" s="60"/>
      <c r="P39" s="60"/>
      <c r="Q39" s="60"/>
      <c r="R39" s="60"/>
      <c r="S39" s="60"/>
      <c r="T39" s="62"/>
      <c r="U39" s="61"/>
      <c r="V39" s="60"/>
      <c r="W39" s="60"/>
      <c r="X39" s="60"/>
      <c r="Y39" s="60"/>
    </row>
    <row r="40" spans="1:35" s="11" customFormat="1" ht="17.399999999999999" x14ac:dyDescent="0.3">
      <c r="A40" s="245" t="s">
        <v>21</v>
      </c>
      <c r="B40" s="55"/>
      <c r="C40" s="55"/>
      <c r="D40" s="26"/>
      <c r="E40" s="26"/>
      <c r="F40" s="60">
        <f t="shared" ref="F40:Y40" si="27">+F28*F93</f>
        <v>5170589.9999999991</v>
      </c>
      <c r="G40" s="60">
        <f t="shared" si="27"/>
        <v>7457278.4999999991</v>
      </c>
      <c r="H40" s="60">
        <f t="shared" si="27"/>
        <v>8203006.3499999996</v>
      </c>
      <c r="I40" s="60">
        <f t="shared" si="27"/>
        <v>9023306.9850000013</v>
      </c>
      <c r="J40" s="60">
        <f t="shared" si="27"/>
        <v>12354251.15925</v>
      </c>
      <c r="K40" s="60">
        <f t="shared" si="27"/>
        <v>12971963.717212502</v>
      </c>
      <c r="L40" s="60">
        <f t="shared" si="27"/>
        <v>13620561.903073128</v>
      </c>
      <c r="M40" s="60">
        <f t="shared" si="27"/>
        <v>17635293.96051741</v>
      </c>
      <c r="N40" s="60">
        <f t="shared" si="27"/>
        <v>18517058.658543278</v>
      </c>
      <c r="O40" s="60">
        <f t="shared" si="27"/>
        <v>19442911.591470446</v>
      </c>
      <c r="P40" s="60">
        <f t="shared" si="27"/>
        <v>24274236.220390659</v>
      </c>
      <c r="Q40" s="60">
        <f t="shared" si="27"/>
        <v>25487948.031410191</v>
      </c>
      <c r="R40" s="60">
        <f t="shared" si="27"/>
        <v>26762345.432980701</v>
      </c>
      <c r="S40" s="60">
        <f t="shared" si="27"/>
        <v>32567944.851629697</v>
      </c>
      <c r="T40" s="60">
        <f t="shared" si="27"/>
        <v>34196342.094211183</v>
      </c>
      <c r="U40" s="60">
        <f t="shared" si="27"/>
        <v>34196342.094211183</v>
      </c>
      <c r="V40" s="60">
        <f t="shared" si="27"/>
        <v>38887198.348561138</v>
      </c>
      <c r="W40" s="60">
        <f t="shared" si="27"/>
        <v>38887198.348561138</v>
      </c>
      <c r="X40" s="60">
        <f t="shared" si="27"/>
        <v>38887198.348561138</v>
      </c>
      <c r="Y40" s="60">
        <f t="shared" si="27"/>
        <v>42014435.851461112</v>
      </c>
      <c r="Z40" s="31">
        <f t="shared" ref="Z40:AI40" si="28">+Z28*$D$20</f>
        <v>12551793.165389612</v>
      </c>
      <c r="AA40" s="31">
        <f t="shared" si="28"/>
        <v>12802829.028697405</v>
      </c>
      <c r="AB40" s="31">
        <f t="shared" si="28"/>
        <v>13058885.609271353</v>
      </c>
      <c r="AC40" s="31">
        <f t="shared" si="28"/>
        <v>13320063.321456779</v>
      </c>
      <c r="AD40" s="31">
        <f t="shared" si="28"/>
        <v>13586464.587885916</v>
      </c>
      <c r="AE40" s="31">
        <f t="shared" si="28"/>
        <v>13858193.879643634</v>
      </c>
      <c r="AF40" s="31">
        <f t="shared" si="28"/>
        <v>14135357.757236507</v>
      </c>
      <c r="AG40" s="31">
        <f t="shared" si="28"/>
        <v>14418064.912381237</v>
      </c>
      <c r="AH40" s="31">
        <f t="shared" si="28"/>
        <v>14706426.210628862</v>
      </c>
      <c r="AI40" s="72">
        <f t="shared" si="28"/>
        <v>15000554.73484144</v>
      </c>
    </row>
    <row r="41" spans="1:35" s="11" customFormat="1" ht="17.399999999999999" x14ac:dyDescent="0.3">
      <c r="A41" s="245" t="s">
        <v>23</v>
      </c>
      <c r="B41" s="55"/>
      <c r="C41" s="55"/>
      <c r="D41" s="30"/>
      <c r="E41" s="30"/>
      <c r="F41" s="60">
        <f t="shared" ref="F41:Y41" si="29">+F30*F94</f>
        <v>2872549.9999999995</v>
      </c>
      <c r="G41" s="60">
        <f t="shared" si="29"/>
        <v>4142932.4999999995</v>
      </c>
      <c r="H41" s="60">
        <f t="shared" si="29"/>
        <v>4557225.75</v>
      </c>
      <c r="I41" s="60">
        <f t="shared" si="29"/>
        <v>5012948.3249999993</v>
      </c>
      <c r="J41" s="60">
        <f t="shared" si="29"/>
        <v>6863472.86625</v>
      </c>
      <c r="K41" s="60">
        <f t="shared" si="29"/>
        <v>7000742.3235750003</v>
      </c>
      <c r="L41" s="60">
        <f t="shared" si="29"/>
        <v>7140757.1700465009</v>
      </c>
      <c r="M41" s="60">
        <f t="shared" si="29"/>
        <v>8981374.7175144311</v>
      </c>
      <c r="N41" s="60">
        <f t="shared" si="29"/>
        <v>9161002.2118647192</v>
      </c>
      <c r="O41" s="60">
        <f t="shared" si="29"/>
        <v>9344222.2561020125</v>
      </c>
      <c r="P41" s="60">
        <f t="shared" si="29"/>
        <v>11332828.194839187</v>
      </c>
      <c r="Q41" s="60">
        <f t="shared" si="29"/>
        <v>11559484.758735972</v>
      </c>
      <c r="R41" s="60">
        <f t="shared" si="29"/>
        <v>11790674.453910692</v>
      </c>
      <c r="S41" s="60">
        <f t="shared" si="29"/>
        <v>13938489.205785234</v>
      </c>
      <c r="T41" s="60">
        <f t="shared" si="29"/>
        <v>14217258.989900937</v>
      </c>
      <c r="U41" s="60">
        <f t="shared" si="29"/>
        <v>14217258.989900937</v>
      </c>
      <c r="V41" s="60">
        <f t="shared" si="29"/>
        <v>16167500.277953193</v>
      </c>
      <c r="W41" s="60">
        <f t="shared" si="29"/>
        <v>16167500.277953193</v>
      </c>
      <c r="X41" s="60">
        <f t="shared" si="29"/>
        <v>16167500.277953193</v>
      </c>
      <c r="Y41" s="60">
        <f t="shared" si="29"/>
        <v>17467661.136654694</v>
      </c>
      <c r="Z41" s="60">
        <f t="shared" ref="Z41:AI42" si="30">+Z30*$D$21</f>
        <v>5218455.638570223</v>
      </c>
      <c r="AA41" s="61">
        <f t="shared" si="30"/>
        <v>5322824.7513416279</v>
      </c>
      <c r="AB41" s="57">
        <f t="shared" si="30"/>
        <v>5429281.2463684604</v>
      </c>
      <c r="AC41" s="57">
        <f t="shared" si="30"/>
        <v>5537866.8712958293</v>
      </c>
      <c r="AD41" s="57">
        <f t="shared" si="30"/>
        <v>5648624.2087217458</v>
      </c>
      <c r="AE41" s="57">
        <f t="shared" si="30"/>
        <v>5761596.6928961817</v>
      </c>
      <c r="AF41" s="57">
        <f t="shared" si="30"/>
        <v>5876828.6267541051</v>
      </c>
      <c r="AG41" s="60">
        <f t="shared" si="30"/>
        <v>5994365.1992891869</v>
      </c>
      <c r="AH41" s="60">
        <f t="shared" si="30"/>
        <v>6114252.5032749707</v>
      </c>
      <c r="AI41" s="62">
        <f t="shared" si="30"/>
        <v>6236537.5533404704</v>
      </c>
    </row>
    <row r="42" spans="1:35" s="11" customFormat="1" ht="17.399999999999999" x14ac:dyDescent="0.3">
      <c r="A42" s="278" t="s">
        <v>168</v>
      </c>
      <c r="B42" s="55"/>
      <c r="C42" s="55"/>
      <c r="D42" s="30"/>
      <c r="E42" s="30"/>
      <c r="F42" s="60">
        <f t="shared" ref="F42:Y42" si="31">+F32*F95</f>
        <v>861765</v>
      </c>
      <c r="G42" s="60">
        <f t="shared" si="31"/>
        <v>1242879.7500000002</v>
      </c>
      <c r="H42" s="60">
        <f t="shared" si="31"/>
        <v>1367167.7250000003</v>
      </c>
      <c r="I42" s="60">
        <f t="shared" si="31"/>
        <v>1503884.4975000005</v>
      </c>
      <c r="J42" s="60">
        <f t="shared" si="31"/>
        <v>3199754.2500000009</v>
      </c>
      <c r="K42" s="60">
        <f t="shared" si="31"/>
        <v>3359741.9625000008</v>
      </c>
      <c r="L42" s="60">
        <f t="shared" si="31"/>
        <v>3527729.0606250013</v>
      </c>
      <c r="M42" s="60">
        <f t="shared" si="31"/>
        <v>4259732.8407046888</v>
      </c>
      <c r="N42" s="60">
        <f t="shared" si="31"/>
        <v>4472719.4827399235</v>
      </c>
      <c r="O42" s="60">
        <f t="shared" si="31"/>
        <v>4696355.4568769196</v>
      </c>
      <c r="P42" s="60">
        <f t="shared" si="31"/>
        <v>5574369.7379452139</v>
      </c>
      <c r="Q42" s="60">
        <f t="shared" si="31"/>
        <v>5853088.2248424748</v>
      </c>
      <c r="R42" s="60">
        <f t="shared" si="31"/>
        <v>6145742.6360845985</v>
      </c>
      <c r="S42" s="60">
        <f t="shared" si="31"/>
        <v>7197610.125722155</v>
      </c>
      <c r="T42" s="60">
        <f t="shared" si="31"/>
        <v>7557490.6320082638</v>
      </c>
      <c r="U42" s="60">
        <f t="shared" si="31"/>
        <v>7557490.6320082638</v>
      </c>
      <c r="V42" s="60">
        <f t="shared" si="31"/>
        <v>8339300.0077332566</v>
      </c>
      <c r="W42" s="60">
        <f t="shared" si="31"/>
        <v>8339300.0077332566</v>
      </c>
      <c r="X42" s="60">
        <f t="shared" si="31"/>
        <v>8339300.0077332566</v>
      </c>
      <c r="Y42" s="60">
        <f t="shared" si="31"/>
        <v>9121109.3834582493</v>
      </c>
      <c r="Z42" s="60">
        <f t="shared" si="30"/>
        <v>0</v>
      </c>
      <c r="AA42" s="61">
        <f t="shared" si="30"/>
        <v>0</v>
      </c>
      <c r="AB42" s="57">
        <f t="shared" si="30"/>
        <v>0</v>
      </c>
      <c r="AC42" s="57">
        <f t="shared" si="30"/>
        <v>0</v>
      </c>
      <c r="AD42" s="57">
        <f t="shared" si="30"/>
        <v>0</v>
      </c>
      <c r="AE42" s="57">
        <f t="shared" si="30"/>
        <v>0</v>
      </c>
      <c r="AF42" s="57">
        <f t="shared" si="30"/>
        <v>0</v>
      </c>
      <c r="AG42" s="60">
        <f t="shared" si="30"/>
        <v>0</v>
      </c>
      <c r="AH42" s="60">
        <f t="shared" si="30"/>
        <v>0</v>
      </c>
      <c r="AI42" s="62">
        <f t="shared" si="30"/>
        <v>0</v>
      </c>
    </row>
    <row r="43" spans="1:35" s="11" customFormat="1" ht="17.399999999999999" x14ac:dyDescent="0.3">
      <c r="A43" s="245" t="s">
        <v>34</v>
      </c>
      <c r="B43" s="55"/>
      <c r="C43" s="55"/>
      <c r="D43" s="30"/>
      <c r="E43" s="30"/>
      <c r="F43" s="60">
        <f t="shared" ref="F43:Y43" si="32">+F34*F96</f>
        <v>233600</v>
      </c>
      <c r="G43" s="60">
        <f t="shared" si="32"/>
        <v>235936</v>
      </c>
      <c r="H43" s="60">
        <f t="shared" si="32"/>
        <v>238295.36</v>
      </c>
      <c r="I43" s="60">
        <f t="shared" si="32"/>
        <v>240678.31359999996</v>
      </c>
      <c r="J43" s="60">
        <f t="shared" si="32"/>
        <v>252200.78786360001</v>
      </c>
      <c r="K43" s="60">
        <f t="shared" si="32"/>
        <v>254722.79574223599</v>
      </c>
      <c r="L43" s="60">
        <f t="shared" si="32"/>
        <v>257270.02369965834</v>
      </c>
      <c r="M43" s="60">
        <f t="shared" si="32"/>
        <v>269234.62962111231</v>
      </c>
      <c r="N43" s="60">
        <f t="shared" si="32"/>
        <v>271926.97591732343</v>
      </c>
      <c r="O43" s="60">
        <f t="shared" si="32"/>
        <v>274646.24567649671</v>
      </c>
      <c r="P43" s="60">
        <f t="shared" si="32"/>
        <v>287069.19795186381</v>
      </c>
      <c r="Q43" s="60">
        <f t="shared" si="32"/>
        <v>289939.88993138249</v>
      </c>
      <c r="R43" s="60">
        <f t="shared" si="32"/>
        <v>292839.28883069631</v>
      </c>
      <c r="S43" s="60">
        <f t="shared" si="32"/>
        <v>305737.37885559886</v>
      </c>
      <c r="T43" s="60">
        <f t="shared" si="32"/>
        <v>308794.75264415488</v>
      </c>
      <c r="U43" s="60">
        <f t="shared" si="32"/>
        <v>308794.75264415488</v>
      </c>
      <c r="V43" s="60">
        <f t="shared" si="32"/>
        <v>318864.14675211644</v>
      </c>
      <c r="W43" s="60">
        <f t="shared" si="32"/>
        <v>318864.14675211644</v>
      </c>
      <c r="X43" s="60">
        <f t="shared" si="32"/>
        <v>318864.14675211644</v>
      </c>
      <c r="Y43" s="60">
        <f t="shared" si="32"/>
        <v>328933.54086007801</v>
      </c>
      <c r="Z43" s="60">
        <f t="shared" ref="Z43:AI43" si="33">+Z34*$D$23</f>
        <v>273887.51973655476</v>
      </c>
      <c r="AA43" s="61">
        <f t="shared" si="33"/>
        <v>279365.27013128583</v>
      </c>
      <c r="AB43" s="57">
        <f t="shared" si="33"/>
        <v>284952.57553391153</v>
      </c>
      <c r="AC43" s="57">
        <f t="shared" si="33"/>
        <v>290651.62704458978</v>
      </c>
      <c r="AD43" s="57">
        <f t="shared" si="33"/>
        <v>296464.65958548157</v>
      </c>
      <c r="AE43" s="57">
        <f t="shared" si="33"/>
        <v>302393.95277719118</v>
      </c>
      <c r="AF43" s="57">
        <f t="shared" si="33"/>
        <v>308441.83183273498</v>
      </c>
      <c r="AG43" s="60">
        <f t="shared" si="33"/>
        <v>314610.66846938973</v>
      </c>
      <c r="AH43" s="60">
        <f t="shared" si="33"/>
        <v>320902.88183877751</v>
      </c>
      <c r="AI43" s="62">
        <f t="shared" si="33"/>
        <v>327320.93947555305</v>
      </c>
    </row>
    <row r="44" spans="1:35" s="11" customFormat="1" ht="15" customHeight="1" x14ac:dyDescent="0.3">
      <c r="A44" s="245" t="s">
        <v>35</v>
      </c>
      <c r="B44" s="55"/>
      <c r="C44" s="63">
        <v>0.02</v>
      </c>
      <c r="D44" s="64" t="s">
        <v>127</v>
      </c>
      <c r="E44" s="30"/>
      <c r="F44" s="60">
        <f>+(F28+F30+F32)*$C$44</f>
        <v>22630</v>
      </c>
      <c r="G44" s="60">
        <f t="shared" ref="G44:Y44" si="34">+(G28+G30+G32)*$C$44</f>
        <v>26024.5</v>
      </c>
      <c r="H44" s="60">
        <f t="shared" si="34"/>
        <v>28626.95</v>
      </c>
      <c r="I44" s="60">
        <f t="shared" si="34"/>
        <v>31489.645</v>
      </c>
      <c r="J44" s="60">
        <f t="shared" si="34"/>
        <v>33064.127250000005</v>
      </c>
      <c r="K44" s="60">
        <f t="shared" si="34"/>
        <v>34397.358187500009</v>
      </c>
      <c r="L44" s="60">
        <f t="shared" si="34"/>
        <v>35790.851163375009</v>
      </c>
      <c r="M44" s="60">
        <f t="shared" si="34"/>
        <v>37247.491289373756</v>
      </c>
      <c r="N44" s="60">
        <f t="shared" si="34"/>
        <v>38770.305373029048</v>
      </c>
      <c r="O44" s="60">
        <f t="shared" si="34"/>
        <v>40362.468951250834</v>
      </c>
      <c r="P44" s="60">
        <f t="shared" si="34"/>
        <v>42027.313674575118</v>
      </c>
      <c r="Q44" s="60">
        <f t="shared" si="34"/>
        <v>43768.335059580852</v>
      </c>
      <c r="R44" s="60">
        <f t="shared" si="34"/>
        <v>45589.200627862403</v>
      </c>
      <c r="S44" s="60">
        <f t="shared" si="34"/>
        <v>47493.758450864079</v>
      </c>
      <c r="T44" s="60">
        <f t="shared" si="34"/>
        <v>49486.046120848026</v>
      </c>
      <c r="U44" s="60">
        <f t="shared" si="34"/>
        <v>49486.046120848026</v>
      </c>
      <c r="V44" s="60">
        <f t="shared" si="34"/>
        <v>49486.046120848026</v>
      </c>
      <c r="W44" s="60">
        <f t="shared" si="34"/>
        <v>49486.046120848026</v>
      </c>
      <c r="X44" s="60">
        <f t="shared" si="34"/>
        <v>49486.046120848026</v>
      </c>
      <c r="Y44" s="60">
        <f t="shared" si="34"/>
        <v>49486.046120848026</v>
      </c>
      <c r="Z44" s="60">
        <f t="shared" ref="Z44:AI44" si="35">+(Z28+Z30)*$C$44</f>
        <v>45159.463288335035</v>
      </c>
      <c r="AA44" s="61">
        <f t="shared" si="35"/>
        <v>46062.65255410174</v>
      </c>
      <c r="AB44" s="57">
        <f t="shared" si="35"/>
        <v>46983.905605183776</v>
      </c>
      <c r="AC44" s="57">
        <f t="shared" si="35"/>
        <v>47923.583717287445</v>
      </c>
      <c r="AD44" s="57">
        <f t="shared" si="35"/>
        <v>48882.055391633192</v>
      </c>
      <c r="AE44" s="57">
        <f t="shared" si="35"/>
        <v>49859.696499465863</v>
      </c>
      <c r="AF44" s="57">
        <f t="shared" si="35"/>
        <v>50856.890429455183</v>
      </c>
      <c r="AG44" s="60">
        <f t="shared" si="35"/>
        <v>51874.028238044288</v>
      </c>
      <c r="AH44" s="60">
        <f t="shared" si="35"/>
        <v>52911.508802805169</v>
      </c>
      <c r="AI44" s="62">
        <f t="shared" si="35"/>
        <v>53969.738978861271</v>
      </c>
    </row>
    <row r="45" spans="1:35" s="11" customFormat="1" ht="15" customHeight="1" x14ac:dyDescent="0.3">
      <c r="A45" s="245" t="s">
        <v>36</v>
      </c>
      <c r="B45" s="55"/>
      <c r="C45" s="63">
        <v>0.02</v>
      </c>
      <c r="D45" s="64" t="s">
        <v>128</v>
      </c>
      <c r="E45" s="30"/>
      <c r="F45" s="60">
        <f>+(F28+F30+F32)*$C$45</f>
        <v>22630</v>
      </c>
      <c r="G45" s="60">
        <f t="shared" ref="G45:Y45" si="36">+(G28+G30+G32)*$C$45</f>
        <v>26024.5</v>
      </c>
      <c r="H45" s="60">
        <f t="shared" si="36"/>
        <v>28626.95</v>
      </c>
      <c r="I45" s="60">
        <f t="shared" si="36"/>
        <v>31489.645</v>
      </c>
      <c r="J45" s="60">
        <f t="shared" si="36"/>
        <v>33064.127250000005</v>
      </c>
      <c r="K45" s="60">
        <f t="shared" si="36"/>
        <v>34397.358187500009</v>
      </c>
      <c r="L45" s="60">
        <f t="shared" si="36"/>
        <v>35790.851163375009</v>
      </c>
      <c r="M45" s="60">
        <f t="shared" si="36"/>
        <v>37247.491289373756</v>
      </c>
      <c r="N45" s="60">
        <f t="shared" si="36"/>
        <v>38770.305373029048</v>
      </c>
      <c r="O45" s="60">
        <f t="shared" si="36"/>
        <v>40362.468951250834</v>
      </c>
      <c r="P45" s="60">
        <f t="shared" si="36"/>
        <v>42027.313674575118</v>
      </c>
      <c r="Q45" s="60">
        <f t="shared" si="36"/>
        <v>43768.335059580852</v>
      </c>
      <c r="R45" s="60">
        <f t="shared" si="36"/>
        <v>45589.200627862403</v>
      </c>
      <c r="S45" s="60">
        <f t="shared" si="36"/>
        <v>47493.758450864079</v>
      </c>
      <c r="T45" s="62">
        <f t="shared" si="36"/>
        <v>49486.046120848026</v>
      </c>
      <c r="U45" s="61">
        <f t="shared" si="36"/>
        <v>49486.046120848026</v>
      </c>
      <c r="V45" s="60">
        <f t="shared" si="36"/>
        <v>49486.046120848026</v>
      </c>
      <c r="W45" s="60">
        <f t="shared" si="36"/>
        <v>49486.046120848026</v>
      </c>
      <c r="X45" s="60">
        <f t="shared" si="36"/>
        <v>49486.046120848026</v>
      </c>
      <c r="Y45" s="60">
        <f t="shared" si="36"/>
        <v>49486.046120848026</v>
      </c>
      <c r="Z45" s="60">
        <f t="shared" ref="Z45:AI45" si="37">+(Z28+Z30)*$C$45</f>
        <v>45159.463288335035</v>
      </c>
      <c r="AA45" s="61">
        <f t="shared" si="37"/>
        <v>46062.65255410174</v>
      </c>
      <c r="AB45" s="57">
        <f t="shared" si="37"/>
        <v>46983.905605183776</v>
      </c>
      <c r="AC45" s="57">
        <f t="shared" si="37"/>
        <v>47923.583717287445</v>
      </c>
      <c r="AD45" s="57">
        <f t="shared" si="37"/>
        <v>48882.055391633192</v>
      </c>
      <c r="AE45" s="57">
        <f t="shared" si="37"/>
        <v>49859.696499465863</v>
      </c>
      <c r="AF45" s="57">
        <f t="shared" si="37"/>
        <v>50856.890429455183</v>
      </c>
      <c r="AG45" s="60">
        <f t="shared" si="37"/>
        <v>51874.028238044288</v>
      </c>
      <c r="AH45" s="60">
        <f t="shared" si="37"/>
        <v>52911.508802805169</v>
      </c>
      <c r="AI45" s="62">
        <f t="shared" si="37"/>
        <v>53969.738978861271</v>
      </c>
    </row>
    <row r="46" spans="1:35" s="11" customFormat="1" ht="15" customHeight="1" x14ac:dyDescent="0.3">
      <c r="A46" s="245" t="s">
        <v>37</v>
      </c>
      <c r="B46" s="55"/>
      <c r="C46" s="63">
        <v>0.02</v>
      </c>
      <c r="D46" s="64" t="s">
        <v>127</v>
      </c>
      <c r="E46" s="30"/>
      <c r="F46" s="60">
        <f>+(F28+F30+F32)*$C$46</f>
        <v>22630</v>
      </c>
      <c r="G46" s="60">
        <f t="shared" ref="G46:Y46" si="38">+(G28+G30+G32)*$C$46</f>
        <v>26024.5</v>
      </c>
      <c r="H46" s="60">
        <f t="shared" si="38"/>
        <v>28626.95</v>
      </c>
      <c r="I46" s="60">
        <f t="shared" si="38"/>
        <v>31489.645</v>
      </c>
      <c r="J46" s="60">
        <f t="shared" si="38"/>
        <v>33064.127250000005</v>
      </c>
      <c r="K46" s="60">
        <f t="shared" si="38"/>
        <v>34397.358187500009</v>
      </c>
      <c r="L46" s="60">
        <f t="shared" si="38"/>
        <v>35790.851163375009</v>
      </c>
      <c r="M46" s="60">
        <f t="shared" si="38"/>
        <v>37247.491289373756</v>
      </c>
      <c r="N46" s="60">
        <f t="shared" si="38"/>
        <v>38770.305373029048</v>
      </c>
      <c r="O46" s="60">
        <f t="shared" si="38"/>
        <v>40362.468951250834</v>
      </c>
      <c r="P46" s="60">
        <f t="shared" si="38"/>
        <v>42027.313674575118</v>
      </c>
      <c r="Q46" s="60">
        <f t="shared" si="38"/>
        <v>43768.335059580852</v>
      </c>
      <c r="R46" s="60">
        <f t="shared" si="38"/>
        <v>45589.200627862403</v>
      </c>
      <c r="S46" s="60">
        <f t="shared" si="38"/>
        <v>47493.758450864079</v>
      </c>
      <c r="T46" s="62">
        <f t="shared" si="38"/>
        <v>49486.046120848026</v>
      </c>
      <c r="U46" s="61">
        <f t="shared" si="38"/>
        <v>49486.046120848026</v>
      </c>
      <c r="V46" s="60">
        <f t="shared" si="38"/>
        <v>49486.046120848026</v>
      </c>
      <c r="W46" s="60">
        <f t="shared" si="38"/>
        <v>49486.046120848026</v>
      </c>
      <c r="X46" s="60">
        <f t="shared" si="38"/>
        <v>49486.046120848026</v>
      </c>
      <c r="Y46" s="60">
        <f t="shared" si="38"/>
        <v>49486.046120848026</v>
      </c>
      <c r="Z46" s="60">
        <f t="shared" ref="Z46:AI46" si="39">+(Z28+Z30)*$C$46</f>
        <v>45159.463288335035</v>
      </c>
      <c r="AA46" s="61">
        <f t="shared" si="39"/>
        <v>46062.65255410174</v>
      </c>
      <c r="AB46" s="57">
        <f t="shared" si="39"/>
        <v>46983.905605183776</v>
      </c>
      <c r="AC46" s="57">
        <f t="shared" si="39"/>
        <v>47923.583717287445</v>
      </c>
      <c r="AD46" s="57">
        <f t="shared" si="39"/>
        <v>48882.055391633192</v>
      </c>
      <c r="AE46" s="57">
        <f t="shared" si="39"/>
        <v>49859.696499465863</v>
      </c>
      <c r="AF46" s="57">
        <f t="shared" si="39"/>
        <v>50856.890429455183</v>
      </c>
      <c r="AG46" s="60">
        <f t="shared" si="39"/>
        <v>51874.028238044288</v>
      </c>
      <c r="AH46" s="60">
        <f t="shared" si="39"/>
        <v>52911.508802805169</v>
      </c>
      <c r="AI46" s="62">
        <f t="shared" si="39"/>
        <v>53969.738978861271</v>
      </c>
    </row>
    <row r="47" spans="1:35" s="11" customFormat="1" ht="15" customHeight="1" x14ac:dyDescent="0.3">
      <c r="A47" s="245" t="s">
        <v>38</v>
      </c>
      <c r="B47" s="55"/>
      <c r="C47" s="63">
        <v>0.02</v>
      </c>
      <c r="D47" s="64" t="s">
        <v>128</v>
      </c>
      <c r="E47" s="30"/>
      <c r="F47" s="60">
        <f>+(F28+F30+F32)*$C$47</f>
        <v>22630</v>
      </c>
      <c r="G47" s="60">
        <f t="shared" ref="G47:Y47" si="40">+(G28+G30+G32)*$C$47</f>
        <v>26024.5</v>
      </c>
      <c r="H47" s="60">
        <f t="shared" si="40"/>
        <v>28626.95</v>
      </c>
      <c r="I47" s="60">
        <f t="shared" si="40"/>
        <v>31489.645</v>
      </c>
      <c r="J47" s="60">
        <f t="shared" si="40"/>
        <v>33064.127250000005</v>
      </c>
      <c r="K47" s="60">
        <f t="shared" si="40"/>
        <v>34397.358187500009</v>
      </c>
      <c r="L47" s="60">
        <f t="shared" si="40"/>
        <v>35790.851163375009</v>
      </c>
      <c r="M47" s="60">
        <f t="shared" si="40"/>
        <v>37247.491289373756</v>
      </c>
      <c r="N47" s="60">
        <f t="shared" si="40"/>
        <v>38770.305373029048</v>
      </c>
      <c r="O47" s="60">
        <f t="shared" si="40"/>
        <v>40362.468951250834</v>
      </c>
      <c r="P47" s="60">
        <f t="shared" si="40"/>
        <v>42027.313674575118</v>
      </c>
      <c r="Q47" s="60">
        <f t="shared" si="40"/>
        <v>43768.335059580852</v>
      </c>
      <c r="R47" s="60">
        <f t="shared" si="40"/>
        <v>45589.200627862403</v>
      </c>
      <c r="S47" s="60">
        <f t="shared" si="40"/>
        <v>47493.758450864079</v>
      </c>
      <c r="T47" s="62">
        <f t="shared" si="40"/>
        <v>49486.046120848026</v>
      </c>
      <c r="U47" s="61">
        <f t="shared" si="40"/>
        <v>49486.046120848026</v>
      </c>
      <c r="V47" s="60">
        <f t="shared" si="40"/>
        <v>49486.046120848026</v>
      </c>
      <c r="W47" s="60">
        <f t="shared" si="40"/>
        <v>49486.046120848026</v>
      </c>
      <c r="X47" s="60">
        <f t="shared" si="40"/>
        <v>49486.046120848026</v>
      </c>
      <c r="Y47" s="60">
        <f t="shared" si="40"/>
        <v>49486.046120848026</v>
      </c>
      <c r="Z47" s="60">
        <f t="shared" ref="Z47:AI47" si="41">+(Z28+Z30)*$C$47</f>
        <v>45159.463288335035</v>
      </c>
      <c r="AA47" s="61">
        <f t="shared" si="41"/>
        <v>46062.65255410174</v>
      </c>
      <c r="AB47" s="57">
        <f t="shared" si="41"/>
        <v>46983.905605183776</v>
      </c>
      <c r="AC47" s="57">
        <f t="shared" si="41"/>
        <v>47923.583717287445</v>
      </c>
      <c r="AD47" s="57">
        <f t="shared" si="41"/>
        <v>48882.055391633192</v>
      </c>
      <c r="AE47" s="57">
        <f t="shared" si="41"/>
        <v>49859.696499465863</v>
      </c>
      <c r="AF47" s="57">
        <f t="shared" si="41"/>
        <v>50856.890429455183</v>
      </c>
      <c r="AG47" s="60">
        <f t="shared" si="41"/>
        <v>51874.028238044288</v>
      </c>
      <c r="AH47" s="60">
        <f t="shared" si="41"/>
        <v>52911.508802805169</v>
      </c>
      <c r="AI47" s="62">
        <f t="shared" si="41"/>
        <v>53969.738978861271</v>
      </c>
    </row>
    <row r="48" spans="1:35" s="11" customFormat="1" ht="15" customHeight="1" x14ac:dyDescent="0.3">
      <c r="A48" s="245" t="s">
        <v>39</v>
      </c>
      <c r="B48" s="55"/>
      <c r="C48" s="63">
        <v>0</v>
      </c>
      <c r="D48" s="64">
        <v>0.04</v>
      </c>
      <c r="E48" s="30"/>
      <c r="F48" s="60">
        <f>+(F28+F30+F32)*$C$48</f>
        <v>0</v>
      </c>
      <c r="G48" s="60">
        <f t="shared" ref="G48:Y48" si="42">+(G28+G30+G32)*$C$48</f>
        <v>0</v>
      </c>
      <c r="H48" s="60">
        <f t="shared" si="42"/>
        <v>0</v>
      </c>
      <c r="I48" s="60">
        <f t="shared" si="42"/>
        <v>0</v>
      </c>
      <c r="J48" s="60">
        <f t="shared" si="42"/>
        <v>0</v>
      </c>
      <c r="K48" s="60">
        <f t="shared" si="42"/>
        <v>0</v>
      </c>
      <c r="L48" s="60">
        <f t="shared" si="42"/>
        <v>0</v>
      </c>
      <c r="M48" s="60">
        <f t="shared" si="42"/>
        <v>0</v>
      </c>
      <c r="N48" s="60">
        <f t="shared" si="42"/>
        <v>0</v>
      </c>
      <c r="O48" s="60">
        <f t="shared" si="42"/>
        <v>0</v>
      </c>
      <c r="P48" s="60">
        <f t="shared" si="42"/>
        <v>0</v>
      </c>
      <c r="Q48" s="60">
        <f t="shared" si="42"/>
        <v>0</v>
      </c>
      <c r="R48" s="60">
        <f t="shared" si="42"/>
        <v>0</v>
      </c>
      <c r="S48" s="60">
        <f t="shared" si="42"/>
        <v>0</v>
      </c>
      <c r="T48" s="62">
        <f t="shared" si="42"/>
        <v>0</v>
      </c>
      <c r="U48" s="61">
        <f t="shared" si="42"/>
        <v>0</v>
      </c>
      <c r="V48" s="60">
        <f t="shared" si="42"/>
        <v>0</v>
      </c>
      <c r="W48" s="60">
        <f t="shared" si="42"/>
        <v>0</v>
      </c>
      <c r="X48" s="60">
        <f t="shared" si="42"/>
        <v>0</v>
      </c>
      <c r="Y48" s="60">
        <f t="shared" si="42"/>
        <v>0</v>
      </c>
      <c r="Z48" s="60">
        <f t="shared" ref="Z48:AI48" si="43">+(Z28+Z30)*$C$48</f>
        <v>0</v>
      </c>
      <c r="AA48" s="61">
        <f t="shared" si="43"/>
        <v>0</v>
      </c>
      <c r="AB48" s="57">
        <f t="shared" si="43"/>
        <v>0</v>
      </c>
      <c r="AC48" s="57">
        <f t="shared" si="43"/>
        <v>0</v>
      </c>
      <c r="AD48" s="57">
        <f t="shared" si="43"/>
        <v>0</v>
      </c>
      <c r="AE48" s="57">
        <f t="shared" si="43"/>
        <v>0</v>
      </c>
      <c r="AF48" s="57">
        <f t="shared" si="43"/>
        <v>0</v>
      </c>
      <c r="AG48" s="60">
        <f t="shared" si="43"/>
        <v>0</v>
      </c>
      <c r="AH48" s="60">
        <f t="shared" si="43"/>
        <v>0</v>
      </c>
      <c r="AI48" s="62">
        <f t="shared" si="43"/>
        <v>0</v>
      </c>
    </row>
    <row r="49" spans="1:35" s="11" customFormat="1" ht="15" customHeight="1" x14ac:dyDescent="0.3">
      <c r="A49" s="245" t="s">
        <v>126</v>
      </c>
      <c r="B49" s="55"/>
      <c r="C49" s="167">
        <v>0</v>
      </c>
      <c r="D49" s="64"/>
      <c r="E49" s="30"/>
      <c r="F49" s="60">
        <v>0</v>
      </c>
      <c r="G49" s="60">
        <f>+C49*12</f>
        <v>0</v>
      </c>
      <c r="H49" s="60">
        <f t="shared" ref="H49:AI49" si="44">+G49</f>
        <v>0</v>
      </c>
      <c r="I49" s="60">
        <f t="shared" si="44"/>
        <v>0</v>
      </c>
      <c r="J49" s="60">
        <f t="shared" si="44"/>
        <v>0</v>
      </c>
      <c r="K49" s="61">
        <f t="shared" si="44"/>
        <v>0</v>
      </c>
      <c r="L49" s="60">
        <f t="shared" si="44"/>
        <v>0</v>
      </c>
      <c r="M49" s="60">
        <f t="shared" si="44"/>
        <v>0</v>
      </c>
      <c r="N49" s="60">
        <f t="shared" si="44"/>
        <v>0</v>
      </c>
      <c r="O49" s="60">
        <f t="shared" si="44"/>
        <v>0</v>
      </c>
      <c r="P49" s="60">
        <f t="shared" si="44"/>
        <v>0</v>
      </c>
      <c r="Q49" s="60">
        <f t="shared" si="44"/>
        <v>0</v>
      </c>
      <c r="R49" s="60">
        <f t="shared" si="44"/>
        <v>0</v>
      </c>
      <c r="S49" s="60">
        <f t="shared" si="44"/>
        <v>0</v>
      </c>
      <c r="T49" s="62">
        <f t="shared" si="44"/>
        <v>0</v>
      </c>
      <c r="U49" s="61">
        <f t="shared" si="44"/>
        <v>0</v>
      </c>
      <c r="V49" s="60">
        <f t="shared" si="44"/>
        <v>0</v>
      </c>
      <c r="W49" s="61">
        <f t="shared" si="44"/>
        <v>0</v>
      </c>
      <c r="X49" s="60">
        <f t="shared" si="44"/>
        <v>0</v>
      </c>
      <c r="Y49" s="60">
        <f t="shared" si="44"/>
        <v>0</v>
      </c>
      <c r="Z49" s="60">
        <f t="shared" si="44"/>
        <v>0</v>
      </c>
      <c r="AA49" s="61">
        <f t="shared" si="44"/>
        <v>0</v>
      </c>
      <c r="AB49" s="57">
        <f t="shared" si="44"/>
        <v>0</v>
      </c>
      <c r="AC49" s="57">
        <f t="shared" si="44"/>
        <v>0</v>
      </c>
      <c r="AD49" s="57">
        <f t="shared" si="44"/>
        <v>0</v>
      </c>
      <c r="AE49" s="57">
        <f t="shared" si="44"/>
        <v>0</v>
      </c>
      <c r="AF49" s="57">
        <f t="shared" si="44"/>
        <v>0</v>
      </c>
      <c r="AG49" s="60">
        <f t="shared" si="44"/>
        <v>0</v>
      </c>
      <c r="AH49" s="60">
        <f t="shared" si="44"/>
        <v>0</v>
      </c>
      <c r="AI49" s="62">
        <f t="shared" si="44"/>
        <v>0</v>
      </c>
    </row>
    <row r="50" spans="1:35" s="11" customFormat="1" ht="15" customHeight="1" x14ac:dyDescent="0.3">
      <c r="A50" s="245" t="s">
        <v>40</v>
      </c>
      <c r="B50" s="55"/>
      <c r="C50" s="63"/>
      <c r="D50" s="68">
        <v>700000</v>
      </c>
      <c r="E50" s="30"/>
      <c r="F50" s="60">
        <v>500000</v>
      </c>
      <c r="G50" s="60">
        <v>0</v>
      </c>
      <c r="H50" s="60">
        <v>0</v>
      </c>
      <c r="I50" s="60">
        <v>0</v>
      </c>
      <c r="J50" s="60">
        <v>0</v>
      </c>
      <c r="K50" s="61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2">
        <v>0</v>
      </c>
      <c r="U50" s="61">
        <v>0</v>
      </c>
      <c r="V50" s="60">
        <v>0</v>
      </c>
      <c r="W50" s="61">
        <v>0</v>
      </c>
      <c r="X50" s="60">
        <v>0</v>
      </c>
      <c r="Y50" s="60">
        <v>0</v>
      </c>
      <c r="Z50" s="60">
        <v>0</v>
      </c>
      <c r="AA50" s="61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60">
        <v>0</v>
      </c>
      <c r="AH50" s="60">
        <v>0</v>
      </c>
      <c r="AI50" s="62">
        <v>0</v>
      </c>
    </row>
    <row r="51" spans="1:35" s="11" customFormat="1" ht="15" customHeight="1" x14ac:dyDescent="0.3">
      <c r="A51" s="304" t="s">
        <v>41</v>
      </c>
      <c r="B51" s="305"/>
      <c r="C51" s="69">
        <v>0.105</v>
      </c>
      <c r="D51" s="68">
        <v>200000</v>
      </c>
      <c r="E51" s="70">
        <v>200000</v>
      </c>
      <c r="F51" s="60">
        <f>+($E$51*$C$51)</f>
        <v>21000</v>
      </c>
      <c r="G51" s="60">
        <f>+E51*C51</f>
        <v>21000</v>
      </c>
      <c r="H51" s="60">
        <f t="shared" ref="H51:Y51" si="45">+G51</f>
        <v>21000</v>
      </c>
      <c r="I51" s="60">
        <f t="shared" si="45"/>
        <v>21000</v>
      </c>
      <c r="J51" s="60">
        <f t="shared" si="45"/>
        <v>21000</v>
      </c>
      <c r="K51" s="60">
        <f t="shared" si="45"/>
        <v>21000</v>
      </c>
      <c r="L51" s="60">
        <f t="shared" si="45"/>
        <v>21000</v>
      </c>
      <c r="M51" s="60">
        <f t="shared" si="45"/>
        <v>21000</v>
      </c>
      <c r="N51" s="60">
        <f t="shared" si="45"/>
        <v>21000</v>
      </c>
      <c r="O51" s="60">
        <f t="shared" si="45"/>
        <v>21000</v>
      </c>
      <c r="P51" s="60">
        <f t="shared" si="45"/>
        <v>21000</v>
      </c>
      <c r="Q51" s="60">
        <f t="shared" si="45"/>
        <v>21000</v>
      </c>
      <c r="R51" s="60">
        <f t="shared" si="45"/>
        <v>21000</v>
      </c>
      <c r="S51" s="60">
        <f t="shared" si="45"/>
        <v>21000</v>
      </c>
      <c r="T51" s="62">
        <f t="shared" si="45"/>
        <v>21000</v>
      </c>
      <c r="U51" s="61">
        <f t="shared" si="45"/>
        <v>21000</v>
      </c>
      <c r="V51" s="60">
        <f t="shared" si="45"/>
        <v>21000</v>
      </c>
      <c r="W51" s="60">
        <f t="shared" si="45"/>
        <v>21000</v>
      </c>
      <c r="X51" s="60">
        <f t="shared" si="45"/>
        <v>21000</v>
      </c>
      <c r="Y51" s="60">
        <f t="shared" si="45"/>
        <v>21000</v>
      </c>
      <c r="Z51" s="60">
        <f t="shared" ref="Z51:AI51" si="46">+$E$51*$C$51</f>
        <v>21000</v>
      </c>
      <c r="AA51" s="61">
        <f t="shared" si="46"/>
        <v>21000</v>
      </c>
      <c r="AB51" s="57">
        <f t="shared" si="46"/>
        <v>21000</v>
      </c>
      <c r="AC51" s="57">
        <f t="shared" si="46"/>
        <v>21000</v>
      </c>
      <c r="AD51" s="57">
        <f t="shared" si="46"/>
        <v>21000</v>
      </c>
      <c r="AE51" s="57">
        <f t="shared" si="46"/>
        <v>21000</v>
      </c>
      <c r="AF51" s="57">
        <f t="shared" si="46"/>
        <v>21000</v>
      </c>
      <c r="AG51" s="60">
        <f t="shared" si="46"/>
        <v>21000</v>
      </c>
      <c r="AH51" s="60">
        <f t="shared" si="46"/>
        <v>21000</v>
      </c>
      <c r="AI51" s="62">
        <f t="shared" si="46"/>
        <v>21000</v>
      </c>
    </row>
    <row r="52" spans="1:35" s="11" customFormat="1" ht="17.399999999999999" x14ac:dyDescent="0.3">
      <c r="A52" s="54" t="s">
        <v>42</v>
      </c>
      <c r="B52" s="55"/>
      <c r="C52" s="73"/>
      <c r="D52" s="64"/>
      <c r="E52" s="30"/>
      <c r="F52" s="60">
        <f>(F28*$E$20)+(F30*$E$21)+(F32*$E$22)</f>
        <v>339450</v>
      </c>
      <c r="G52" s="60">
        <f t="shared" ref="G52:Y52" si="47">(G28*$E$20)+(G30*$E$21)+(G32*$E$22)</f>
        <v>390367.5</v>
      </c>
      <c r="H52" s="60">
        <f t="shared" si="47"/>
        <v>429404.25</v>
      </c>
      <c r="I52" s="60">
        <f t="shared" si="47"/>
        <v>472344.67500000005</v>
      </c>
      <c r="J52" s="60">
        <f t="shared" si="47"/>
        <v>495961.90875</v>
      </c>
      <c r="K52" s="60">
        <f t="shared" si="47"/>
        <v>515960.37281250011</v>
      </c>
      <c r="L52" s="60">
        <f t="shared" si="47"/>
        <v>536862.76745062508</v>
      </c>
      <c r="M52" s="60">
        <f t="shared" si="47"/>
        <v>558712.36934060638</v>
      </c>
      <c r="N52" s="60">
        <f t="shared" si="47"/>
        <v>581554.58059543569</v>
      </c>
      <c r="O52" s="60">
        <f t="shared" si="47"/>
        <v>605437.03426876245</v>
      </c>
      <c r="P52" s="60">
        <f t="shared" si="47"/>
        <v>630409.70511862671</v>
      </c>
      <c r="Q52" s="60">
        <f t="shared" si="47"/>
        <v>656525.02589371265</v>
      </c>
      <c r="R52" s="60">
        <f t="shared" si="47"/>
        <v>683838.00941793597</v>
      </c>
      <c r="S52" s="60">
        <f t="shared" si="47"/>
        <v>712406.37676296127</v>
      </c>
      <c r="T52" s="60">
        <f t="shared" si="47"/>
        <v>742290.69181272038</v>
      </c>
      <c r="U52" s="60">
        <f t="shared" si="47"/>
        <v>742290.69181272038</v>
      </c>
      <c r="V52" s="60">
        <f t="shared" si="47"/>
        <v>742290.69181272038</v>
      </c>
      <c r="W52" s="60">
        <f t="shared" si="47"/>
        <v>742290.69181272038</v>
      </c>
      <c r="X52" s="60">
        <f t="shared" si="47"/>
        <v>742290.69181272038</v>
      </c>
      <c r="Y52" s="60">
        <f t="shared" si="47"/>
        <v>742290.69181272038</v>
      </c>
      <c r="Z52" s="60">
        <f t="shared" ref="Z52:AI52" si="48">(Z28*$E$20)+(Z30*$E$21)</f>
        <v>677391.94932502555</v>
      </c>
      <c r="AA52" s="61">
        <f t="shared" si="48"/>
        <v>690939.78831152606</v>
      </c>
      <c r="AB52" s="57">
        <f t="shared" si="48"/>
        <v>704758.58407775662</v>
      </c>
      <c r="AC52" s="57">
        <f t="shared" si="48"/>
        <v>718853.75575931172</v>
      </c>
      <c r="AD52" s="57">
        <f t="shared" si="48"/>
        <v>733230.83087449789</v>
      </c>
      <c r="AE52" s="57">
        <f t="shared" si="48"/>
        <v>747895.44749198784</v>
      </c>
      <c r="AF52" s="57">
        <f t="shared" si="48"/>
        <v>762853.35644182772</v>
      </c>
      <c r="AG52" s="60">
        <f t="shared" si="48"/>
        <v>778110.42357066437</v>
      </c>
      <c r="AH52" s="60">
        <f t="shared" si="48"/>
        <v>793672.63204207749</v>
      </c>
      <c r="AI52" s="62">
        <f t="shared" si="48"/>
        <v>809546.08468291909</v>
      </c>
    </row>
    <row r="53" spans="1:35" s="11" customFormat="1" ht="17.399999999999999" x14ac:dyDescent="0.3">
      <c r="A53" s="54" t="s">
        <v>43</v>
      </c>
      <c r="B53" s="55"/>
      <c r="C53" s="55"/>
      <c r="D53" s="64"/>
      <c r="E53" s="30"/>
      <c r="F53" s="60">
        <f>SUM(F40:F52)</f>
        <v>10089474.999999998</v>
      </c>
      <c r="G53" s="60">
        <f t="shared" ref="G53:AI53" si="49">SUM(G40:G52)</f>
        <v>13594492.249999998</v>
      </c>
      <c r="H53" s="60">
        <f t="shared" si="49"/>
        <v>14930607.234999996</v>
      </c>
      <c r="I53" s="60">
        <f t="shared" si="49"/>
        <v>16400121.3761</v>
      </c>
      <c r="J53" s="60">
        <f t="shared" si="49"/>
        <v>23318897.481113605</v>
      </c>
      <c r="K53" s="61">
        <f t="shared" si="49"/>
        <v>24261720.604592241</v>
      </c>
      <c r="L53" s="60">
        <f t="shared" si="49"/>
        <v>25247344.329548419</v>
      </c>
      <c r="M53" s="60">
        <f t="shared" si="49"/>
        <v>31874338.482855737</v>
      </c>
      <c r="N53" s="60">
        <f t="shared" si="49"/>
        <v>33180343.131152797</v>
      </c>
      <c r="O53" s="60">
        <f t="shared" si="49"/>
        <v>34546022.460199624</v>
      </c>
      <c r="P53" s="60">
        <f t="shared" si="49"/>
        <v>42288022.310943849</v>
      </c>
      <c r="Q53" s="60">
        <f t="shared" si="49"/>
        <v>44043059.271052063</v>
      </c>
      <c r="R53" s="60">
        <f t="shared" si="49"/>
        <v>45878796.623736084</v>
      </c>
      <c r="S53" s="60">
        <f t="shared" si="49"/>
        <v>54933162.972559117</v>
      </c>
      <c r="T53" s="62">
        <f t="shared" si="49"/>
        <v>57241121.345060639</v>
      </c>
      <c r="U53" s="61">
        <f t="shared" si="49"/>
        <v>57241121.345060639</v>
      </c>
      <c r="V53" s="60">
        <f t="shared" si="49"/>
        <v>64674097.657295808</v>
      </c>
      <c r="W53" s="61">
        <f t="shared" si="49"/>
        <v>64674097.657295808</v>
      </c>
      <c r="X53" s="60">
        <f t="shared" si="49"/>
        <v>64674097.657295808</v>
      </c>
      <c r="Y53" s="60">
        <f t="shared" si="49"/>
        <v>69893374.788730249</v>
      </c>
      <c r="Z53" s="60">
        <f t="shared" si="49"/>
        <v>18923166.126174748</v>
      </c>
      <c r="AA53" s="61">
        <f t="shared" si="49"/>
        <v>19301209.448698256</v>
      </c>
      <c r="AB53" s="57">
        <f t="shared" si="49"/>
        <v>19686813.637672212</v>
      </c>
      <c r="AC53" s="57">
        <f t="shared" si="49"/>
        <v>20080129.910425652</v>
      </c>
      <c r="AD53" s="57">
        <f t="shared" si="49"/>
        <v>20481312.508634172</v>
      </c>
      <c r="AE53" s="57">
        <f t="shared" si="49"/>
        <v>20890518.758806862</v>
      </c>
      <c r="AF53" s="57">
        <f t="shared" si="49"/>
        <v>21307909.133983001</v>
      </c>
      <c r="AG53" s="60">
        <f t="shared" si="49"/>
        <v>21733647.316662647</v>
      </c>
      <c r="AH53" s="60">
        <f t="shared" si="49"/>
        <v>22167900.262995906</v>
      </c>
      <c r="AI53" s="62">
        <f t="shared" si="49"/>
        <v>22610838.26825583</v>
      </c>
    </row>
    <row r="54" spans="1:35" s="11" customFormat="1" ht="17.399999999999999" x14ac:dyDescent="0.3">
      <c r="A54" s="291" t="s">
        <v>44</v>
      </c>
      <c r="B54" s="292"/>
      <c r="C54" s="293"/>
      <c r="D54" s="77"/>
      <c r="E54" s="58"/>
      <c r="F54" s="55"/>
      <c r="G54" s="55"/>
      <c r="H54" s="55"/>
      <c r="I54" s="55"/>
      <c r="J54" s="55"/>
      <c r="O54" s="59"/>
      <c r="T54" s="59"/>
    </row>
    <row r="55" spans="1:35" s="11" customFormat="1" ht="17.399999999999999" x14ac:dyDescent="0.3">
      <c r="A55" s="245" t="s">
        <v>45</v>
      </c>
      <c r="B55" s="55"/>
      <c r="C55" s="55"/>
      <c r="D55" s="64"/>
      <c r="E55" s="30"/>
      <c r="F55" s="57">
        <v>500000</v>
      </c>
      <c r="G55" s="57">
        <f>F55*1.11</f>
        <v>555000</v>
      </c>
      <c r="H55" s="57">
        <f t="shared" ref="H55:K55" si="50">G55*1.11</f>
        <v>616050</v>
      </c>
      <c r="I55" s="57">
        <f t="shared" si="50"/>
        <v>683815.50000000012</v>
      </c>
      <c r="J55" s="57">
        <f t="shared" si="50"/>
        <v>759035.20500000019</v>
      </c>
      <c r="K55" s="57">
        <f t="shared" si="50"/>
        <v>842529.07755000028</v>
      </c>
      <c r="L55" s="78">
        <f>(K55*1.11)+10000000</f>
        <v>10935207.2760805</v>
      </c>
      <c r="M55" s="72">
        <f>(K55*1.11)*1.11</f>
        <v>1038080.0764493555</v>
      </c>
      <c r="N55" s="72">
        <f>M55*1.11</f>
        <v>1152268.8848587847</v>
      </c>
      <c r="O55" s="72">
        <f>N55*1.11</f>
        <v>1279018.4621932511</v>
      </c>
      <c r="P55" s="78">
        <f>(O55*1.11)+2000000</f>
        <v>3419710.493034509</v>
      </c>
      <c r="Q55" s="72">
        <f>(O55*1.11)*1.11</f>
        <v>1575878.6472683048</v>
      </c>
      <c r="R55" s="72">
        <f>Q55*1.11</f>
        <v>1749225.2984678184</v>
      </c>
      <c r="S55" s="175">
        <f>R55*1.11+10000000</f>
        <v>11941640.081299279</v>
      </c>
      <c r="T55" s="72">
        <f>R55*1.11*1.11</f>
        <v>2155220.4902421995</v>
      </c>
      <c r="U55" s="71">
        <f>(T55*1.11)+2638000</f>
        <v>5030294.7441688422</v>
      </c>
      <c r="V55" s="57">
        <f>T55*1.11*1.11</f>
        <v>2655447.1660274146</v>
      </c>
      <c r="W55" s="57">
        <f t="shared" ref="W55:Y55" si="51">V55*1.05</f>
        <v>2788219.5243287855</v>
      </c>
      <c r="X55" s="57">
        <f t="shared" si="51"/>
        <v>2927630.5005452251</v>
      </c>
      <c r="Y55" s="57">
        <f t="shared" si="51"/>
        <v>3074012.0255724867</v>
      </c>
      <c r="Z55" s="57">
        <f>(Y55*1.05)+60000</f>
        <v>3287712.6268511112</v>
      </c>
      <c r="AA55" s="57">
        <f>(Y55*1.05)*1.05</f>
        <v>3389098.258193667</v>
      </c>
      <c r="AB55" s="57">
        <f t="shared" ref="AB55:AD56" si="52">AA55*1.05</f>
        <v>3558553.1711033504</v>
      </c>
      <c r="AC55" s="57">
        <f t="shared" si="52"/>
        <v>3736480.8296585181</v>
      </c>
      <c r="AD55" s="57">
        <f t="shared" si="52"/>
        <v>3923304.871141444</v>
      </c>
      <c r="AE55" s="57">
        <f>(AD55*1.05)+300000</f>
        <v>4419470.1146985162</v>
      </c>
      <c r="AF55" s="57">
        <f>AD55*1.05*1.05</f>
        <v>4325443.6204334423</v>
      </c>
      <c r="AG55" s="57">
        <f t="shared" ref="AG55:AI56" si="53">AF55*1.05</f>
        <v>4541715.801455115</v>
      </c>
      <c r="AH55" s="175">
        <f t="shared" si="53"/>
        <v>4768801.5915278709</v>
      </c>
      <c r="AI55" s="72">
        <f t="shared" si="53"/>
        <v>5007241.6711042644</v>
      </c>
    </row>
    <row r="56" spans="1:35" s="11" customFormat="1" ht="17.399999999999999" x14ac:dyDescent="0.3">
      <c r="A56" s="245" t="s">
        <v>155</v>
      </c>
      <c r="B56" s="55"/>
      <c r="C56" s="55"/>
      <c r="D56" s="64"/>
      <c r="E56" s="30"/>
      <c r="F56" s="57">
        <v>200000</v>
      </c>
      <c r="G56" s="57">
        <f>F56*1.11</f>
        <v>222000.00000000003</v>
      </c>
      <c r="H56" s="57">
        <f t="shared" ref="H56:Y56" si="54">G56*1.11</f>
        <v>246420.00000000006</v>
      </c>
      <c r="I56" s="57">
        <f t="shared" si="54"/>
        <v>273526.20000000007</v>
      </c>
      <c r="J56" s="57">
        <f t="shared" si="54"/>
        <v>303614.08200000011</v>
      </c>
      <c r="K56" s="57">
        <f t="shared" si="54"/>
        <v>337011.63102000015</v>
      </c>
      <c r="L56" s="57">
        <f t="shared" si="54"/>
        <v>374082.91043220018</v>
      </c>
      <c r="M56" s="57">
        <f t="shared" si="54"/>
        <v>415232.03057974222</v>
      </c>
      <c r="N56" s="57">
        <f t="shared" si="54"/>
        <v>460907.55394351389</v>
      </c>
      <c r="O56" s="57">
        <f t="shared" si="54"/>
        <v>511607.38487730047</v>
      </c>
      <c r="P56" s="57">
        <f t="shared" si="54"/>
        <v>567884.19721380353</v>
      </c>
      <c r="Q56" s="57">
        <f t="shared" si="54"/>
        <v>630351.45890732203</v>
      </c>
      <c r="R56" s="57">
        <f t="shared" si="54"/>
        <v>699690.11938712746</v>
      </c>
      <c r="S56" s="57">
        <f t="shared" si="54"/>
        <v>776656.03251971153</v>
      </c>
      <c r="T56" s="57">
        <f t="shared" si="54"/>
        <v>862088.1960968799</v>
      </c>
      <c r="U56" s="57">
        <f t="shared" si="54"/>
        <v>956917.89766753674</v>
      </c>
      <c r="V56" s="57">
        <f t="shared" si="54"/>
        <v>1062178.8664109658</v>
      </c>
      <c r="W56" s="57">
        <f t="shared" si="54"/>
        <v>1179018.5417161721</v>
      </c>
      <c r="X56" s="57">
        <f t="shared" si="54"/>
        <v>1308710.5813049511</v>
      </c>
      <c r="Y56" s="57">
        <f t="shared" si="54"/>
        <v>1452668.7452484958</v>
      </c>
      <c r="Z56" s="57">
        <f>(Y56*1.05)+60000</f>
        <v>1585302.1825109208</v>
      </c>
      <c r="AA56" s="57">
        <f>(Y56*1.05)*1.05</f>
        <v>1601567.291636467</v>
      </c>
      <c r="AB56" s="57">
        <f t="shared" si="52"/>
        <v>1681645.6562182903</v>
      </c>
      <c r="AC56" s="57">
        <f t="shared" si="52"/>
        <v>1765727.9390292049</v>
      </c>
      <c r="AD56" s="57">
        <f t="shared" si="52"/>
        <v>1854014.3359806652</v>
      </c>
      <c r="AE56" s="57">
        <f>(AD56*1.05)+300000</f>
        <v>2246715.0527796987</v>
      </c>
      <c r="AF56" s="57">
        <f>AD56*1.05*1.05</f>
        <v>2044050.8054186834</v>
      </c>
      <c r="AG56" s="57">
        <f t="shared" si="53"/>
        <v>2146253.3456896176</v>
      </c>
      <c r="AH56" s="175">
        <f t="shared" si="53"/>
        <v>2253566.0129740983</v>
      </c>
      <c r="AI56" s="72">
        <f t="shared" si="53"/>
        <v>2366244.3136228034</v>
      </c>
    </row>
    <row r="57" spans="1:35" s="82" customFormat="1" ht="17.399999999999999" x14ac:dyDescent="0.3">
      <c r="A57" s="79" t="s">
        <v>46</v>
      </c>
      <c r="B57" s="73"/>
      <c r="C57" s="80">
        <v>200000</v>
      </c>
      <c r="D57" s="68">
        <v>50000</v>
      </c>
      <c r="E57" s="81"/>
      <c r="F57" s="65">
        <f>+C57*12</f>
        <v>2400000</v>
      </c>
      <c r="G57" s="65">
        <f t="shared" ref="G57:V58" si="55">+F57</f>
        <v>2400000</v>
      </c>
      <c r="H57" s="65">
        <f t="shared" si="55"/>
        <v>2400000</v>
      </c>
      <c r="I57" s="65">
        <f t="shared" si="55"/>
        <v>2400000</v>
      </c>
      <c r="J57" s="65">
        <f t="shared" si="55"/>
        <v>2400000</v>
      </c>
      <c r="K57" s="65">
        <f t="shared" si="55"/>
        <v>2400000</v>
      </c>
      <c r="L57" s="65">
        <f t="shared" si="55"/>
        <v>2400000</v>
      </c>
      <c r="M57" s="65">
        <f t="shared" si="55"/>
        <v>2400000</v>
      </c>
      <c r="N57" s="65">
        <f t="shared" si="55"/>
        <v>2400000</v>
      </c>
      <c r="O57" s="65">
        <f t="shared" si="55"/>
        <v>2400000</v>
      </c>
      <c r="P57" s="65">
        <f t="shared" si="55"/>
        <v>2400000</v>
      </c>
      <c r="Q57" s="65">
        <f t="shared" si="55"/>
        <v>2400000</v>
      </c>
      <c r="R57" s="65">
        <f t="shared" si="55"/>
        <v>2400000</v>
      </c>
      <c r="S57" s="176">
        <f t="shared" si="55"/>
        <v>2400000</v>
      </c>
      <c r="T57" s="66">
        <f t="shared" si="55"/>
        <v>2400000</v>
      </c>
      <c r="U57" s="67">
        <f t="shared" si="55"/>
        <v>2400000</v>
      </c>
      <c r="V57" s="65">
        <f t="shared" si="55"/>
        <v>2400000</v>
      </c>
      <c r="W57" s="65">
        <f t="shared" ref="W57:AI58" si="56">+V57</f>
        <v>2400000</v>
      </c>
      <c r="X57" s="65">
        <f t="shared" si="56"/>
        <v>2400000</v>
      </c>
      <c r="Y57" s="65">
        <f t="shared" si="56"/>
        <v>2400000</v>
      </c>
      <c r="Z57" s="65">
        <f t="shared" si="56"/>
        <v>2400000</v>
      </c>
      <c r="AA57" s="65">
        <f t="shared" si="56"/>
        <v>2400000</v>
      </c>
      <c r="AB57" s="65">
        <f t="shared" si="56"/>
        <v>2400000</v>
      </c>
      <c r="AC57" s="65">
        <f t="shared" si="56"/>
        <v>2400000</v>
      </c>
      <c r="AD57" s="65">
        <f t="shared" si="56"/>
        <v>2400000</v>
      </c>
      <c r="AE57" s="65">
        <f t="shared" si="56"/>
        <v>2400000</v>
      </c>
      <c r="AF57" s="65">
        <f t="shared" si="56"/>
        <v>2400000</v>
      </c>
      <c r="AG57" s="65">
        <f t="shared" si="56"/>
        <v>2400000</v>
      </c>
      <c r="AH57" s="176">
        <f t="shared" si="56"/>
        <v>2400000</v>
      </c>
      <c r="AI57" s="62">
        <f t="shared" si="56"/>
        <v>2400000</v>
      </c>
    </row>
    <row r="58" spans="1:35" s="82" customFormat="1" ht="17.399999999999999" x14ac:dyDescent="0.3">
      <c r="A58" s="79" t="s">
        <v>157</v>
      </c>
      <c r="B58" s="73"/>
      <c r="C58" s="80"/>
      <c r="D58" s="68"/>
      <c r="E58" s="81">
        <f>AVERAGE(F57:T57)*6.25%</f>
        <v>150000</v>
      </c>
      <c r="F58" s="65">
        <v>0</v>
      </c>
      <c r="G58" s="65">
        <v>0</v>
      </c>
      <c r="H58" s="65">
        <f t="shared" si="55"/>
        <v>0</v>
      </c>
      <c r="I58" s="65">
        <f t="shared" si="55"/>
        <v>0</v>
      </c>
      <c r="J58" s="65">
        <f t="shared" si="55"/>
        <v>0</v>
      </c>
      <c r="K58" s="65">
        <f t="shared" si="55"/>
        <v>0</v>
      </c>
      <c r="L58" s="65">
        <f t="shared" si="55"/>
        <v>0</v>
      </c>
      <c r="M58" s="65">
        <f t="shared" si="55"/>
        <v>0</v>
      </c>
      <c r="N58" s="65">
        <f t="shared" si="55"/>
        <v>0</v>
      </c>
      <c r="O58" s="65">
        <f t="shared" si="55"/>
        <v>0</v>
      </c>
      <c r="P58" s="65">
        <f t="shared" si="55"/>
        <v>0</v>
      </c>
      <c r="Q58" s="65">
        <f t="shared" si="55"/>
        <v>0</v>
      </c>
      <c r="R58" s="65">
        <f t="shared" si="55"/>
        <v>0</v>
      </c>
      <c r="S58" s="176">
        <f t="shared" si="55"/>
        <v>0</v>
      </c>
      <c r="T58" s="66">
        <f t="shared" si="55"/>
        <v>0</v>
      </c>
      <c r="U58" s="67">
        <f t="shared" si="55"/>
        <v>0</v>
      </c>
      <c r="V58" s="65">
        <f t="shared" si="55"/>
        <v>0</v>
      </c>
      <c r="W58" s="65">
        <f t="shared" si="56"/>
        <v>0</v>
      </c>
      <c r="X58" s="65">
        <f t="shared" si="56"/>
        <v>0</v>
      </c>
      <c r="Y58" s="65">
        <f t="shared" si="56"/>
        <v>0</v>
      </c>
      <c r="Z58" s="65">
        <f t="shared" si="56"/>
        <v>0</v>
      </c>
      <c r="AA58" s="65">
        <f t="shared" si="56"/>
        <v>0</v>
      </c>
      <c r="AB58" s="65">
        <f t="shared" si="56"/>
        <v>0</v>
      </c>
      <c r="AC58" s="65">
        <f t="shared" si="56"/>
        <v>0</v>
      </c>
      <c r="AD58" s="65">
        <f t="shared" si="56"/>
        <v>0</v>
      </c>
      <c r="AE58" s="65">
        <f t="shared" si="56"/>
        <v>0</v>
      </c>
      <c r="AF58" s="65">
        <f t="shared" si="56"/>
        <v>0</v>
      </c>
      <c r="AG58" s="65">
        <f t="shared" si="56"/>
        <v>0</v>
      </c>
      <c r="AH58" s="176">
        <f t="shared" si="56"/>
        <v>0</v>
      </c>
      <c r="AI58" s="62">
        <f t="shared" si="56"/>
        <v>0</v>
      </c>
    </row>
    <row r="59" spans="1:35" s="82" customFormat="1" ht="65.25" customHeight="1" x14ac:dyDescent="0.3">
      <c r="A59" s="301" t="s">
        <v>178</v>
      </c>
      <c r="B59" s="302"/>
      <c r="C59" s="303"/>
      <c r="D59" s="164" t="s">
        <v>146</v>
      </c>
      <c r="E59" s="85"/>
      <c r="F59" s="65">
        <f>MIN(700000*12,(F28+F30+F32)*1)</f>
        <v>1131500</v>
      </c>
      <c r="G59" s="65">
        <f t="shared" ref="G59:Y59" si="57">MIN(700000*12,(G28+G30+G32)*1)</f>
        <v>1301225</v>
      </c>
      <c r="H59" s="65">
        <f t="shared" si="57"/>
        <v>1431347.5</v>
      </c>
      <c r="I59" s="65">
        <f t="shared" si="57"/>
        <v>1574482.25</v>
      </c>
      <c r="J59" s="65">
        <f t="shared" si="57"/>
        <v>1653206.3625000003</v>
      </c>
      <c r="K59" s="65">
        <f t="shared" si="57"/>
        <v>1719867.9093750003</v>
      </c>
      <c r="L59" s="65">
        <f t="shared" si="57"/>
        <v>1789542.5581687505</v>
      </c>
      <c r="M59" s="65">
        <f t="shared" si="57"/>
        <v>1862374.5644686879</v>
      </c>
      <c r="N59" s="65">
        <f t="shared" si="57"/>
        <v>1938515.2686514524</v>
      </c>
      <c r="O59" s="65">
        <f t="shared" si="57"/>
        <v>2018123.4475625416</v>
      </c>
      <c r="P59" s="65">
        <f t="shared" si="57"/>
        <v>2101365.6837287559</v>
      </c>
      <c r="Q59" s="65">
        <f t="shared" si="57"/>
        <v>2188416.7529790425</v>
      </c>
      <c r="R59" s="65">
        <f t="shared" si="57"/>
        <v>2279460.0313931201</v>
      </c>
      <c r="S59" s="65">
        <f t="shared" si="57"/>
        <v>2374687.9225432039</v>
      </c>
      <c r="T59" s="65">
        <f t="shared" si="57"/>
        <v>2474302.3060424011</v>
      </c>
      <c r="U59" s="65">
        <f t="shared" si="57"/>
        <v>2474302.3060424011</v>
      </c>
      <c r="V59" s="65">
        <f t="shared" si="57"/>
        <v>2474302.3060424011</v>
      </c>
      <c r="W59" s="65">
        <f t="shared" si="57"/>
        <v>2474302.3060424011</v>
      </c>
      <c r="X59" s="65">
        <f t="shared" si="57"/>
        <v>2474302.3060424011</v>
      </c>
      <c r="Y59" s="65">
        <f t="shared" si="57"/>
        <v>2474302.3060424011</v>
      </c>
      <c r="Z59" s="84"/>
      <c r="AA59" s="84"/>
      <c r="AB59" s="84"/>
      <c r="AC59" s="84"/>
      <c r="AD59" s="84"/>
      <c r="AE59" s="84"/>
      <c r="AF59" s="84"/>
      <c r="AG59" s="84"/>
      <c r="AH59" s="84"/>
      <c r="AI59" s="84"/>
    </row>
    <row r="60" spans="1:35" s="82" customFormat="1" ht="17.399999999999999" x14ac:dyDescent="0.3">
      <c r="A60" s="294" t="s">
        <v>249</v>
      </c>
      <c r="B60" s="295"/>
      <c r="C60" s="296"/>
      <c r="D60" s="83"/>
      <c r="E60" s="81">
        <v>500000</v>
      </c>
      <c r="F60" s="84">
        <v>0</v>
      </c>
      <c r="G60" s="84">
        <v>0</v>
      </c>
      <c r="H60" s="84">
        <f t="shared" ref="H60" si="58">+G60*1.11</f>
        <v>0</v>
      </c>
      <c r="I60" s="84">
        <f t="shared" ref="I60" si="59">+H60*1.11</f>
        <v>0</v>
      </c>
      <c r="J60" s="84">
        <f t="shared" ref="J60" si="60">+I60*1.11</f>
        <v>0</v>
      </c>
      <c r="K60" s="84">
        <f t="shared" ref="K60" si="61">+J60*1.11</f>
        <v>0</v>
      </c>
      <c r="L60" s="84">
        <f t="shared" ref="L60" si="62">+K60*1.11</f>
        <v>0</v>
      </c>
      <c r="M60" s="84">
        <f t="shared" ref="M60" si="63">+L60*1.11</f>
        <v>0</v>
      </c>
      <c r="N60" s="84">
        <f t="shared" ref="N60" si="64">+M60*1.11</f>
        <v>0</v>
      </c>
      <c r="O60" s="84">
        <f t="shared" ref="O60" si="65">+N60*1.11</f>
        <v>0</v>
      </c>
      <c r="P60" s="84">
        <f t="shared" ref="P60" si="66">+O60*1.11</f>
        <v>0</v>
      </c>
      <c r="Q60" s="84">
        <f t="shared" ref="Q60" si="67">+P60*1.11</f>
        <v>0</v>
      </c>
      <c r="R60" s="84">
        <f t="shared" ref="R60" si="68">+Q60*1.11</f>
        <v>0</v>
      </c>
      <c r="S60" s="84">
        <f t="shared" ref="S60" si="69">+R60*1.11</f>
        <v>0</v>
      </c>
      <c r="T60" s="84">
        <f t="shared" ref="T60" si="70">+S60*1.11</f>
        <v>0</v>
      </c>
      <c r="U60" s="84">
        <f t="shared" ref="U60" si="71">+T60*1.11</f>
        <v>0</v>
      </c>
      <c r="V60" s="84">
        <f t="shared" ref="V60" si="72">+U60*1.11</f>
        <v>0</v>
      </c>
      <c r="W60" s="84">
        <f t="shared" ref="W60" si="73">+V60*1.11</f>
        <v>0</v>
      </c>
      <c r="X60" s="84">
        <f t="shared" ref="X60" si="74">+W60*1.11</f>
        <v>0</v>
      </c>
      <c r="Y60" s="84">
        <f t="shared" ref="Y60" si="75">+X60*1.11</f>
        <v>0</v>
      </c>
      <c r="Z60" s="84">
        <f t="shared" ref="Z60" si="76">+Y60*1.05</f>
        <v>0</v>
      </c>
      <c r="AA60" s="84">
        <f t="shared" ref="AA60" si="77">+Z60*1.05</f>
        <v>0</v>
      </c>
      <c r="AB60" s="84">
        <f t="shared" ref="AB60" si="78">+AA60*1.05</f>
        <v>0</v>
      </c>
      <c r="AC60" s="84">
        <f t="shared" ref="AC60" si="79">+AB60*1.05</f>
        <v>0</v>
      </c>
      <c r="AD60" s="84">
        <f t="shared" ref="AD60" si="80">+AC60*1.05</f>
        <v>0</v>
      </c>
      <c r="AE60" s="84">
        <f t="shared" ref="AE60" si="81">+AD60*1.05</f>
        <v>0</v>
      </c>
      <c r="AF60" s="84">
        <f t="shared" ref="AF60" si="82">+AE60*1.05</f>
        <v>0</v>
      </c>
      <c r="AG60" s="84">
        <f t="shared" ref="AG60" si="83">+AF60*1.05</f>
        <v>0</v>
      </c>
      <c r="AH60" s="173">
        <f t="shared" ref="AH60" si="84">+AG60*1.05</f>
        <v>0</v>
      </c>
      <c r="AI60" s="62">
        <f t="shared" ref="AI60" si="85">+AH60*1.05</f>
        <v>0</v>
      </c>
    </row>
    <row r="61" spans="1:35" s="82" customFormat="1" ht="17.399999999999999" x14ac:dyDescent="0.3">
      <c r="A61" s="294" t="s">
        <v>47</v>
      </c>
      <c r="B61" s="295"/>
      <c r="C61" s="296"/>
      <c r="D61" s="83"/>
      <c r="E61" s="83"/>
      <c r="F61" s="84">
        <f>+'Insurance DF A1'!D39</f>
        <v>176359.90000000002</v>
      </c>
      <c r="G61" s="84">
        <f>+F61*1.11</f>
        <v>195759.48900000003</v>
      </c>
      <c r="H61" s="84">
        <f t="shared" ref="H61:Y61" si="86">+G61*1.11</f>
        <v>217293.03279000006</v>
      </c>
      <c r="I61" s="84">
        <f t="shared" si="86"/>
        <v>241195.26639690009</v>
      </c>
      <c r="J61" s="84">
        <f t="shared" si="86"/>
        <v>267726.74570055911</v>
      </c>
      <c r="K61" s="84">
        <f t="shared" si="86"/>
        <v>297176.68772762065</v>
      </c>
      <c r="L61" s="84">
        <f t="shared" si="86"/>
        <v>329866.12337765895</v>
      </c>
      <c r="M61" s="84">
        <f t="shared" si="86"/>
        <v>366151.39694920147</v>
      </c>
      <c r="N61" s="84">
        <f t="shared" si="86"/>
        <v>406428.05061361368</v>
      </c>
      <c r="O61" s="84">
        <f t="shared" si="86"/>
        <v>451135.13618111121</v>
      </c>
      <c r="P61" s="84">
        <f t="shared" si="86"/>
        <v>500760.00116103352</v>
      </c>
      <c r="Q61" s="84">
        <f t="shared" si="86"/>
        <v>555843.60128874728</v>
      </c>
      <c r="R61" s="84">
        <f t="shared" si="86"/>
        <v>616986.39743050956</v>
      </c>
      <c r="S61" s="84">
        <f t="shared" si="86"/>
        <v>684854.90114786569</v>
      </c>
      <c r="T61" s="84">
        <f t="shared" si="86"/>
        <v>760188.94027413102</v>
      </c>
      <c r="U61" s="84">
        <f t="shared" si="86"/>
        <v>843809.72370428545</v>
      </c>
      <c r="V61" s="84">
        <f t="shared" si="86"/>
        <v>936628.79331175692</v>
      </c>
      <c r="W61" s="84">
        <f t="shared" si="86"/>
        <v>1039657.9605760502</v>
      </c>
      <c r="X61" s="84">
        <f t="shared" si="86"/>
        <v>1154020.3362394159</v>
      </c>
      <c r="Y61" s="84">
        <f t="shared" si="86"/>
        <v>1280962.5732257518</v>
      </c>
      <c r="Z61" s="84">
        <f t="shared" ref="W61:AI62" si="87">+Y61*1.05</f>
        <v>1345010.7018870395</v>
      </c>
      <c r="AA61" s="84">
        <f t="shared" si="87"/>
        <v>1412261.2369813914</v>
      </c>
      <c r="AB61" s="84">
        <f t="shared" si="87"/>
        <v>1482874.298830461</v>
      </c>
      <c r="AC61" s="84">
        <f t="shared" si="87"/>
        <v>1557018.013771984</v>
      </c>
      <c r="AD61" s="84">
        <f t="shared" si="87"/>
        <v>1634868.9144605834</v>
      </c>
      <c r="AE61" s="84">
        <f t="shared" si="87"/>
        <v>1716612.3601836127</v>
      </c>
      <c r="AF61" s="84">
        <f t="shared" si="87"/>
        <v>1802442.9781927934</v>
      </c>
      <c r="AG61" s="84">
        <f t="shared" si="87"/>
        <v>1892565.1271024332</v>
      </c>
      <c r="AH61" s="173">
        <f t="shared" si="87"/>
        <v>1987193.383457555</v>
      </c>
      <c r="AI61" s="62">
        <f t="shared" si="87"/>
        <v>2086553.0526304329</v>
      </c>
    </row>
    <row r="62" spans="1:35" s="82" customFormat="1" ht="17.399999999999999" hidden="1" x14ac:dyDescent="0.3">
      <c r="A62" s="79" t="s">
        <v>152</v>
      </c>
      <c r="B62" s="73"/>
      <c r="C62" s="201"/>
      <c r="D62" s="83"/>
      <c r="E62" s="83"/>
      <c r="F62" s="84">
        <v>0</v>
      </c>
      <c r="G62" s="84">
        <f>+F62*1.05</f>
        <v>0</v>
      </c>
      <c r="H62" s="84">
        <f t="shared" ref="H62:V62" si="88">+G62*1.05</f>
        <v>0</v>
      </c>
      <c r="I62" s="84">
        <f t="shared" si="88"/>
        <v>0</v>
      </c>
      <c r="J62" s="84">
        <f t="shared" si="88"/>
        <v>0</v>
      </c>
      <c r="K62" s="84">
        <f t="shared" si="88"/>
        <v>0</v>
      </c>
      <c r="L62" s="84">
        <f t="shared" si="88"/>
        <v>0</v>
      </c>
      <c r="M62" s="84">
        <f t="shared" si="88"/>
        <v>0</v>
      </c>
      <c r="N62" s="84">
        <f t="shared" si="88"/>
        <v>0</v>
      </c>
      <c r="O62" s="84">
        <f t="shared" si="88"/>
        <v>0</v>
      </c>
      <c r="P62" s="84">
        <f t="shared" si="88"/>
        <v>0</v>
      </c>
      <c r="Q62" s="84">
        <f t="shared" si="88"/>
        <v>0</v>
      </c>
      <c r="R62" s="84">
        <f t="shared" si="88"/>
        <v>0</v>
      </c>
      <c r="S62" s="84">
        <f t="shared" si="88"/>
        <v>0</v>
      </c>
      <c r="T62" s="86">
        <f t="shared" si="88"/>
        <v>0</v>
      </c>
      <c r="U62" s="85">
        <f t="shared" si="88"/>
        <v>0</v>
      </c>
      <c r="V62" s="84">
        <f t="shared" si="88"/>
        <v>0</v>
      </c>
      <c r="W62" s="84">
        <f t="shared" si="87"/>
        <v>0</v>
      </c>
      <c r="X62" s="84">
        <f t="shared" si="87"/>
        <v>0</v>
      </c>
      <c r="Y62" s="84">
        <f t="shared" si="87"/>
        <v>0</v>
      </c>
      <c r="Z62" s="84">
        <f t="shared" si="87"/>
        <v>0</v>
      </c>
      <c r="AA62" s="84">
        <f t="shared" si="87"/>
        <v>0</v>
      </c>
      <c r="AB62" s="84">
        <f t="shared" si="87"/>
        <v>0</v>
      </c>
      <c r="AC62" s="84">
        <f t="shared" si="87"/>
        <v>0</v>
      </c>
      <c r="AD62" s="84">
        <f t="shared" si="87"/>
        <v>0</v>
      </c>
      <c r="AE62" s="84">
        <f t="shared" si="87"/>
        <v>0</v>
      </c>
      <c r="AF62" s="84">
        <f t="shared" si="87"/>
        <v>0</v>
      </c>
      <c r="AG62" s="84">
        <f t="shared" si="87"/>
        <v>0</v>
      </c>
      <c r="AH62" s="173">
        <f t="shared" si="87"/>
        <v>0</v>
      </c>
      <c r="AI62" s="62">
        <f t="shared" si="87"/>
        <v>0</v>
      </c>
    </row>
    <row r="63" spans="1:35" s="11" customFormat="1" ht="17.399999999999999" x14ac:dyDescent="0.3">
      <c r="A63" s="87" t="s">
        <v>48</v>
      </c>
      <c r="B63" s="55"/>
      <c r="C63" s="55"/>
      <c r="D63" s="30"/>
      <c r="E63" s="30"/>
      <c r="F63" s="74">
        <f>+F53-F55-F56-F57-F58-F59-F60-F61-F62</f>
        <v>5681615.0999999978</v>
      </c>
      <c r="G63" s="74">
        <f t="shared" ref="G63:Y63" si="89">+G53-G55-G56-G57-G58-G59-G60-G61-G62</f>
        <v>8920507.7609999981</v>
      </c>
      <c r="H63" s="74">
        <f t="shared" si="89"/>
        <v>10019496.702209996</v>
      </c>
      <c r="I63" s="74">
        <f t="shared" si="89"/>
        <v>11227102.1597031</v>
      </c>
      <c r="J63" s="74">
        <f t="shared" si="89"/>
        <v>17935315.085913043</v>
      </c>
      <c r="K63" s="74">
        <f t="shared" si="89"/>
        <v>18665135.298919622</v>
      </c>
      <c r="L63" s="74">
        <f t="shared" si="89"/>
        <v>9418645.4614893086</v>
      </c>
      <c r="M63" s="74">
        <f t="shared" si="89"/>
        <v>25792500.414408747</v>
      </c>
      <c r="N63" s="74">
        <f t="shared" si="89"/>
        <v>26822223.373085435</v>
      </c>
      <c r="O63" s="74">
        <f t="shared" si="89"/>
        <v>27886138.029385418</v>
      </c>
      <c r="P63" s="74">
        <f t="shared" si="89"/>
        <v>33298301.935805742</v>
      </c>
      <c r="Q63" s="74">
        <f t="shared" si="89"/>
        <v>36692568.810608648</v>
      </c>
      <c r="R63" s="74">
        <f t="shared" si="89"/>
        <v>38133434.777057514</v>
      </c>
      <c r="S63" s="74">
        <f t="shared" si="89"/>
        <v>36755324.035049051</v>
      </c>
      <c r="T63" s="74">
        <f t="shared" si="89"/>
        <v>48589321.412405021</v>
      </c>
      <c r="U63" s="74">
        <f t="shared" si="89"/>
        <v>45535796.673477575</v>
      </c>
      <c r="V63" s="74">
        <f t="shared" si="89"/>
        <v>55145540.52550327</v>
      </c>
      <c r="W63" s="74">
        <f t="shared" si="89"/>
        <v>54792899.324632399</v>
      </c>
      <c r="X63" s="74">
        <f t="shared" si="89"/>
        <v>54409433.933163814</v>
      </c>
      <c r="Y63" s="74">
        <f t="shared" si="89"/>
        <v>59211429.138641112</v>
      </c>
      <c r="Z63" s="74">
        <f t="shared" ref="Z63:AI63" si="90">+Z53-Z55-Z57-Z61-Z59</f>
        <v>11890442.797436597</v>
      </c>
      <c r="AA63" s="74">
        <f t="shared" si="90"/>
        <v>12099849.953523196</v>
      </c>
      <c r="AB63" s="74">
        <f t="shared" si="90"/>
        <v>12245386.1677384</v>
      </c>
      <c r="AC63" s="74">
        <f t="shared" si="90"/>
        <v>12386631.066995149</v>
      </c>
      <c r="AD63" s="74">
        <f t="shared" si="90"/>
        <v>12523138.723032145</v>
      </c>
      <c r="AE63" s="74">
        <f t="shared" si="90"/>
        <v>12354436.283924732</v>
      </c>
      <c r="AF63" s="74">
        <f t="shared" si="90"/>
        <v>12780022.535356766</v>
      </c>
      <c r="AG63" s="74">
        <f t="shared" si="90"/>
        <v>12899366.3881051</v>
      </c>
      <c r="AH63" s="177">
        <f t="shared" si="90"/>
        <v>13011905.28801048</v>
      </c>
      <c r="AI63" s="62">
        <f t="shared" si="90"/>
        <v>13117043.544521134</v>
      </c>
    </row>
    <row r="64" spans="1:35" s="11" customFormat="1" ht="17.399999999999999" x14ac:dyDescent="0.3">
      <c r="A64" s="54" t="s">
        <v>160</v>
      </c>
      <c r="B64" s="55"/>
      <c r="C64" s="55"/>
      <c r="D64" s="30"/>
      <c r="E64" s="30"/>
      <c r="F64" s="65">
        <f>+Investment!F52</f>
        <v>-11513977.054000001</v>
      </c>
      <c r="G64" s="65">
        <f>+Investment!G52</f>
        <v>769491.57005999913</v>
      </c>
      <c r="H64" s="65">
        <f>+Investment!H52</f>
        <v>1764767.7830165983</v>
      </c>
      <c r="I64" s="65">
        <f>+Investment!I52</f>
        <v>2737581.3984634262</v>
      </c>
      <c r="J64" s="65">
        <f>+Investment!J52</f>
        <v>6179008.6837700009</v>
      </c>
      <c r="K64" s="65">
        <f>+Investment!K52</f>
        <v>6817866.2701155255</v>
      </c>
      <c r="L64" s="65">
        <f>+Investment!L52</f>
        <v>2822904.7050057072</v>
      </c>
      <c r="M64" s="65">
        <f>+Investment!M52</f>
        <v>10575217.242940554</v>
      </c>
      <c r="N64" s="65">
        <f>+Investment!N52</f>
        <v>11236789.331734953</v>
      </c>
      <c r="O64" s="65">
        <f>+Investment!O52</f>
        <v>11886454.713700596</v>
      </c>
      <c r="P64" s="65">
        <f>+Investment!P52</f>
        <v>14512770.092002949</v>
      </c>
      <c r="Q64" s="65">
        <f>+Investment!Q52</f>
        <v>16190790.372121291</v>
      </c>
      <c r="R64" s="65">
        <f>+Investment!R52</f>
        <v>16953148.58694654</v>
      </c>
      <c r="S64" s="65">
        <f>+Investment!S52</f>
        <v>16404204.4175281</v>
      </c>
      <c r="T64" s="65">
        <f>+Investment!T52</f>
        <v>21920406.761198439</v>
      </c>
      <c r="U64" s="65">
        <f>+Investment!U52</f>
        <v>20577756.713435676</v>
      </c>
      <c r="V64" s="65">
        <f>+Investment!V52</f>
        <v>25051177.600803006</v>
      </c>
      <c r="W64" s="65">
        <f>+Investment!W52</f>
        <v>24934197.331324499</v>
      </c>
      <c r="X64" s="65">
        <f>+Investment!X52</f>
        <v>24796465.829054452</v>
      </c>
      <c r="Y64" s="65">
        <f>+Investment!Y52</f>
        <v>27038438.602298226</v>
      </c>
      <c r="Z64" s="65" t="e">
        <f>+#REF!</f>
        <v>#REF!</v>
      </c>
      <c r="AA64" s="65" t="e">
        <f>+#REF!</f>
        <v>#REF!</v>
      </c>
      <c r="AB64" s="65" t="e">
        <f>+#REF!</f>
        <v>#REF!</v>
      </c>
      <c r="AC64" s="65" t="e">
        <f>+#REF!</f>
        <v>#REF!</v>
      </c>
      <c r="AD64" s="65" t="e">
        <f>+#REF!</f>
        <v>#REF!</v>
      </c>
      <c r="AE64" s="65" t="e">
        <f>+#REF!</f>
        <v>#REF!</v>
      </c>
      <c r="AF64" s="65" t="e">
        <f>+#REF!</f>
        <v>#REF!</v>
      </c>
      <c r="AG64" s="65" t="e">
        <f>+#REF!</f>
        <v>#REF!</v>
      </c>
      <c r="AH64" s="176" t="e">
        <f>+#REF!</f>
        <v>#REF!</v>
      </c>
      <c r="AI64" s="62" t="e">
        <f>+#REF!</f>
        <v>#REF!</v>
      </c>
    </row>
    <row r="65" spans="1:35" s="11" customFormat="1" ht="17.399999999999999" x14ac:dyDescent="0.3">
      <c r="A65" s="54" t="s">
        <v>156</v>
      </c>
      <c r="B65" s="55"/>
      <c r="C65" s="55"/>
      <c r="D65" s="30"/>
      <c r="E65" s="30"/>
      <c r="F65" s="74">
        <f>+F63-F64</f>
        <v>17195592.153999999</v>
      </c>
      <c r="G65" s="74">
        <f t="shared" ref="G65:AI65" si="91">+G63-G64</f>
        <v>8151016.1909399992</v>
      </c>
      <c r="H65" s="74">
        <f t="shared" si="91"/>
        <v>8254728.9191933982</v>
      </c>
      <c r="I65" s="74">
        <f t="shared" si="91"/>
        <v>8489520.7612396739</v>
      </c>
      <c r="J65" s="74">
        <f t="shared" si="91"/>
        <v>11756306.402143043</v>
      </c>
      <c r="K65" s="74">
        <f t="shared" si="91"/>
        <v>11847269.028804097</v>
      </c>
      <c r="L65" s="74">
        <f t="shared" si="91"/>
        <v>6595740.7564836014</v>
      </c>
      <c r="M65" s="74">
        <f t="shared" si="91"/>
        <v>15217283.171468193</v>
      </c>
      <c r="N65" s="74">
        <f t="shared" si="91"/>
        <v>15585434.041350482</v>
      </c>
      <c r="O65" s="76">
        <f t="shared" si="91"/>
        <v>15999683.315684821</v>
      </c>
      <c r="P65" s="75">
        <f t="shared" si="91"/>
        <v>18785531.843802795</v>
      </c>
      <c r="Q65" s="74">
        <f t="shared" si="91"/>
        <v>20501778.438487358</v>
      </c>
      <c r="R65" s="74">
        <f t="shared" si="91"/>
        <v>21180286.190110974</v>
      </c>
      <c r="S65" s="177">
        <f t="shared" si="91"/>
        <v>20351119.617520951</v>
      </c>
      <c r="T65" s="76">
        <f t="shared" si="91"/>
        <v>26668914.651206583</v>
      </c>
      <c r="U65" s="75">
        <f t="shared" si="91"/>
        <v>24958039.960041899</v>
      </c>
      <c r="V65" s="74">
        <f t="shared" si="91"/>
        <v>30094362.924700264</v>
      </c>
      <c r="W65" s="74">
        <f t="shared" si="91"/>
        <v>29858701.9933079</v>
      </c>
      <c r="X65" s="74">
        <f t="shared" si="91"/>
        <v>29612968.104109362</v>
      </c>
      <c r="Y65" s="74">
        <f t="shared" si="91"/>
        <v>32172990.536342885</v>
      </c>
      <c r="Z65" s="74" t="e">
        <f t="shared" si="91"/>
        <v>#REF!</v>
      </c>
      <c r="AA65" s="74" t="e">
        <f t="shared" si="91"/>
        <v>#REF!</v>
      </c>
      <c r="AB65" s="74" t="e">
        <f t="shared" si="91"/>
        <v>#REF!</v>
      </c>
      <c r="AC65" s="74" t="e">
        <f t="shared" si="91"/>
        <v>#REF!</v>
      </c>
      <c r="AD65" s="74" t="e">
        <f t="shared" si="91"/>
        <v>#REF!</v>
      </c>
      <c r="AE65" s="74" t="e">
        <f t="shared" si="91"/>
        <v>#REF!</v>
      </c>
      <c r="AF65" s="74" t="e">
        <f t="shared" si="91"/>
        <v>#REF!</v>
      </c>
      <c r="AG65" s="74" t="e">
        <f t="shared" si="91"/>
        <v>#REF!</v>
      </c>
      <c r="AH65" s="177" t="e">
        <f t="shared" si="91"/>
        <v>#REF!</v>
      </c>
      <c r="AI65" s="62" t="e">
        <f t="shared" si="91"/>
        <v>#REF!</v>
      </c>
    </row>
    <row r="66" spans="1:35" s="11" customFormat="1" ht="17.399999999999999" x14ac:dyDescent="0.3">
      <c r="A66" s="88" t="s">
        <v>177</v>
      </c>
      <c r="B66" s="89"/>
      <c r="C66" s="89"/>
      <c r="D66" s="26"/>
      <c r="E66" s="244">
        <f>+Investment!H32</f>
        <v>80530000</v>
      </c>
      <c r="F66" s="91"/>
      <c r="G66" s="91"/>
      <c r="H66" s="91"/>
      <c r="I66" s="91"/>
      <c r="J66" s="91"/>
      <c r="K66" s="91"/>
      <c r="L66" s="91"/>
      <c r="M66" s="91"/>
      <c r="N66" s="91"/>
      <c r="O66" s="92"/>
      <c r="P66" s="93"/>
      <c r="Q66" s="91"/>
      <c r="R66" s="91"/>
      <c r="S66" s="178"/>
      <c r="T66" s="92"/>
      <c r="U66" s="75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177"/>
      <c r="AI66" s="62"/>
    </row>
    <row r="67" spans="1:35" s="11" customFormat="1" ht="17.399999999999999" x14ac:dyDescent="0.3">
      <c r="A67" s="88" t="s">
        <v>49</v>
      </c>
      <c r="B67" s="89"/>
      <c r="C67" s="89"/>
      <c r="D67" s="90"/>
      <c r="E67" s="90">
        <f>(E58+E60+E66)*-1</f>
        <v>-81180000</v>
      </c>
      <c r="F67" s="91">
        <f>+F65</f>
        <v>17195592.153999999</v>
      </c>
      <c r="G67" s="91">
        <f>+G65-G66</f>
        <v>8151016.1909399992</v>
      </c>
      <c r="H67" s="91">
        <f t="shared" ref="H67:AI67" si="92">+H65</f>
        <v>8254728.9191933982</v>
      </c>
      <c r="I67" s="91">
        <f t="shared" si="92"/>
        <v>8489520.7612396739</v>
      </c>
      <c r="J67" s="91">
        <f t="shared" si="92"/>
        <v>11756306.402143043</v>
      </c>
      <c r="K67" s="91">
        <f t="shared" si="92"/>
        <v>11847269.028804097</v>
      </c>
      <c r="L67" s="91">
        <f t="shared" si="92"/>
        <v>6595740.7564836014</v>
      </c>
      <c r="M67" s="91">
        <f t="shared" si="92"/>
        <v>15217283.171468193</v>
      </c>
      <c r="N67" s="91">
        <f t="shared" si="92"/>
        <v>15585434.041350482</v>
      </c>
      <c r="O67" s="92">
        <f t="shared" si="92"/>
        <v>15999683.315684821</v>
      </c>
      <c r="P67" s="93">
        <f t="shared" si="92"/>
        <v>18785531.843802795</v>
      </c>
      <c r="Q67" s="91">
        <f t="shared" si="92"/>
        <v>20501778.438487358</v>
      </c>
      <c r="R67" s="91">
        <f t="shared" si="92"/>
        <v>21180286.190110974</v>
      </c>
      <c r="S67" s="178">
        <f t="shared" si="92"/>
        <v>20351119.617520951</v>
      </c>
      <c r="T67" s="92">
        <f t="shared" si="92"/>
        <v>26668914.651206583</v>
      </c>
      <c r="U67" s="75">
        <f t="shared" si="92"/>
        <v>24958039.960041899</v>
      </c>
      <c r="V67" s="74">
        <f t="shared" si="92"/>
        <v>30094362.924700264</v>
      </c>
      <c r="W67" s="74">
        <f t="shared" si="92"/>
        <v>29858701.9933079</v>
      </c>
      <c r="X67" s="74">
        <f t="shared" si="92"/>
        <v>29612968.104109362</v>
      </c>
      <c r="Y67" s="74">
        <f t="shared" si="92"/>
        <v>32172990.536342885</v>
      </c>
      <c r="Z67" s="74" t="e">
        <f t="shared" si="92"/>
        <v>#REF!</v>
      </c>
      <c r="AA67" s="74" t="e">
        <f t="shared" si="92"/>
        <v>#REF!</v>
      </c>
      <c r="AB67" s="74" t="e">
        <f t="shared" si="92"/>
        <v>#REF!</v>
      </c>
      <c r="AC67" s="74" t="e">
        <f t="shared" si="92"/>
        <v>#REF!</v>
      </c>
      <c r="AD67" s="74" t="e">
        <f t="shared" si="92"/>
        <v>#REF!</v>
      </c>
      <c r="AE67" s="74" t="e">
        <f t="shared" si="92"/>
        <v>#REF!</v>
      </c>
      <c r="AF67" s="74" t="e">
        <f t="shared" si="92"/>
        <v>#REF!</v>
      </c>
      <c r="AG67" s="74" t="e">
        <f t="shared" si="92"/>
        <v>#REF!</v>
      </c>
      <c r="AH67" s="177" t="e">
        <f t="shared" si="92"/>
        <v>#REF!</v>
      </c>
      <c r="AI67" s="62" t="e">
        <f t="shared" si="92"/>
        <v>#REF!</v>
      </c>
    </row>
    <row r="68" spans="1:35" s="11" customFormat="1" ht="18" thickBot="1" x14ac:dyDescent="0.35">
      <c r="A68" s="94" t="s">
        <v>50</v>
      </c>
      <c r="B68" s="95"/>
      <c r="C68" s="95"/>
      <c r="D68" s="34"/>
      <c r="E68" s="96">
        <f>+E67</f>
        <v>-81180000</v>
      </c>
      <c r="F68" s="96">
        <f t="shared" ref="F68:AI68" si="93">E68+F67</f>
        <v>-63984407.846000001</v>
      </c>
      <c r="G68" s="96">
        <f t="shared" si="93"/>
        <v>-55833391.655060001</v>
      </c>
      <c r="H68" s="96">
        <f t="shared" si="93"/>
        <v>-47578662.735866606</v>
      </c>
      <c r="I68" s="96">
        <f t="shared" si="93"/>
        <v>-39089141.974626929</v>
      </c>
      <c r="J68" s="96">
        <f t="shared" si="93"/>
        <v>-27332835.572483886</v>
      </c>
      <c r="K68" s="97">
        <f t="shared" si="93"/>
        <v>-15485566.543679789</v>
      </c>
      <c r="L68" s="98">
        <f t="shared" si="93"/>
        <v>-8889825.7871961873</v>
      </c>
      <c r="M68" s="98">
        <f t="shared" si="93"/>
        <v>6327457.3842720054</v>
      </c>
      <c r="N68" s="98">
        <f t="shared" si="93"/>
        <v>21912891.425622486</v>
      </c>
      <c r="O68" s="98">
        <f t="shared" si="93"/>
        <v>37912574.741307303</v>
      </c>
      <c r="P68" s="97">
        <f t="shared" si="93"/>
        <v>56698106.585110098</v>
      </c>
      <c r="Q68" s="98">
        <f t="shared" si="93"/>
        <v>77199885.023597449</v>
      </c>
      <c r="R68" s="98">
        <f t="shared" si="93"/>
        <v>98380171.213708431</v>
      </c>
      <c r="S68" s="179">
        <f t="shared" si="93"/>
        <v>118731290.83122939</v>
      </c>
      <c r="T68" s="98">
        <f t="shared" si="93"/>
        <v>145400205.48243597</v>
      </c>
      <c r="U68" s="97">
        <f t="shared" si="93"/>
        <v>170358245.44247788</v>
      </c>
      <c r="V68" s="98">
        <f t="shared" si="93"/>
        <v>200452608.36717814</v>
      </c>
      <c r="W68" s="98">
        <f t="shared" si="93"/>
        <v>230311310.36048603</v>
      </c>
      <c r="X68" s="98">
        <f t="shared" si="93"/>
        <v>259924278.46459538</v>
      </c>
      <c r="Y68" s="98">
        <f t="shared" si="93"/>
        <v>292097269.00093824</v>
      </c>
      <c r="Z68" s="98" t="e">
        <f t="shared" si="93"/>
        <v>#REF!</v>
      </c>
      <c r="AA68" s="98" t="e">
        <f t="shared" si="93"/>
        <v>#REF!</v>
      </c>
      <c r="AB68" s="98" t="e">
        <f t="shared" si="93"/>
        <v>#REF!</v>
      </c>
      <c r="AC68" s="98" t="e">
        <f t="shared" si="93"/>
        <v>#REF!</v>
      </c>
      <c r="AD68" s="98" t="e">
        <f t="shared" si="93"/>
        <v>#REF!</v>
      </c>
      <c r="AE68" s="98" t="e">
        <f t="shared" si="93"/>
        <v>#REF!</v>
      </c>
      <c r="AF68" s="98" t="e">
        <f t="shared" si="93"/>
        <v>#REF!</v>
      </c>
      <c r="AG68" s="98" t="e">
        <f t="shared" si="93"/>
        <v>#REF!</v>
      </c>
      <c r="AH68" s="179" t="e">
        <f t="shared" si="93"/>
        <v>#REF!</v>
      </c>
      <c r="AI68" s="98" t="e">
        <f t="shared" si="93"/>
        <v>#REF!</v>
      </c>
    </row>
    <row r="69" spans="1:35" s="11" customFormat="1" ht="20.25" customHeight="1" x14ac:dyDescent="0.3">
      <c r="A69" s="99" t="s">
        <v>51</v>
      </c>
      <c r="B69" s="100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</row>
    <row r="70" spans="1:35" s="11" customFormat="1" ht="5.25" customHeight="1" x14ac:dyDescent="0.3">
      <c r="A70" s="101"/>
      <c r="B70" s="102"/>
      <c r="C70" s="82"/>
      <c r="D70" s="82"/>
      <c r="E70" s="82"/>
    </row>
    <row r="71" spans="1:35" s="11" customFormat="1" ht="19.8" x14ac:dyDescent="0.3">
      <c r="A71" s="195" t="s">
        <v>52</v>
      </c>
      <c r="B71" s="103" t="s">
        <v>256</v>
      </c>
      <c r="C71" s="103"/>
      <c r="D71" s="103"/>
      <c r="E71" s="103"/>
      <c r="F71" s="103"/>
      <c r="G71" s="103"/>
      <c r="H71" s="103"/>
      <c r="I71" s="103"/>
      <c r="J71" s="192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72"/>
    </row>
    <row r="72" spans="1:35" s="11" customFormat="1" ht="41.25" customHeight="1" x14ac:dyDescent="0.3">
      <c r="A72" s="195" t="s">
        <v>53</v>
      </c>
      <c r="B72" s="297" t="s">
        <v>184</v>
      </c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172"/>
    </row>
    <row r="73" spans="1:35" s="11" customFormat="1" ht="19.8" x14ac:dyDescent="0.3">
      <c r="A73" s="195" t="s">
        <v>54</v>
      </c>
      <c r="B73" s="103" t="s">
        <v>141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72"/>
    </row>
    <row r="74" spans="1:35" s="11" customFormat="1" ht="42" customHeight="1" x14ac:dyDescent="0.3">
      <c r="A74" s="195" t="s">
        <v>125</v>
      </c>
      <c r="B74" s="297" t="s">
        <v>260</v>
      </c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172"/>
    </row>
    <row r="75" spans="1:35" s="11" customFormat="1" ht="63.75" customHeight="1" x14ac:dyDescent="0.3">
      <c r="A75" s="195" t="s">
        <v>55</v>
      </c>
      <c r="B75" s="297" t="s">
        <v>258</v>
      </c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297"/>
      <c r="P75" s="297"/>
      <c r="Q75" s="297"/>
      <c r="R75" s="297"/>
      <c r="S75" s="297"/>
      <c r="T75" s="297"/>
      <c r="U75" s="172"/>
    </row>
    <row r="76" spans="1:35" s="11" customFormat="1" ht="19.8" x14ac:dyDescent="0.3">
      <c r="A76" s="195" t="s">
        <v>56</v>
      </c>
      <c r="B76" s="103" t="s">
        <v>259</v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72"/>
    </row>
    <row r="77" spans="1:35" s="11" customFormat="1" ht="19.2" x14ac:dyDescent="0.3">
      <c r="A77" s="200" t="s">
        <v>57</v>
      </c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1:35" s="11" customFormat="1" ht="6.75" customHeight="1" x14ac:dyDescent="0.3">
      <c r="A78" s="200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1:35" s="11" customFormat="1" ht="21.6" x14ac:dyDescent="0.3">
      <c r="A79" s="240" t="s">
        <v>52</v>
      </c>
      <c r="B79" s="241" t="s">
        <v>172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1:35" s="11" customFormat="1" ht="21.6" x14ac:dyDescent="0.3">
      <c r="A80" s="242" t="s">
        <v>173</v>
      </c>
      <c r="B80" s="241" t="s">
        <v>179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1:38" s="11" customFormat="1" ht="21.6" x14ac:dyDescent="0.3">
      <c r="A81" s="242" t="s">
        <v>174</v>
      </c>
      <c r="B81" s="241" t="s">
        <v>187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1:38" s="11" customFormat="1" ht="21.6" x14ac:dyDescent="0.3">
      <c r="A82" s="242"/>
      <c r="B82" s="241" t="s">
        <v>188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1:38" s="11" customFormat="1" ht="21.6" x14ac:dyDescent="0.3">
      <c r="A83" s="242" t="s">
        <v>181</v>
      </c>
      <c r="B83" s="241" t="s">
        <v>262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1:38" s="11" customFormat="1" ht="21.6" x14ac:dyDescent="0.3">
      <c r="A84" s="242" t="s">
        <v>263</v>
      </c>
      <c r="B84" s="241" t="s">
        <v>265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1:38" s="11" customFormat="1" ht="19.8" x14ac:dyDescent="0.3">
      <c r="A85" s="195" t="s">
        <v>53</v>
      </c>
      <c r="B85" s="102" t="s">
        <v>185</v>
      </c>
      <c r="C85" s="82"/>
      <c r="D85" s="82"/>
      <c r="E85" s="82"/>
      <c r="F85" s="82"/>
    </row>
    <row r="86" spans="1:38" s="11" customFormat="1" ht="18.75" customHeight="1" x14ac:dyDescent="0.3">
      <c r="A86" s="195"/>
      <c r="B86" s="102"/>
      <c r="C86" s="82"/>
      <c r="D86" s="82"/>
      <c r="E86" s="82"/>
      <c r="F86" s="82"/>
    </row>
    <row r="87" spans="1:38" s="11" customFormat="1" ht="19.8" x14ac:dyDescent="0.3">
      <c r="A87" s="195"/>
      <c r="B87" s="102"/>
      <c r="C87" s="82"/>
      <c r="D87" s="82"/>
      <c r="E87" s="82"/>
      <c r="F87" s="82"/>
    </row>
    <row r="88" spans="1:38" s="11" customFormat="1" ht="17.399999999999999" x14ac:dyDescent="0.3">
      <c r="C88" s="82"/>
    </row>
    <row r="89" spans="1:38" s="104" customFormat="1" ht="18.600000000000001" thickBot="1" x14ac:dyDescent="0.3">
      <c r="A89" s="105"/>
      <c r="B89" s="105"/>
      <c r="D89" s="106"/>
      <c r="E89" s="106"/>
      <c r="G89" s="107"/>
      <c r="H89" s="107"/>
      <c r="J89" s="107"/>
      <c r="K89" s="107"/>
      <c r="T89" s="107"/>
    </row>
    <row r="90" spans="1:38" s="108" customFormat="1" ht="18" x14ac:dyDescent="0.3">
      <c r="A90" s="298" t="s">
        <v>58</v>
      </c>
      <c r="B90" s="298"/>
      <c r="D90" s="299" t="s">
        <v>171</v>
      </c>
      <c r="E90" s="299"/>
      <c r="G90" s="299" t="s">
        <v>144</v>
      </c>
      <c r="H90" s="299"/>
      <c r="J90" s="300" t="s">
        <v>251</v>
      </c>
      <c r="K90" s="300"/>
      <c r="L90" s="300"/>
      <c r="M90" s="300"/>
      <c r="N90" s="300"/>
      <c r="O90" s="300"/>
      <c r="P90" s="300"/>
      <c r="Q90" s="300"/>
      <c r="R90" s="300"/>
      <c r="S90" s="300"/>
      <c r="T90" s="300"/>
    </row>
    <row r="92" spans="1:38" x14ac:dyDescent="0.3">
      <c r="E92" s="182"/>
      <c r="F92" s="183"/>
      <c r="G92" s="183"/>
      <c r="H92" s="183"/>
    </row>
    <row r="93" spans="1:38" x14ac:dyDescent="0.3">
      <c r="E93" s="183" t="s">
        <v>21</v>
      </c>
      <c r="F93" s="221">
        <f>+D20</f>
        <v>7.8699999999999992</v>
      </c>
      <c r="G93" s="281">
        <f>+F93+2</f>
        <v>9.8699999999999992</v>
      </c>
      <c r="H93" s="281">
        <f t="shared" ref="H93:I96" si="94">+G93</f>
        <v>9.8699999999999992</v>
      </c>
      <c r="I93" s="281">
        <f t="shared" si="94"/>
        <v>9.8699999999999992</v>
      </c>
      <c r="J93" s="281">
        <v>12.87</v>
      </c>
      <c r="K93" s="281">
        <f t="shared" ref="K93:L96" si="95">+J93</f>
        <v>12.87</v>
      </c>
      <c r="L93" s="281">
        <f t="shared" si="95"/>
        <v>12.87</v>
      </c>
      <c r="M93" s="281">
        <v>15.87</v>
      </c>
      <c r="N93" s="281">
        <f t="shared" ref="N93:O96" si="96">+M93</f>
        <v>15.87</v>
      </c>
      <c r="O93" s="281">
        <f t="shared" si="96"/>
        <v>15.87</v>
      </c>
      <c r="P93" s="281">
        <v>18.87</v>
      </c>
      <c r="Q93" s="281">
        <f t="shared" ref="Q93:R96" si="97">+P93</f>
        <v>18.87</v>
      </c>
      <c r="R93" s="281">
        <f t="shared" si="97"/>
        <v>18.87</v>
      </c>
      <c r="S93" s="281">
        <v>21.87</v>
      </c>
      <c r="T93" s="281">
        <f t="shared" ref="T93:U96" si="98">+S93</f>
        <v>21.87</v>
      </c>
      <c r="U93" s="281">
        <f t="shared" si="98"/>
        <v>21.87</v>
      </c>
      <c r="V93" s="281">
        <v>24.87</v>
      </c>
      <c r="W93" s="281">
        <f t="shared" ref="W93:X96" si="99">+V93</f>
        <v>24.87</v>
      </c>
      <c r="X93" s="281">
        <f t="shared" si="99"/>
        <v>24.87</v>
      </c>
      <c r="Y93" s="281">
        <v>26.87</v>
      </c>
      <c r="Z93" s="281">
        <f t="shared" ref="Z93:AL96" si="100">+Y93</f>
        <v>26.87</v>
      </c>
      <c r="AA93" s="281">
        <f t="shared" si="100"/>
        <v>26.87</v>
      </c>
      <c r="AB93" s="281">
        <f t="shared" si="100"/>
        <v>26.87</v>
      </c>
      <c r="AC93" s="281">
        <f t="shared" si="100"/>
        <v>26.87</v>
      </c>
      <c r="AD93" s="281">
        <f t="shared" si="100"/>
        <v>26.87</v>
      </c>
      <c r="AE93" s="281">
        <f t="shared" si="100"/>
        <v>26.87</v>
      </c>
      <c r="AF93" s="281">
        <f t="shared" si="100"/>
        <v>26.87</v>
      </c>
      <c r="AG93" s="281">
        <f t="shared" si="100"/>
        <v>26.87</v>
      </c>
      <c r="AH93" s="281">
        <f t="shared" si="100"/>
        <v>26.87</v>
      </c>
      <c r="AI93" s="281">
        <f t="shared" si="100"/>
        <v>26.87</v>
      </c>
      <c r="AJ93" s="281">
        <f t="shared" si="100"/>
        <v>26.87</v>
      </c>
      <c r="AK93" s="281">
        <f t="shared" si="100"/>
        <v>26.87</v>
      </c>
      <c r="AL93" s="281">
        <f t="shared" si="100"/>
        <v>26.87</v>
      </c>
    </row>
    <row r="94" spans="1:38" x14ac:dyDescent="0.3">
      <c r="E94" s="183" t="s">
        <v>23</v>
      </c>
      <c r="F94" s="221">
        <f>+D21</f>
        <v>7.8699999999999992</v>
      </c>
      <c r="G94" s="281">
        <f>+F94+2</f>
        <v>9.8699999999999992</v>
      </c>
      <c r="H94" s="281">
        <f t="shared" si="94"/>
        <v>9.8699999999999992</v>
      </c>
      <c r="I94" s="281">
        <f t="shared" si="94"/>
        <v>9.8699999999999992</v>
      </c>
      <c r="J94" s="281">
        <v>12.87</v>
      </c>
      <c r="K94" s="281">
        <f t="shared" si="95"/>
        <v>12.87</v>
      </c>
      <c r="L94" s="281">
        <f t="shared" si="95"/>
        <v>12.87</v>
      </c>
      <c r="M94" s="281">
        <v>15.87</v>
      </c>
      <c r="N94" s="281">
        <f t="shared" si="96"/>
        <v>15.87</v>
      </c>
      <c r="O94" s="281">
        <f t="shared" si="96"/>
        <v>15.87</v>
      </c>
      <c r="P94" s="281">
        <v>18.87</v>
      </c>
      <c r="Q94" s="281">
        <f t="shared" si="97"/>
        <v>18.87</v>
      </c>
      <c r="R94" s="281">
        <f t="shared" si="97"/>
        <v>18.87</v>
      </c>
      <c r="S94" s="281">
        <v>21.87</v>
      </c>
      <c r="T94" s="281">
        <f t="shared" si="98"/>
        <v>21.87</v>
      </c>
      <c r="U94" s="281">
        <f t="shared" si="98"/>
        <v>21.87</v>
      </c>
      <c r="V94" s="281">
        <v>24.87</v>
      </c>
      <c r="W94" s="281">
        <f t="shared" si="99"/>
        <v>24.87</v>
      </c>
      <c r="X94" s="281">
        <f t="shared" si="99"/>
        <v>24.87</v>
      </c>
      <c r="Y94" s="281">
        <v>26.87</v>
      </c>
      <c r="Z94" s="281">
        <f t="shared" si="100"/>
        <v>26.87</v>
      </c>
      <c r="AA94" s="281">
        <f t="shared" si="100"/>
        <v>26.87</v>
      </c>
      <c r="AB94" s="281">
        <f t="shared" si="100"/>
        <v>26.87</v>
      </c>
      <c r="AC94" s="281">
        <f t="shared" si="100"/>
        <v>26.87</v>
      </c>
      <c r="AD94" s="281">
        <f t="shared" si="100"/>
        <v>26.87</v>
      </c>
      <c r="AE94" s="281">
        <f t="shared" si="100"/>
        <v>26.87</v>
      </c>
      <c r="AF94" s="281">
        <f t="shared" si="100"/>
        <v>26.87</v>
      </c>
      <c r="AG94" s="281">
        <f t="shared" si="100"/>
        <v>26.87</v>
      </c>
      <c r="AH94" s="281">
        <f t="shared" si="100"/>
        <v>26.87</v>
      </c>
      <c r="AI94" s="281">
        <f t="shared" si="100"/>
        <v>26.87</v>
      </c>
      <c r="AJ94" s="281">
        <f t="shared" si="100"/>
        <v>26.87</v>
      </c>
      <c r="AK94" s="281">
        <f t="shared" si="100"/>
        <v>26.87</v>
      </c>
      <c r="AL94" s="281">
        <f t="shared" si="100"/>
        <v>26.87</v>
      </c>
    </row>
    <row r="95" spans="1:38" x14ac:dyDescent="0.3">
      <c r="E95" s="183" t="s">
        <v>168</v>
      </c>
      <c r="F95" s="221">
        <f>+D22</f>
        <v>7.87</v>
      </c>
      <c r="G95" s="281">
        <f>+F95+2</f>
        <v>9.870000000000001</v>
      </c>
      <c r="H95" s="281">
        <f t="shared" si="94"/>
        <v>9.870000000000001</v>
      </c>
      <c r="I95" s="281">
        <f t="shared" si="94"/>
        <v>9.870000000000001</v>
      </c>
      <c r="J95" s="281">
        <v>20</v>
      </c>
      <c r="K95" s="281">
        <f t="shared" si="95"/>
        <v>20</v>
      </c>
      <c r="L95" s="281">
        <f t="shared" si="95"/>
        <v>20</v>
      </c>
      <c r="M95" s="281">
        <v>23</v>
      </c>
      <c r="N95" s="281">
        <f t="shared" si="96"/>
        <v>23</v>
      </c>
      <c r="O95" s="281">
        <f t="shared" si="96"/>
        <v>23</v>
      </c>
      <c r="P95" s="281">
        <v>26</v>
      </c>
      <c r="Q95" s="281">
        <f t="shared" si="97"/>
        <v>26</v>
      </c>
      <c r="R95" s="281">
        <f t="shared" si="97"/>
        <v>26</v>
      </c>
      <c r="S95" s="281">
        <v>29</v>
      </c>
      <c r="T95" s="281">
        <f t="shared" si="98"/>
        <v>29</v>
      </c>
      <c r="U95" s="281">
        <f t="shared" si="98"/>
        <v>29</v>
      </c>
      <c r="V95" s="281">
        <v>32</v>
      </c>
      <c r="W95" s="281">
        <f t="shared" si="99"/>
        <v>32</v>
      </c>
      <c r="X95" s="281">
        <f t="shared" si="99"/>
        <v>32</v>
      </c>
      <c r="Y95" s="281">
        <v>35</v>
      </c>
      <c r="Z95" s="281">
        <f t="shared" si="100"/>
        <v>35</v>
      </c>
      <c r="AA95" s="281">
        <f t="shared" si="100"/>
        <v>35</v>
      </c>
      <c r="AB95" s="281">
        <f t="shared" si="100"/>
        <v>35</v>
      </c>
      <c r="AC95" s="281">
        <f t="shared" si="100"/>
        <v>35</v>
      </c>
      <c r="AD95" s="281">
        <f t="shared" si="100"/>
        <v>35</v>
      </c>
      <c r="AE95" s="281">
        <f t="shared" si="100"/>
        <v>35</v>
      </c>
      <c r="AF95" s="281">
        <f t="shared" si="100"/>
        <v>35</v>
      </c>
      <c r="AG95" s="281">
        <f t="shared" si="100"/>
        <v>35</v>
      </c>
      <c r="AH95" s="281">
        <f t="shared" si="100"/>
        <v>35</v>
      </c>
      <c r="AI95" s="281">
        <f t="shared" si="100"/>
        <v>35</v>
      </c>
      <c r="AJ95" s="281">
        <f t="shared" si="100"/>
        <v>35</v>
      </c>
      <c r="AK95" s="281">
        <f t="shared" si="100"/>
        <v>35</v>
      </c>
      <c r="AL95" s="281">
        <f t="shared" si="100"/>
        <v>35</v>
      </c>
    </row>
    <row r="96" spans="1:38" x14ac:dyDescent="0.3">
      <c r="E96" s="183" t="s">
        <v>163</v>
      </c>
      <c r="F96" s="221">
        <f>+D23</f>
        <v>80</v>
      </c>
      <c r="G96" s="281">
        <f t="shared" ref="G96" si="101">+F96</f>
        <v>80</v>
      </c>
      <c r="H96" s="281">
        <f t="shared" si="94"/>
        <v>80</v>
      </c>
      <c r="I96" s="281">
        <f t="shared" si="94"/>
        <v>80</v>
      </c>
      <c r="J96" s="281">
        <v>83</v>
      </c>
      <c r="K96" s="281">
        <f t="shared" si="95"/>
        <v>83</v>
      </c>
      <c r="L96" s="281">
        <f t="shared" si="95"/>
        <v>83</v>
      </c>
      <c r="M96" s="281">
        <v>86</v>
      </c>
      <c r="N96" s="281">
        <f t="shared" si="96"/>
        <v>86</v>
      </c>
      <c r="O96" s="281">
        <f t="shared" si="96"/>
        <v>86</v>
      </c>
      <c r="P96" s="281">
        <v>89</v>
      </c>
      <c r="Q96" s="281">
        <f t="shared" si="97"/>
        <v>89</v>
      </c>
      <c r="R96" s="281">
        <f t="shared" si="97"/>
        <v>89</v>
      </c>
      <c r="S96" s="281">
        <v>92</v>
      </c>
      <c r="T96" s="281">
        <f t="shared" si="98"/>
        <v>92</v>
      </c>
      <c r="U96" s="281">
        <f t="shared" si="98"/>
        <v>92</v>
      </c>
      <c r="V96" s="281">
        <v>95</v>
      </c>
      <c r="W96" s="281">
        <f t="shared" si="99"/>
        <v>95</v>
      </c>
      <c r="X96" s="281">
        <f t="shared" si="99"/>
        <v>95</v>
      </c>
      <c r="Y96" s="281">
        <v>98</v>
      </c>
      <c r="Z96" s="281">
        <f t="shared" si="100"/>
        <v>98</v>
      </c>
      <c r="AA96" s="281">
        <f t="shared" si="100"/>
        <v>98</v>
      </c>
      <c r="AB96" s="281">
        <f t="shared" si="100"/>
        <v>98</v>
      </c>
      <c r="AC96" s="281">
        <f t="shared" si="100"/>
        <v>98</v>
      </c>
      <c r="AD96" s="281">
        <f t="shared" si="100"/>
        <v>98</v>
      </c>
      <c r="AE96" s="281">
        <f t="shared" si="100"/>
        <v>98</v>
      </c>
      <c r="AF96" s="281">
        <f t="shared" si="100"/>
        <v>98</v>
      </c>
      <c r="AG96" s="281">
        <f t="shared" si="100"/>
        <v>98</v>
      </c>
      <c r="AH96" s="281">
        <f t="shared" si="100"/>
        <v>98</v>
      </c>
      <c r="AI96" s="281">
        <f t="shared" si="100"/>
        <v>98</v>
      </c>
      <c r="AJ96" s="281">
        <f t="shared" si="100"/>
        <v>98</v>
      </c>
      <c r="AK96" s="281">
        <f t="shared" si="100"/>
        <v>98</v>
      </c>
      <c r="AL96" s="281">
        <f t="shared" si="100"/>
        <v>98</v>
      </c>
    </row>
    <row r="97" spans="5:19" x14ac:dyDescent="0.3">
      <c r="E97" s="182"/>
      <c r="F97" s="183"/>
      <c r="G97" s="182"/>
      <c r="H97" s="185"/>
    </row>
    <row r="98" spans="5:19" x14ac:dyDescent="0.3">
      <c r="E98" s="183"/>
      <c r="F98" s="183"/>
      <c r="G98" s="183"/>
      <c r="H98" s="184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</row>
    <row r="99" spans="5:19" x14ac:dyDescent="0.3">
      <c r="E99" s="183"/>
      <c r="F99" s="183"/>
      <c r="G99" s="183"/>
      <c r="H99" s="184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</row>
    <row r="100" spans="5:19" x14ac:dyDescent="0.3">
      <c r="E100" s="183"/>
      <c r="F100" s="183"/>
      <c r="G100" s="183"/>
      <c r="H100" s="184"/>
    </row>
    <row r="101" spans="5:19" x14ac:dyDescent="0.3">
      <c r="E101" s="182"/>
      <c r="F101" s="183"/>
      <c r="G101" s="182"/>
      <c r="H101" s="185"/>
    </row>
  </sheetData>
  <mergeCells count="23">
    <mergeCell ref="A51:B51"/>
    <mergeCell ref="A1:T1"/>
    <mergeCell ref="A2:T2"/>
    <mergeCell ref="A3:T3"/>
    <mergeCell ref="A4:T4"/>
    <mergeCell ref="A18:F18"/>
    <mergeCell ref="H18:T18"/>
    <mergeCell ref="H19:I19"/>
    <mergeCell ref="C20:C22"/>
    <mergeCell ref="H23:I23"/>
    <mergeCell ref="H24:I24"/>
    <mergeCell ref="A39:C39"/>
    <mergeCell ref="A54:C54"/>
    <mergeCell ref="A61:C61"/>
    <mergeCell ref="B72:T72"/>
    <mergeCell ref="B75:T75"/>
    <mergeCell ref="A90:B90"/>
    <mergeCell ref="D90:E90"/>
    <mergeCell ref="G90:H90"/>
    <mergeCell ref="J90:T90"/>
    <mergeCell ref="A59:C59"/>
    <mergeCell ref="B74:T74"/>
    <mergeCell ref="A60:C60"/>
  </mergeCells>
  <pageMargins left="0.7" right="0.37" top="0.44" bottom="0.42" header="0.3" footer="0.3"/>
  <pageSetup paperSize="9" scale="25" fitToHeight="0" orientation="portrait" r:id="rId1"/>
  <headerFooter alignWithMargins="0">
    <oddHeader>&amp;R&amp;"-,Bold"&amp;14RETAIL-FM004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6"/>
  <sheetViews>
    <sheetView zoomScale="61" zoomScaleNormal="75" zoomScaleSheetLayoutView="56" workbookViewId="0">
      <selection activeCell="G5" sqref="G5"/>
    </sheetView>
  </sheetViews>
  <sheetFormatPr defaultColWidth="9.109375" defaultRowHeight="14.4" x14ac:dyDescent="0.3"/>
  <cols>
    <col min="1" max="1" width="9.5546875" style="1" customWidth="1"/>
    <col min="2" max="2" width="23.33203125" style="1" customWidth="1"/>
    <col min="3" max="3" width="22.44140625" style="1" customWidth="1"/>
    <col min="4" max="4" width="17.6640625" style="1" customWidth="1"/>
    <col min="5" max="5" width="16.44140625" style="1" customWidth="1"/>
    <col min="6" max="6" width="16.88671875" style="1" customWidth="1"/>
    <col min="7" max="7" width="16.109375" style="1" customWidth="1"/>
    <col min="8" max="8" width="16.6640625" style="1" customWidth="1"/>
    <col min="9" max="9" width="17.33203125" style="1" customWidth="1"/>
    <col min="10" max="10" width="19.44140625" style="1" customWidth="1"/>
    <col min="11" max="11" width="18.6640625" style="1" customWidth="1"/>
    <col min="12" max="14" width="15.6640625" style="1" customWidth="1"/>
    <col min="15" max="15" width="20.44140625" style="1" customWidth="1"/>
    <col min="16" max="19" width="15.6640625" style="1" customWidth="1"/>
    <col min="20" max="20" width="19" style="1" customWidth="1"/>
    <col min="21" max="21" width="16.6640625" style="1" customWidth="1"/>
    <col min="22" max="25" width="15.6640625" style="1" customWidth="1"/>
    <col min="26" max="35" width="15.6640625" style="1" hidden="1" customWidth="1"/>
    <col min="36" max="16384" width="9.109375" style="1"/>
  </cols>
  <sheetData>
    <row r="1" spans="1:14" s="11" customFormat="1" ht="18" thickBot="1" x14ac:dyDescent="0.35">
      <c r="A1" s="109"/>
      <c r="B1" s="109" t="str">
        <f>+'DF A1'!A10</f>
        <v>Installation of Petrol Pump at _________________</v>
      </c>
      <c r="C1" s="12"/>
      <c r="D1" s="109"/>
      <c r="E1" s="109"/>
      <c r="F1" s="12"/>
      <c r="G1" s="12"/>
      <c r="H1" s="110"/>
      <c r="I1" s="110"/>
      <c r="J1" s="276">
        <f>+'DF A1'!J5</f>
        <v>45734</v>
      </c>
    </row>
    <row r="2" spans="1:14" s="11" customFormat="1" ht="18" thickBot="1" x14ac:dyDescent="0.35">
      <c r="A2" s="12"/>
      <c r="B2" s="323" t="s">
        <v>59</v>
      </c>
      <c r="C2" s="324"/>
      <c r="D2" s="324"/>
      <c r="E2" s="324"/>
      <c r="F2" s="324"/>
      <c r="G2" s="324"/>
      <c r="H2" s="325"/>
      <c r="J2" s="82"/>
    </row>
    <row r="3" spans="1:14" s="11" customFormat="1" ht="35.4" thickBot="1" x14ac:dyDescent="0.35">
      <c r="A3" s="12"/>
      <c r="B3" s="308" t="s">
        <v>60</v>
      </c>
      <c r="C3" s="309"/>
      <c r="D3" s="309"/>
      <c r="E3" s="310"/>
      <c r="F3" s="223" t="s">
        <v>61</v>
      </c>
      <c r="G3" s="224" t="s">
        <v>62</v>
      </c>
      <c r="H3" s="225" t="s">
        <v>63</v>
      </c>
    </row>
    <row r="4" spans="1:14" s="11" customFormat="1" ht="17.399999999999999" x14ac:dyDescent="0.35">
      <c r="A4" s="12"/>
      <c r="B4" s="326" t="s">
        <v>162</v>
      </c>
      <c r="C4" s="327"/>
      <c r="D4" s="327"/>
      <c r="E4" s="328"/>
      <c r="F4" s="111">
        <v>1</v>
      </c>
      <c r="G4" s="112">
        <v>5000000</v>
      </c>
      <c r="H4" s="113">
        <f>+F4*G4</f>
        <v>5000000</v>
      </c>
    </row>
    <row r="5" spans="1:14" s="11" customFormat="1" ht="17.100000000000001" customHeight="1" x14ac:dyDescent="0.35">
      <c r="A5" s="12"/>
      <c r="B5" s="329" t="s">
        <v>139</v>
      </c>
      <c r="C5" s="330"/>
      <c r="D5" s="330"/>
      <c r="E5" s="331"/>
      <c r="F5" s="170">
        <v>6</v>
      </c>
      <c r="G5" s="115">
        <v>200000</v>
      </c>
      <c r="H5" s="116">
        <f>G5*F5</f>
        <v>1200000</v>
      </c>
    </row>
    <row r="6" spans="1:14" s="11" customFormat="1" ht="17.100000000000001" customHeight="1" x14ac:dyDescent="0.35">
      <c r="A6" s="12"/>
      <c r="B6" s="282" t="s">
        <v>140</v>
      </c>
      <c r="C6" s="283"/>
      <c r="D6" s="283"/>
      <c r="E6" s="284"/>
      <c r="F6" s="170"/>
      <c r="G6" s="115"/>
      <c r="H6" s="116">
        <f>G6*F6</f>
        <v>0</v>
      </c>
      <c r="L6" s="119"/>
    </row>
    <row r="7" spans="1:14" s="11" customFormat="1" ht="17.100000000000001" customHeight="1" x14ac:dyDescent="0.35">
      <c r="A7" s="12"/>
      <c r="B7" s="329" t="s">
        <v>64</v>
      </c>
      <c r="C7" s="330"/>
      <c r="D7" s="330"/>
      <c r="E7" s="331"/>
      <c r="F7" s="117">
        <v>1</v>
      </c>
      <c r="G7" s="115">
        <v>100000</v>
      </c>
      <c r="H7" s="118">
        <f>+F7*G7</f>
        <v>100000</v>
      </c>
      <c r="J7" s="119"/>
    </row>
    <row r="8" spans="1:14" s="11" customFormat="1" ht="17.100000000000001" customHeight="1" x14ac:dyDescent="0.35">
      <c r="A8" s="12"/>
      <c r="B8" s="329" t="s">
        <v>135</v>
      </c>
      <c r="C8" s="330"/>
      <c r="D8" s="330"/>
      <c r="E8" s="331"/>
      <c r="F8" s="117"/>
      <c r="G8" s="115">
        <v>150000</v>
      </c>
      <c r="H8" s="118">
        <f t="shared" ref="H8:H9" si="0">+F8*G8</f>
        <v>0</v>
      </c>
      <c r="J8" s="119"/>
    </row>
    <row r="9" spans="1:14" s="11" customFormat="1" ht="17.100000000000001" customHeight="1" x14ac:dyDescent="0.35">
      <c r="A9" s="12"/>
      <c r="B9" s="329" t="s">
        <v>136</v>
      </c>
      <c r="C9" s="330"/>
      <c r="D9" s="330"/>
      <c r="E9" s="331"/>
      <c r="F9" s="117">
        <v>1</v>
      </c>
      <c r="G9" s="115">
        <v>130000</v>
      </c>
      <c r="H9" s="118">
        <f t="shared" si="0"/>
        <v>130000</v>
      </c>
      <c r="J9" s="119"/>
    </row>
    <row r="10" spans="1:14" s="11" customFormat="1" ht="17.100000000000001" customHeight="1" x14ac:dyDescent="0.35">
      <c r="A10" s="12"/>
      <c r="B10" s="294" t="s">
        <v>250</v>
      </c>
      <c r="C10" s="295"/>
      <c r="D10" s="295"/>
      <c r="E10" s="296"/>
      <c r="F10" s="117">
        <v>3</v>
      </c>
      <c r="G10" s="115">
        <v>160000</v>
      </c>
      <c r="H10" s="118">
        <f>+G10*F10</f>
        <v>480000</v>
      </c>
      <c r="J10" s="119"/>
    </row>
    <row r="11" spans="1:14" s="11" customFormat="1" ht="17.100000000000001" customHeight="1" x14ac:dyDescent="0.35">
      <c r="A11" s="12"/>
      <c r="B11" s="294" t="s">
        <v>134</v>
      </c>
      <c r="C11" s="295"/>
      <c r="D11" s="295"/>
      <c r="E11" s="296"/>
      <c r="F11" s="117">
        <v>3</v>
      </c>
      <c r="G11" s="115">
        <v>190000</v>
      </c>
      <c r="H11" s="118">
        <f>+G11*F11</f>
        <v>570000</v>
      </c>
      <c r="J11" s="119"/>
    </row>
    <row r="12" spans="1:14" s="11" customFormat="1" ht="17.100000000000001" customHeight="1" x14ac:dyDescent="0.35">
      <c r="A12" s="12"/>
      <c r="B12" s="294" t="s">
        <v>65</v>
      </c>
      <c r="C12" s="295"/>
      <c r="D12" s="295"/>
      <c r="E12" s="296"/>
      <c r="F12" s="117">
        <v>2</v>
      </c>
      <c r="G12" s="115">
        <v>50000</v>
      </c>
      <c r="H12" s="118">
        <f>+G12*F12</f>
        <v>100000</v>
      </c>
      <c r="I12" s="119"/>
      <c r="J12" s="119"/>
      <c r="N12" s="162"/>
    </row>
    <row r="13" spans="1:14" s="11" customFormat="1" ht="36" customHeight="1" x14ac:dyDescent="0.3">
      <c r="A13" s="12"/>
      <c r="B13" s="294" t="s">
        <v>66</v>
      </c>
      <c r="C13" s="295"/>
      <c r="D13" s="295"/>
      <c r="E13" s="296"/>
      <c r="F13" s="168"/>
      <c r="G13" s="115"/>
      <c r="H13" s="118">
        <v>1000000</v>
      </c>
      <c r="J13" s="119"/>
    </row>
    <row r="14" spans="1:14" s="11" customFormat="1" ht="17.100000000000001" customHeight="1" x14ac:dyDescent="0.35">
      <c r="A14" s="12"/>
      <c r="B14" s="294" t="s">
        <v>257</v>
      </c>
      <c r="C14" s="295"/>
      <c r="D14" s="295"/>
      <c r="E14" s="296"/>
      <c r="F14" s="117">
        <v>3600</v>
      </c>
      <c r="G14" s="115">
        <v>4000</v>
      </c>
      <c r="H14" s="116">
        <f>+G14*F14</f>
        <v>14400000</v>
      </c>
      <c r="I14" s="119">
        <f>+H14+H15</f>
        <v>15200000</v>
      </c>
      <c r="J14" s="119"/>
    </row>
    <row r="15" spans="1:14" s="11" customFormat="1" ht="17.100000000000001" customHeight="1" x14ac:dyDescent="0.35">
      <c r="A15" s="12"/>
      <c r="B15" s="282" t="s">
        <v>176</v>
      </c>
      <c r="C15" s="286"/>
      <c r="D15" s="286"/>
      <c r="E15" s="287"/>
      <c r="F15" s="117">
        <v>20</v>
      </c>
      <c r="G15" s="115">
        <v>40000</v>
      </c>
      <c r="H15" s="116">
        <f t="shared" ref="H15:H17" si="1">+G15*F15</f>
        <v>800000</v>
      </c>
      <c r="J15" s="119"/>
    </row>
    <row r="16" spans="1:14" s="11" customFormat="1" ht="17.100000000000001" customHeight="1" x14ac:dyDescent="0.35">
      <c r="A16" s="12"/>
      <c r="B16" s="294" t="s">
        <v>164</v>
      </c>
      <c r="C16" s="295"/>
      <c r="D16" s="295"/>
      <c r="E16" s="296"/>
      <c r="F16" s="117">
        <v>210</v>
      </c>
      <c r="G16" s="115">
        <v>35000</v>
      </c>
      <c r="H16" s="116">
        <f t="shared" si="1"/>
        <v>7350000</v>
      </c>
      <c r="J16" s="119"/>
    </row>
    <row r="17" spans="1:10" s="11" customFormat="1" ht="17.100000000000001" customHeight="1" x14ac:dyDescent="0.35">
      <c r="A17" s="12"/>
      <c r="B17" s="294" t="s">
        <v>147</v>
      </c>
      <c r="C17" s="295"/>
      <c r="D17" s="295"/>
      <c r="E17" s="296"/>
      <c r="F17" s="117"/>
      <c r="G17" s="115">
        <v>15000</v>
      </c>
      <c r="H17" s="116">
        <f t="shared" si="1"/>
        <v>0</v>
      </c>
      <c r="J17" s="119"/>
    </row>
    <row r="18" spans="1:10" s="11" customFormat="1" ht="17.100000000000001" customHeight="1" x14ac:dyDescent="0.35">
      <c r="A18" s="12"/>
      <c r="B18" s="294" t="s">
        <v>132</v>
      </c>
      <c r="C18" s="295"/>
      <c r="D18" s="295"/>
      <c r="E18" s="296"/>
      <c r="F18" s="117">
        <v>1</v>
      </c>
      <c r="G18" s="115">
        <v>200000</v>
      </c>
      <c r="H18" s="116">
        <f t="shared" ref="H18:H21" si="2">+F18*G18</f>
        <v>200000</v>
      </c>
      <c r="J18" s="119"/>
    </row>
    <row r="19" spans="1:10" s="11" customFormat="1" ht="17.100000000000001" customHeight="1" x14ac:dyDescent="0.35">
      <c r="A19" s="12"/>
      <c r="B19" s="294" t="s">
        <v>67</v>
      </c>
      <c r="C19" s="295"/>
      <c r="D19" s="295"/>
      <c r="E19" s="296"/>
      <c r="F19" s="117">
        <v>1</v>
      </c>
      <c r="G19" s="115">
        <v>200000</v>
      </c>
      <c r="H19" s="116">
        <f t="shared" si="2"/>
        <v>200000</v>
      </c>
      <c r="J19" s="119"/>
    </row>
    <row r="20" spans="1:10" s="11" customFormat="1" ht="17.100000000000001" customHeight="1" x14ac:dyDescent="0.35">
      <c r="A20" s="12"/>
      <c r="B20" s="294" t="s">
        <v>68</v>
      </c>
      <c r="C20" s="295"/>
      <c r="D20" s="295"/>
      <c r="E20" s="296"/>
      <c r="F20" s="117">
        <v>1</v>
      </c>
      <c r="G20" s="115">
        <v>200000</v>
      </c>
      <c r="H20" s="116">
        <f t="shared" si="2"/>
        <v>200000</v>
      </c>
      <c r="J20" s="119"/>
    </row>
    <row r="21" spans="1:10" s="11" customFormat="1" ht="17.100000000000001" customHeight="1" x14ac:dyDescent="0.35">
      <c r="A21" s="12"/>
      <c r="B21" s="294" t="s">
        <v>131</v>
      </c>
      <c r="C21" s="295"/>
      <c r="D21" s="295"/>
      <c r="E21" s="296"/>
      <c r="F21" s="117">
        <v>1</v>
      </c>
      <c r="G21" s="115">
        <v>200000</v>
      </c>
      <c r="H21" s="116">
        <f t="shared" si="2"/>
        <v>200000</v>
      </c>
      <c r="J21" s="119"/>
    </row>
    <row r="22" spans="1:10" s="11" customFormat="1" ht="17.100000000000001" customHeight="1" x14ac:dyDescent="0.35">
      <c r="A22" s="12"/>
      <c r="B22" s="329" t="s">
        <v>246</v>
      </c>
      <c r="C22" s="330"/>
      <c r="D22" s="330"/>
      <c r="E22" s="331"/>
      <c r="F22" s="170">
        <v>4</v>
      </c>
      <c r="G22" s="171">
        <v>3000000</v>
      </c>
      <c r="H22" s="169">
        <f>+G22*F22</f>
        <v>12000000</v>
      </c>
      <c r="J22" s="119"/>
    </row>
    <row r="23" spans="1:10" s="11" customFormat="1" ht="17.100000000000001" customHeight="1" x14ac:dyDescent="0.35">
      <c r="A23" s="12"/>
      <c r="B23" s="329" t="s">
        <v>247</v>
      </c>
      <c r="C23" s="330"/>
      <c r="D23" s="330"/>
      <c r="E23" s="331"/>
      <c r="F23" s="170">
        <v>2</v>
      </c>
      <c r="G23" s="171">
        <v>4500000</v>
      </c>
      <c r="H23" s="169">
        <f>+G23*F23</f>
        <v>9000000</v>
      </c>
      <c r="J23" s="119"/>
    </row>
    <row r="24" spans="1:10" s="11" customFormat="1" ht="17.100000000000001" customHeight="1" x14ac:dyDescent="0.35">
      <c r="A24" s="12"/>
      <c r="B24" s="329" t="s">
        <v>244</v>
      </c>
      <c r="C24" s="330"/>
      <c r="D24" s="330"/>
      <c r="E24" s="331"/>
      <c r="F24" s="170">
        <v>6</v>
      </c>
      <c r="G24" s="171">
        <v>1000000</v>
      </c>
      <c r="H24" s="169">
        <f>+G24*F24</f>
        <v>6000000</v>
      </c>
      <c r="J24" s="119"/>
    </row>
    <row r="25" spans="1:10" s="11" customFormat="1" ht="17.100000000000001" customHeight="1" x14ac:dyDescent="0.35">
      <c r="A25" s="12"/>
      <c r="B25" s="329" t="s">
        <v>245</v>
      </c>
      <c r="C25" s="330"/>
      <c r="D25" s="330"/>
      <c r="E25" s="331"/>
      <c r="F25" s="170">
        <v>6</v>
      </c>
      <c r="G25" s="171">
        <v>500000</v>
      </c>
      <c r="H25" s="169">
        <f>+G25*F25</f>
        <v>3000000</v>
      </c>
      <c r="J25" s="119"/>
    </row>
    <row r="26" spans="1:10" s="11" customFormat="1" ht="17.100000000000001" customHeight="1" x14ac:dyDescent="0.35">
      <c r="A26" s="12"/>
      <c r="B26" s="294" t="s">
        <v>175</v>
      </c>
      <c r="C26" s="295"/>
      <c r="D26" s="295"/>
      <c r="E26" s="296"/>
      <c r="F26" s="114">
        <v>1</v>
      </c>
      <c r="G26" s="115">
        <v>5000000</v>
      </c>
      <c r="H26" s="116">
        <f>+F26*G26</f>
        <v>5000000</v>
      </c>
      <c r="J26" s="119"/>
    </row>
    <row r="27" spans="1:10" s="11" customFormat="1" ht="17.100000000000001" customHeight="1" x14ac:dyDescent="0.35">
      <c r="A27" s="12"/>
      <c r="B27" s="294" t="s">
        <v>166</v>
      </c>
      <c r="C27" s="295"/>
      <c r="D27" s="295"/>
      <c r="E27" s="296"/>
      <c r="F27" s="114">
        <v>2</v>
      </c>
      <c r="G27" s="115">
        <v>4000000</v>
      </c>
      <c r="H27" s="116">
        <f>+F27*G27</f>
        <v>8000000</v>
      </c>
      <c r="J27" s="119"/>
    </row>
    <row r="28" spans="1:10" s="11" customFormat="1" ht="16.95" customHeight="1" x14ac:dyDescent="0.35">
      <c r="A28" s="12"/>
      <c r="B28" s="294" t="s">
        <v>167</v>
      </c>
      <c r="C28" s="295"/>
      <c r="D28" s="295"/>
      <c r="E28" s="296"/>
      <c r="F28" s="114"/>
      <c r="G28" s="115">
        <v>3000000</v>
      </c>
      <c r="H28" s="116">
        <f>+F28*G28</f>
        <v>0</v>
      </c>
      <c r="J28" s="119"/>
    </row>
    <row r="29" spans="1:10" s="11" customFormat="1" ht="16.95" customHeight="1" x14ac:dyDescent="0.35">
      <c r="A29" s="12"/>
      <c r="B29" s="294" t="s">
        <v>133</v>
      </c>
      <c r="C29" s="295"/>
      <c r="D29" s="295"/>
      <c r="E29" s="296"/>
      <c r="F29" s="114"/>
      <c r="G29" s="115">
        <v>2000000</v>
      </c>
      <c r="H29" s="116">
        <f>+F29*G29</f>
        <v>0</v>
      </c>
      <c r="J29" s="119"/>
    </row>
    <row r="30" spans="1:10" s="11" customFormat="1" ht="16.95" customHeight="1" x14ac:dyDescent="0.35">
      <c r="A30" s="12"/>
      <c r="B30" s="294" t="s">
        <v>130</v>
      </c>
      <c r="C30" s="295"/>
      <c r="D30" s="295"/>
      <c r="E30" s="296"/>
      <c r="F30" s="114"/>
      <c r="G30" s="115"/>
      <c r="H30" s="116">
        <f>200000*3</f>
        <v>600000</v>
      </c>
      <c r="J30" s="119"/>
    </row>
    <row r="31" spans="1:10" s="11" customFormat="1" ht="16.95" customHeight="1" thickBot="1" x14ac:dyDescent="0.4">
      <c r="A31" s="12"/>
      <c r="B31" s="335" t="s">
        <v>137</v>
      </c>
      <c r="C31" s="336"/>
      <c r="D31" s="336"/>
      <c r="E31" s="337"/>
      <c r="F31" s="186"/>
      <c r="G31" s="187"/>
      <c r="H31" s="188">
        <v>5000000</v>
      </c>
      <c r="J31" s="119"/>
    </row>
    <row r="32" spans="1:10" s="11" customFormat="1" ht="18" thickBot="1" x14ac:dyDescent="0.35">
      <c r="A32" s="12"/>
      <c r="B32" s="332" t="s">
        <v>69</v>
      </c>
      <c r="C32" s="333"/>
      <c r="D32" s="333"/>
      <c r="E32" s="334"/>
      <c r="F32" s="226"/>
      <c r="G32" s="227"/>
      <c r="H32" s="228">
        <f>SUM(H4:H31)</f>
        <v>80530000</v>
      </c>
      <c r="J32" s="119"/>
    </row>
    <row r="33" spans="1:35" s="11" customFormat="1" ht="17.399999999999999" x14ac:dyDescent="0.3">
      <c r="A33" s="12"/>
      <c r="B33" s="338"/>
      <c r="C33" s="338"/>
      <c r="D33" s="338"/>
      <c r="E33" s="338"/>
      <c r="F33" s="338"/>
      <c r="G33" s="338"/>
      <c r="H33" s="338"/>
    </row>
    <row r="34" spans="1:35" s="11" customFormat="1" ht="19.5" customHeight="1" thickBot="1" x14ac:dyDescent="0.35">
      <c r="A34" s="12"/>
      <c r="C34" s="163"/>
      <c r="D34" s="163"/>
      <c r="E34" s="163"/>
      <c r="F34" s="163"/>
      <c r="G34" s="163"/>
      <c r="H34" s="163"/>
    </row>
    <row r="35" spans="1:35" s="11" customFormat="1" ht="18" thickBot="1" x14ac:dyDescent="0.35">
      <c r="A35" s="332" t="s">
        <v>70</v>
      </c>
      <c r="B35" s="333"/>
      <c r="C35" s="333"/>
      <c r="D35" s="334"/>
      <c r="E35" s="120" t="s">
        <v>71</v>
      </c>
      <c r="F35" s="121" t="s">
        <v>72</v>
      </c>
      <c r="G35" s="121" t="s">
        <v>73</v>
      </c>
      <c r="H35" s="121" t="s">
        <v>74</v>
      </c>
      <c r="I35" s="121" t="s">
        <v>75</v>
      </c>
      <c r="J35" s="121" t="s">
        <v>76</v>
      </c>
      <c r="K35" s="288" t="s">
        <v>77</v>
      </c>
      <c r="L35" s="20" t="s">
        <v>78</v>
      </c>
      <c r="M35" s="20" t="s">
        <v>79</v>
      </c>
      <c r="N35" s="20" t="s">
        <v>80</v>
      </c>
      <c r="O35" s="20" t="s">
        <v>81</v>
      </c>
      <c r="P35" s="20" t="s">
        <v>82</v>
      </c>
      <c r="Q35" s="20" t="s">
        <v>83</v>
      </c>
      <c r="R35" s="20" t="s">
        <v>84</v>
      </c>
      <c r="S35" s="180" t="s">
        <v>85</v>
      </c>
      <c r="T35" s="20" t="s">
        <v>86</v>
      </c>
      <c r="U35" s="288" t="s">
        <v>87</v>
      </c>
      <c r="V35" s="20" t="s">
        <v>88</v>
      </c>
      <c r="W35" s="20" t="s">
        <v>89</v>
      </c>
      <c r="X35" s="20" t="s">
        <v>90</v>
      </c>
      <c r="Y35" s="20" t="s">
        <v>91</v>
      </c>
      <c r="Z35" s="20" t="s">
        <v>92</v>
      </c>
      <c r="AA35" s="20" t="s">
        <v>93</v>
      </c>
      <c r="AB35" s="20" t="s">
        <v>94</v>
      </c>
      <c r="AC35" s="20" t="s">
        <v>95</v>
      </c>
      <c r="AD35" s="20" t="s">
        <v>96</v>
      </c>
      <c r="AE35" s="20" t="s">
        <v>97</v>
      </c>
      <c r="AF35" s="20" t="s">
        <v>98</v>
      </c>
      <c r="AG35" s="20" t="s">
        <v>99</v>
      </c>
      <c r="AH35" s="20" t="s">
        <v>100</v>
      </c>
      <c r="AI35" s="20" t="s">
        <v>101</v>
      </c>
    </row>
    <row r="36" spans="1:35" s="11" customFormat="1" ht="17.399999999999999" x14ac:dyDescent="0.3">
      <c r="A36" s="339" t="s">
        <v>102</v>
      </c>
      <c r="B36" s="340"/>
      <c r="C36" s="340"/>
      <c r="D36" s="341"/>
      <c r="E36" s="122">
        <f>SUM(H22:H30)</f>
        <v>43600000</v>
      </c>
      <c r="F36" s="123">
        <f>(0.25+0.15)*E42</f>
        <v>17440000</v>
      </c>
      <c r="G36" s="123">
        <f>0.15*F42</f>
        <v>3924000</v>
      </c>
      <c r="H36" s="123">
        <f t="shared" ref="H36:AI36" si="3">0.15*G42</f>
        <v>3335400</v>
      </c>
      <c r="I36" s="123">
        <f t="shared" si="3"/>
        <v>2835090</v>
      </c>
      <c r="J36" s="123">
        <f t="shared" si="3"/>
        <v>2409826.5</v>
      </c>
      <c r="K36" s="123">
        <f t="shared" si="3"/>
        <v>2048352.5249999999</v>
      </c>
      <c r="L36" s="123">
        <f t="shared" si="3"/>
        <v>1741099.64625</v>
      </c>
      <c r="M36" s="123">
        <f t="shared" si="3"/>
        <v>1479934.6993125</v>
      </c>
      <c r="N36" s="123">
        <f t="shared" si="3"/>
        <v>1257944.494415625</v>
      </c>
      <c r="O36" s="123">
        <f t="shared" si="3"/>
        <v>1069252.8202532812</v>
      </c>
      <c r="P36" s="123">
        <f t="shared" si="3"/>
        <v>908864.89721528906</v>
      </c>
      <c r="Q36" s="123">
        <f t="shared" si="3"/>
        <v>772535.16263299563</v>
      </c>
      <c r="R36" s="123">
        <f t="shared" si="3"/>
        <v>656654.88823804643</v>
      </c>
      <c r="S36" s="123">
        <f t="shared" si="3"/>
        <v>558156.65500233939</v>
      </c>
      <c r="T36" s="123">
        <f t="shared" si="3"/>
        <v>474433.15675198857</v>
      </c>
      <c r="U36" s="123">
        <f t="shared" si="3"/>
        <v>403268.18323919032</v>
      </c>
      <c r="V36" s="123">
        <f t="shared" si="3"/>
        <v>342777.95575331175</v>
      </c>
      <c r="W36" s="123">
        <f t="shared" si="3"/>
        <v>291361.26239031495</v>
      </c>
      <c r="X36" s="123">
        <f t="shared" si="3"/>
        <v>247657.07303176774</v>
      </c>
      <c r="Y36" s="123">
        <f t="shared" si="3"/>
        <v>210508.51207700258</v>
      </c>
      <c r="Z36" s="123">
        <f t="shared" si="3"/>
        <v>178932.23526545221</v>
      </c>
      <c r="AA36" s="123">
        <f t="shared" si="3"/>
        <v>152092.39997563438</v>
      </c>
      <c r="AB36" s="123">
        <f t="shared" si="3"/>
        <v>129278.53997928923</v>
      </c>
      <c r="AC36" s="123">
        <f t="shared" si="3"/>
        <v>109886.75898239583</v>
      </c>
      <c r="AD36" s="123">
        <f t="shared" si="3"/>
        <v>93403.745135036457</v>
      </c>
      <c r="AE36" s="123">
        <f t="shared" si="3"/>
        <v>79393.183364780984</v>
      </c>
      <c r="AF36" s="123">
        <f t="shared" si="3"/>
        <v>67484.205860063841</v>
      </c>
      <c r="AG36" s="123">
        <f t="shared" si="3"/>
        <v>57361.574981054269</v>
      </c>
      <c r="AH36" s="123">
        <f t="shared" si="3"/>
        <v>48757.338733896126</v>
      </c>
      <c r="AI36" s="123">
        <f t="shared" si="3"/>
        <v>41443.737923811706</v>
      </c>
    </row>
    <row r="37" spans="1:35" s="11" customFormat="1" ht="17.399999999999999" x14ac:dyDescent="0.3">
      <c r="A37" s="304" t="s">
        <v>103</v>
      </c>
      <c r="B37" s="305"/>
      <c r="C37" s="305"/>
      <c r="D37" s="342"/>
      <c r="E37" s="124">
        <f>+H31</f>
        <v>5000000</v>
      </c>
      <c r="F37" s="22">
        <f>(0+0.1)*E43</f>
        <v>500000</v>
      </c>
      <c r="G37" s="22">
        <f>0.1*F43</f>
        <v>450000</v>
      </c>
      <c r="H37" s="22">
        <f t="shared" ref="H37:AI37" si="4">0.1*G43</f>
        <v>405000</v>
      </c>
      <c r="I37" s="22">
        <f t="shared" si="4"/>
        <v>364500</v>
      </c>
      <c r="J37" s="22">
        <f t="shared" si="4"/>
        <v>328050</v>
      </c>
      <c r="K37" s="22">
        <f t="shared" si="4"/>
        <v>295245</v>
      </c>
      <c r="L37" s="22">
        <f t="shared" si="4"/>
        <v>265720.5</v>
      </c>
      <c r="M37" s="22">
        <f t="shared" si="4"/>
        <v>239148.45</v>
      </c>
      <c r="N37" s="22">
        <f t="shared" si="4"/>
        <v>215233.60499999998</v>
      </c>
      <c r="O37" s="22">
        <f t="shared" si="4"/>
        <v>193710.2445</v>
      </c>
      <c r="P37" s="22">
        <f t="shared" si="4"/>
        <v>174339.22005</v>
      </c>
      <c r="Q37" s="22">
        <f t="shared" si="4"/>
        <v>156905.29804499997</v>
      </c>
      <c r="R37" s="22">
        <f t="shared" si="4"/>
        <v>141214.76824049998</v>
      </c>
      <c r="S37" s="22">
        <f t="shared" si="4"/>
        <v>127093.29141644997</v>
      </c>
      <c r="T37" s="22">
        <f t="shared" si="4"/>
        <v>114383.96227480497</v>
      </c>
      <c r="U37" s="22">
        <f t="shared" si="4"/>
        <v>102945.56604732448</v>
      </c>
      <c r="V37" s="22">
        <f t="shared" si="4"/>
        <v>92651.00944259204</v>
      </c>
      <c r="W37" s="22">
        <f t="shared" si="4"/>
        <v>83385.908498332836</v>
      </c>
      <c r="X37" s="22">
        <f t="shared" si="4"/>
        <v>75047.317648499549</v>
      </c>
      <c r="Y37" s="22">
        <f t="shared" si="4"/>
        <v>67542.58588364959</v>
      </c>
      <c r="Z37" s="22">
        <f t="shared" si="4"/>
        <v>60788.327295284631</v>
      </c>
      <c r="AA37" s="22">
        <f t="shared" si="4"/>
        <v>54709.494565756169</v>
      </c>
      <c r="AB37" s="22">
        <f t="shared" si="4"/>
        <v>49238.545109180552</v>
      </c>
      <c r="AC37" s="22">
        <f t="shared" si="4"/>
        <v>44314.690598262496</v>
      </c>
      <c r="AD37" s="22">
        <f t="shared" si="4"/>
        <v>39883.22153843625</v>
      </c>
      <c r="AE37" s="22">
        <f t="shared" si="4"/>
        <v>35894.899384592623</v>
      </c>
      <c r="AF37" s="22">
        <f t="shared" si="4"/>
        <v>32305.409446133359</v>
      </c>
      <c r="AG37" s="22">
        <f t="shared" si="4"/>
        <v>29074.868501520024</v>
      </c>
      <c r="AH37" s="22">
        <f t="shared" si="4"/>
        <v>26167.381651368021</v>
      </c>
      <c r="AI37" s="22">
        <f t="shared" si="4"/>
        <v>23550.64348623122</v>
      </c>
    </row>
    <row r="38" spans="1:35" s="11" customFormat="1" ht="17.399999999999999" x14ac:dyDescent="0.3">
      <c r="A38" s="304" t="s">
        <v>104</v>
      </c>
      <c r="B38" s="305"/>
      <c r="C38" s="305"/>
      <c r="D38" s="342"/>
      <c r="E38" s="124">
        <f>SUM(H4:H21)</f>
        <v>31930000</v>
      </c>
      <c r="F38" s="123">
        <f>(0.25+0.15)*E44</f>
        <v>12772000</v>
      </c>
      <c r="G38" s="126">
        <f t="shared" ref="G38:V39" si="5">0.15*F44</f>
        <v>2873700</v>
      </c>
      <c r="H38" s="126">
        <f t="shared" si="5"/>
        <v>2442645</v>
      </c>
      <c r="I38" s="126">
        <f t="shared" si="5"/>
        <v>2076248.25</v>
      </c>
      <c r="J38" s="126">
        <f t="shared" si="5"/>
        <v>1764811.0125</v>
      </c>
      <c r="K38" s="126">
        <f t="shared" si="5"/>
        <v>1500089.360625</v>
      </c>
      <c r="L38" s="126">
        <f t="shared" si="5"/>
        <v>1275075.9565312499</v>
      </c>
      <c r="M38" s="126">
        <f t="shared" si="5"/>
        <v>1083814.5630515625</v>
      </c>
      <c r="N38" s="126">
        <f t="shared" si="5"/>
        <v>921242.37859382806</v>
      </c>
      <c r="O38" s="126">
        <f t="shared" si="5"/>
        <v>783056.02180475392</v>
      </c>
      <c r="P38" s="126">
        <f t="shared" si="5"/>
        <v>665597.61853404087</v>
      </c>
      <c r="Q38" s="126">
        <f t="shared" si="5"/>
        <v>565757.97575393482</v>
      </c>
      <c r="R38" s="126">
        <f t="shared" si="5"/>
        <v>480894.27939084452</v>
      </c>
      <c r="S38" s="126">
        <f t="shared" si="5"/>
        <v>408760.13748221786</v>
      </c>
      <c r="T38" s="126">
        <f t="shared" si="5"/>
        <v>347446.11685988517</v>
      </c>
      <c r="U38" s="126">
        <f t="shared" si="5"/>
        <v>295329.19933090243</v>
      </c>
      <c r="V38" s="126">
        <f t="shared" si="5"/>
        <v>251029.81943126704</v>
      </c>
      <c r="W38" s="126">
        <f t="shared" ref="W38:AI39" si="6">0.15*V44</f>
        <v>213375.346516577</v>
      </c>
      <c r="X38" s="126">
        <f t="shared" si="6"/>
        <v>181369.04453909045</v>
      </c>
      <c r="Y38" s="126">
        <f t="shared" si="6"/>
        <v>154163.68785822685</v>
      </c>
      <c r="Z38" s="126">
        <f t="shared" si="6"/>
        <v>131039.13467949284</v>
      </c>
      <c r="AA38" s="126">
        <f t="shared" si="6"/>
        <v>111383.26447756893</v>
      </c>
      <c r="AB38" s="126">
        <f t="shared" si="6"/>
        <v>94675.774805933586</v>
      </c>
      <c r="AC38" s="126">
        <f t="shared" si="6"/>
        <v>80474.408585043551</v>
      </c>
      <c r="AD38" s="126">
        <f t="shared" si="6"/>
        <v>68403.247297287016</v>
      </c>
      <c r="AE38" s="126">
        <f t="shared" si="6"/>
        <v>58142.760202693964</v>
      </c>
      <c r="AF38" s="126">
        <f t="shared" si="6"/>
        <v>49421.346172289865</v>
      </c>
      <c r="AG38" s="126">
        <f t="shared" si="6"/>
        <v>42008.144246446383</v>
      </c>
      <c r="AH38" s="126">
        <f t="shared" si="6"/>
        <v>35706.922609479429</v>
      </c>
      <c r="AI38" s="126">
        <f t="shared" si="6"/>
        <v>30350.884218057512</v>
      </c>
    </row>
    <row r="39" spans="1:35" s="11" customFormat="1" ht="17.399999999999999" x14ac:dyDescent="0.3">
      <c r="A39" s="304" t="s">
        <v>248</v>
      </c>
      <c r="B39" s="305"/>
      <c r="C39" s="305"/>
      <c r="D39" s="342"/>
      <c r="E39" s="124">
        <v>0</v>
      </c>
      <c r="F39" s="123">
        <f>(0+0.15)*E46</f>
        <v>0</v>
      </c>
      <c r="G39" s="126">
        <f t="shared" si="5"/>
        <v>0</v>
      </c>
      <c r="H39" s="126">
        <f t="shared" si="5"/>
        <v>0</v>
      </c>
      <c r="I39" s="126">
        <f t="shared" si="5"/>
        <v>0</v>
      </c>
      <c r="J39" s="126">
        <f t="shared" si="5"/>
        <v>0</v>
      </c>
      <c r="K39" s="126">
        <f t="shared" si="5"/>
        <v>0</v>
      </c>
      <c r="L39" s="126">
        <f t="shared" si="5"/>
        <v>0</v>
      </c>
      <c r="M39" s="126">
        <f t="shared" si="5"/>
        <v>0</v>
      </c>
      <c r="N39" s="126">
        <f t="shared" si="5"/>
        <v>0</v>
      </c>
      <c r="O39" s="126">
        <f t="shared" si="5"/>
        <v>0</v>
      </c>
      <c r="P39" s="126">
        <f t="shared" si="5"/>
        <v>0</v>
      </c>
      <c r="Q39" s="126">
        <f t="shared" si="5"/>
        <v>0</v>
      </c>
      <c r="R39" s="126">
        <f t="shared" si="5"/>
        <v>0</v>
      </c>
      <c r="S39" s="126">
        <f t="shared" si="5"/>
        <v>0</v>
      </c>
      <c r="T39" s="126">
        <f t="shared" si="5"/>
        <v>0</v>
      </c>
      <c r="U39" s="126">
        <f t="shared" si="5"/>
        <v>0</v>
      </c>
      <c r="V39" s="126">
        <f t="shared" si="5"/>
        <v>0</v>
      </c>
      <c r="W39" s="126">
        <f t="shared" si="6"/>
        <v>0</v>
      </c>
      <c r="X39" s="126">
        <f t="shared" si="6"/>
        <v>0</v>
      </c>
      <c r="Y39" s="126">
        <f t="shared" si="6"/>
        <v>0</v>
      </c>
      <c r="Z39" s="126">
        <f t="shared" ref="Z39:AI39" si="7">0.15*Y46</f>
        <v>0</v>
      </c>
      <c r="AA39" s="126">
        <f t="shared" si="7"/>
        <v>0</v>
      </c>
      <c r="AB39" s="126">
        <f t="shared" si="7"/>
        <v>0</v>
      </c>
      <c r="AC39" s="126">
        <f t="shared" si="7"/>
        <v>0</v>
      </c>
      <c r="AD39" s="126">
        <f t="shared" si="7"/>
        <v>0</v>
      </c>
      <c r="AE39" s="126">
        <f t="shared" si="7"/>
        <v>0</v>
      </c>
      <c r="AF39" s="126">
        <f t="shared" si="7"/>
        <v>0</v>
      </c>
      <c r="AG39" s="126">
        <f t="shared" si="7"/>
        <v>0</v>
      </c>
      <c r="AH39" s="126">
        <f t="shared" si="7"/>
        <v>0</v>
      </c>
      <c r="AI39" s="126">
        <f t="shared" si="7"/>
        <v>0</v>
      </c>
    </row>
    <row r="40" spans="1:35" s="11" customFormat="1" ht="18" thickBot="1" x14ac:dyDescent="0.35">
      <c r="A40" s="321" t="s">
        <v>105</v>
      </c>
      <c r="B40" s="343"/>
      <c r="C40" s="343"/>
      <c r="D40" s="344"/>
      <c r="E40" s="127">
        <f>+E38+E37+E36+E39</f>
        <v>80530000</v>
      </c>
      <c r="F40" s="127">
        <f t="shared" ref="F40:Y40" si="8">+F38+F37+F36+F39</f>
        <v>30712000</v>
      </c>
      <c r="G40" s="127">
        <f t="shared" si="8"/>
        <v>7247700</v>
      </c>
      <c r="H40" s="127">
        <f t="shared" si="8"/>
        <v>6183045</v>
      </c>
      <c r="I40" s="127">
        <f t="shared" si="8"/>
        <v>5275838.25</v>
      </c>
      <c r="J40" s="127">
        <f t="shared" si="8"/>
        <v>4502687.5125000002</v>
      </c>
      <c r="K40" s="127">
        <f t="shared" si="8"/>
        <v>3843686.8856250001</v>
      </c>
      <c r="L40" s="127">
        <f t="shared" si="8"/>
        <v>3281896.1027812501</v>
      </c>
      <c r="M40" s="127">
        <f t="shared" si="8"/>
        <v>2802897.7123640627</v>
      </c>
      <c r="N40" s="127">
        <f t="shared" si="8"/>
        <v>2394420.478009453</v>
      </c>
      <c r="O40" s="127">
        <f t="shared" si="8"/>
        <v>2046019.0865580351</v>
      </c>
      <c r="P40" s="127">
        <f t="shared" si="8"/>
        <v>1748801.7357993298</v>
      </c>
      <c r="Q40" s="127">
        <f t="shared" si="8"/>
        <v>1495198.4364319304</v>
      </c>
      <c r="R40" s="127">
        <f t="shared" si="8"/>
        <v>1278763.9358693911</v>
      </c>
      <c r="S40" s="127">
        <f t="shared" si="8"/>
        <v>1094010.0839010072</v>
      </c>
      <c r="T40" s="127">
        <f t="shared" si="8"/>
        <v>936263.23588667868</v>
      </c>
      <c r="U40" s="127">
        <f t="shared" si="8"/>
        <v>801542.94861741713</v>
      </c>
      <c r="V40" s="127">
        <f t="shared" si="8"/>
        <v>686458.78462717077</v>
      </c>
      <c r="W40" s="127">
        <f t="shared" si="8"/>
        <v>588122.51740522473</v>
      </c>
      <c r="X40" s="127">
        <f t="shared" si="8"/>
        <v>504073.43521935772</v>
      </c>
      <c r="Y40" s="127">
        <f t="shared" si="8"/>
        <v>432214.78581887903</v>
      </c>
      <c r="Z40" s="128">
        <f t="shared" ref="Z40:AI40" si="9">Z36+Z37+Z38</f>
        <v>370759.6972402297</v>
      </c>
      <c r="AA40" s="128">
        <f t="shared" si="9"/>
        <v>318185.1590189595</v>
      </c>
      <c r="AB40" s="128">
        <f t="shared" si="9"/>
        <v>273192.85989440337</v>
      </c>
      <c r="AC40" s="128">
        <f t="shared" si="9"/>
        <v>234675.85816570185</v>
      </c>
      <c r="AD40" s="128">
        <f t="shared" si="9"/>
        <v>201690.21397075974</v>
      </c>
      <c r="AE40" s="128">
        <f t="shared" si="9"/>
        <v>173430.84295206756</v>
      </c>
      <c r="AF40" s="128">
        <f t="shared" si="9"/>
        <v>149210.96147848706</v>
      </c>
      <c r="AG40" s="128">
        <f t="shared" si="9"/>
        <v>128444.58772902068</v>
      </c>
      <c r="AH40" s="128">
        <f t="shared" si="9"/>
        <v>110631.64299474357</v>
      </c>
      <c r="AI40" s="128">
        <f t="shared" si="9"/>
        <v>95345.265628100446</v>
      </c>
    </row>
    <row r="41" spans="1:35" s="11" customFormat="1" ht="18" thickBot="1" x14ac:dyDescent="0.35">
      <c r="A41" s="332" t="s">
        <v>106</v>
      </c>
      <c r="B41" s="333"/>
      <c r="C41" s="333"/>
      <c r="D41" s="334"/>
      <c r="E41" s="129"/>
      <c r="F41" s="130"/>
      <c r="G41" s="130"/>
      <c r="H41" s="130"/>
      <c r="I41" s="130"/>
      <c r="J41" s="130"/>
      <c r="O41" s="131"/>
      <c r="T41" s="131"/>
    </row>
    <row r="42" spans="1:35" s="11" customFormat="1" ht="17.399999999999999" x14ac:dyDescent="0.3">
      <c r="A42" s="339" t="s">
        <v>102</v>
      </c>
      <c r="B42" s="340"/>
      <c r="C42" s="340"/>
      <c r="D42" s="341"/>
      <c r="E42" s="122">
        <f>E36</f>
        <v>43600000</v>
      </c>
      <c r="F42" s="123">
        <f t="shared" ref="F42:AI45" si="10">E42-F36</f>
        <v>26160000</v>
      </c>
      <c r="G42" s="123">
        <f t="shared" si="10"/>
        <v>22236000</v>
      </c>
      <c r="H42" s="123">
        <f t="shared" si="10"/>
        <v>18900600</v>
      </c>
      <c r="I42" s="123">
        <f t="shared" si="10"/>
        <v>16065510</v>
      </c>
      <c r="J42" s="123">
        <f t="shared" si="10"/>
        <v>13655683.5</v>
      </c>
      <c r="K42" s="123">
        <f t="shared" si="10"/>
        <v>11607330.975</v>
      </c>
      <c r="L42" s="123">
        <f t="shared" si="10"/>
        <v>9866231.3287499994</v>
      </c>
      <c r="M42" s="123">
        <f t="shared" si="10"/>
        <v>8386296.6294374997</v>
      </c>
      <c r="N42" s="123">
        <f t="shared" si="10"/>
        <v>7128352.1350218747</v>
      </c>
      <c r="O42" s="123">
        <f t="shared" si="10"/>
        <v>6059099.3147685938</v>
      </c>
      <c r="P42" s="123">
        <f t="shared" si="10"/>
        <v>5150234.4175533047</v>
      </c>
      <c r="Q42" s="123">
        <f t="shared" si="10"/>
        <v>4377699.2549203094</v>
      </c>
      <c r="R42" s="123">
        <f t="shared" si="10"/>
        <v>3721044.3666822631</v>
      </c>
      <c r="S42" s="123">
        <f t="shared" si="10"/>
        <v>3162887.7116799238</v>
      </c>
      <c r="T42" s="123">
        <f t="shared" si="10"/>
        <v>2688454.5549279354</v>
      </c>
      <c r="U42" s="123">
        <f t="shared" si="10"/>
        <v>2285186.371688745</v>
      </c>
      <c r="V42" s="123">
        <f t="shared" si="10"/>
        <v>1942408.4159354332</v>
      </c>
      <c r="W42" s="123">
        <f t="shared" si="10"/>
        <v>1651047.1535451184</v>
      </c>
      <c r="X42" s="123">
        <f t="shared" si="10"/>
        <v>1403390.0805133507</v>
      </c>
      <c r="Y42" s="123">
        <f t="shared" si="10"/>
        <v>1192881.5684363481</v>
      </c>
      <c r="Z42" s="33">
        <f t="shared" si="10"/>
        <v>1013949.3331708959</v>
      </c>
      <c r="AA42" s="33">
        <f t="shared" si="10"/>
        <v>861856.93319526152</v>
      </c>
      <c r="AB42" s="33">
        <f t="shared" si="10"/>
        <v>732578.39321597223</v>
      </c>
      <c r="AC42" s="33">
        <f t="shared" si="10"/>
        <v>622691.63423357636</v>
      </c>
      <c r="AD42" s="33">
        <f t="shared" si="10"/>
        <v>529287.88909853995</v>
      </c>
      <c r="AE42" s="33">
        <f t="shared" si="10"/>
        <v>449894.70573375898</v>
      </c>
      <c r="AF42" s="33">
        <f t="shared" si="10"/>
        <v>382410.49987369514</v>
      </c>
      <c r="AG42" s="33">
        <f t="shared" si="10"/>
        <v>325048.92489264085</v>
      </c>
      <c r="AH42" s="33">
        <f t="shared" si="10"/>
        <v>276291.5861587447</v>
      </c>
      <c r="AI42" s="33">
        <f t="shared" si="10"/>
        <v>234847.84823493299</v>
      </c>
    </row>
    <row r="43" spans="1:35" s="11" customFormat="1" ht="17.399999999999999" x14ac:dyDescent="0.3">
      <c r="A43" s="304" t="s">
        <v>107</v>
      </c>
      <c r="B43" s="305"/>
      <c r="C43" s="305"/>
      <c r="D43" s="342"/>
      <c r="E43" s="124">
        <f>E37</f>
        <v>5000000</v>
      </c>
      <c r="F43" s="22">
        <f t="shared" si="10"/>
        <v>4500000</v>
      </c>
      <c r="G43" s="22">
        <f t="shared" si="10"/>
        <v>4050000</v>
      </c>
      <c r="H43" s="22">
        <f t="shared" si="10"/>
        <v>3645000</v>
      </c>
      <c r="I43" s="22">
        <f t="shared" si="10"/>
        <v>3280500</v>
      </c>
      <c r="J43" s="22">
        <f t="shared" si="10"/>
        <v>2952450</v>
      </c>
      <c r="K43" s="22">
        <f t="shared" si="10"/>
        <v>2657205</v>
      </c>
      <c r="L43" s="22">
        <f t="shared" si="10"/>
        <v>2391484.5</v>
      </c>
      <c r="M43" s="22">
        <f t="shared" si="10"/>
        <v>2152336.0499999998</v>
      </c>
      <c r="N43" s="22">
        <f t="shared" si="10"/>
        <v>1937102.4449999998</v>
      </c>
      <c r="O43" s="22">
        <f t="shared" si="10"/>
        <v>1743392.2004999998</v>
      </c>
      <c r="P43" s="22">
        <f t="shared" si="10"/>
        <v>1569052.9804499997</v>
      </c>
      <c r="Q43" s="22">
        <f t="shared" si="10"/>
        <v>1412147.6824049996</v>
      </c>
      <c r="R43" s="22">
        <f t="shared" si="10"/>
        <v>1270932.9141644996</v>
      </c>
      <c r="S43" s="22">
        <f t="shared" si="10"/>
        <v>1143839.6227480497</v>
      </c>
      <c r="T43" s="22">
        <f t="shared" si="10"/>
        <v>1029455.6604732447</v>
      </c>
      <c r="U43" s="22">
        <f t="shared" si="10"/>
        <v>926510.09442592028</v>
      </c>
      <c r="V43" s="22">
        <f t="shared" si="10"/>
        <v>833859.08498332824</v>
      </c>
      <c r="W43" s="22">
        <f t="shared" si="10"/>
        <v>750473.17648499541</v>
      </c>
      <c r="X43" s="22">
        <f t="shared" si="10"/>
        <v>675425.8588364959</v>
      </c>
      <c r="Y43" s="22">
        <f t="shared" si="10"/>
        <v>607883.27295284625</v>
      </c>
      <c r="Z43" s="125">
        <f t="shared" si="10"/>
        <v>547094.94565756165</v>
      </c>
      <c r="AA43" s="125">
        <f t="shared" si="10"/>
        <v>492385.45109180547</v>
      </c>
      <c r="AB43" s="125">
        <f t="shared" si="10"/>
        <v>443146.90598262491</v>
      </c>
      <c r="AC43" s="125">
        <f t="shared" si="10"/>
        <v>398832.21538436244</v>
      </c>
      <c r="AD43" s="125">
        <f t="shared" si="10"/>
        <v>358948.99384592619</v>
      </c>
      <c r="AE43" s="125">
        <f t="shared" si="10"/>
        <v>323054.09446133359</v>
      </c>
      <c r="AF43" s="125">
        <f t="shared" si="10"/>
        <v>290748.68501520023</v>
      </c>
      <c r="AG43" s="125">
        <f t="shared" si="10"/>
        <v>261673.81651368021</v>
      </c>
      <c r="AH43" s="125">
        <f t="shared" si="10"/>
        <v>235506.43486231219</v>
      </c>
      <c r="AI43" s="125">
        <f t="shared" si="10"/>
        <v>211955.79137608098</v>
      </c>
    </row>
    <row r="44" spans="1:35" s="11" customFormat="1" ht="17.399999999999999" x14ac:dyDescent="0.3">
      <c r="A44" s="304" t="s">
        <v>104</v>
      </c>
      <c r="B44" s="305"/>
      <c r="C44" s="305"/>
      <c r="D44" s="342"/>
      <c r="E44" s="124">
        <f>E38</f>
        <v>31930000</v>
      </c>
      <c r="F44" s="22">
        <f t="shared" si="10"/>
        <v>19158000</v>
      </c>
      <c r="G44" s="22">
        <f t="shared" si="10"/>
        <v>16284300</v>
      </c>
      <c r="H44" s="22">
        <f t="shared" si="10"/>
        <v>13841655</v>
      </c>
      <c r="I44" s="22">
        <f t="shared" si="10"/>
        <v>11765406.75</v>
      </c>
      <c r="J44" s="22">
        <f t="shared" si="10"/>
        <v>10000595.737500001</v>
      </c>
      <c r="K44" s="22">
        <f t="shared" si="10"/>
        <v>8500506.3768750001</v>
      </c>
      <c r="L44" s="22">
        <f t="shared" si="10"/>
        <v>7225430.4203437502</v>
      </c>
      <c r="M44" s="22">
        <f t="shared" si="10"/>
        <v>6141615.8572921874</v>
      </c>
      <c r="N44" s="22">
        <f t="shared" si="10"/>
        <v>5220373.4786983598</v>
      </c>
      <c r="O44" s="22">
        <f t="shared" si="10"/>
        <v>4437317.4568936061</v>
      </c>
      <c r="P44" s="22">
        <f t="shared" si="10"/>
        <v>3771719.8383595655</v>
      </c>
      <c r="Q44" s="22">
        <f t="shared" si="10"/>
        <v>3205961.8626056304</v>
      </c>
      <c r="R44" s="22">
        <f t="shared" si="10"/>
        <v>2725067.5832147859</v>
      </c>
      <c r="S44" s="22">
        <f t="shared" si="10"/>
        <v>2316307.4457325679</v>
      </c>
      <c r="T44" s="22">
        <f t="shared" si="10"/>
        <v>1968861.3288726828</v>
      </c>
      <c r="U44" s="22">
        <f t="shared" si="10"/>
        <v>1673532.1295417803</v>
      </c>
      <c r="V44" s="22">
        <f t="shared" si="10"/>
        <v>1422502.3101105134</v>
      </c>
      <c r="W44" s="22">
        <f t="shared" si="10"/>
        <v>1209126.9635939363</v>
      </c>
      <c r="X44" s="22">
        <f t="shared" si="10"/>
        <v>1027757.9190548458</v>
      </c>
      <c r="Y44" s="22">
        <f t="shared" si="10"/>
        <v>873594.23119661899</v>
      </c>
      <c r="Z44" s="125">
        <f t="shared" si="10"/>
        <v>742555.09651712619</v>
      </c>
      <c r="AA44" s="125">
        <f t="shared" si="10"/>
        <v>631171.83203955728</v>
      </c>
      <c r="AB44" s="125">
        <f t="shared" si="10"/>
        <v>536496.05723362369</v>
      </c>
      <c r="AC44" s="125">
        <f t="shared" si="10"/>
        <v>456021.64864858013</v>
      </c>
      <c r="AD44" s="125">
        <f t="shared" si="10"/>
        <v>387618.40135129308</v>
      </c>
      <c r="AE44" s="125">
        <f t="shared" si="10"/>
        <v>329475.6411485991</v>
      </c>
      <c r="AF44" s="125">
        <f t="shared" si="10"/>
        <v>280054.29497630923</v>
      </c>
      <c r="AG44" s="125">
        <f t="shared" si="10"/>
        <v>238046.15072986286</v>
      </c>
      <c r="AH44" s="125">
        <f t="shared" si="10"/>
        <v>202339.22812038343</v>
      </c>
      <c r="AI44" s="125">
        <f t="shared" si="10"/>
        <v>171988.34390232593</v>
      </c>
    </row>
    <row r="45" spans="1:35" s="11" customFormat="1" ht="18" thickBot="1" x14ac:dyDescent="0.35">
      <c r="A45" s="304" t="s">
        <v>248</v>
      </c>
      <c r="B45" s="305"/>
      <c r="C45" s="305"/>
      <c r="D45" s="342"/>
      <c r="E45" s="124">
        <f>E39</f>
        <v>0</v>
      </c>
      <c r="F45" s="22">
        <f t="shared" si="10"/>
        <v>0</v>
      </c>
      <c r="G45" s="22">
        <f t="shared" si="10"/>
        <v>0</v>
      </c>
      <c r="H45" s="22">
        <f t="shared" si="10"/>
        <v>0</v>
      </c>
      <c r="I45" s="22">
        <f t="shared" si="10"/>
        <v>0</v>
      </c>
      <c r="J45" s="22">
        <f t="shared" si="10"/>
        <v>0</v>
      </c>
      <c r="K45" s="22">
        <f t="shared" si="10"/>
        <v>0</v>
      </c>
      <c r="L45" s="22">
        <f t="shared" si="10"/>
        <v>0</v>
      </c>
      <c r="M45" s="22">
        <f t="shared" si="10"/>
        <v>0</v>
      </c>
      <c r="N45" s="22">
        <f t="shared" si="10"/>
        <v>0</v>
      </c>
      <c r="O45" s="22">
        <f t="shared" si="10"/>
        <v>0</v>
      </c>
      <c r="P45" s="22">
        <f t="shared" si="10"/>
        <v>0</v>
      </c>
      <c r="Q45" s="22">
        <f t="shared" si="10"/>
        <v>0</v>
      </c>
      <c r="R45" s="22">
        <f t="shared" si="10"/>
        <v>0</v>
      </c>
      <c r="S45" s="22">
        <f t="shared" si="10"/>
        <v>0</v>
      </c>
      <c r="T45" s="22">
        <f t="shared" si="10"/>
        <v>0</v>
      </c>
      <c r="U45" s="22">
        <f t="shared" si="10"/>
        <v>0</v>
      </c>
      <c r="V45" s="22">
        <f t="shared" si="10"/>
        <v>0</v>
      </c>
      <c r="W45" s="22">
        <f t="shared" si="10"/>
        <v>0</v>
      </c>
      <c r="X45" s="22">
        <f t="shared" si="10"/>
        <v>0</v>
      </c>
      <c r="Y45" s="22">
        <f t="shared" si="10"/>
        <v>0</v>
      </c>
      <c r="Z45" s="125">
        <f t="shared" si="10"/>
        <v>0</v>
      </c>
      <c r="AA45" s="125">
        <f t="shared" si="10"/>
        <v>0</v>
      </c>
      <c r="AB45" s="125">
        <f t="shared" si="10"/>
        <v>0</v>
      </c>
      <c r="AC45" s="125">
        <f t="shared" si="10"/>
        <v>0</v>
      </c>
      <c r="AD45" s="125">
        <f t="shared" si="10"/>
        <v>0</v>
      </c>
      <c r="AE45" s="125">
        <f t="shared" si="10"/>
        <v>0</v>
      </c>
      <c r="AF45" s="125">
        <f t="shared" si="10"/>
        <v>0</v>
      </c>
      <c r="AG45" s="125">
        <f t="shared" si="10"/>
        <v>0</v>
      </c>
      <c r="AH45" s="125">
        <f t="shared" si="10"/>
        <v>0</v>
      </c>
      <c r="AI45" s="125">
        <f t="shared" si="10"/>
        <v>0</v>
      </c>
    </row>
    <row r="46" spans="1:35" s="11" customFormat="1" ht="18" thickBot="1" x14ac:dyDescent="0.35">
      <c r="A46" s="332" t="s">
        <v>108</v>
      </c>
      <c r="B46" s="333"/>
      <c r="C46" s="333"/>
      <c r="D46" s="334"/>
      <c r="E46" s="129"/>
      <c r="F46" s="130"/>
      <c r="G46" s="130"/>
      <c r="H46" s="130"/>
      <c r="I46" s="130"/>
      <c r="J46" s="130"/>
      <c r="O46" s="131"/>
      <c r="T46" s="131"/>
    </row>
    <row r="47" spans="1:35" s="11" customFormat="1" ht="17.399999999999999" x14ac:dyDescent="0.3">
      <c r="A47" s="345" t="s">
        <v>48</v>
      </c>
      <c r="B47" s="346"/>
      <c r="C47" s="346"/>
      <c r="D47" s="347"/>
      <c r="E47" s="30"/>
      <c r="F47" s="74">
        <f>+'DF A1'!F63</f>
        <v>5681615.0999999978</v>
      </c>
      <c r="G47" s="74">
        <f>+'DF A1'!G63</f>
        <v>8920507.7609999981</v>
      </c>
      <c r="H47" s="74">
        <f>+'DF A1'!H63</f>
        <v>10019496.702209996</v>
      </c>
      <c r="I47" s="74">
        <f>+'DF A1'!I63</f>
        <v>11227102.1597031</v>
      </c>
      <c r="J47" s="74">
        <f>+'DF A1'!J63</f>
        <v>17935315.085913043</v>
      </c>
      <c r="K47" s="74">
        <f>+'DF A1'!K63</f>
        <v>18665135.298919622</v>
      </c>
      <c r="L47" s="74">
        <f>+'DF A1'!L63</f>
        <v>9418645.4614893086</v>
      </c>
      <c r="M47" s="74">
        <f>+'DF A1'!M63</f>
        <v>25792500.414408747</v>
      </c>
      <c r="N47" s="74">
        <f>+'DF A1'!N63</f>
        <v>26822223.373085435</v>
      </c>
      <c r="O47" s="74">
        <f>+'DF A1'!O63</f>
        <v>27886138.029385418</v>
      </c>
      <c r="P47" s="74">
        <f>+'DF A1'!P63</f>
        <v>33298301.935805742</v>
      </c>
      <c r="Q47" s="74">
        <f>+'DF A1'!Q63</f>
        <v>36692568.810608648</v>
      </c>
      <c r="R47" s="74">
        <f>+'DF A1'!R63</f>
        <v>38133434.777057514</v>
      </c>
      <c r="S47" s="74">
        <f>+'DF A1'!S63</f>
        <v>36755324.035049051</v>
      </c>
      <c r="T47" s="74">
        <f>+'DF A1'!T63</f>
        <v>48589321.412405021</v>
      </c>
      <c r="U47" s="74">
        <f>+'DF A1'!U63</f>
        <v>45535796.673477575</v>
      </c>
      <c r="V47" s="74">
        <f>+'DF A1'!V63</f>
        <v>55145540.52550327</v>
      </c>
      <c r="W47" s="74">
        <f>+'DF A1'!W63</f>
        <v>54792899.324632399</v>
      </c>
      <c r="X47" s="74">
        <f>+'DF A1'!X63</f>
        <v>54409433.933163814</v>
      </c>
      <c r="Y47" s="74">
        <f>+'DF A1'!Y63</f>
        <v>59211429.138641112</v>
      </c>
      <c r="Z47" s="74" t="e">
        <f>+#REF!</f>
        <v>#REF!</v>
      </c>
      <c r="AA47" s="74" t="e">
        <f>+#REF!</f>
        <v>#REF!</v>
      </c>
      <c r="AB47" s="74" t="e">
        <f>+#REF!</f>
        <v>#REF!</v>
      </c>
      <c r="AC47" s="74" t="e">
        <f>+#REF!</f>
        <v>#REF!</v>
      </c>
      <c r="AD47" s="74" t="e">
        <f>+#REF!</f>
        <v>#REF!</v>
      </c>
      <c r="AE47" s="74" t="e">
        <f>+#REF!</f>
        <v>#REF!</v>
      </c>
      <c r="AF47" s="74" t="e">
        <f>+#REF!</f>
        <v>#REF!</v>
      </c>
      <c r="AG47" s="74" t="e">
        <f>+#REF!</f>
        <v>#REF!</v>
      </c>
      <c r="AH47" s="74" t="e">
        <f>+#REF!</f>
        <v>#REF!</v>
      </c>
      <c r="AI47" s="74" t="e">
        <f>+#REF!</f>
        <v>#REF!</v>
      </c>
    </row>
    <row r="48" spans="1:35" s="11" customFormat="1" ht="17.399999999999999" x14ac:dyDescent="0.3">
      <c r="A48" s="291" t="s">
        <v>109</v>
      </c>
      <c r="B48" s="292"/>
      <c r="C48" s="292"/>
      <c r="D48" s="293"/>
      <c r="E48" s="30"/>
      <c r="F48" s="57">
        <f t="shared" ref="F48:AI48" si="11">+F40</f>
        <v>30712000</v>
      </c>
      <c r="G48" s="57">
        <f t="shared" si="11"/>
        <v>7247700</v>
      </c>
      <c r="H48" s="57">
        <f t="shared" si="11"/>
        <v>6183045</v>
      </c>
      <c r="I48" s="57">
        <f t="shared" si="11"/>
        <v>5275838.25</v>
      </c>
      <c r="J48" s="57">
        <f t="shared" si="11"/>
        <v>4502687.5125000002</v>
      </c>
      <c r="K48" s="57">
        <f t="shared" si="11"/>
        <v>3843686.8856250001</v>
      </c>
      <c r="L48" s="57">
        <f t="shared" si="11"/>
        <v>3281896.1027812501</v>
      </c>
      <c r="M48" s="57">
        <f t="shared" si="11"/>
        <v>2802897.7123640627</v>
      </c>
      <c r="N48" s="57">
        <f t="shared" si="11"/>
        <v>2394420.478009453</v>
      </c>
      <c r="O48" s="72">
        <f t="shared" si="11"/>
        <v>2046019.0865580351</v>
      </c>
      <c r="P48" s="71">
        <f t="shared" si="11"/>
        <v>1748801.7357993298</v>
      </c>
      <c r="Q48" s="57">
        <f t="shared" si="11"/>
        <v>1495198.4364319304</v>
      </c>
      <c r="R48" s="57">
        <f t="shared" si="11"/>
        <v>1278763.9358693911</v>
      </c>
      <c r="S48" s="175">
        <f t="shared" si="11"/>
        <v>1094010.0839010072</v>
      </c>
      <c r="T48" s="72">
        <f t="shared" si="11"/>
        <v>936263.23588667868</v>
      </c>
      <c r="U48" s="71">
        <f t="shared" si="11"/>
        <v>801542.94861741713</v>
      </c>
      <c r="V48" s="57">
        <f t="shared" si="11"/>
        <v>686458.78462717077</v>
      </c>
      <c r="W48" s="57">
        <f t="shared" si="11"/>
        <v>588122.51740522473</v>
      </c>
      <c r="X48" s="57">
        <f t="shared" si="11"/>
        <v>504073.43521935772</v>
      </c>
      <c r="Y48" s="57">
        <f t="shared" si="11"/>
        <v>432214.78581887903</v>
      </c>
      <c r="Z48" s="57">
        <f t="shared" si="11"/>
        <v>370759.6972402297</v>
      </c>
      <c r="AA48" s="57">
        <f t="shared" si="11"/>
        <v>318185.1590189595</v>
      </c>
      <c r="AB48" s="57">
        <f t="shared" si="11"/>
        <v>273192.85989440337</v>
      </c>
      <c r="AC48" s="57">
        <f t="shared" si="11"/>
        <v>234675.85816570185</v>
      </c>
      <c r="AD48" s="57">
        <f t="shared" si="11"/>
        <v>201690.21397075974</v>
      </c>
      <c r="AE48" s="57">
        <f t="shared" si="11"/>
        <v>173430.84295206756</v>
      </c>
      <c r="AF48" s="57">
        <f t="shared" si="11"/>
        <v>149210.96147848706</v>
      </c>
      <c r="AG48" s="57">
        <f t="shared" si="11"/>
        <v>128444.58772902068</v>
      </c>
      <c r="AH48" s="57">
        <f t="shared" si="11"/>
        <v>110631.64299474357</v>
      </c>
      <c r="AI48" s="57">
        <f t="shared" si="11"/>
        <v>95345.265628100446</v>
      </c>
    </row>
    <row r="49" spans="1:35" s="11" customFormat="1" ht="17.399999999999999" x14ac:dyDescent="0.3">
      <c r="A49" s="348" t="s">
        <v>110</v>
      </c>
      <c r="B49" s="349"/>
      <c r="C49" s="349"/>
      <c r="D49" s="350"/>
      <c r="E49" s="30"/>
      <c r="F49" s="74">
        <f t="shared" ref="F49:AI49" si="12">F47-F48</f>
        <v>-25030384.900000002</v>
      </c>
      <c r="G49" s="74">
        <f t="shared" si="12"/>
        <v>1672807.7609999981</v>
      </c>
      <c r="H49" s="74">
        <f t="shared" si="12"/>
        <v>3836451.7022099961</v>
      </c>
      <c r="I49" s="74">
        <f t="shared" si="12"/>
        <v>5951263.9097031001</v>
      </c>
      <c r="J49" s="74">
        <f t="shared" si="12"/>
        <v>13432627.573413044</v>
      </c>
      <c r="K49" s="132">
        <f t="shared" si="12"/>
        <v>14821448.413294621</v>
      </c>
      <c r="L49" s="76">
        <f t="shared" si="12"/>
        <v>6136749.3587080585</v>
      </c>
      <c r="M49" s="76">
        <f t="shared" si="12"/>
        <v>22989602.702044684</v>
      </c>
      <c r="N49" s="76">
        <f t="shared" si="12"/>
        <v>24427802.895075984</v>
      </c>
      <c r="O49" s="76">
        <f t="shared" si="12"/>
        <v>25840118.942827381</v>
      </c>
      <c r="P49" s="132">
        <f t="shared" si="12"/>
        <v>31549500.20000641</v>
      </c>
      <c r="Q49" s="76">
        <f t="shared" si="12"/>
        <v>35197370.374176718</v>
      </c>
      <c r="R49" s="76">
        <f t="shared" si="12"/>
        <v>36854670.841188125</v>
      </c>
      <c r="S49" s="177">
        <f t="shared" si="12"/>
        <v>35661313.951148041</v>
      </c>
      <c r="T49" s="76">
        <f t="shared" si="12"/>
        <v>47653058.176518343</v>
      </c>
      <c r="U49" s="132">
        <f t="shared" si="12"/>
        <v>44734253.724860162</v>
      </c>
      <c r="V49" s="76">
        <f t="shared" si="12"/>
        <v>54459081.740876101</v>
      </c>
      <c r="W49" s="76">
        <f t="shared" si="12"/>
        <v>54204776.807227172</v>
      </c>
      <c r="X49" s="76">
        <f t="shared" si="12"/>
        <v>53905360.497944459</v>
      </c>
      <c r="Y49" s="76">
        <f t="shared" si="12"/>
        <v>58779214.352822229</v>
      </c>
      <c r="Z49" s="76" t="e">
        <f t="shared" si="12"/>
        <v>#REF!</v>
      </c>
      <c r="AA49" s="76" t="e">
        <f t="shared" si="12"/>
        <v>#REF!</v>
      </c>
      <c r="AB49" s="76" t="e">
        <f t="shared" si="12"/>
        <v>#REF!</v>
      </c>
      <c r="AC49" s="76" t="e">
        <f t="shared" si="12"/>
        <v>#REF!</v>
      </c>
      <c r="AD49" s="76" t="e">
        <f t="shared" si="12"/>
        <v>#REF!</v>
      </c>
      <c r="AE49" s="76" t="e">
        <f t="shared" si="12"/>
        <v>#REF!</v>
      </c>
      <c r="AF49" s="76" t="e">
        <f t="shared" si="12"/>
        <v>#REF!</v>
      </c>
      <c r="AG49" s="76" t="e">
        <f t="shared" si="12"/>
        <v>#REF!</v>
      </c>
      <c r="AH49" s="76" t="e">
        <f t="shared" si="12"/>
        <v>#REF!</v>
      </c>
      <c r="AI49" s="76" t="e">
        <f t="shared" si="12"/>
        <v>#REF!</v>
      </c>
    </row>
    <row r="50" spans="1:35" s="137" customFormat="1" ht="18" customHeight="1" x14ac:dyDescent="0.35">
      <c r="A50" s="348" t="s">
        <v>111</v>
      </c>
      <c r="B50" s="349"/>
      <c r="C50" s="349"/>
      <c r="D50" s="350"/>
      <c r="E50" s="133"/>
      <c r="F50" s="134">
        <v>0</v>
      </c>
      <c r="G50" s="134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0</v>
      </c>
      <c r="N50" s="134">
        <v>0</v>
      </c>
      <c r="O50" s="134">
        <v>0</v>
      </c>
      <c r="P50" s="134">
        <v>0</v>
      </c>
      <c r="Q50" s="134">
        <v>0</v>
      </c>
      <c r="R50" s="134">
        <v>0</v>
      </c>
      <c r="S50" s="134">
        <v>0</v>
      </c>
      <c r="T50" s="116">
        <v>0</v>
      </c>
      <c r="U50" s="209">
        <v>0</v>
      </c>
      <c r="V50" s="134">
        <v>0</v>
      </c>
      <c r="W50" s="134">
        <v>0</v>
      </c>
      <c r="X50" s="134">
        <v>0</v>
      </c>
      <c r="Y50" s="134">
        <v>0</v>
      </c>
      <c r="Z50" s="136">
        <f t="shared" ref="Z50:AI50" si="13">IF(Y51&lt;0,Y51,0)</f>
        <v>0</v>
      </c>
      <c r="AA50" s="136" t="e">
        <f t="shared" si="13"/>
        <v>#REF!</v>
      </c>
      <c r="AB50" s="136" t="e">
        <f t="shared" si="13"/>
        <v>#REF!</v>
      </c>
      <c r="AC50" s="136" t="e">
        <f t="shared" si="13"/>
        <v>#REF!</v>
      </c>
      <c r="AD50" s="136" t="e">
        <f t="shared" si="13"/>
        <v>#REF!</v>
      </c>
      <c r="AE50" s="136" t="e">
        <f t="shared" si="13"/>
        <v>#REF!</v>
      </c>
      <c r="AF50" s="136" t="e">
        <f t="shared" si="13"/>
        <v>#REF!</v>
      </c>
      <c r="AG50" s="136" t="e">
        <f t="shared" si="13"/>
        <v>#REF!</v>
      </c>
      <c r="AH50" s="136" t="e">
        <f t="shared" si="13"/>
        <v>#REF!</v>
      </c>
      <c r="AI50" s="136" t="e">
        <f t="shared" si="13"/>
        <v>#REF!</v>
      </c>
    </row>
    <row r="51" spans="1:35" s="137" customFormat="1" ht="18" customHeight="1" x14ac:dyDescent="0.35">
      <c r="A51" s="348" t="s">
        <v>112</v>
      </c>
      <c r="B51" s="349"/>
      <c r="C51" s="349"/>
      <c r="D51" s="350"/>
      <c r="E51" s="133"/>
      <c r="F51" s="134">
        <f t="shared" ref="F51:AI51" si="14">F49+F50</f>
        <v>-25030384.900000002</v>
      </c>
      <c r="G51" s="134">
        <f t="shared" si="14"/>
        <v>1672807.7609999981</v>
      </c>
      <c r="H51" s="134">
        <f t="shared" si="14"/>
        <v>3836451.7022099961</v>
      </c>
      <c r="I51" s="134">
        <f t="shared" si="14"/>
        <v>5951263.9097031001</v>
      </c>
      <c r="J51" s="134">
        <f t="shared" si="14"/>
        <v>13432627.573413044</v>
      </c>
      <c r="K51" s="135">
        <f t="shared" si="14"/>
        <v>14821448.413294621</v>
      </c>
      <c r="L51" s="136">
        <f t="shared" si="14"/>
        <v>6136749.3587080585</v>
      </c>
      <c r="M51" s="136">
        <f t="shared" si="14"/>
        <v>22989602.702044684</v>
      </c>
      <c r="N51" s="136">
        <f t="shared" si="14"/>
        <v>24427802.895075984</v>
      </c>
      <c r="O51" s="116">
        <f t="shared" si="14"/>
        <v>25840118.942827381</v>
      </c>
      <c r="P51" s="135">
        <f t="shared" si="14"/>
        <v>31549500.20000641</v>
      </c>
      <c r="Q51" s="136">
        <f t="shared" si="14"/>
        <v>35197370.374176718</v>
      </c>
      <c r="R51" s="136">
        <f t="shared" si="14"/>
        <v>36854670.841188125</v>
      </c>
      <c r="S51" s="181">
        <f t="shared" si="14"/>
        <v>35661313.951148041</v>
      </c>
      <c r="T51" s="116">
        <f t="shared" si="14"/>
        <v>47653058.176518343</v>
      </c>
      <c r="U51" s="135">
        <f t="shared" si="14"/>
        <v>44734253.724860162</v>
      </c>
      <c r="V51" s="136">
        <f t="shared" si="14"/>
        <v>54459081.740876101</v>
      </c>
      <c r="W51" s="136">
        <f t="shared" si="14"/>
        <v>54204776.807227172</v>
      </c>
      <c r="X51" s="136">
        <f t="shared" si="14"/>
        <v>53905360.497944459</v>
      </c>
      <c r="Y51" s="136">
        <f t="shared" si="14"/>
        <v>58779214.352822229</v>
      </c>
      <c r="Z51" s="136" t="e">
        <f t="shared" si="14"/>
        <v>#REF!</v>
      </c>
      <c r="AA51" s="136" t="e">
        <f t="shared" si="14"/>
        <v>#REF!</v>
      </c>
      <c r="AB51" s="136" t="e">
        <f t="shared" si="14"/>
        <v>#REF!</v>
      </c>
      <c r="AC51" s="136" t="e">
        <f t="shared" si="14"/>
        <v>#REF!</v>
      </c>
      <c r="AD51" s="136" t="e">
        <f t="shared" si="14"/>
        <v>#REF!</v>
      </c>
      <c r="AE51" s="136" t="e">
        <f t="shared" si="14"/>
        <v>#REF!</v>
      </c>
      <c r="AF51" s="136" t="e">
        <f t="shared" si="14"/>
        <v>#REF!</v>
      </c>
      <c r="AG51" s="136" t="e">
        <f t="shared" si="14"/>
        <v>#REF!</v>
      </c>
      <c r="AH51" s="136" t="e">
        <f t="shared" si="14"/>
        <v>#REF!</v>
      </c>
      <c r="AI51" s="136" t="e">
        <f t="shared" si="14"/>
        <v>#REF!</v>
      </c>
    </row>
    <row r="52" spans="1:35" s="11" customFormat="1" ht="18" thickBot="1" x14ac:dyDescent="0.35">
      <c r="A52" s="321" t="s">
        <v>161</v>
      </c>
      <c r="B52" s="343"/>
      <c r="C52" s="343"/>
      <c r="D52" s="344"/>
      <c r="E52" s="138"/>
      <c r="F52" s="208">
        <f>F51*46%</f>
        <v>-11513977.054000001</v>
      </c>
      <c r="G52" s="208">
        <f t="shared" ref="G52:Y52" si="15">G51*46%</f>
        <v>769491.57005999913</v>
      </c>
      <c r="H52" s="208">
        <f t="shared" si="15"/>
        <v>1764767.7830165983</v>
      </c>
      <c r="I52" s="208">
        <f t="shared" si="15"/>
        <v>2737581.3984634262</v>
      </c>
      <c r="J52" s="208">
        <f t="shared" si="15"/>
        <v>6179008.6837700009</v>
      </c>
      <c r="K52" s="208">
        <f t="shared" si="15"/>
        <v>6817866.2701155255</v>
      </c>
      <c r="L52" s="208">
        <f t="shared" si="15"/>
        <v>2822904.7050057072</v>
      </c>
      <c r="M52" s="208">
        <f t="shared" si="15"/>
        <v>10575217.242940554</v>
      </c>
      <c r="N52" s="208">
        <f t="shared" si="15"/>
        <v>11236789.331734953</v>
      </c>
      <c r="O52" s="208">
        <f t="shared" si="15"/>
        <v>11886454.713700596</v>
      </c>
      <c r="P52" s="208">
        <f t="shared" si="15"/>
        <v>14512770.092002949</v>
      </c>
      <c r="Q52" s="208">
        <f t="shared" si="15"/>
        <v>16190790.372121291</v>
      </c>
      <c r="R52" s="208">
        <f t="shared" si="15"/>
        <v>16953148.58694654</v>
      </c>
      <c r="S52" s="208">
        <f t="shared" si="15"/>
        <v>16404204.4175281</v>
      </c>
      <c r="T52" s="219">
        <f t="shared" si="15"/>
        <v>21920406.761198439</v>
      </c>
      <c r="U52" s="218">
        <f t="shared" si="15"/>
        <v>20577756.713435676</v>
      </c>
      <c r="V52" s="208">
        <f t="shared" si="15"/>
        <v>25051177.600803006</v>
      </c>
      <c r="W52" s="208">
        <f t="shared" si="15"/>
        <v>24934197.331324499</v>
      </c>
      <c r="X52" s="208">
        <f t="shared" si="15"/>
        <v>24796465.829054452</v>
      </c>
      <c r="Y52" s="208">
        <f t="shared" si="15"/>
        <v>27038438.602298226</v>
      </c>
      <c r="Z52" s="139" t="e">
        <f t="shared" ref="Z52:AI52" si="16">IF(Z51&gt;0,Z51*35%,0)</f>
        <v>#REF!</v>
      </c>
      <c r="AA52" s="139" t="e">
        <f t="shared" si="16"/>
        <v>#REF!</v>
      </c>
      <c r="AB52" s="139" t="e">
        <f t="shared" si="16"/>
        <v>#REF!</v>
      </c>
      <c r="AC52" s="139" t="e">
        <f t="shared" si="16"/>
        <v>#REF!</v>
      </c>
      <c r="AD52" s="139" t="e">
        <f t="shared" si="16"/>
        <v>#REF!</v>
      </c>
      <c r="AE52" s="139" t="e">
        <f t="shared" si="16"/>
        <v>#REF!</v>
      </c>
      <c r="AF52" s="139" t="e">
        <f t="shared" si="16"/>
        <v>#REF!</v>
      </c>
      <c r="AG52" s="139" t="e">
        <f t="shared" si="16"/>
        <v>#REF!</v>
      </c>
      <c r="AH52" s="139" t="e">
        <f t="shared" si="16"/>
        <v>#REF!</v>
      </c>
      <c r="AI52" s="139" t="e">
        <f t="shared" si="16"/>
        <v>#REF!</v>
      </c>
    </row>
    <row r="53" spans="1:35" s="11" customFormat="1" ht="17.399999999999999" x14ac:dyDescent="0.3">
      <c r="A53" s="12"/>
      <c r="B53" s="12"/>
      <c r="C53" s="12"/>
      <c r="D53" s="140"/>
      <c r="E53" s="140"/>
      <c r="F53" s="140"/>
      <c r="G53" s="140"/>
      <c r="H53" s="140"/>
      <c r="I53" s="140"/>
      <c r="J53" s="140"/>
    </row>
    <row r="54" spans="1:35" s="11" customFormat="1" ht="18" thickBot="1" x14ac:dyDescent="0.35">
      <c r="A54" s="12"/>
      <c r="B54" s="12"/>
      <c r="C54" s="12"/>
      <c r="D54" s="140"/>
      <c r="E54" s="140"/>
      <c r="F54" s="140"/>
      <c r="G54" s="140"/>
      <c r="H54" s="140"/>
      <c r="I54" s="140"/>
      <c r="J54" s="140"/>
    </row>
    <row r="55" spans="1:35" s="11" customFormat="1" ht="18" thickBot="1" x14ac:dyDescent="0.35">
      <c r="C55" s="323" t="s">
        <v>113</v>
      </c>
      <c r="D55" s="324"/>
      <c r="E55" s="324"/>
      <c r="F55" s="324"/>
      <c r="G55" s="324"/>
      <c r="H55" s="325"/>
    </row>
    <row r="56" spans="1:35" s="11" customFormat="1" ht="35.4" thickBot="1" x14ac:dyDescent="0.35">
      <c r="A56" s="12"/>
      <c r="C56" s="289" t="s">
        <v>60</v>
      </c>
      <c r="D56" s="290"/>
      <c r="E56" s="229"/>
      <c r="F56" s="230" t="s">
        <v>61</v>
      </c>
      <c r="G56" s="231" t="s">
        <v>114</v>
      </c>
      <c r="H56" s="231" t="s">
        <v>115</v>
      </c>
      <c r="I56" s="82"/>
    </row>
    <row r="57" spans="1:35" s="11" customFormat="1" ht="17.25" customHeight="1" x14ac:dyDescent="0.3">
      <c r="A57" s="12"/>
      <c r="C57" s="354" t="s">
        <v>142</v>
      </c>
      <c r="D57" s="355"/>
      <c r="E57" s="356"/>
      <c r="F57" s="141"/>
      <c r="G57" s="142"/>
      <c r="H57" s="232">
        <f>100000000*0.6</f>
        <v>60000000</v>
      </c>
      <c r="I57" s="82"/>
    </row>
    <row r="58" spans="1:35" s="11" customFormat="1" ht="17.25" customHeight="1" x14ac:dyDescent="0.35">
      <c r="C58" s="294" t="s">
        <v>143</v>
      </c>
      <c r="D58" s="295"/>
      <c r="E58" s="296"/>
      <c r="F58" s="143"/>
      <c r="G58" s="144"/>
      <c r="H58" s="116">
        <f>100000000*0.2</f>
        <v>20000000</v>
      </c>
      <c r="I58" s="82"/>
    </row>
    <row r="59" spans="1:35" s="11" customFormat="1" ht="17.25" customHeight="1" x14ac:dyDescent="0.35">
      <c r="C59" s="294" t="s">
        <v>129</v>
      </c>
      <c r="D59" s="295"/>
      <c r="E59" s="296"/>
      <c r="F59" s="145"/>
      <c r="G59" s="233"/>
      <c r="H59" s="116">
        <f>100000000*0.2</f>
        <v>20000000</v>
      </c>
      <c r="I59" s="146"/>
    </row>
    <row r="60" spans="1:35" s="11" customFormat="1" ht="17.399999999999999" x14ac:dyDescent="0.35">
      <c r="C60" s="294"/>
      <c r="D60" s="295"/>
      <c r="E60" s="296"/>
      <c r="F60" s="145"/>
      <c r="G60" s="233"/>
      <c r="H60" s="116"/>
      <c r="I60" s="147"/>
    </row>
    <row r="61" spans="1:35" s="11" customFormat="1" ht="17.399999999999999" x14ac:dyDescent="0.3">
      <c r="C61" s="294"/>
      <c r="D61" s="295"/>
      <c r="E61" s="296"/>
      <c r="F61" s="148"/>
      <c r="G61" s="234"/>
      <c r="H61" s="235"/>
      <c r="I61" s="147"/>
    </row>
    <row r="62" spans="1:35" s="11" customFormat="1" ht="17.25" customHeight="1" x14ac:dyDescent="0.35">
      <c r="C62" s="294"/>
      <c r="D62" s="295"/>
      <c r="E62" s="296"/>
      <c r="F62" s="148"/>
      <c r="G62" s="234"/>
      <c r="H62" s="116"/>
      <c r="I62" s="236"/>
    </row>
    <row r="63" spans="1:35" s="11" customFormat="1" ht="18" thickBot="1" x14ac:dyDescent="0.35">
      <c r="C63" s="285"/>
      <c r="D63" s="237"/>
      <c r="E63" s="284"/>
      <c r="F63" s="148"/>
      <c r="G63" s="234"/>
      <c r="H63" s="118"/>
      <c r="I63" s="82"/>
    </row>
    <row r="64" spans="1:35" s="11" customFormat="1" ht="18" thickBot="1" x14ac:dyDescent="0.35">
      <c r="C64" s="351" t="s">
        <v>69</v>
      </c>
      <c r="D64" s="352"/>
      <c r="E64" s="353"/>
      <c r="F64" s="238"/>
      <c r="G64" s="238"/>
      <c r="H64" s="239">
        <f>SUM(H57:H63)</f>
        <v>100000000</v>
      </c>
      <c r="I64" s="82"/>
    </row>
    <row r="65" spans="3:8" x14ac:dyDescent="0.3">
      <c r="C65" s="189"/>
    </row>
    <row r="66" spans="3:8" x14ac:dyDescent="0.3">
      <c r="E66" s="182"/>
      <c r="F66" s="183"/>
      <c r="G66" s="182"/>
      <c r="H66" s="185"/>
    </row>
  </sheetData>
  <mergeCells count="56">
    <mergeCell ref="C64:E64"/>
    <mergeCell ref="C57:E57"/>
    <mergeCell ref="C58:E58"/>
    <mergeCell ref="C59:E59"/>
    <mergeCell ref="C60:E60"/>
    <mergeCell ref="C61:E61"/>
    <mergeCell ref="C62:E62"/>
    <mergeCell ref="C55:H55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41:D41"/>
    <mergeCell ref="B29:E29"/>
    <mergeCell ref="B30:E30"/>
    <mergeCell ref="B31:E31"/>
    <mergeCell ref="B32:E32"/>
    <mergeCell ref="B33:H33"/>
    <mergeCell ref="A35:D35"/>
    <mergeCell ref="A36:D36"/>
    <mergeCell ref="A37:D37"/>
    <mergeCell ref="A38:D38"/>
    <mergeCell ref="A39:D39"/>
    <mergeCell ref="A40:D40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:H2"/>
    <mergeCell ref="B16:E16"/>
    <mergeCell ref="B3:E3"/>
    <mergeCell ref="B4:E4"/>
    <mergeCell ref="B5:E5"/>
    <mergeCell ref="B7:E7"/>
    <mergeCell ref="B8:E8"/>
    <mergeCell ref="B9:E9"/>
    <mergeCell ref="B10:E10"/>
    <mergeCell ref="B11:E11"/>
    <mergeCell ref="B12:E12"/>
    <mergeCell ref="B13:E13"/>
    <mergeCell ref="B14:E14"/>
  </mergeCells>
  <pageMargins left="0.7" right="0.37" top="0.44" bottom="0.42" header="0.3" footer="0.3"/>
  <pageSetup paperSize="9" scale="26" fitToHeight="0" orientation="portrait" r:id="rId1"/>
  <headerFooter alignWithMargins="0">
    <oddHeader>&amp;R&amp;"-,Bold"&amp;14RETAIL-FM004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2"/>
  <sheetViews>
    <sheetView zoomScale="70" zoomScaleNormal="70" workbookViewId="0">
      <selection activeCell="F59" sqref="F59"/>
    </sheetView>
  </sheetViews>
  <sheetFormatPr defaultRowHeight="14.4" x14ac:dyDescent="0.3"/>
  <cols>
    <col min="1" max="1" width="16.6640625" customWidth="1"/>
    <col min="2" max="16" width="13.6640625" customWidth="1"/>
    <col min="17" max="17" width="17.109375" bestFit="1" customWidth="1"/>
  </cols>
  <sheetData>
    <row r="1" spans="1:17" ht="21" x14ac:dyDescent="0.4">
      <c r="A1" s="249" t="s">
        <v>189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17" ht="21" x14ac:dyDescent="0.4">
      <c r="A2" s="250"/>
      <c r="B2" s="250"/>
      <c r="C2" s="249"/>
      <c r="D2" s="249"/>
      <c r="E2" s="249"/>
      <c r="F2" s="249"/>
      <c r="G2" s="249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17" ht="21" x14ac:dyDescent="0.4">
      <c r="A3" s="251" t="s">
        <v>14</v>
      </c>
      <c r="B3" s="251" t="s">
        <v>190</v>
      </c>
      <c r="C3" s="251" t="s">
        <v>191</v>
      </c>
      <c r="D3" s="251" t="s">
        <v>192</v>
      </c>
      <c r="E3" s="251" t="s">
        <v>193</v>
      </c>
      <c r="F3" s="251" t="s">
        <v>194</v>
      </c>
      <c r="G3" s="251" t="s">
        <v>195</v>
      </c>
      <c r="H3" s="251" t="s">
        <v>196</v>
      </c>
      <c r="I3" s="251" t="s">
        <v>197</v>
      </c>
      <c r="J3" s="251" t="s">
        <v>198</v>
      </c>
      <c r="K3" s="251" t="s">
        <v>199</v>
      </c>
      <c r="L3" s="251" t="s">
        <v>200</v>
      </c>
      <c r="M3" s="251" t="s">
        <v>201</v>
      </c>
      <c r="N3" s="251" t="s">
        <v>202</v>
      </c>
      <c r="O3" s="251" t="s">
        <v>203</v>
      </c>
      <c r="P3" s="251" t="s">
        <v>204</v>
      </c>
      <c r="Q3" s="252"/>
    </row>
    <row r="4" spans="1:17" ht="21" x14ac:dyDescent="0.4">
      <c r="A4" s="253" t="s">
        <v>205</v>
      </c>
      <c r="B4" s="254">
        <v>1800</v>
      </c>
      <c r="C4" s="254">
        <f>B4*1.15</f>
        <v>2070</v>
      </c>
      <c r="D4" s="254">
        <f>C4*1.1</f>
        <v>2277</v>
      </c>
      <c r="E4" s="254">
        <f>D4*1.1</f>
        <v>2504.7000000000003</v>
      </c>
      <c r="F4" s="254">
        <f>E4*1.05</f>
        <v>2629.9350000000004</v>
      </c>
      <c r="G4" s="254">
        <f t="shared" ref="G4:P4" si="0">F4*1.05</f>
        <v>2761.4317500000006</v>
      </c>
      <c r="H4" s="254">
        <f t="shared" si="0"/>
        <v>2899.5033375000007</v>
      </c>
      <c r="I4" s="254">
        <f t="shared" si="0"/>
        <v>3044.4785043750007</v>
      </c>
      <c r="J4" s="254">
        <f t="shared" si="0"/>
        <v>3196.7024295937508</v>
      </c>
      <c r="K4" s="254">
        <f t="shared" si="0"/>
        <v>3356.5375510734384</v>
      </c>
      <c r="L4" s="254">
        <f t="shared" si="0"/>
        <v>3524.3644286271106</v>
      </c>
      <c r="M4" s="254">
        <f t="shared" si="0"/>
        <v>3700.5826500584662</v>
      </c>
      <c r="N4" s="254">
        <f t="shared" si="0"/>
        <v>3885.6117825613896</v>
      </c>
      <c r="O4" s="254">
        <f t="shared" si="0"/>
        <v>4079.8923716894592</v>
      </c>
      <c r="P4" s="254">
        <f t="shared" si="0"/>
        <v>4283.8869902739325</v>
      </c>
      <c r="Q4" s="255">
        <f>+P4*365</f>
        <v>1563618.7514499854</v>
      </c>
    </row>
    <row r="5" spans="1:17" ht="21" x14ac:dyDescent="0.4">
      <c r="A5" s="253" t="s">
        <v>206</v>
      </c>
      <c r="B5" s="254">
        <v>1000</v>
      </c>
      <c r="C5" s="254">
        <f>B5*1.15</f>
        <v>1150</v>
      </c>
      <c r="D5" s="254">
        <f t="shared" ref="D5:D6" si="1">C5*1.1</f>
        <v>1265</v>
      </c>
      <c r="E5" s="254">
        <f>D5*1.1</f>
        <v>1391.5</v>
      </c>
      <c r="F5" s="254">
        <f t="shared" ref="F5:P6" si="2">E5*1.05</f>
        <v>1461.075</v>
      </c>
      <c r="G5" s="254">
        <f t="shared" ref="G5:P5" si="3">F5*1.02</f>
        <v>1490.2965000000002</v>
      </c>
      <c r="H5" s="254">
        <f t="shared" si="3"/>
        <v>1520.1024300000001</v>
      </c>
      <c r="I5" s="254">
        <f t="shared" si="3"/>
        <v>1550.5044786000001</v>
      </c>
      <c r="J5" s="254">
        <f t="shared" si="3"/>
        <v>1581.5145681720001</v>
      </c>
      <c r="K5" s="254">
        <f t="shared" si="3"/>
        <v>1613.14485953544</v>
      </c>
      <c r="L5" s="254">
        <f t="shared" si="3"/>
        <v>1645.4077567261488</v>
      </c>
      <c r="M5" s="254">
        <f t="shared" si="3"/>
        <v>1678.3159118606718</v>
      </c>
      <c r="N5" s="254">
        <f t="shared" si="3"/>
        <v>1711.8822300978852</v>
      </c>
      <c r="O5" s="254">
        <f t="shared" si="3"/>
        <v>1746.119874699843</v>
      </c>
      <c r="P5" s="254">
        <f t="shared" si="3"/>
        <v>1781.0422721938398</v>
      </c>
      <c r="Q5" s="255">
        <f>+P5*365</f>
        <v>650080.42935075157</v>
      </c>
    </row>
    <row r="6" spans="1:17" ht="21" x14ac:dyDescent="0.4">
      <c r="A6" s="253" t="s">
        <v>207</v>
      </c>
      <c r="B6" s="254">
        <v>300</v>
      </c>
      <c r="C6" s="254">
        <f>B6*1.15</f>
        <v>345</v>
      </c>
      <c r="D6" s="254">
        <f t="shared" si="1"/>
        <v>379.50000000000006</v>
      </c>
      <c r="E6" s="254">
        <f>D6*1.1</f>
        <v>417.4500000000001</v>
      </c>
      <c r="F6" s="254">
        <f t="shared" si="2"/>
        <v>438.3225000000001</v>
      </c>
      <c r="G6" s="254">
        <f t="shared" si="2"/>
        <v>460.23862500000013</v>
      </c>
      <c r="H6" s="254">
        <f t="shared" si="2"/>
        <v>483.25055625000016</v>
      </c>
      <c r="I6" s="254">
        <f t="shared" si="2"/>
        <v>507.41308406250016</v>
      </c>
      <c r="J6" s="254">
        <f t="shared" si="2"/>
        <v>532.78373826562517</v>
      </c>
      <c r="K6" s="254">
        <f t="shared" si="2"/>
        <v>559.42292517890644</v>
      </c>
      <c r="L6" s="254">
        <f t="shared" si="2"/>
        <v>587.39407143785184</v>
      </c>
      <c r="M6" s="254">
        <f t="shared" si="2"/>
        <v>616.76377500974445</v>
      </c>
      <c r="N6" s="254">
        <f t="shared" si="2"/>
        <v>647.60196376023168</v>
      </c>
      <c r="O6" s="254">
        <f t="shared" si="2"/>
        <v>679.98206194824331</v>
      </c>
      <c r="P6" s="254">
        <f t="shared" si="2"/>
        <v>713.98116504565553</v>
      </c>
      <c r="Q6" s="255">
        <f>+P6*365</f>
        <v>260603.12524166427</v>
      </c>
    </row>
    <row r="7" spans="1:17" ht="21" x14ac:dyDescent="0.4">
      <c r="A7" s="253" t="s">
        <v>208</v>
      </c>
      <c r="B7" s="254">
        <v>8</v>
      </c>
      <c r="C7" s="254">
        <f>+B7*1.01</f>
        <v>8.08</v>
      </c>
      <c r="D7" s="254">
        <f t="shared" ref="D7:P7" si="4">+C7*1.01</f>
        <v>8.1608000000000001</v>
      </c>
      <c r="E7" s="254">
        <f t="shared" si="4"/>
        <v>8.2424079999999993</v>
      </c>
      <c r="F7" s="254">
        <f t="shared" si="4"/>
        <v>8.3248320800000002</v>
      </c>
      <c r="G7" s="254">
        <f t="shared" si="4"/>
        <v>8.4080804007999994</v>
      </c>
      <c r="H7" s="254">
        <f t="shared" si="4"/>
        <v>8.4921612048079993</v>
      </c>
      <c r="I7" s="254">
        <f t="shared" si="4"/>
        <v>8.5770828168560787</v>
      </c>
      <c r="J7" s="254">
        <f t="shared" si="4"/>
        <v>8.6628536450246401</v>
      </c>
      <c r="K7" s="254">
        <f t="shared" si="4"/>
        <v>8.7494821814748871</v>
      </c>
      <c r="L7" s="254">
        <f t="shared" si="4"/>
        <v>8.8369770032896362</v>
      </c>
      <c r="M7" s="254">
        <f t="shared" si="4"/>
        <v>8.9253467733225325</v>
      </c>
      <c r="N7" s="254">
        <f t="shared" si="4"/>
        <v>9.0146002410557582</v>
      </c>
      <c r="O7" s="254">
        <f t="shared" si="4"/>
        <v>9.104746243466316</v>
      </c>
      <c r="P7" s="254">
        <f t="shared" si="4"/>
        <v>9.1957937059009787</v>
      </c>
      <c r="Q7" s="255">
        <f>+P7*365</f>
        <v>3356.4647026538573</v>
      </c>
    </row>
    <row r="8" spans="1:17" ht="21" x14ac:dyDescent="0.4">
      <c r="A8" s="253" t="s">
        <v>209</v>
      </c>
      <c r="B8" s="254">
        <f t="shared" ref="B8:P8" si="5">B5+B4+B6</f>
        <v>3100</v>
      </c>
      <c r="C8" s="254">
        <f t="shared" si="5"/>
        <v>3565</v>
      </c>
      <c r="D8" s="254">
        <f t="shared" si="5"/>
        <v>3921.5</v>
      </c>
      <c r="E8" s="254">
        <f>E5+E4+E6</f>
        <v>4313.6500000000005</v>
      </c>
      <c r="F8" s="254">
        <f t="shared" si="5"/>
        <v>4529.3325000000004</v>
      </c>
      <c r="G8" s="254">
        <f t="shared" si="5"/>
        <v>4711.966875000001</v>
      </c>
      <c r="H8" s="254">
        <f t="shared" si="5"/>
        <v>4902.8563237500011</v>
      </c>
      <c r="I8" s="254">
        <f t="shared" si="5"/>
        <v>5102.3960670375009</v>
      </c>
      <c r="J8" s="254">
        <f t="shared" si="5"/>
        <v>5311.0007360313757</v>
      </c>
      <c r="K8" s="254">
        <f t="shared" si="5"/>
        <v>5529.1053357877854</v>
      </c>
      <c r="L8" s="254">
        <f t="shared" si="5"/>
        <v>5757.1662567911117</v>
      </c>
      <c r="M8" s="254">
        <f t="shared" si="5"/>
        <v>5995.6623369288827</v>
      </c>
      <c r="N8" s="254">
        <f t="shared" si="5"/>
        <v>6245.0959764195068</v>
      </c>
      <c r="O8" s="254">
        <f t="shared" si="5"/>
        <v>6505.9943083375456</v>
      </c>
      <c r="P8" s="254">
        <f t="shared" si="5"/>
        <v>6778.9104275134287</v>
      </c>
      <c r="Q8" s="256"/>
    </row>
    <row r="9" spans="1:17" ht="21" x14ac:dyDescent="0.4">
      <c r="A9" s="250"/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7"/>
      <c r="M9" s="257"/>
      <c r="N9" s="257"/>
      <c r="O9" s="257"/>
      <c r="P9" s="257"/>
      <c r="Q9" s="257"/>
    </row>
    <row r="10" spans="1:17" ht="21" x14ac:dyDescent="0.4">
      <c r="A10" s="258" t="s">
        <v>21</v>
      </c>
      <c r="B10" s="250"/>
      <c r="C10" s="279">
        <f>(C4-B4)/B4</f>
        <v>0.15</v>
      </c>
      <c r="D10" s="279">
        <f t="shared" ref="D10:P10" si="6">(D4-C4)/C4</f>
        <v>0.1</v>
      </c>
      <c r="E10" s="279">
        <f t="shared" si="6"/>
        <v>0.10000000000000012</v>
      </c>
      <c r="F10" s="279">
        <f t="shared" si="6"/>
        <v>5.0000000000000044E-2</v>
      </c>
      <c r="G10" s="279">
        <f t="shared" si="6"/>
        <v>5.0000000000000086E-2</v>
      </c>
      <c r="H10" s="279">
        <f t="shared" si="6"/>
        <v>5.0000000000000017E-2</v>
      </c>
      <c r="I10" s="279">
        <f t="shared" si="6"/>
        <v>4.9999999999999989E-2</v>
      </c>
      <c r="J10" s="279">
        <f t="shared" si="6"/>
        <v>5.0000000000000017E-2</v>
      </c>
      <c r="K10" s="279">
        <f t="shared" si="6"/>
        <v>5.0000000000000017E-2</v>
      </c>
      <c r="L10" s="279">
        <f t="shared" si="6"/>
        <v>5.0000000000000065E-2</v>
      </c>
      <c r="M10" s="279">
        <f t="shared" si="6"/>
        <v>5.0000000000000044E-2</v>
      </c>
      <c r="N10" s="279">
        <f t="shared" si="6"/>
        <v>5.0000000000000024E-2</v>
      </c>
      <c r="O10" s="279">
        <f t="shared" si="6"/>
        <v>5.0000000000000017E-2</v>
      </c>
      <c r="P10" s="279">
        <f t="shared" si="6"/>
        <v>5.0000000000000086E-2</v>
      </c>
      <c r="Q10" s="280"/>
    </row>
    <row r="11" spans="1:17" ht="21" x14ac:dyDescent="0.4">
      <c r="A11" s="258" t="s">
        <v>23</v>
      </c>
      <c r="B11" s="259"/>
      <c r="C11" s="279">
        <f t="shared" ref="C11:P11" si="7">(C5-B5)/B5</f>
        <v>0.15</v>
      </c>
      <c r="D11" s="279">
        <f t="shared" si="7"/>
        <v>0.1</v>
      </c>
      <c r="E11" s="279">
        <f t="shared" si="7"/>
        <v>0.1</v>
      </c>
      <c r="F11" s="279">
        <f t="shared" si="7"/>
        <v>5.0000000000000031E-2</v>
      </c>
      <c r="G11" s="279">
        <f t="shared" si="7"/>
        <v>2.0000000000000073E-2</v>
      </c>
      <c r="H11" s="279">
        <f t="shared" si="7"/>
        <v>1.999999999999999E-2</v>
      </c>
      <c r="I11" s="279">
        <f t="shared" si="7"/>
        <v>1.9999999999999962E-2</v>
      </c>
      <c r="J11" s="279">
        <f t="shared" si="7"/>
        <v>1.999999999999998E-2</v>
      </c>
      <c r="K11" s="279">
        <f t="shared" si="7"/>
        <v>1.9999999999999959E-2</v>
      </c>
      <c r="L11" s="279">
        <f t="shared" si="7"/>
        <v>2.0000000000000018E-2</v>
      </c>
      <c r="M11" s="279">
        <f t="shared" si="7"/>
        <v>2.0000000000000004E-2</v>
      </c>
      <c r="N11" s="279">
        <f t="shared" si="7"/>
        <v>1.9999999999999983E-2</v>
      </c>
      <c r="O11" s="279">
        <f t="shared" si="7"/>
        <v>2.0000000000000028E-2</v>
      </c>
      <c r="P11" s="279">
        <f t="shared" si="7"/>
        <v>2.0000000000000004E-2</v>
      </c>
      <c r="Q11" s="280"/>
    </row>
    <row r="12" spans="1:17" ht="21" x14ac:dyDescent="0.4">
      <c r="A12" s="258" t="s">
        <v>168</v>
      </c>
      <c r="B12" s="259"/>
      <c r="C12" s="279">
        <f t="shared" ref="C12:P12" si="8">(C6-B6)/B6</f>
        <v>0.15</v>
      </c>
      <c r="D12" s="279">
        <f t="shared" si="8"/>
        <v>0.10000000000000016</v>
      </c>
      <c r="E12" s="279">
        <f t="shared" si="8"/>
        <v>0.1000000000000001</v>
      </c>
      <c r="F12" s="279">
        <f t="shared" si="8"/>
        <v>4.9999999999999996E-2</v>
      </c>
      <c r="G12" s="279">
        <f t="shared" si="8"/>
        <v>5.0000000000000037E-2</v>
      </c>
      <c r="H12" s="279">
        <f t="shared" si="8"/>
        <v>5.0000000000000058E-2</v>
      </c>
      <c r="I12" s="279">
        <f t="shared" si="8"/>
        <v>4.9999999999999989E-2</v>
      </c>
      <c r="J12" s="279">
        <f t="shared" si="8"/>
        <v>5.000000000000001E-2</v>
      </c>
      <c r="K12" s="279">
        <f t="shared" si="8"/>
        <v>5.000000000000001E-2</v>
      </c>
      <c r="L12" s="279">
        <f t="shared" si="8"/>
        <v>5.0000000000000135E-2</v>
      </c>
      <c r="M12" s="279">
        <f t="shared" si="8"/>
        <v>5.0000000000000037E-2</v>
      </c>
      <c r="N12" s="279">
        <f t="shared" si="8"/>
        <v>5.0000000000000017E-2</v>
      </c>
      <c r="O12" s="279">
        <f t="shared" si="8"/>
        <v>5.0000000000000072E-2</v>
      </c>
      <c r="P12" s="279">
        <f t="shared" si="8"/>
        <v>5.0000000000000072E-2</v>
      </c>
      <c r="Q12" s="280"/>
    </row>
    <row r="13" spans="1:17" ht="21" x14ac:dyDescent="0.4">
      <c r="A13" s="258" t="s">
        <v>163</v>
      </c>
      <c r="B13" s="260"/>
      <c r="C13" s="279">
        <f t="shared" ref="C13:P13" si="9">(C7-B7)/B7</f>
        <v>1.0000000000000009E-2</v>
      </c>
      <c r="D13" s="279">
        <f t="shared" si="9"/>
        <v>9.9999999999999985E-3</v>
      </c>
      <c r="E13" s="279">
        <f t="shared" si="9"/>
        <v>9.9999999999999065E-3</v>
      </c>
      <c r="F13" s="279">
        <f t="shared" si="9"/>
        <v>1.0000000000000109E-2</v>
      </c>
      <c r="G13" s="279">
        <f t="shared" si="9"/>
        <v>9.9999999999999065E-3</v>
      </c>
      <c r="H13" s="279">
        <f t="shared" si="9"/>
        <v>9.9999999999999881E-3</v>
      </c>
      <c r="I13" s="279">
        <f t="shared" si="9"/>
        <v>9.9999999999999239E-3</v>
      </c>
      <c r="J13" s="279">
        <f t="shared" si="9"/>
        <v>1.0000000000000073E-2</v>
      </c>
      <c r="K13" s="279">
        <f t="shared" si="9"/>
        <v>1.0000000000000073E-2</v>
      </c>
      <c r="L13" s="279">
        <f t="shared" si="9"/>
        <v>1.0000000000000026E-2</v>
      </c>
      <c r="M13" s="279">
        <f t="shared" si="9"/>
        <v>9.9999999999999881E-3</v>
      </c>
      <c r="N13" s="279">
        <f t="shared" si="9"/>
        <v>1.0000000000000045E-2</v>
      </c>
      <c r="O13" s="279">
        <f t="shared" si="9"/>
        <v>1.0000000000000026E-2</v>
      </c>
      <c r="P13" s="279">
        <f t="shared" si="9"/>
        <v>9.9999999999999447E-3</v>
      </c>
      <c r="Q13" s="280"/>
    </row>
    <row r="14" spans="1:17" ht="21" x14ac:dyDescent="0.4">
      <c r="A14" s="259"/>
      <c r="B14" s="259"/>
      <c r="C14" s="259"/>
      <c r="D14" s="259"/>
      <c r="E14" s="259"/>
      <c r="F14" s="259"/>
      <c r="G14" s="259"/>
      <c r="H14" s="259"/>
      <c r="I14" s="259"/>
      <c r="J14" s="259"/>
      <c r="K14" s="259"/>
      <c r="L14" s="261"/>
      <c r="M14" s="261"/>
      <c r="N14" s="261"/>
      <c r="O14" s="261"/>
      <c r="P14" s="261"/>
      <c r="Q14" s="262"/>
    </row>
    <row r="15" spans="1:17" ht="21" hidden="1" x14ac:dyDescent="0.4">
      <c r="A15" s="259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0"/>
    </row>
    <row r="16" spans="1:17" ht="21" hidden="1" x14ac:dyDescent="0.4">
      <c r="A16" s="259"/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0"/>
    </row>
    <row r="17" spans="1:17" ht="21" hidden="1" x14ac:dyDescent="0.4">
      <c r="A17" s="250"/>
      <c r="B17" s="250"/>
      <c r="C17" s="263"/>
      <c r="D17" s="264" t="s">
        <v>210</v>
      </c>
      <c r="E17" s="263"/>
      <c r="F17" s="263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0"/>
    </row>
    <row r="18" spans="1:17" ht="21" hidden="1" x14ac:dyDescent="0.4">
      <c r="A18" s="250"/>
      <c r="B18" s="250"/>
      <c r="C18" s="264">
        <v>1</v>
      </c>
      <c r="D18" s="265" t="s">
        <v>211</v>
      </c>
      <c r="E18" s="266">
        <v>300000</v>
      </c>
      <c r="F18" s="265"/>
      <c r="G18" s="267"/>
      <c r="H18" s="267"/>
      <c r="I18" s="267"/>
      <c r="J18" s="268" t="s">
        <v>212</v>
      </c>
      <c r="K18" s="265"/>
      <c r="L18" s="265"/>
      <c r="M18" s="265"/>
      <c r="N18" s="250"/>
      <c r="O18" s="250"/>
      <c r="P18" s="250"/>
      <c r="Q18" s="250"/>
    </row>
    <row r="19" spans="1:17" ht="21" hidden="1" x14ac:dyDescent="0.4">
      <c r="A19" s="250"/>
      <c r="B19" s="250"/>
      <c r="C19" s="264">
        <v>2</v>
      </c>
      <c r="D19" s="265" t="s">
        <v>213</v>
      </c>
      <c r="E19" s="266">
        <v>300000</v>
      </c>
      <c r="F19" s="265"/>
      <c r="G19" s="267"/>
      <c r="H19" s="267"/>
      <c r="I19" s="267"/>
      <c r="J19" s="265" t="s">
        <v>214</v>
      </c>
      <c r="K19" s="265">
        <v>1</v>
      </c>
      <c r="L19" s="269">
        <v>60000</v>
      </c>
      <c r="M19" s="269">
        <f t="shared" ref="M19:M25" si="10">L19*K19</f>
        <v>60000</v>
      </c>
      <c r="N19" s="250"/>
      <c r="O19" s="250"/>
      <c r="P19" s="250"/>
      <c r="Q19" s="250"/>
    </row>
    <row r="20" spans="1:17" ht="21" hidden="1" x14ac:dyDescent="0.4">
      <c r="A20" s="250"/>
      <c r="B20" s="250"/>
      <c r="C20" s="264">
        <v>3</v>
      </c>
      <c r="D20" s="265" t="s">
        <v>215</v>
      </c>
      <c r="E20" s="266">
        <v>100000</v>
      </c>
      <c r="F20" s="265"/>
      <c r="G20" s="267"/>
      <c r="H20" s="267"/>
      <c r="I20" s="267"/>
      <c r="J20" s="265" t="s">
        <v>216</v>
      </c>
      <c r="K20" s="265">
        <v>30</v>
      </c>
      <c r="L20" s="269">
        <v>25000</v>
      </c>
      <c r="M20" s="269">
        <f>L20*K20</f>
        <v>750000</v>
      </c>
      <c r="N20" s="250"/>
      <c r="O20" s="250"/>
      <c r="P20" s="250"/>
      <c r="Q20" s="250"/>
    </row>
    <row r="21" spans="1:17" ht="21" hidden="1" x14ac:dyDescent="0.4">
      <c r="A21" s="250"/>
      <c r="B21" s="250"/>
      <c r="C21" s="264">
        <v>4</v>
      </c>
      <c r="D21" s="265" t="s">
        <v>217</v>
      </c>
      <c r="E21" s="266">
        <v>50000</v>
      </c>
      <c r="F21" s="265"/>
      <c r="G21" s="267"/>
      <c r="H21" s="267"/>
      <c r="I21" s="267"/>
      <c r="J21" s="265" t="s">
        <v>218</v>
      </c>
      <c r="K21" s="265">
        <v>1</v>
      </c>
      <c r="L21" s="269">
        <v>35000</v>
      </c>
      <c r="M21" s="269">
        <f t="shared" si="10"/>
        <v>35000</v>
      </c>
      <c r="N21" s="250"/>
      <c r="O21" s="250"/>
      <c r="P21" s="250"/>
      <c r="Q21" s="250"/>
    </row>
    <row r="22" spans="1:17" ht="21" hidden="1" x14ac:dyDescent="0.4">
      <c r="A22" s="250"/>
      <c r="B22" s="250"/>
      <c r="C22" s="264">
        <v>5</v>
      </c>
      <c r="D22" s="270" t="s">
        <v>219</v>
      </c>
      <c r="E22" s="266">
        <v>600000</v>
      </c>
      <c r="F22" s="265"/>
      <c r="G22" s="267"/>
      <c r="H22" s="267"/>
      <c r="I22" s="267"/>
      <c r="J22" s="265" t="s">
        <v>220</v>
      </c>
      <c r="K22" s="265">
        <v>3</v>
      </c>
      <c r="L22" s="269">
        <v>22000</v>
      </c>
      <c r="M22" s="269">
        <f t="shared" si="10"/>
        <v>66000</v>
      </c>
      <c r="N22" s="250"/>
      <c r="O22" s="250"/>
      <c r="P22" s="250"/>
      <c r="Q22" s="250"/>
    </row>
    <row r="23" spans="1:17" ht="21" hidden="1" x14ac:dyDescent="0.4">
      <c r="A23" s="250"/>
      <c r="B23" s="250"/>
      <c r="C23" s="264"/>
      <c r="D23" s="270"/>
      <c r="E23" s="266"/>
      <c r="F23" s="265"/>
      <c r="G23" s="267"/>
      <c r="H23" s="267"/>
      <c r="I23" s="267"/>
      <c r="J23" s="265" t="s">
        <v>221</v>
      </c>
      <c r="K23" s="265">
        <v>2</v>
      </c>
      <c r="L23" s="269">
        <v>32000</v>
      </c>
      <c r="M23" s="269">
        <f t="shared" si="10"/>
        <v>64000</v>
      </c>
      <c r="N23" s="250"/>
      <c r="O23" s="250"/>
      <c r="P23" s="250"/>
      <c r="Q23" s="250"/>
    </row>
    <row r="24" spans="1:17" ht="21" hidden="1" x14ac:dyDescent="0.4">
      <c r="A24" s="250"/>
      <c r="B24" s="250"/>
      <c r="C24" s="264"/>
      <c r="D24" s="268" t="s">
        <v>105</v>
      </c>
      <c r="E24" s="271">
        <f>SUM(E18:E23)</f>
        <v>1350000</v>
      </c>
      <c r="F24" s="265"/>
      <c r="G24" s="267"/>
      <c r="H24" s="267"/>
      <c r="I24" s="267"/>
      <c r="J24" s="265" t="s">
        <v>222</v>
      </c>
      <c r="K24" s="265">
        <v>2</v>
      </c>
      <c r="L24" s="269">
        <v>26000</v>
      </c>
      <c r="M24" s="269">
        <f t="shared" si="10"/>
        <v>52000</v>
      </c>
      <c r="N24" s="250"/>
      <c r="O24" s="250"/>
      <c r="P24" s="250"/>
      <c r="Q24" s="250"/>
    </row>
    <row r="25" spans="1:17" ht="21" hidden="1" x14ac:dyDescent="0.4">
      <c r="A25" s="250"/>
      <c r="B25" s="250"/>
      <c r="C25" s="264" t="s">
        <v>223</v>
      </c>
      <c r="D25" s="265"/>
      <c r="E25" s="265"/>
      <c r="F25" s="265"/>
      <c r="G25" s="267"/>
      <c r="H25" s="267"/>
      <c r="I25" s="267"/>
      <c r="J25" s="265" t="s">
        <v>224</v>
      </c>
      <c r="K25" s="265">
        <v>2</v>
      </c>
      <c r="L25" s="269">
        <v>26000</v>
      </c>
      <c r="M25" s="269">
        <f t="shared" si="10"/>
        <v>52000</v>
      </c>
      <c r="N25" s="250"/>
      <c r="O25" s="250"/>
      <c r="P25" s="250"/>
      <c r="Q25" s="250"/>
    </row>
    <row r="26" spans="1:17" ht="21" hidden="1" x14ac:dyDescent="0.4">
      <c r="A26" s="250"/>
      <c r="B26" s="250"/>
      <c r="C26" s="264"/>
      <c r="D26" s="265"/>
      <c r="E26" s="265"/>
      <c r="F26" s="265"/>
      <c r="G26" s="267"/>
      <c r="H26" s="267"/>
      <c r="I26" s="267"/>
      <c r="J26" s="265"/>
      <c r="K26" s="265"/>
      <c r="L26" s="269"/>
      <c r="M26" s="269">
        <f>SUM(M19:M25)</f>
        <v>1079000</v>
      </c>
      <c r="N26" s="250"/>
      <c r="O26" s="250"/>
      <c r="P26" s="250"/>
      <c r="Q26" s="250"/>
    </row>
    <row r="27" spans="1:17" ht="21" hidden="1" x14ac:dyDescent="0.4">
      <c r="A27" s="250"/>
      <c r="B27" s="250"/>
      <c r="C27" s="272"/>
      <c r="D27" s="267"/>
      <c r="E27" s="267"/>
      <c r="F27" s="267"/>
      <c r="G27" s="267"/>
      <c r="H27" s="267"/>
      <c r="I27" s="267"/>
      <c r="J27" s="273" t="s">
        <v>225</v>
      </c>
      <c r="K27" s="265"/>
      <c r="L27" s="265"/>
      <c r="M27" s="273" t="s">
        <v>226</v>
      </c>
      <c r="N27" s="250"/>
      <c r="O27" s="250"/>
      <c r="P27" s="250"/>
      <c r="Q27" s="250"/>
    </row>
    <row r="28" spans="1:17" ht="21" hidden="1" x14ac:dyDescent="0.4">
      <c r="A28" s="250"/>
      <c r="B28" s="250"/>
      <c r="C28" s="272"/>
      <c r="D28" s="267"/>
      <c r="E28" s="267"/>
      <c r="F28" s="267"/>
      <c r="G28" s="267"/>
      <c r="H28" s="267"/>
      <c r="I28" s="267"/>
      <c r="J28" s="273" t="s">
        <v>227</v>
      </c>
      <c r="K28" s="265"/>
      <c r="L28" s="265"/>
      <c r="M28" s="269">
        <v>0</v>
      </c>
      <c r="N28" s="250"/>
      <c r="O28" s="250"/>
      <c r="P28" s="250"/>
      <c r="Q28" s="250"/>
    </row>
    <row r="29" spans="1:17" ht="21" hidden="1" x14ac:dyDescent="0.4">
      <c r="A29" s="250"/>
      <c r="B29" s="250"/>
      <c r="C29" s="272"/>
      <c r="D29" s="267"/>
      <c r="E29" s="267"/>
      <c r="F29" s="267"/>
      <c r="G29" s="267"/>
      <c r="H29" s="267"/>
      <c r="I29" s="267"/>
      <c r="J29" s="265" t="s">
        <v>228</v>
      </c>
      <c r="K29" s="265"/>
      <c r="L29" s="265"/>
      <c r="M29" s="269">
        <v>15000</v>
      </c>
      <c r="N29" s="250"/>
      <c r="O29" s="250"/>
      <c r="P29" s="250"/>
      <c r="Q29" s="250"/>
    </row>
    <row r="30" spans="1:17" ht="21" hidden="1" x14ac:dyDescent="0.4">
      <c r="A30" s="250"/>
      <c r="B30" s="250"/>
      <c r="C30" s="272"/>
      <c r="D30" s="267"/>
      <c r="E30" s="267"/>
      <c r="F30" s="267"/>
      <c r="G30" s="267"/>
      <c r="H30" s="267"/>
      <c r="I30" s="267"/>
      <c r="J30" s="265" t="s">
        <v>229</v>
      </c>
      <c r="K30" s="265"/>
      <c r="L30" s="265"/>
      <c r="M30" s="269">
        <v>6000</v>
      </c>
      <c r="N30" s="250"/>
      <c r="O30" s="250"/>
      <c r="P30" s="250"/>
      <c r="Q30" s="250"/>
    </row>
    <row r="31" spans="1:17" ht="21" hidden="1" x14ac:dyDescent="0.4">
      <c r="A31" s="250"/>
      <c r="B31" s="250"/>
      <c r="C31" s="272"/>
      <c r="D31" s="267"/>
      <c r="E31" s="267"/>
      <c r="F31" s="267"/>
      <c r="G31" s="267"/>
      <c r="H31" s="267"/>
      <c r="I31" s="267"/>
      <c r="J31" s="265" t="s">
        <v>230</v>
      </c>
      <c r="K31" s="265"/>
      <c r="L31" s="265"/>
      <c r="M31" s="269">
        <v>30000</v>
      </c>
      <c r="N31" s="250"/>
      <c r="O31" s="250"/>
      <c r="P31" s="250"/>
      <c r="Q31" s="250"/>
    </row>
    <row r="32" spans="1:17" ht="21" hidden="1" x14ac:dyDescent="0.4">
      <c r="A32" s="250"/>
      <c r="B32" s="250"/>
      <c r="C32" s="272"/>
      <c r="D32" s="267"/>
      <c r="E32" s="267"/>
      <c r="F32" s="267"/>
      <c r="G32" s="267"/>
      <c r="H32" s="267"/>
      <c r="I32" s="267"/>
      <c r="J32" s="265" t="s">
        <v>231</v>
      </c>
      <c r="K32" s="265"/>
      <c r="L32" s="265"/>
      <c r="M32" s="269">
        <v>125000</v>
      </c>
      <c r="N32" s="250"/>
      <c r="O32" s="250"/>
      <c r="P32" s="250"/>
      <c r="Q32" s="250"/>
    </row>
    <row r="33" spans="1:17" ht="21" hidden="1" x14ac:dyDescent="0.4">
      <c r="A33" s="250"/>
      <c r="B33" s="250"/>
      <c r="C33" s="272"/>
      <c r="D33" s="267"/>
      <c r="E33" s="267"/>
      <c r="F33" s="267"/>
      <c r="G33" s="267"/>
      <c r="H33" s="267"/>
      <c r="I33" s="267"/>
      <c r="J33" s="265" t="s">
        <v>232</v>
      </c>
      <c r="K33" s="265"/>
      <c r="L33" s="265"/>
      <c r="M33" s="269">
        <v>10000</v>
      </c>
      <c r="N33" s="250"/>
      <c r="O33" s="250"/>
      <c r="P33" s="250"/>
      <c r="Q33" s="250"/>
    </row>
    <row r="34" spans="1:17" ht="21" hidden="1" x14ac:dyDescent="0.4">
      <c r="A34" s="250"/>
      <c r="B34" s="250"/>
      <c r="C34" s="272"/>
      <c r="D34" s="267"/>
      <c r="E34" s="267"/>
      <c r="F34" s="267"/>
      <c r="G34" s="267"/>
      <c r="H34" s="267"/>
      <c r="I34" s="267"/>
      <c r="J34" s="265" t="s">
        <v>233</v>
      </c>
      <c r="K34" s="265"/>
      <c r="L34" s="265"/>
      <c r="M34" s="269">
        <v>10000</v>
      </c>
      <c r="N34" s="250"/>
      <c r="O34" s="250"/>
      <c r="P34" s="250"/>
      <c r="Q34" s="250"/>
    </row>
    <row r="35" spans="1:17" ht="21" hidden="1" x14ac:dyDescent="0.4">
      <c r="A35" s="250"/>
      <c r="B35" s="250"/>
      <c r="C35" s="272"/>
      <c r="D35" s="267"/>
      <c r="E35" s="267"/>
      <c r="F35" s="267"/>
      <c r="G35" s="267"/>
      <c r="H35" s="267"/>
      <c r="I35" s="267"/>
      <c r="J35" s="265" t="s">
        <v>234</v>
      </c>
      <c r="K35" s="265"/>
      <c r="L35" s="265"/>
      <c r="M35" s="269">
        <v>5000</v>
      </c>
      <c r="N35" s="250"/>
      <c r="O35" s="250"/>
      <c r="P35" s="250"/>
      <c r="Q35" s="250"/>
    </row>
    <row r="36" spans="1:17" ht="21" hidden="1" x14ac:dyDescent="0.4">
      <c r="A36" s="250"/>
      <c r="B36" s="250"/>
      <c r="C36" s="272"/>
      <c r="D36" s="267"/>
      <c r="E36" s="267"/>
      <c r="F36" s="267"/>
      <c r="G36" s="267"/>
      <c r="H36" s="267"/>
      <c r="I36" s="267"/>
      <c r="J36" s="265" t="s">
        <v>235</v>
      </c>
      <c r="K36" s="265"/>
      <c r="L36" s="265"/>
      <c r="M36" s="269">
        <v>400000</v>
      </c>
      <c r="N36" s="250"/>
      <c r="O36" s="250"/>
      <c r="P36" s="250"/>
      <c r="Q36" s="250"/>
    </row>
    <row r="37" spans="1:17" ht="21" hidden="1" x14ac:dyDescent="0.4">
      <c r="A37" s="250"/>
      <c r="B37" s="250"/>
      <c r="C37" s="272"/>
      <c r="D37" s="267"/>
      <c r="E37" s="267"/>
      <c r="F37" s="267"/>
      <c r="G37" s="267"/>
      <c r="H37" s="267"/>
      <c r="I37" s="267"/>
      <c r="J37" s="265" t="s">
        <v>236</v>
      </c>
      <c r="K37" s="265"/>
      <c r="L37" s="265"/>
      <c r="M37" s="269">
        <v>28000</v>
      </c>
      <c r="N37" s="250"/>
      <c r="O37" s="250"/>
      <c r="P37" s="250"/>
      <c r="Q37" s="250"/>
    </row>
    <row r="38" spans="1:17" ht="21" hidden="1" x14ac:dyDescent="0.4">
      <c r="A38" s="250"/>
      <c r="B38" s="250"/>
      <c r="C38" s="272"/>
      <c r="D38" s="267"/>
      <c r="E38" s="267"/>
      <c r="F38" s="267"/>
      <c r="G38" s="267"/>
      <c r="H38" s="267"/>
      <c r="I38" s="267"/>
      <c r="J38" s="265" t="s">
        <v>237</v>
      </c>
      <c r="K38" s="265"/>
      <c r="L38" s="265"/>
      <c r="M38" s="269">
        <v>7000</v>
      </c>
      <c r="N38" s="250"/>
      <c r="O38" s="250"/>
      <c r="P38" s="250"/>
      <c r="Q38" s="250"/>
    </row>
    <row r="39" spans="1:17" ht="21" hidden="1" x14ac:dyDescent="0.4">
      <c r="A39" s="250"/>
      <c r="B39" s="250"/>
      <c r="C39" s="272"/>
      <c r="D39" s="267"/>
      <c r="E39" s="267"/>
      <c r="F39" s="267"/>
      <c r="G39" s="267"/>
      <c r="H39" s="267"/>
      <c r="I39" s="267"/>
      <c r="J39" s="265" t="s">
        <v>238</v>
      </c>
      <c r="K39" s="265"/>
      <c r="L39" s="265"/>
      <c r="M39" s="274" t="s">
        <v>226</v>
      </c>
      <c r="N39" s="250"/>
      <c r="O39" s="250"/>
      <c r="P39" s="250"/>
      <c r="Q39" s="250"/>
    </row>
    <row r="40" spans="1:17" ht="21" hidden="1" x14ac:dyDescent="0.4">
      <c r="A40" s="250"/>
      <c r="B40" s="250"/>
      <c r="C40" s="272"/>
      <c r="D40" s="267"/>
      <c r="E40" s="267"/>
      <c r="F40" s="267"/>
      <c r="G40" s="267"/>
      <c r="H40" s="267"/>
      <c r="I40" s="267"/>
      <c r="J40" s="265" t="s">
        <v>239</v>
      </c>
      <c r="K40" s="265"/>
      <c r="L40" s="265"/>
      <c r="M40" s="274" t="s">
        <v>226</v>
      </c>
      <c r="N40" s="250"/>
      <c r="O40" s="250"/>
      <c r="P40" s="250"/>
      <c r="Q40" s="250"/>
    </row>
    <row r="41" spans="1:17" ht="21" hidden="1" x14ac:dyDescent="0.4">
      <c r="A41" s="250"/>
      <c r="B41" s="250"/>
      <c r="C41" s="272"/>
      <c r="D41" s="267"/>
      <c r="E41" s="267"/>
      <c r="F41" s="267"/>
      <c r="G41" s="267"/>
      <c r="H41" s="267"/>
      <c r="I41" s="267"/>
      <c r="J41" s="265" t="s">
        <v>240</v>
      </c>
      <c r="K41" s="265"/>
      <c r="L41" s="265"/>
      <c r="M41" s="274" t="s">
        <v>226</v>
      </c>
      <c r="N41" s="250"/>
      <c r="O41" s="250"/>
      <c r="P41" s="250"/>
      <c r="Q41" s="250"/>
    </row>
    <row r="42" spans="1:17" ht="21" hidden="1" x14ac:dyDescent="0.4">
      <c r="A42" s="250"/>
      <c r="B42" s="250"/>
      <c r="C42" s="272"/>
      <c r="D42" s="267"/>
      <c r="E42" s="267"/>
      <c r="F42" s="267"/>
      <c r="G42" s="267"/>
      <c r="H42" s="267"/>
      <c r="I42" s="267"/>
      <c r="J42" s="265" t="s">
        <v>241</v>
      </c>
      <c r="K42" s="265"/>
      <c r="L42" s="265"/>
      <c r="M42" s="274" t="s">
        <v>226</v>
      </c>
      <c r="N42" s="250"/>
      <c r="O42" s="250"/>
      <c r="P42" s="250"/>
      <c r="Q42" s="250"/>
    </row>
    <row r="43" spans="1:17" ht="21" hidden="1" x14ac:dyDescent="0.4">
      <c r="A43" s="250"/>
      <c r="B43" s="250"/>
      <c r="C43" s="272"/>
      <c r="D43" s="267"/>
      <c r="E43" s="267"/>
      <c r="F43" s="267"/>
      <c r="G43" s="267"/>
      <c r="H43" s="267"/>
      <c r="I43" s="267"/>
      <c r="J43" s="265" t="s">
        <v>242</v>
      </c>
      <c r="K43" s="265"/>
      <c r="L43" s="265"/>
      <c r="M43" s="269">
        <v>60000</v>
      </c>
      <c r="N43" s="250"/>
      <c r="O43" s="250"/>
      <c r="P43" s="250"/>
      <c r="Q43" s="250"/>
    </row>
    <row r="44" spans="1:17" ht="21" hidden="1" x14ac:dyDescent="0.4">
      <c r="A44" s="250"/>
      <c r="B44" s="250"/>
      <c r="C44" s="272"/>
      <c r="D44" s="267"/>
      <c r="E44" s="267"/>
      <c r="F44" s="267"/>
      <c r="G44" s="267"/>
      <c r="H44" s="267"/>
      <c r="I44" s="267"/>
      <c r="J44" s="265" t="s">
        <v>243</v>
      </c>
      <c r="K44" s="265"/>
      <c r="L44" s="265"/>
      <c r="M44" s="269">
        <v>0</v>
      </c>
      <c r="N44" s="250"/>
      <c r="O44" s="250"/>
      <c r="P44" s="250"/>
      <c r="Q44" s="250"/>
    </row>
    <row r="45" spans="1:17" ht="21" hidden="1" x14ac:dyDescent="0.4">
      <c r="A45" s="250"/>
      <c r="B45" s="250"/>
      <c r="C45" s="272"/>
      <c r="D45" s="267"/>
      <c r="E45" s="267"/>
      <c r="F45" s="267"/>
      <c r="G45" s="267"/>
      <c r="H45" s="267"/>
      <c r="I45" s="267"/>
      <c r="J45" s="265"/>
      <c r="K45" s="265"/>
      <c r="L45" s="265"/>
      <c r="M45" s="269">
        <f>SUM(M29:M44)</f>
        <v>696000</v>
      </c>
      <c r="N45" s="250"/>
      <c r="O45" s="250"/>
      <c r="P45" s="250"/>
      <c r="Q45" s="250"/>
    </row>
    <row r="46" spans="1:17" ht="21" hidden="1" x14ac:dyDescent="0.4">
      <c r="A46" s="250"/>
      <c r="B46" s="250"/>
      <c r="C46" s="272"/>
      <c r="D46" s="267"/>
      <c r="E46" s="267"/>
      <c r="F46" s="267"/>
      <c r="G46" s="267"/>
      <c r="H46" s="267"/>
      <c r="I46" s="267"/>
      <c r="J46" s="265"/>
      <c r="K46" s="265"/>
      <c r="L46" s="265"/>
      <c r="M46" s="275">
        <f>SUM(M45+M26)</f>
        <v>1775000</v>
      </c>
      <c r="N46" s="250"/>
      <c r="O46" s="250"/>
      <c r="P46" s="250"/>
      <c r="Q46" s="250"/>
    </row>
    <row r="47" spans="1:17" ht="21" hidden="1" x14ac:dyDescent="0.4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</row>
    <row r="48" spans="1:17" ht="21" hidden="1" x14ac:dyDescent="0.4">
      <c r="A48" s="250"/>
      <c r="B48" s="250"/>
      <c r="C48" s="250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</row>
    <row r="49" spans="1:17" ht="21" hidden="1" x14ac:dyDescent="0.4">
      <c r="A49" s="250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</row>
    <row r="50" spans="1:17" ht="21" hidden="1" x14ac:dyDescent="0.4">
      <c r="A50" s="250"/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</row>
    <row r="51" spans="1:17" ht="21" hidden="1" x14ac:dyDescent="0.4">
      <c r="A51" s="250"/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</row>
    <row r="52" spans="1:17" ht="21" hidden="1" x14ac:dyDescent="0.4">
      <c r="A52" s="250"/>
      <c r="B52" s="250"/>
      <c r="C52" s="250"/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19" zoomScale="69" workbookViewId="0">
      <selection activeCell="B9" sqref="B9"/>
    </sheetView>
  </sheetViews>
  <sheetFormatPr defaultRowHeight="13.2" x14ac:dyDescent="0.25"/>
  <cols>
    <col min="1" max="1" width="4.109375" style="150" customWidth="1"/>
    <col min="2" max="2" width="18.6640625" style="150" customWidth="1"/>
    <col min="3" max="3" width="12.88671875" style="150" customWidth="1"/>
    <col min="4" max="4" width="13.109375" style="150" customWidth="1"/>
    <col min="5" max="256" width="9.109375" style="150"/>
    <col min="257" max="257" width="4.109375" style="150" customWidth="1"/>
    <col min="258" max="258" width="18.6640625" style="150" customWidth="1"/>
    <col min="259" max="512" width="9.109375" style="150"/>
    <col min="513" max="513" width="4.109375" style="150" customWidth="1"/>
    <col min="514" max="514" width="18.6640625" style="150" customWidth="1"/>
    <col min="515" max="768" width="9.109375" style="150"/>
    <col min="769" max="769" width="4.109375" style="150" customWidth="1"/>
    <col min="770" max="770" width="18.6640625" style="150" customWidth="1"/>
    <col min="771" max="1024" width="9.109375" style="150"/>
    <col min="1025" max="1025" width="4.109375" style="150" customWidth="1"/>
    <col min="1026" max="1026" width="18.6640625" style="150" customWidth="1"/>
    <col min="1027" max="1280" width="9.109375" style="150"/>
    <col min="1281" max="1281" width="4.109375" style="150" customWidth="1"/>
    <col min="1282" max="1282" width="18.6640625" style="150" customWidth="1"/>
    <col min="1283" max="1536" width="9.109375" style="150"/>
    <col min="1537" max="1537" width="4.109375" style="150" customWidth="1"/>
    <col min="1538" max="1538" width="18.6640625" style="150" customWidth="1"/>
    <col min="1539" max="1792" width="9.109375" style="150"/>
    <col min="1793" max="1793" width="4.109375" style="150" customWidth="1"/>
    <col min="1794" max="1794" width="18.6640625" style="150" customWidth="1"/>
    <col min="1795" max="2048" width="9.109375" style="150"/>
    <col min="2049" max="2049" width="4.109375" style="150" customWidth="1"/>
    <col min="2050" max="2050" width="18.6640625" style="150" customWidth="1"/>
    <col min="2051" max="2304" width="9.109375" style="150"/>
    <col min="2305" max="2305" width="4.109375" style="150" customWidth="1"/>
    <col min="2306" max="2306" width="18.6640625" style="150" customWidth="1"/>
    <col min="2307" max="2560" width="9.109375" style="150"/>
    <col min="2561" max="2561" width="4.109375" style="150" customWidth="1"/>
    <col min="2562" max="2562" width="18.6640625" style="150" customWidth="1"/>
    <col min="2563" max="2816" width="9.109375" style="150"/>
    <col min="2817" max="2817" width="4.109375" style="150" customWidth="1"/>
    <col min="2818" max="2818" width="18.6640625" style="150" customWidth="1"/>
    <col min="2819" max="3072" width="9.109375" style="150"/>
    <col min="3073" max="3073" width="4.109375" style="150" customWidth="1"/>
    <col min="3074" max="3074" width="18.6640625" style="150" customWidth="1"/>
    <col min="3075" max="3328" width="9.109375" style="150"/>
    <col min="3329" max="3329" width="4.109375" style="150" customWidth="1"/>
    <col min="3330" max="3330" width="18.6640625" style="150" customWidth="1"/>
    <col min="3331" max="3584" width="9.109375" style="150"/>
    <col min="3585" max="3585" width="4.109375" style="150" customWidth="1"/>
    <col min="3586" max="3586" width="18.6640625" style="150" customWidth="1"/>
    <col min="3587" max="3840" width="9.109375" style="150"/>
    <col min="3841" max="3841" width="4.109375" style="150" customWidth="1"/>
    <col min="3842" max="3842" width="18.6640625" style="150" customWidth="1"/>
    <col min="3843" max="4096" width="9.109375" style="150"/>
    <col min="4097" max="4097" width="4.109375" style="150" customWidth="1"/>
    <col min="4098" max="4098" width="18.6640625" style="150" customWidth="1"/>
    <col min="4099" max="4352" width="9.109375" style="150"/>
    <col min="4353" max="4353" width="4.109375" style="150" customWidth="1"/>
    <col min="4354" max="4354" width="18.6640625" style="150" customWidth="1"/>
    <col min="4355" max="4608" width="9.109375" style="150"/>
    <col min="4609" max="4609" width="4.109375" style="150" customWidth="1"/>
    <col min="4610" max="4610" width="18.6640625" style="150" customWidth="1"/>
    <col min="4611" max="4864" width="9.109375" style="150"/>
    <col min="4865" max="4865" width="4.109375" style="150" customWidth="1"/>
    <col min="4866" max="4866" width="18.6640625" style="150" customWidth="1"/>
    <col min="4867" max="5120" width="9.109375" style="150"/>
    <col min="5121" max="5121" width="4.109375" style="150" customWidth="1"/>
    <col min="5122" max="5122" width="18.6640625" style="150" customWidth="1"/>
    <col min="5123" max="5376" width="9.109375" style="150"/>
    <col min="5377" max="5377" width="4.109375" style="150" customWidth="1"/>
    <col min="5378" max="5378" width="18.6640625" style="150" customWidth="1"/>
    <col min="5379" max="5632" width="9.109375" style="150"/>
    <col min="5633" max="5633" width="4.109375" style="150" customWidth="1"/>
    <col min="5634" max="5634" width="18.6640625" style="150" customWidth="1"/>
    <col min="5635" max="5888" width="9.109375" style="150"/>
    <col min="5889" max="5889" width="4.109375" style="150" customWidth="1"/>
    <col min="5890" max="5890" width="18.6640625" style="150" customWidth="1"/>
    <col min="5891" max="6144" width="9.109375" style="150"/>
    <col min="6145" max="6145" width="4.109375" style="150" customWidth="1"/>
    <col min="6146" max="6146" width="18.6640625" style="150" customWidth="1"/>
    <col min="6147" max="6400" width="9.109375" style="150"/>
    <col min="6401" max="6401" width="4.109375" style="150" customWidth="1"/>
    <col min="6402" max="6402" width="18.6640625" style="150" customWidth="1"/>
    <col min="6403" max="6656" width="9.109375" style="150"/>
    <col min="6657" max="6657" width="4.109375" style="150" customWidth="1"/>
    <col min="6658" max="6658" width="18.6640625" style="150" customWidth="1"/>
    <col min="6659" max="6912" width="9.109375" style="150"/>
    <col min="6913" max="6913" width="4.109375" style="150" customWidth="1"/>
    <col min="6914" max="6914" width="18.6640625" style="150" customWidth="1"/>
    <col min="6915" max="7168" width="9.109375" style="150"/>
    <col min="7169" max="7169" width="4.109375" style="150" customWidth="1"/>
    <col min="7170" max="7170" width="18.6640625" style="150" customWidth="1"/>
    <col min="7171" max="7424" width="9.109375" style="150"/>
    <col min="7425" max="7425" width="4.109375" style="150" customWidth="1"/>
    <col min="7426" max="7426" width="18.6640625" style="150" customWidth="1"/>
    <col min="7427" max="7680" width="9.109375" style="150"/>
    <col min="7681" max="7681" width="4.109375" style="150" customWidth="1"/>
    <col min="7682" max="7682" width="18.6640625" style="150" customWidth="1"/>
    <col min="7683" max="7936" width="9.109375" style="150"/>
    <col min="7937" max="7937" width="4.109375" style="150" customWidth="1"/>
    <col min="7938" max="7938" width="18.6640625" style="150" customWidth="1"/>
    <col min="7939" max="8192" width="9.109375" style="150"/>
    <col min="8193" max="8193" width="4.109375" style="150" customWidth="1"/>
    <col min="8194" max="8194" width="18.6640625" style="150" customWidth="1"/>
    <col min="8195" max="8448" width="9.109375" style="150"/>
    <col min="8449" max="8449" width="4.109375" style="150" customWidth="1"/>
    <col min="8450" max="8450" width="18.6640625" style="150" customWidth="1"/>
    <col min="8451" max="8704" width="9.109375" style="150"/>
    <col min="8705" max="8705" width="4.109375" style="150" customWidth="1"/>
    <col min="8706" max="8706" width="18.6640625" style="150" customWidth="1"/>
    <col min="8707" max="8960" width="9.109375" style="150"/>
    <col min="8961" max="8961" width="4.109375" style="150" customWidth="1"/>
    <col min="8962" max="8962" width="18.6640625" style="150" customWidth="1"/>
    <col min="8963" max="9216" width="9.109375" style="150"/>
    <col min="9217" max="9217" width="4.109375" style="150" customWidth="1"/>
    <col min="9218" max="9218" width="18.6640625" style="150" customWidth="1"/>
    <col min="9219" max="9472" width="9.109375" style="150"/>
    <col min="9473" max="9473" width="4.109375" style="150" customWidth="1"/>
    <col min="9474" max="9474" width="18.6640625" style="150" customWidth="1"/>
    <col min="9475" max="9728" width="9.109375" style="150"/>
    <col min="9729" max="9729" width="4.109375" style="150" customWidth="1"/>
    <col min="9730" max="9730" width="18.6640625" style="150" customWidth="1"/>
    <col min="9731" max="9984" width="9.109375" style="150"/>
    <col min="9985" max="9985" width="4.109375" style="150" customWidth="1"/>
    <col min="9986" max="9986" width="18.6640625" style="150" customWidth="1"/>
    <col min="9987" max="10240" width="9.109375" style="150"/>
    <col min="10241" max="10241" width="4.109375" style="150" customWidth="1"/>
    <col min="10242" max="10242" width="18.6640625" style="150" customWidth="1"/>
    <col min="10243" max="10496" width="9.109375" style="150"/>
    <col min="10497" max="10497" width="4.109375" style="150" customWidth="1"/>
    <col min="10498" max="10498" width="18.6640625" style="150" customWidth="1"/>
    <col min="10499" max="10752" width="9.109375" style="150"/>
    <col min="10753" max="10753" width="4.109375" style="150" customWidth="1"/>
    <col min="10754" max="10754" width="18.6640625" style="150" customWidth="1"/>
    <col min="10755" max="11008" width="9.109375" style="150"/>
    <col min="11009" max="11009" width="4.109375" style="150" customWidth="1"/>
    <col min="11010" max="11010" width="18.6640625" style="150" customWidth="1"/>
    <col min="11011" max="11264" width="9.109375" style="150"/>
    <col min="11265" max="11265" width="4.109375" style="150" customWidth="1"/>
    <col min="11266" max="11266" width="18.6640625" style="150" customWidth="1"/>
    <col min="11267" max="11520" width="9.109375" style="150"/>
    <col min="11521" max="11521" width="4.109375" style="150" customWidth="1"/>
    <col min="11522" max="11522" width="18.6640625" style="150" customWidth="1"/>
    <col min="11523" max="11776" width="9.109375" style="150"/>
    <col min="11777" max="11777" width="4.109375" style="150" customWidth="1"/>
    <col min="11778" max="11778" width="18.6640625" style="150" customWidth="1"/>
    <col min="11779" max="12032" width="9.109375" style="150"/>
    <col min="12033" max="12033" width="4.109375" style="150" customWidth="1"/>
    <col min="12034" max="12034" width="18.6640625" style="150" customWidth="1"/>
    <col min="12035" max="12288" width="9.109375" style="150"/>
    <col min="12289" max="12289" width="4.109375" style="150" customWidth="1"/>
    <col min="12290" max="12290" width="18.6640625" style="150" customWidth="1"/>
    <col min="12291" max="12544" width="9.109375" style="150"/>
    <col min="12545" max="12545" width="4.109375" style="150" customWidth="1"/>
    <col min="12546" max="12546" width="18.6640625" style="150" customWidth="1"/>
    <col min="12547" max="12800" width="9.109375" style="150"/>
    <col min="12801" max="12801" width="4.109375" style="150" customWidth="1"/>
    <col min="12802" max="12802" width="18.6640625" style="150" customWidth="1"/>
    <col min="12803" max="13056" width="9.109375" style="150"/>
    <col min="13057" max="13057" width="4.109375" style="150" customWidth="1"/>
    <col min="13058" max="13058" width="18.6640625" style="150" customWidth="1"/>
    <col min="13059" max="13312" width="9.109375" style="150"/>
    <col min="13313" max="13313" width="4.109375" style="150" customWidth="1"/>
    <col min="13314" max="13314" width="18.6640625" style="150" customWidth="1"/>
    <col min="13315" max="13568" width="9.109375" style="150"/>
    <col min="13569" max="13569" width="4.109375" style="150" customWidth="1"/>
    <col min="13570" max="13570" width="18.6640625" style="150" customWidth="1"/>
    <col min="13571" max="13824" width="9.109375" style="150"/>
    <col min="13825" max="13825" width="4.109375" style="150" customWidth="1"/>
    <col min="13826" max="13826" width="18.6640625" style="150" customWidth="1"/>
    <col min="13827" max="14080" width="9.109375" style="150"/>
    <col min="14081" max="14081" width="4.109375" style="150" customWidth="1"/>
    <col min="14082" max="14082" width="18.6640625" style="150" customWidth="1"/>
    <col min="14083" max="14336" width="9.109375" style="150"/>
    <col min="14337" max="14337" width="4.109375" style="150" customWidth="1"/>
    <col min="14338" max="14338" width="18.6640625" style="150" customWidth="1"/>
    <col min="14339" max="14592" width="9.109375" style="150"/>
    <col min="14593" max="14593" width="4.109375" style="150" customWidth="1"/>
    <col min="14594" max="14594" width="18.6640625" style="150" customWidth="1"/>
    <col min="14595" max="14848" width="9.109375" style="150"/>
    <col min="14849" max="14849" width="4.109375" style="150" customWidth="1"/>
    <col min="14850" max="14850" width="18.6640625" style="150" customWidth="1"/>
    <col min="14851" max="15104" width="9.109375" style="150"/>
    <col min="15105" max="15105" width="4.109375" style="150" customWidth="1"/>
    <col min="15106" max="15106" width="18.6640625" style="150" customWidth="1"/>
    <col min="15107" max="15360" width="9.109375" style="150"/>
    <col min="15361" max="15361" width="4.109375" style="150" customWidth="1"/>
    <col min="15362" max="15362" width="18.6640625" style="150" customWidth="1"/>
    <col min="15363" max="15616" width="9.109375" style="150"/>
    <col min="15617" max="15617" width="4.109375" style="150" customWidth="1"/>
    <col min="15618" max="15618" width="18.6640625" style="150" customWidth="1"/>
    <col min="15619" max="15872" width="9.109375" style="150"/>
    <col min="15873" max="15873" width="4.109375" style="150" customWidth="1"/>
    <col min="15874" max="15874" width="18.6640625" style="150" customWidth="1"/>
    <col min="15875" max="16128" width="9.109375" style="150"/>
    <col min="16129" max="16129" width="4.109375" style="150" customWidth="1"/>
    <col min="16130" max="16130" width="18.6640625" style="150" customWidth="1"/>
    <col min="16131" max="16384" width="9.109375" style="150"/>
  </cols>
  <sheetData>
    <row r="1" spans="1:4" x14ac:dyDescent="0.25">
      <c r="A1" s="149"/>
    </row>
    <row r="2" spans="1:4" ht="15.6" x14ac:dyDescent="0.3">
      <c r="B2" s="151" t="s">
        <v>116</v>
      </c>
    </row>
    <row r="3" spans="1:4" x14ac:dyDescent="0.25">
      <c r="B3" s="150" t="str">
        <f>+'DF A1'!A4</f>
        <v>PROPOSAL # : 101</v>
      </c>
    </row>
    <row r="4" spans="1:4" s="152" customFormat="1" ht="13.8" x14ac:dyDescent="0.3">
      <c r="B4" s="152">
        <f>+'DF A1'!J6</f>
        <v>0</v>
      </c>
    </row>
    <row r="5" spans="1:4" s="152" customFormat="1" ht="13.8" x14ac:dyDescent="0.3">
      <c r="B5" s="152" t="str">
        <f>+'DF A1'!A10</f>
        <v>Installation of Petrol Pump at _________________</v>
      </c>
    </row>
    <row r="6" spans="1:4" s="152" customFormat="1" ht="14.4" thickBot="1" x14ac:dyDescent="0.35"/>
    <row r="7" spans="1:4" s="152" customFormat="1" ht="14.4" thickBot="1" x14ac:dyDescent="0.35">
      <c r="B7" s="357" t="s">
        <v>117</v>
      </c>
      <c r="C7" s="357"/>
      <c r="D7" s="357"/>
    </row>
    <row r="8" spans="1:4" s="152" customFormat="1" ht="28.5" customHeight="1" thickBot="1" x14ac:dyDescent="0.35">
      <c r="B8" s="153" t="s">
        <v>118</v>
      </c>
      <c r="C8" s="153" t="s">
        <v>119</v>
      </c>
      <c r="D8" s="153" t="s">
        <v>120</v>
      </c>
    </row>
    <row r="9" spans="1:4" s="152" customFormat="1" ht="14.4" thickBot="1" x14ac:dyDescent="0.35">
      <c r="B9" s="154">
        <f>+Investment!H32</f>
        <v>80530000</v>
      </c>
      <c r="C9" s="277">
        <v>1.33E-3</v>
      </c>
      <c r="D9" s="155">
        <f>+C9*B9</f>
        <v>107104.90000000001</v>
      </c>
    </row>
    <row r="10" spans="1:4" s="152" customFormat="1" ht="14.4" thickBot="1" x14ac:dyDescent="0.35"/>
    <row r="11" spans="1:4" s="152" customFormat="1" ht="14.4" thickBot="1" x14ac:dyDescent="0.35">
      <c r="B11" s="357" t="s">
        <v>148</v>
      </c>
      <c r="C11" s="357"/>
      <c r="D11" s="357"/>
    </row>
    <row r="12" spans="1:4" s="152" customFormat="1" ht="28.2" thickBot="1" x14ac:dyDescent="0.35">
      <c r="B12" s="153" t="s">
        <v>118</v>
      </c>
      <c r="C12" s="153" t="s">
        <v>119</v>
      </c>
      <c r="D12" s="153" t="s">
        <v>120</v>
      </c>
    </row>
    <row r="13" spans="1:4" s="152" customFormat="1" ht="14.4" thickBot="1" x14ac:dyDescent="0.35">
      <c r="B13" s="155">
        <f>+Investment!H22+Investment!H23+Investment!H24+Investment!H25</f>
        <v>30000000</v>
      </c>
      <c r="C13" s="277">
        <v>2.3084999999999998E-3</v>
      </c>
      <c r="D13" s="155">
        <f>+C13*B13</f>
        <v>69255</v>
      </c>
    </row>
    <row r="14" spans="1:4" s="152" customFormat="1" ht="14.4" thickBot="1" x14ac:dyDescent="0.35"/>
    <row r="15" spans="1:4" s="152" customFormat="1" ht="14.4" thickBot="1" x14ac:dyDescent="0.35">
      <c r="B15" s="357" t="s">
        <v>121</v>
      </c>
      <c r="C15" s="357"/>
      <c r="D15" s="357"/>
    </row>
    <row r="16" spans="1:4" s="152" customFormat="1" ht="28.2" thickBot="1" x14ac:dyDescent="0.35">
      <c r="B16" s="153" t="s">
        <v>118</v>
      </c>
      <c r="C16" s="153" t="s">
        <v>119</v>
      </c>
      <c r="D16" s="153" t="s">
        <v>120</v>
      </c>
    </row>
    <row r="17" spans="2:4" s="152" customFormat="1" ht="14.4" thickBot="1" x14ac:dyDescent="0.35">
      <c r="B17" s="155">
        <v>0</v>
      </c>
      <c r="C17" s="277">
        <v>7.8375000000000007E-3</v>
      </c>
      <c r="D17" s="155">
        <f>+C17*B17</f>
        <v>0</v>
      </c>
    </row>
    <row r="18" spans="2:4" s="152" customFormat="1" ht="14.4" thickBot="1" x14ac:dyDescent="0.35">
      <c r="B18" s="156"/>
      <c r="C18" s="157"/>
      <c r="D18" s="156"/>
    </row>
    <row r="19" spans="2:4" s="152" customFormat="1" ht="14.4" thickBot="1" x14ac:dyDescent="0.35">
      <c r="B19" s="357" t="s">
        <v>122</v>
      </c>
      <c r="C19" s="357"/>
      <c r="D19" s="357"/>
    </row>
    <row r="20" spans="2:4" s="152" customFormat="1" ht="28.2" thickBot="1" x14ac:dyDescent="0.35">
      <c r="B20" s="153" t="s">
        <v>118</v>
      </c>
      <c r="C20" s="153" t="s">
        <v>119</v>
      </c>
      <c r="D20" s="153" t="s">
        <v>120</v>
      </c>
    </row>
    <row r="21" spans="2:4" s="152" customFormat="1" ht="14.4" thickBot="1" x14ac:dyDescent="0.35">
      <c r="B21" s="155">
        <v>0</v>
      </c>
      <c r="C21" s="277">
        <v>3.8E-3</v>
      </c>
      <c r="D21" s="155">
        <f>+C21*B21</f>
        <v>0</v>
      </c>
    </row>
    <row r="22" spans="2:4" s="152" customFormat="1" ht="14.4" thickBot="1" x14ac:dyDescent="0.35"/>
    <row r="23" spans="2:4" s="152" customFormat="1" ht="14.4" thickBot="1" x14ac:dyDescent="0.35">
      <c r="B23" s="357" t="s">
        <v>149</v>
      </c>
      <c r="C23" s="357"/>
      <c r="D23" s="357"/>
    </row>
    <row r="24" spans="2:4" s="152" customFormat="1" ht="28.2" thickBot="1" x14ac:dyDescent="0.35">
      <c r="B24" s="153" t="s">
        <v>118</v>
      </c>
      <c r="C24" s="153" t="s">
        <v>119</v>
      </c>
      <c r="D24" s="153" t="s">
        <v>120</v>
      </c>
    </row>
    <row r="25" spans="2:4" s="152" customFormat="1" ht="14.4" thickBot="1" x14ac:dyDescent="0.35">
      <c r="B25" s="155">
        <v>0</v>
      </c>
      <c r="C25" s="277">
        <v>2.1185000000000002E-3</v>
      </c>
      <c r="D25" s="155">
        <f>+C25*B25</f>
        <v>0</v>
      </c>
    </row>
    <row r="26" spans="2:4" s="152" customFormat="1" ht="14.4" thickBot="1" x14ac:dyDescent="0.35">
      <c r="B26" s="156"/>
      <c r="C26" s="157"/>
      <c r="D26" s="156"/>
    </row>
    <row r="27" spans="2:4" s="152" customFormat="1" ht="14.4" thickBot="1" x14ac:dyDescent="0.35">
      <c r="B27" s="357" t="s">
        <v>150</v>
      </c>
      <c r="C27" s="357"/>
      <c r="D27" s="357"/>
    </row>
    <row r="28" spans="2:4" s="152" customFormat="1" ht="28.2" thickBot="1" x14ac:dyDescent="0.35">
      <c r="B28" s="153" t="s">
        <v>118</v>
      </c>
      <c r="C28" s="153" t="s">
        <v>119</v>
      </c>
      <c r="D28" s="153" t="s">
        <v>120</v>
      </c>
    </row>
    <row r="29" spans="2:4" s="152" customFormat="1" ht="14.4" thickBot="1" x14ac:dyDescent="0.35">
      <c r="B29" s="155">
        <v>0</v>
      </c>
      <c r="C29" s="277">
        <f>+C13</f>
        <v>2.3084999999999998E-3</v>
      </c>
      <c r="D29" s="155">
        <f>+C29*B29</f>
        <v>0</v>
      </c>
    </row>
    <row r="30" spans="2:4" s="152" customFormat="1" ht="14.4" thickBot="1" x14ac:dyDescent="0.35">
      <c r="B30" s="156"/>
      <c r="C30" s="157"/>
      <c r="D30" s="156"/>
    </row>
    <row r="31" spans="2:4" s="152" customFormat="1" ht="14.4" thickBot="1" x14ac:dyDescent="0.35">
      <c r="B31" s="357" t="s">
        <v>123</v>
      </c>
      <c r="C31" s="357"/>
      <c r="D31" s="357"/>
    </row>
    <row r="32" spans="2:4" s="152" customFormat="1" ht="28.2" thickBot="1" x14ac:dyDescent="0.35">
      <c r="B32" s="153" t="s">
        <v>118</v>
      </c>
      <c r="C32" s="153" t="s">
        <v>119</v>
      </c>
      <c r="D32" s="153" t="s">
        <v>120</v>
      </c>
    </row>
    <row r="33" spans="2:4" s="152" customFormat="1" ht="14.4" thickBot="1" x14ac:dyDescent="0.35">
      <c r="B33" s="155">
        <v>0</v>
      </c>
      <c r="C33" s="277">
        <f>+C13</f>
        <v>2.3084999999999998E-3</v>
      </c>
      <c r="D33" s="155">
        <f>+C33*B33</f>
        <v>0</v>
      </c>
    </row>
    <row r="34" spans="2:4" s="152" customFormat="1" ht="14.4" thickBot="1" x14ac:dyDescent="0.35">
      <c r="B34" s="156"/>
      <c r="C34" s="157"/>
      <c r="D34" s="156"/>
    </row>
    <row r="35" spans="2:4" s="152" customFormat="1" ht="14.4" thickBot="1" x14ac:dyDescent="0.35">
      <c r="B35" s="357" t="s">
        <v>151</v>
      </c>
      <c r="C35" s="357"/>
      <c r="D35" s="357"/>
    </row>
    <row r="36" spans="2:4" s="152" customFormat="1" ht="28.2" thickBot="1" x14ac:dyDescent="0.35">
      <c r="B36" s="153" t="s">
        <v>118</v>
      </c>
      <c r="C36" s="153" t="s">
        <v>119</v>
      </c>
      <c r="D36" s="153" t="s">
        <v>120</v>
      </c>
    </row>
    <row r="37" spans="2:4" s="152" customFormat="1" ht="14.4" thickBot="1" x14ac:dyDescent="0.35">
      <c r="B37" s="155">
        <v>0</v>
      </c>
      <c r="C37" s="277">
        <f>+C13</f>
        <v>2.3084999999999998E-3</v>
      </c>
      <c r="D37" s="155">
        <f>+C37*B37</f>
        <v>0</v>
      </c>
    </row>
    <row r="38" spans="2:4" s="152" customFormat="1" ht="13.8" x14ac:dyDescent="0.3"/>
    <row r="39" spans="2:4" s="152" customFormat="1" ht="14.4" thickBot="1" x14ac:dyDescent="0.35">
      <c r="B39" s="158" t="s">
        <v>124</v>
      </c>
      <c r="C39" s="159"/>
      <c r="D39" s="160">
        <f>+D9+D13+D17+D21+D25+D29+D33</f>
        <v>176359.90000000002</v>
      </c>
    </row>
    <row r="40" spans="2:4" s="152" customFormat="1" ht="14.4" thickTop="1" x14ac:dyDescent="0.3"/>
  </sheetData>
  <mergeCells count="8">
    <mergeCell ref="B31:D31"/>
    <mergeCell ref="B35:D35"/>
    <mergeCell ref="B7:D7"/>
    <mergeCell ref="B11:D11"/>
    <mergeCell ref="B15:D15"/>
    <mergeCell ref="B19:D19"/>
    <mergeCell ref="B23:D23"/>
    <mergeCell ref="B27:D27"/>
  </mergeCells>
  <pageMargins left="0.7" right="0.7" top="0.75" bottom="0.75" header="0.3" footer="0.3"/>
  <pageSetup orientation="portrait" r:id="rId1"/>
  <headerFooter alignWithMargins="0">
    <oddHeader>&amp;R&amp;"-,Bold"RETAIL-FM004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DF A1</vt:lpstr>
      <vt:lpstr>Investment</vt:lpstr>
      <vt:lpstr>sales</vt:lpstr>
      <vt:lpstr>Insurance DF A1</vt:lpstr>
      <vt:lpstr>'DF A1'!Print_Area</vt:lpstr>
      <vt:lpstr>Investment!Print_Area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2025-03-30T01:59:41Z</dcterms:modified>
</cp:coreProperties>
</file>