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maver\Desktop\SkyforgeAelinetScraper\"/>
    </mc:Choice>
  </mc:AlternateContent>
  <bookViews>
    <workbookView xWindow="0" yWindow="0" windowWidth="38400" windowHeight="17430" activeTab="1"/>
  </bookViews>
  <sheets>
    <sheet name="2016" sheetId="2" r:id="rId1"/>
    <sheet name="Calculations" sheetId="4" r:id="rId2"/>
    <sheet name="Pivot Table" sheetId="3" r:id="rId3"/>
    <sheet name="Overall Progress PivotChart" sheetId="7" r:id="rId4"/>
    <sheet name="Settings" sheetId="6" r:id="rId5"/>
  </sheets>
  <definedNames>
    <definedName name="_xlnm._FilterDatabase" localSheetId="0" hidden="1">'2016'!$A$1:$AU$5</definedName>
    <definedName name="_xlnm._FilterDatabase" localSheetId="1" hidden="1">Calculations!$A$1:$S$9</definedName>
    <definedName name="ExchangeRateMaterialsToCredits">Settings!$B$6</definedName>
    <definedName name="MinimumDonationPrestige">Settings!$B$1</definedName>
    <definedName name="MinimumPrestigeGracePeriod">Settings!$B$3</definedName>
    <definedName name="MinimumPrestigeRequired">Settings!$B$2</definedName>
    <definedName name="TrialPeriod">Settings!$B$4</definedName>
    <definedName name="WeeklyAverageCreditPerMember">Settings!$B$7</definedName>
  </definedNames>
  <calcPr calcId="162913"/>
  <pivotCaches>
    <pivotCache cacheId="0" r:id="rId6"/>
  </pivotCaches>
</workbook>
</file>

<file path=xl/calcChain.xml><?xml version="1.0" encoding="utf-8"?>
<calcChain xmlns="http://schemas.openxmlformats.org/spreadsheetml/2006/main">
  <c r="G9" i="4" l="1"/>
  <c r="F9" i="4"/>
  <c r="E9" i="4"/>
  <c r="D9" i="4"/>
  <c r="C9" i="4"/>
  <c r="B9" i="4"/>
  <c r="A9" i="4"/>
  <c r="G8" i="4"/>
  <c r="F8" i="4"/>
  <c r="E8" i="4"/>
  <c r="D8" i="4"/>
  <c r="C8" i="4"/>
  <c r="B8" i="4"/>
  <c r="A8" i="4"/>
  <c r="G7" i="4"/>
  <c r="F7" i="4"/>
  <c r="E7" i="4"/>
  <c r="D7" i="4"/>
  <c r="C7" i="4"/>
  <c r="B7" i="4"/>
  <c r="A7" i="4"/>
  <c r="G6" i="4"/>
  <c r="F6" i="4"/>
  <c r="E6" i="4"/>
  <c r="D6" i="4"/>
  <c r="C6" i="4"/>
  <c r="B6" i="4"/>
  <c r="A6" i="4"/>
  <c r="G5" i="4"/>
  <c r="F5" i="4"/>
  <c r="E5" i="4"/>
  <c r="N5" i="4" s="1"/>
  <c r="D5" i="4"/>
  <c r="H5" i="4" s="1"/>
  <c r="C5" i="4"/>
  <c r="B5" i="4"/>
  <c r="A5" i="4"/>
  <c r="G4" i="4"/>
  <c r="F4" i="4"/>
  <c r="O4" i="4" s="1"/>
  <c r="E4" i="4"/>
  <c r="N4" i="4" s="1"/>
  <c r="D4" i="4"/>
  <c r="M4" i="4" s="1"/>
  <c r="C4" i="4"/>
  <c r="B4" i="4"/>
  <c r="A4" i="4"/>
  <c r="G3" i="4"/>
  <c r="F3" i="4"/>
  <c r="O3" i="4" s="1"/>
  <c r="P3" i="4" s="1"/>
  <c r="E3" i="4"/>
  <c r="N3" i="4" s="1"/>
  <c r="D3" i="4"/>
  <c r="H3" i="4" s="1"/>
  <c r="C3" i="4"/>
  <c r="B3" i="4"/>
  <c r="A3" i="4"/>
  <c r="G2" i="4"/>
  <c r="F2" i="4"/>
  <c r="O2" i="4" s="1"/>
  <c r="E2" i="4"/>
  <c r="N2" i="4" s="1"/>
  <c r="D2" i="4"/>
  <c r="C2" i="4"/>
  <c r="B2" i="4"/>
  <c r="J3" i="4" s="1"/>
  <c r="O5" i="4"/>
  <c r="M5" i="4"/>
  <c r="M2" i="4"/>
  <c r="H9" i="4"/>
  <c r="H8" i="4"/>
  <c r="J7" i="4"/>
  <c r="H7" i="4"/>
  <c r="H6" i="4"/>
  <c r="H2" i="4"/>
  <c r="A2" i="4"/>
  <c r="J5" i="4" l="1"/>
  <c r="J9" i="4"/>
  <c r="J2" i="4"/>
  <c r="J6" i="4"/>
  <c r="P2" i="4"/>
  <c r="R2" i="4" s="1"/>
  <c r="H4" i="4"/>
  <c r="J4" i="4"/>
  <c r="M3" i="4"/>
  <c r="J8" i="4"/>
  <c r="O6" i="4"/>
  <c r="P6" i="4" s="1"/>
  <c r="R6" i="4" s="1"/>
  <c r="N7" i="4"/>
  <c r="O8" i="4"/>
  <c r="P8" i="4" s="1"/>
  <c r="R8" i="4" s="1"/>
  <c r="M9" i="4"/>
  <c r="N9" i="4"/>
  <c r="N8" i="4"/>
  <c r="M8" i="4"/>
  <c r="O9" i="4"/>
  <c r="P9" i="4" s="1"/>
  <c r="R9" i="4" s="1"/>
  <c r="M7" i="4"/>
  <c r="O7" i="4"/>
  <c r="P7" i="4" s="1"/>
  <c r="R7" i="4" s="1"/>
  <c r="P5" i="4"/>
  <c r="R5" i="4" s="1"/>
  <c r="P4" i="4"/>
  <c r="R4" i="4" s="1"/>
  <c r="M6" i="4"/>
  <c r="N6" i="4"/>
  <c r="Q3" i="4"/>
  <c r="R3" i="4"/>
  <c r="Q2" i="4" l="1"/>
  <c r="Q6" i="4"/>
  <c r="Q5" i="4"/>
  <c r="Q8" i="4"/>
  <c r="Q9" i="4"/>
  <c r="Q4" i="4"/>
  <c r="Q7" i="4"/>
  <c r="K2" i="4" l="1"/>
  <c r="K3" i="4"/>
  <c r="K4" i="4"/>
  <c r="I6" i="4"/>
  <c r="K6" i="4" s="1"/>
  <c r="K5" i="4"/>
  <c r="L5" i="4" l="1"/>
  <c r="S5" i="4"/>
  <c r="L4" i="4"/>
  <c r="S4" i="4"/>
  <c r="L3" i="4"/>
  <c r="S3" i="4"/>
  <c r="L2" i="4"/>
  <c r="S2" i="4"/>
  <c r="I7" i="4"/>
  <c r="L6" i="4"/>
  <c r="S6" i="4"/>
  <c r="K7" i="4" l="1"/>
  <c r="I8" i="4"/>
  <c r="K8" i="4" s="1"/>
  <c r="I9" i="4"/>
  <c r="K9" i="4" s="1"/>
  <c r="L9" i="4" l="1"/>
  <c r="S9" i="4"/>
  <c r="L8" i="4"/>
  <c r="S8" i="4"/>
  <c r="L7" i="4"/>
  <c r="S7" i="4"/>
</calcChain>
</file>

<file path=xl/sharedStrings.xml><?xml version="1.0" encoding="utf-8"?>
<sst xmlns="http://schemas.openxmlformats.org/spreadsheetml/2006/main" count="129" uniqueCount="99">
  <si>
    <t>CheckTime</t>
  </si>
  <si>
    <t>WeekNumber</t>
  </si>
  <si>
    <t>MemberId</t>
  </si>
  <si>
    <t>Name</t>
  </si>
  <si>
    <t>Prestige</t>
  </si>
  <si>
    <t>CreditsDonated</t>
  </si>
  <si>
    <t>MaterialsDonated</t>
  </si>
  <si>
    <t>IsPremium</t>
  </si>
  <si>
    <t>IsOnline</t>
  </si>
  <si>
    <t>IsBanned</t>
  </si>
  <si>
    <t>IsGod</t>
  </si>
  <si>
    <t>MemberType</t>
  </si>
  <si>
    <t>ProfileUrl</t>
  </si>
  <si>
    <t>ImageUrl</t>
  </si>
  <si>
    <t>TacticalSense</t>
  </si>
  <si>
    <t>A1</t>
  </si>
  <si>
    <t>A1R</t>
  </si>
  <si>
    <t>A2</t>
  </si>
  <si>
    <t>A2R</t>
  </si>
  <si>
    <t>A3</t>
  </si>
  <si>
    <t>A3R</t>
  </si>
  <si>
    <t>A4</t>
  </si>
  <si>
    <t>A4R</t>
  </si>
  <si>
    <t>B1</t>
  </si>
  <si>
    <t>B1R</t>
  </si>
  <si>
    <t>B2</t>
  </si>
  <si>
    <t>B2R</t>
  </si>
  <si>
    <t>B3</t>
  </si>
  <si>
    <t>B3R</t>
  </si>
  <si>
    <t>B4</t>
  </si>
  <si>
    <t>B4R</t>
  </si>
  <si>
    <t>C1</t>
  </si>
  <si>
    <t>C1R</t>
  </si>
  <si>
    <t>C2</t>
  </si>
  <si>
    <t>C2R</t>
  </si>
  <si>
    <t>C3</t>
  </si>
  <si>
    <t>C3R</t>
  </si>
  <si>
    <t>C4</t>
  </si>
  <si>
    <t>C4R</t>
  </si>
  <si>
    <t>D1</t>
  </si>
  <si>
    <t>D1R</t>
  </si>
  <si>
    <t>D2</t>
  </si>
  <si>
    <t>D2R</t>
  </si>
  <si>
    <t>D3</t>
  </si>
  <si>
    <t>D3R</t>
  </si>
  <si>
    <t>D4</t>
  </si>
  <si>
    <t>D4R</t>
  </si>
  <si>
    <t>PantheonMember</t>
  </si>
  <si>
    <t>AcademyMember</t>
  </si>
  <si>
    <t>Don Donnie</t>
  </si>
  <si>
    <t>https://eu.portal.sf.my.com/user/avatar/72157649596256792</t>
  </si>
  <si>
    <t>Maverik Gately</t>
  </si>
  <si>
    <t>https://eu.portal.sf.my.com/user/avatar/72174142271153888</t>
  </si>
  <si>
    <t>https://eu.portal.sf.my.com:443/pic?name=90235_e09rmJAnzkpxx3UwsrL6znN27Oc=.jpg</t>
  </si>
  <si>
    <t>Dark Ender</t>
  </si>
  <si>
    <t>https://eu.portal.sf.my.com/user/avatar/72104873038188933</t>
  </si>
  <si>
    <t>https://eu.portal.sf.my.com:443/pic?name=166367_D7R-kXOKoRmpjYnmu986got2Hik=.jpg</t>
  </si>
  <si>
    <t>https://eu.portal.sf.my.com/assets/703244/ctx/images/icons/profile/userpic_50x50.jpg</t>
  </si>
  <si>
    <t>Charles Clay</t>
  </si>
  <si>
    <t>https://eu.portal.sf.my.com/user/avatar/72156550085617746</t>
  </si>
  <si>
    <t>https://eu.portal.sf.my.com/assets/703839/ctx/images/icons/profile/userpic_50x50.jpg</t>
  </si>
  <si>
    <t>Power Contribution</t>
  </si>
  <si>
    <t>Pantheon Age</t>
  </si>
  <si>
    <t>Time Spent In Academy</t>
  </si>
  <si>
    <t>Age for Donations</t>
  </si>
  <si>
    <t>Is Exempt From Donation?</t>
  </si>
  <si>
    <t>Presitge Delta Since Last Week</t>
  </si>
  <si>
    <t>Credit Delta Since Last Week</t>
  </si>
  <si>
    <t>Material Delta Since Last Week</t>
  </si>
  <si>
    <t>Material Delta Compensation</t>
  </si>
  <si>
    <t>Credit Delta with Material Compensation</t>
  </si>
  <si>
    <t>Total Credits with Material Compensation</t>
  </si>
  <si>
    <t>Running Credit Average</t>
  </si>
  <si>
    <t>Exempt From Donations If Under Prestige</t>
  </si>
  <si>
    <t>Minimum Prestige Required</t>
  </si>
  <si>
    <t>Minimum Prestige Grace Period</t>
  </si>
  <si>
    <t>Trial Period</t>
  </si>
  <si>
    <t>Exchange rate of Materials towards Credits</t>
  </si>
  <si>
    <t>Target Weekly Average Credits Per Member</t>
  </si>
  <si>
    <t>Pantheon Average Growth Per Week Target</t>
  </si>
  <si>
    <t>Week 09 is special here because this is being used baseline of data so has static values being copied from main sheet</t>
  </si>
  <si>
    <t>Week 10 is how all the remaining weeks are worked out</t>
  </si>
  <si>
    <t>When doing member matches, use MemberId instead of name to save you pain when they change names (it gets much worse if they leave and then come back with a different name)</t>
  </si>
  <si>
    <t>NOTES:</t>
  </si>
  <si>
    <t>Where you see "Week" in cells, it is just an excel number format rule. The cell actually has only the real value. This is important for calculations</t>
  </si>
  <si>
    <t>Row Labels</t>
  </si>
  <si>
    <t>Grand Total</t>
  </si>
  <si>
    <t>Prestige Value</t>
  </si>
  <si>
    <t>Presitge Delta Value</t>
  </si>
  <si>
    <t>Credit Delta Value</t>
  </si>
  <si>
    <t>Material Delta Compensation Value</t>
  </si>
  <si>
    <t>Running Credit Average Value</t>
  </si>
  <si>
    <t>Some Formulae use Defined Labels. You can see all of them by pressing Alt+I,N,D (three keys in sequence with alt held down)</t>
  </si>
  <si>
    <t>All data comes from sheet '2016' which is used as the dumping ground for reporting tool's output</t>
  </si>
  <si>
    <t>Data is then processed into various fields as per our pantheon rules in this sheet. This is where all the real magic happens</t>
  </si>
  <si>
    <t>Then PivotTable sheet feeds off this sheet and updates its values when "Refresh All" is pressed from "Data" tab</t>
  </si>
  <si>
    <t>The PivotTable is configured to provide only the maximum of values. There's no way to force it to pick only last values. You have to select which week you wish to display each time you update the sheet</t>
  </si>
  <si>
    <t>Overall Progress PivotChart will then feed off the PivotTable and show you at a glance reporting to chart to show you how things are progressing in your pantheon according to your criteria</t>
  </si>
  <si>
    <t>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</si>
</sst>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h:mm:ss"/>
    <numFmt numFmtId="165" formatCode="\W\e\e\k\ 00"/>
    <numFmt numFmtId="166" formatCode="###0"/>
    <numFmt numFmtId="167" formatCode="0\ \W\e\e\k\s"/>
  </numFmts>
  <fonts count="6" x14ac:knownFonts="1">
    <font>
      <sz val="10"/>
      <color rgb="FF000000"/>
      <name val="Arial"/>
    </font>
    <font>
      <b/>
      <sz val="10"/>
      <color rgb="FFFFFFFF"/>
      <name val="Trebuchet MS"/>
    </font>
    <font>
      <sz val="8"/>
      <name val="Verdana"/>
    </font>
    <font>
      <u/>
      <sz val="8"/>
      <color rgb="FF0000FF"/>
      <name val="Verdana"/>
    </font>
    <font>
      <sz val="10"/>
      <name val="Arial"/>
    </font>
    <font>
      <b/>
      <sz val="8"/>
      <name val="Verdana"/>
      <family val="2"/>
    </font>
  </fonts>
  <fills count="6">
    <fill>
      <patternFill patternType="none"/>
    </fill>
    <fill>
      <patternFill patternType="gray125"/>
    </fill>
    <fill>
      <patternFill patternType="solid">
        <fgColor rgb="FF1155CC"/>
        <bgColor rgb="FF1155CC"/>
      </patternFill>
    </fill>
    <fill>
      <patternFill patternType="solid">
        <fgColor rgb="FFFFFFFF"/>
        <bgColor rgb="FFFFFFFF"/>
      </patternFill>
    </fill>
    <fill>
      <patternFill patternType="solid">
        <fgColor rgb="FF3D85C6"/>
        <bgColor rgb="FF3D85C6"/>
      </patternFill>
    </fill>
    <fill>
      <patternFill patternType="solid">
        <fgColor theme="2"/>
        <bgColor rgb="FFFFFFFF"/>
      </patternFill>
    </fill>
  </fills>
  <borders count="5">
    <border>
      <left/>
      <right/>
      <top/>
      <bottom/>
      <diagonal/>
    </border>
    <border>
      <left style="thin">
        <color rgb="FF1177BB"/>
      </left>
      <right style="thin">
        <color rgb="FF1177BB"/>
      </right>
      <top style="thin">
        <color rgb="FF1177BB"/>
      </top>
      <bottom style="thin">
        <color rgb="FF1177BB"/>
      </bottom>
      <diagonal/>
    </border>
    <border>
      <left style="thin">
        <color rgb="FF1177BB"/>
      </left>
      <right style="thin">
        <color rgb="FF1177BB"/>
      </right>
      <top/>
      <bottom style="thin">
        <color rgb="FF1177BB"/>
      </bottom>
      <diagonal/>
    </border>
    <border>
      <left/>
      <right style="thin">
        <color rgb="FF1177BB"/>
      </right>
      <top/>
      <bottom style="thin">
        <color rgb="FF1177BB"/>
      </bottom>
      <diagonal/>
    </border>
    <border>
      <left style="thin">
        <color rgb="FF0000FF"/>
      </left>
      <right style="thin">
        <color rgb="FF0000FF"/>
      </right>
      <top style="thin">
        <color rgb="FF0000FF"/>
      </top>
      <bottom style="thin">
        <color rgb="FF0000FF"/>
      </bottom>
      <diagonal/>
    </border>
  </borders>
  <cellStyleXfs count="1">
    <xf numFmtId="0" fontId="0" fillId="0" borderId="0"/>
  </cellStyleXfs>
  <cellXfs count="34">
    <xf numFmtId="0" fontId="0" fillId="0" borderId="0" xfId="0" applyFont="1" applyAlignment="1"/>
    <xf numFmtId="0" fontId="1" fillId="2" borderId="0" xfId="0" applyFont="1" applyFill="1" applyAlignment="1">
      <alignment horizontal="center"/>
    </xf>
    <xf numFmtId="164" fontId="2" fillId="3" borderId="1" xfId="0" applyNumberFormat="1" applyFont="1" applyFill="1" applyBorder="1" applyAlignment="1"/>
    <xf numFmtId="165" fontId="2" fillId="3" borderId="1" xfId="0" applyNumberFormat="1" applyFont="1" applyFill="1" applyBorder="1" applyAlignment="1">
      <alignment horizontal="right"/>
    </xf>
    <xf numFmtId="166" fontId="2" fillId="3" borderId="1" xfId="0" applyNumberFormat="1" applyFont="1" applyFill="1" applyBorder="1" applyAlignment="1">
      <alignment horizontal="right"/>
    </xf>
    <xf numFmtId="0" fontId="2" fillId="3" borderId="1" xfId="0" applyFont="1" applyFill="1" applyBorder="1" applyAlignment="1"/>
    <xf numFmtId="3" fontId="2" fillId="3" borderId="1" xfId="0" applyNumberFormat="1" applyFont="1" applyFill="1" applyBorder="1" applyAlignment="1">
      <alignment horizontal="right"/>
    </xf>
    <xf numFmtId="0" fontId="2" fillId="3" borderId="1" xfId="0" applyFont="1" applyFill="1" applyBorder="1" applyAlignment="1">
      <alignment horizontal="right"/>
    </xf>
    <xf numFmtId="0" fontId="3" fillId="3" borderId="1" xfId="0" applyFont="1" applyFill="1" applyBorder="1" applyAlignment="1"/>
    <xf numFmtId="166" fontId="2" fillId="3" borderId="1" xfId="0" applyNumberFormat="1" applyFont="1" applyFill="1" applyBorder="1" applyAlignment="1">
      <alignment horizontal="right"/>
    </xf>
    <xf numFmtId="0" fontId="1" fillId="4" borderId="0" xfId="0" applyFont="1" applyFill="1" applyAlignment="1">
      <alignment horizontal="center"/>
    </xf>
    <xf numFmtId="166" fontId="2" fillId="3" borderId="3" xfId="0" applyNumberFormat="1" applyFont="1" applyFill="1" applyBorder="1" applyAlignment="1">
      <alignment horizontal="right"/>
    </xf>
    <xf numFmtId="0" fontId="2" fillId="3" borderId="3" xfId="0" applyFont="1" applyFill="1" applyBorder="1" applyAlignment="1">
      <alignment horizontal="right"/>
    </xf>
    <xf numFmtId="3" fontId="2" fillId="3" borderId="3" xfId="0" applyNumberFormat="1" applyFont="1" applyFill="1" applyBorder="1" applyAlignment="1">
      <alignment horizontal="right"/>
    </xf>
    <xf numFmtId="167" fontId="2" fillId="3" borderId="3" xfId="0" applyNumberFormat="1" applyFont="1" applyFill="1" applyBorder="1" applyAlignment="1">
      <alignment horizontal="right"/>
    </xf>
    <xf numFmtId="0" fontId="2" fillId="3" borderId="2" xfId="0" applyFont="1" applyFill="1" applyBorder="1" applyAlignment="1">
      <alignment horizontal="right"/>
    </xf>
    <xf numFmtId="165" fontId="2" fillId="3" borderId="2" xfId="0" applyNumberFormat="1" applyFont="1" applyFill="1" applyBorder="1" applyAlignment="1">
      <alignment horizontal="right"/>
    </xf>
    <xf numFmtId="0" fontId="1" fillId="2" borderId="0" xfId="0" applyFont="1" applyFill="1" applyAlignment="1">
      <alignment horizontal="right"/>
    </xf>
    <xf numFmtId="0" fontId="4" fillId="0" borderId="4" xfId="0" applyFont="1" applyBorder="1" applyAlignment="1"/>
    <xf numFmtId="167" fontId="4" fillId="0" borderId="4" xfId="0" applyNumberFormat="1" applyFont="1" applyBorder="1" applyAlignment="1"/>
    <xf numFmtId="0" fontId="4" fillId="0" borderId="0" xfId="0" applyFont="1" applyAlignment="1"/>
    <xf numFmtId="165" fontId="2" fillId="5" borderId="2" xfId="0" applyNumberFormat="1" applyFont="1" applyFill="1" applyBorder="1" applyAlignment="1">
      <alignment horizontal="right"/>
    </xf>
    <xf numFmtId="166" fontId="2" fillId="5" borderId="3" xfId="0" applyNumberFormat="1" applyFont="1" applyFill="1" applyBorder="1" applyAlignment="1">
      <alignment horizontal="right"/>
    </xf>
    <xf numFmtId="0" fontId="2" fillId="5" borderId="3" xfId="0" applyFont="1" applyFill="1" applyBorder="1" applyAlignment="1">
      <alignment horizontal="right"/>
    </xf>
    <xf numFmtId="3" fontId="2" fillId="5" borderId="3" xfId="0" applyNumberFormat="1" applyFont="1" applyFill="1" applyBorder="1" applyAlignment="1">
      <alignment horizontal="right"/>
    </xf>
    <xf numFmtId="0" fontId="2" fillId="5" borderId="2" xfId="0" applyFont="1" applyFill="1" applyBorder="1" applyAlignment="1">
      <alignment horizontal="right"/>
    </xf>
    <xf numFmtId="167" fontId="2" fillId="5" borderId="3" xfId="0" applyNumberFormat="1" applyFont="1" applyFill="1" applyBorder="1" applyAlignment="1">
      <alignment horizontal="right"/>
    </xf>
    <xf numFmtId="3" fontId="2" fillId="0" borderId="3" xfId="0" applyNumberFormat="1" applyFont="1" applyFill="1" applyBorder="1" applyAlignment="1">
      <alignment horizontal="right"/>
    </xf>
    <xf numFmtId="166" fontId="5" fillId="0" borderId="0" xfId="0" applyNumberFormat="1" applyFont="1" applyFill="1" applyBorder="1" applyAlignment="1"/>
    <xf numFmtId="0" fontId="0" fillId="0" borderId="0" xfId="0" applyFont="1" applyFill="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65"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[Pantheon Data Statistics Template.xlsx]Pivot Table!PivotTable1</c:name>
    <c:fmtId val="1"/>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stacked"/>
        <c:varyColors val="0"/>
        <c:ser>
          <c:idx val="0"/>
          <c:order val="0"/>
          <c:tx>
            <c:strRef>
              <c:f>'Pivot Table'!$B$3</c:f>
              <c:strCache>
                <c:ptCount val="1"/>
                <c:pt idx="0">
                  <c:v>Prestige Value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Table'!$A$4:$A$8</c:f>
              <c:strCache>
                <c:ptCount val="4"/>
                <c:pt idx="0">
                  <c:v>Dark Ender</c:v>
                </c:pt>
                <c:pt idx="1">
                  <c:v>Charles Clay</c:v>
                </c:pt>
                <c:pt idx="2">
                  <c:v>Don Donnie</c:v>
                </c:pt>
                <c:pt idx="3">
                  <c:v>Maverik Gately</c:v>
                </c:pt>
              </c:strCache>
            </c:strRef>
          </c:cat>
          <c:val>
            <c:numRef>
              <c:f>'Pivot Table'!$B$4:$B$8</c:f>
              <c:numCache>
                <c:formatCode>General</c:formatCode>
                <c:ptCount val="4"/>
                <c:pt idx="0">
                  <c:v>79633</c:v>
                </c:pt>
                <c:pt idx="1">
                  <c:v>4992</c:v>
                </c:pt>
                <c:pt idx="2">
                  <c:v>149474</c:v>
                </c:pt>
                <c:pt idx="3">
                  <c:v>179133</c:v>
                </c:pt>
              </c:numCache>
            </c:numRef>
          </c:val>
          <c:extLst>
            <c:ext xmlns:c16="http://schemas.microsoft.com/office/drawing/2014/chart" uri="{C3380CC4-5D6E-409C-BE32-E72D297353CC}">
              <c16:uniqueId val="{00000000-3632-4A65-B90E-750599526D14}"/>
            </c:ext>
          </c:extLst>
        </c:ser>
        <c:ser>
          <c:idx val="1"/>
          <c:order val="1"/>
          <c:tx>
            <c:strRef>
              <c:f>'Pivot Table'!$C$3</c:f>
              <c:strCache>
                <c:ptCount val="1"/>
                <c:pt idx="0">
                  <c:v>Presitge Delta Value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Table'!$A$4:$A$8</c:f>
              <c:strCache>
                <c:ptCount val="4"/>
                <c:pt idx="0">
                  <c:v>Dark Ender</c:v>
                </c:pt>
                <c:pt idx="1">
                  <c:v>Charles Clay</c:v>
                </c:pt>
                <c:pt idx="2">
                  <c:v>Don Donnie</c:v>
                </c:pt>
                <c:pt idx="3">
                  <c:v>Maverik Gately</c:v>
                </c:pt>
              </c:strCache>
            </c:strRef>
          </c:cat>
          <c:val>
            <c:numRef>
              <c:f>'Pivot Table'!$C$4:$C$8</c:f>
              <c:numCache>
                <c:formatCode>General</c:formatCode>
                <c:ptCount val="4"/>
                <c:pt idx="0">
                  <c:v>0</c:v>
                </c:pt>
                <c:pt idx="1">
                  <c:v>1625</c:v>
                </c:pt>
                <c:pt idx="2">
                  <c:v>14827</c:v>
                </c:pt>
                <c:pt idx="3">
                  <c:v>23433</c:v>
                </c:pt>
              </c:numCache>
            </c:numRef>
          </c:val>
          <c:extLst>
            <c:ext xmlns:c16="http://schemas.microsoft.com/office/drawing/2014/chart" uri="{C3380CC4-5D6E-409C-BE32-E72D297353CC}">
              <c16:uniqueId val="{00000001-3632-4A65-B90E-750599526D14}"/>
            </c:ext>
          </c:extLst>
        </c:ser>
        <c:ser>
          <c:idx val="2"/>
          <c:order val="2"/>
          <c:tx>
            <c:strRef>
              <c:f>'Pivot Table'!$D$3</c:f>
              <c:strCache>
                <c:ptCount val="1"/>
                <c:pt idx="0">
                  <c:v>Running Credit Average Value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Table'!$A$4:$A$8</c:f>
              <c:strCache>
                <c:ptCount val="4"/>
                <c:pt idx="0">
                  <c:v>Dark Ender</c:v>
                </c:pt>
                <c:pt idx="1">
                  <c:v>Charles Clay</c:v>
                </c:pt>
                <c:pt idx="2">
                  <c:v>Don Donnie</c:v>
                </c:pt>
                <c:pt idx="3">
                  <c:v>Maverik Gately</c:v>
                </c:pt>
              </c:strCache>
            </c:strRef>
          </c:cat>
          <c:val>
            <c:numRef>
              <c:f>'Pivot Table'!$D$4:$D$8</c:f>
              <c:numCache>
                <c:formatCode>General</c:formatCode>
                <c:ptCount val="4"/>
                <c:pt idx="0">
                  <c:v>0</c:v>
                </c:pt>
                <c:pt idx="1">
                  <c:v>53750</c:v>
                </c:pt>
                <c:pt idx="2">
                  <c:v>1250000</c:v>
                </c:pt>
                <c:pt idx="3">
                  <c:v>1575000</c:v>
                </c:pt>
              </c:numCache>
            </c:numRef>
          </c:val>
          <c:extLst>
            <c:ext xmlns:c16="http://schemas.microsoft.com/office/drawing/2014/chart" uri="{C3380CC4-5D6E-409C-BE32-E72D297353CC}">
              <c16:uniqueId val="{00000002-3632-4A65-B90E-750599526D14}"/>
            </c:ext>
          </c:extLst>
        </c:ser>
        <c:ser>
          <c:idx val="3"/>
          <c:order val="3"/>
          <c:tx>
            <c:strRef>
              <c:f>'Pivot Table'!$E$3</c:f>
              <c:strCache>
                <c:ptCount val="1"/>
                <c:pt idx="0">
                  <c:v>Credit Delta Value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Table'!$A$4:$A$8</c:f>
              <c:strCache>
                <c:ptCount val="4"/>
                <c:pt idx="0">
                  <c:v>Dark Ender</c:v>
                </c:pt>
                <c:pt idx="1">
                  <c:v>Charles Clay</c:v>
                </c:pt>
                <c:pt idx="2">
                  <c:v>Don Donnie</c:v>
                </c:pt>
                <c:pt idx="3">
                  <c:v>Maverik Gately</c:v>
                </c:pt>
              </c:strCache>
            </c:strRef>
          </c:cat>
          <c:val>
            <c:numRef>
              <c:f>'Pivot Table'!$E$4:$E$8</c:f>
              <c:numCache>
                <c:formatCode>General</c:formatCode>
                <c:ptCount val="4"/>
                <c:pt idx="0">
                  <c:v>0</c:v>
                </c:pt>
                <c:pt idx="1">
                  <c:v>0</c:v>
                </c:pt>
                <c:pt idx="2">
                  <c:v>200000</c:v>
                </c:pt>
                <c:pt idx="3">
                  <c:v>100000</c:v>
                </c:pt>
              </c:numCache>
            </c:numRef>
          </c:val>
          <c:extLst>
            <c:ext xmlns:c16="http://schemas.microsoft.com/office/drawing/2014/chart" uri="{C3380CC4-5D6E-409C-BE32-E72D297353CC}">
              <c16:uniqueId val="{00000003-3632-4A65-B90E-750599526D14}"/>
            </c:ext>
          </c:extLst>
        </c:ser>
        <c:ser>
          <c:idx val="4"/>
          <c:order val="4"/>
          <c:tx>
            <c:strRef>
              <c:f>'Pivot Table'!$F$3</c:f>
              <c:strCache>
                <c:ptCount val="1"/>
                <c:pt idx="0">
                  <c:v>Material Delta Compensation Value</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Table'!$A$4:$A$8</c:f>
              <c:strCache>
                <c:ptCount val="4"/>
                <c:pt idx="0">
                  <c:v>Dark Ender</c:v>
                </c:pt>
                <c:pt idx="1">
                  <c:v>Charles Clay</c:v>
                </c:pt>
                <c:pt idx="2">
                  <c:v>Don Donnie</c:v>
                </c:pt>
                <c:pt idx="3">
                  <c:v>Maverik Gately</c:v>
                </c:pt>
              </c:strCache>
            </c:strRef>
          </c:cat>
          <c:val>
            <c:numRef>
              <c:f>'Pivot Table'!$F$4:$F$8</c:f>
              <c:numCache>
                <c:formatCode>General</c:formatCode>
                <c:ptCount val="4"/>
                <c:pt idx="0">
                  <c:v>0</c:v>
                </c:pt>
                <c:pt idx="1">
                  <c:v>28750</c:v>
                </c:pt>
                <c:pt idx="2">
                  <c:v>50000</c:v>
                </c:pt>
                <c:pt idx="3">
                  <c:v>75000</c:v>
                </c:pt>
              </c:numCache>
            </c:numRef>
          </c:val>
          <c:extLst>
            <c:ext xmlns:c16="http://schemas.microsoft.com/office/drawing/2014/chart" uri="{C3380CC4-5D6E-409C-BE32-E72D297353CC}">
              <c16:uniqueId val="{00000004-3632-4A65-B90E-750599526D14}"/>
            </c:ext>
          </c:extLst>
        </c:ser>
        <c:dLbls>
          <c:showLegendKey val="0"/>
          <c:showVal val="0"/>
          <c:showCatName val="0"/>
          <c:showSerName val="0"/>
          <c:showPercent val="0"/>
          <c:showBubbleSize val="0"/>
        </c:dLbls>
        <c:gapWidth val="150"/>
        <c:overlap val="100"/>
        <c:axId val="424246288"/>
        <c:axId val="424244976"/>
      </c:barChart>
      <c:catAx>
        <c:axId val="4242462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4244976"/>
        <c:crosses val="autoZero"/>
        <c:auto val="1"/>
        <c:lblAlgn val="ctr"/>
        <c:lblOffset val="100"/>
        <c:noMultiLvlLbl val="0"/>
      </c:catAx>
      <c:valAx>
        <c:axId val="42424497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4246288"/>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tabColor theme="9"/>
  </sheetPr>
  <sheetViews>
    <sheetView zoomScale="175"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1843" cy="607422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verik Gately" refreshedDate="42449.760938541665" createdVersion="6" refreshedVersion="6" minRefreshableVersion="3" recordCount="8">
  <cacheSource type="worksheet">
    <worksheetSource ref="A1:S9" sheet="Calculations"/>
  </cacheSource>
  <cacheFields count="19">
    <cacheField name="WeekNumber" numFmtId="165">
      <sharedItems containsSemiMixedTypes="0" containsString="0" containsNumber="1" containsInteger="1" minValue="9" maxValue="10" count="2">
        <n v="9"/>
        <n v="10"/>
      </sharedItems>
    </cacheField>
    <cacheField name="MemberId" numFmtId="166">
      <sharedItems containsSemiMixedTypes="0" containsString="0" containsNumber="1" containsInteger="1" minValue="7.2104873038188896E+16" maxValue="7.2174142271153792E+16"/>
    </cacheField>
    <cacheField name="Name" numFmtId="0">
      <sharedItems count="11">
        <s v="Charles Clay"/>
        <s v="Dark Ender"/>
        <s v="Don Donnie"/>
        <s v="Maverik Gately"/>
        <s v="Montu Takmar" u="1"/>
        <s v="Narli Rhyker" u="1"/>
        <s v="Morrigan Lefay" u="1"/>
        <s v="Myata Sonekawa" u="1"/>
        <s v="Naluria Malify" u="1"/>
        <s v="Mka Wolf" u="1"/>
        <s v="Nohero Lork" u="1"/>
      </sharedItems>
    </cacheField>
    <cacheField name="Prestige" numFmtId="0">
      <sharedItems containsSemiMixedTypes="0" containsString="0" containsNumber="1" containsInteger="1" minValue="3367" maxValue="179133"/>
    </cacheField>
    <cacheField name="CreditsDonated" numFmtId="0">
      <sharedItems containsSemiMixedTypes="0" containsString="0" containsNumber="1" containsInteger="1" minValue="0" maxValue="1500000"/>
    </cacheField>
    <cacheField name="MaterialsDonated" numFmtId="0">
      <sharedItems containsSemiMixedTypes="0" containsString="0" containsNumber="1" containsInteger="1" minValue="0" maxValue="9000"/>
    </cacheField>
    <cacheField name="MemberType" numFmtId="0">
      <sharedItems/>
    </cacheField>
    <cacheField name="Power Contribution" numFmtId="0">
      <sharedItems containsSemiMixedTypes="0" containsString="0" containsNumber="1" containsInteger="1" minValue="5" maxValue="298"/>
    </cacheField>
    <cacheField name="Pantheon Age" numFmtId="167">
      <sharedItems containsSemiMixedTypes="0" containsString="0" containsNumber="1" containsInteger="1" minValue="1" maxValue="2"/>
    </cacheField>
    <cacheField name="Time Spent In Academy" numFmtId="167">
      <sharedItems containsSemiMixedTypes="0" containsString="0" containsNumber="1" containsInteger="1" minValue="0" maxValue="2"/>
    </cacheField>
    <cacheField name="Age for Donations" numFmtId="167">
      <sharedItems containsSemiMixedTypes="0" containsString="0" containsNumber="1" containsInteger="1" minValue="0" maxValue="1"/>
    </cacheField>
    <cacheField name="Is Exempt From Donation?" numFmtId="0">
      <sharedItems/>
    </cacheField>
    <cacheField name="Presitge Delta Since Last Week" numFmtId="3">
      <sharedItems containsSemiMixedTypes="0" containsString="0" containsNumber="1" containsInteger="1" minValue="0" maxValue="155700"/>
    </cacheField>
    <cacheField name="Credit Delta Since Last Week" numFmtId="3">
      <sharedItems containsSemiMixedTypes="0" containsString="0" containsNumber="1" containsInteger="1" minValue="0" maxValue="1400000"/>
    </cacheField>
    <cacheField name="Material Delta Since Last Week" numFmtId="3">
      <sharedItems containsSemiMixedTypes="0" containsString="0" containsNumber="1" containsInteger="1" minValue="0" maxValue="8700"/>
    </cacheField>
    <cacheField name="Material Delta Compensation" numFmtId="3">
      <sharedItems containsSemiMixedTypes="0" containsString="0" containsNumber="1" containsInteger="1" minValue="0" maxValue="2175000"/>
    </cacheField>
    <cacheField name="Credit Delta with Material Compensation" numFmtId="3">
      <sharedItems containsSemiMixedTypes="0" containsString="0" containsNumber="1" containsInteger="1" minValue="0" maxValue="3575000"/>
    </cacheField>
    <cacheField name="Total Credits with Material Compensation" numFmtId="3">
      <sharedItems containsSemiMixedTypes="0" containsString="0" containsNumber="1" containsInteger="1" minValue="0" maxValue="3575000"/>
    </cacheField>
    <cacheField name="Running Credit Average" numFmtId="3">
      <sharedItems containsSemiMixedTypes="0" containsString="0" containsNumber="1" containsInteger="1" minValue="0" maxValue="357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
  <r>
    <x v="0"/>
    <n v="7.2156550085617696E+16"/>
    <x v="0"/>
    <n v="3367"/>
    <n v="25000"/>
    <n v="0"/>
    <s v="AcademyMember"/>
    <n v="5"/>
    <n v="1"/>
    <n v="1"/>
    <n v="0"/>
    <b v="1"/>
    <n v="3367"/>
    <n v="25000"/>
    <n v="0"/>
    <n v="0"/>
    <n v="25000"/>
    <n v="25000"/>
    <n v="25000"/>
  </r>
  <r>
    <x v="0"/>
    <n v="7.2104873038188896E+16"/>
    <x v="1"/>
    <n v="79633"/>
    <n v="0"/>
    <n v="777"/>
    <s v="PantheonMember"/>
    <n v="132"/>
    <n v="1"/>
    <n v="0"/>
    <n v="0"/>
    <b v="1"/>
    <n v="79633"/>
    <n v="0"/>
    <n v="777"/>
    <n v="194250"/>
    <n v="194250"/>
    <n v="194250"/>
    <n v="194250"/>
  </r>
  <r>
    <x v="0"/>
    <n v="7.2157649596256704E+16"/>
    <x v="2"/>
    <n v="134647"/>
    <n v="1000000"/>
    <n v="2300"/>
    <s v="PantheonMember"/>
    <n v="224"/>
    <n v="1"/>
    <n v="0"/>
    <n v="0"/>
    <b v="1"/>
    <n v="134647"/>
    <n v="1000000"/>
    <n v="2300"/>
    <n v="575000"/>
    <n v="1575000"/>
    <n v="1575000"/>
    <n v="1575000"/>
  </r>
  <r>
    <x v="0"/>
    <n v="7.2174142271153792E+16"/>
    <x v="3"/>
    <n v="155700"/>
    <n v="1400000"/>
    <n v="8700"/>
    <s v="PantheonMember"/>
    <n v="259"/>
    <n v="1"/>
    <n v="0"/>
    <n v="0"/>
    <b v="1"/>
    <n v="155700"/>
    <n v="1400000"/>
    <n v="8700"/>
    <n v="2175000"/>
    <n v="3575000"/>
    <n v="3575000"/>
    <n v="3575000"/>
  </r>
  <r>
    <x v="1"/>
    <n v="7.2156550085617696E+16"/>
    <x v="0"/>
    <n v="4992"/>
    <n v="25000"/>
    <n v="115"/>
    <s v="AcademyMember"/>
    <n v="8"/>
    <n v="2"/>
    <n v="2"/>
    <n v="0"/>
    <b v="1"/>
    <n v="1625"/>
    <n v="0"/>
    <n v="115"/>
    <n v="28750"/>
    <n v="28750"/>
    <n v="53750"/>
    <n v="53750"/>
  </r>
  <r>
    <x v="1"/>
    <n v="7.2104873038188896E+16"/>
    <x v="1"/>
    <n v="79633"/>
    <n v="0"/>
    <n v="777"/>
    <s v="PantheonMember"/>
    <n v="132"/>
    <n v="2"/>
    <n v="0"/>
    <n v="1"/>
    <b v="0"/>
    <n v="0"/>
    <n v="0"/>
    <n v="0"/>
    <n v="0"/>
    <n v="0"/>
    <n v="0"/>
    <n v="0"/>
  </r>
  <r>
    <x v="1"/>
    <n v="7.2157649596256704E+16"/>
    <x v="2"/>
    <n v="149474"/>
    <n v="1200000"/>
    <n v="2500"/>
    <s v="PantheonMember"/>
    <n v="249"/>
    <n v="2"/>
    <n v="0"/>
    <n v="1"/>
    <b v="0"/>
    <n v="14827"/>
    <n v="200000"/>
    <n v="200"/>
    <n v="50000"/>
    <n v="250000"/>
    <n v="1250000"/>
    <n v="1250000"/>
  </r>
  <r>
    <x v="1"/>
    <n v="7.2174142271153792E+16"/>
    <x v="3"/>
    <n v="179133"/>
    <n v="1500000"/>
    <n v="9000"/>
    <s v="PantheonMember"/>
    <n v="298"/>
    <n v="2"/>
    <n v="0"/>
    <n v="1"/>
    <b v="0"/>
    <n v="23433"/>
    <n v="100000"/>
    <n v="300"/>
    <n v="75000"/>
    <n v="175000"/>
    <n v="1575000"/>
    <n v="157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F8" firstHeaderRow="0" firstDataRow="1" firstDataCol="1" rowPageCount="1" colPageCount="1"/>
  <pivotFields count="19">
    <pivotField axis="axisPage" numFmtId="165" showAll="0">
      <items count="3">
        <item x="0"/>
        <item x="1"/>
        <item t="default"/>
      </items>
    </pivotField>
    <pivotField showAll="0"/>
    <pivotField axis="axisRow" showAll="0" sortType="ascending">
      <items count="12">
        <item x="3"/>
        <item m="1" x="9"/>
        <item m="1" x="4"/>
        <item m="1" x="6"/>
        <item m="1" x="7"/>
        <item m="1" x="8"/>
        <item m="1" x="5"/>
        <item m="1" x="10"/>
        <item x="0"/>
        <item x="1"/>
        <item x="2"/>
        <item t="default"/>
      </items>
      <autoSortScope>
        <pivotArea dataOnly="0" outline="0" fieldPosition="0">
          <references count="1">
            <reference field="4294967294" count="1" selected="0">
              <x v="2"/>
            </reference>
          </references>
        </pivotArea>
      </autoSortScope>
    </pivotField>
    <pivotField dataField="1" numFmtId="3" showAll="0"/>
    <pivotField numFmtId="3" showAll="0"/>
    <pivotField showAll="0"/>
    <pivotField showAll="0"/>
    <pivotField showAll="0"/>
    <pivotField numFmtId="167" showAll="0"/>
    <pivotField numFmtId="167" showAll="0"/>
    <pivotField numFmtId="167" showAll="0"/>
    <pivotField showAll="0"/>
    <pivotField dataField="1" numFmtId="3" showAll="0"/>
    <pivotField dataField="1" numFmtId="3" showAll="0"/>
    <pivotField showAll="0"/>
    <pivotField dataField="1" showAll="0"/>
    <pivotField numFmtId="3" showAll="0"/>
    <pivotField numFmtId="3" showAll="0"/>
    <pivotField dataField="1" numFmtId="3" showAll="0"/>
  </pivotFields>
  <rowFields count="1">
    <field x="2"/>
  </rowFields>
  <rowItems count="5">
    <i>
      <x v="9"/>
    </i>
    <i>
      <x v="8"/>
    </i>
    <i>
      <x v="10"/>
    </i>
    <i>
      <x/>
    </i>
    <i t="grand">
      <x/>
    </i>
  </rowItems>
  <colFields count="1">
    <field x="-2"/>
  </colFields>
  <colItems count="5">
    <i>
      <x/>
    </i>
    <i i="1">
      <x v="1"/>
    </i>
    <i i="2">
      <x v="2"/>
    </i>
    <i i="3">
      <x v="3"/>
    </i>
    <i i="4">
      <x v="4"/>
    </i>
  </colItems>
  <pageFields count="1">
    <pageField fld="0" item="1" hier="-1"/>
  </pageFields>
  <dataFields count="5">
    <dataField name="Prestige Value" fld="3" subtotal="max" baseField="2" baseItem="0"/>
    <dataField name="Presitge Delta Value" fld="12" subtotal="max" baseField="2" baseItem="0"/>
    <dataField name="Running Credit Average Value" fld="18" subtotal="max" baseField="2" baseItem="8"/>
    <dataField name="Credit Delta Value" fld="13" subtotal="max" baseField="2" baseItem="0"/>
    <dataField name="Material Delta Compensation Value" fld="15" subtotal="max" baseField="2" baseItem="4"/>
  </dataFields>
  <chartFormats count="5">
    <chartFormat chart="1" format="15" series="1">
      <pivotArea type="data" outline="0" fieldPosition="0">
        <references count="1">
          <reference field="4294967294" count="1" selected="0">
            <x v="0"/>
          </reference>
        </references>
      </pivotArea>
    </chartFormat>
    <chartFormat chart="1" format="16" series="1">
      <pivotArea type="data" outline="0" fieldPosition="0">
        <references count="1">
          <reference field="4294967294" count="1" selected="0">
            <x v="1"/>
          </reference>
        </references>
      </pivotArea>
    </chartFormat>
    <chartFormat chart="1" format="17" series="1">
      <pivotArea type="data" outline="0" fieldPosition="0">
        <references count="1">
          <reference field="4294967294" count="1" selected="0">
            <x v="2"/>
          </reference>
        </references>
      </pivotArea>
    </chartFormat>
    <chartFormat chart="1" format="18" series="1">
      <pivotArea type="data" outline="0" fieldPosition="0">
        <references count="1">
          <reference field="4294967294" count="1" selected="0">
            <x v="3"/>
          </reference>
        </references>
      </pivotArea>
    </chartFormat>
    <chartFormat chart="1" format="19" series="1">
      <pivotArea type="data" outline="0" fieldPosition="0">
        <references count="1">
          <reference field="4294967294" count="1" selected="0">
            <x v="4"/>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177BB"/>
  </sheetPr>
  <dimension ref="A1:AU9"/>
  <sheetViews>
    <sheetView showGridLines="0" workbookViewId="0">
      <pane ySplit="1" topLeftCell="A2" activePane="bottomLeft" state="frozen"/>
      <selection pane="bottomLeft" activeCell="D8" sqref="D8"/>
    </sheetView>
  </sheetViews>
  <sheetFormatPr defaultColWidth="14.42578125" defaultRowHeight="15.75" customHeight="1" x14ac:dyDescent="0.2"/>
  <cols>
    <col min="1" max="1" width="17.7109375" bestFit="1" customWidth="1"/>
    <col min="2" max="2" width="17.28515625" bestFit="1" customWidth="1"/>
    <col min="3" max="3" width="18.28515625" bestFit="1" customWidth="1"/>
    <col min="4" max="4" width="13.42578125" bestFit="1" customWidth="1"/>
    <col min="5" max="5" width="12.7109375" bestFit="1" customWidth="1"/>
    <col min="6" max="6" width="19.140625" bestFit="1" customWidth="1"/>
    <col min="7" max="7" width="20.85546875" bestFit="1" customWidth="1"/>
    <col min="8" max="8" width="14.85546875" bestFit="1" customWidth="1"/>
    <col min="9" max="9" width="12.7109375" bestFit="1" customWidth="1"/>
    <col min="10" max="10" width="13.5703125" bestFit="1" customWidth="1"/>
    <col min="11" max="11" width="10.42578125" bestFit="1" customWidth="1"/>
    <col min="12" max="12" width="16.85546875" customWidth="1"/>
    <col min="13" max="14" width="12.140625" customWidth="1"/>
    <col min="15" max="15" width="17.7109375" bestFit="1" customWidth="1"/>
    <col min="16" max="16" width="7.85546875" bestFit="1" customWidth="1"/>
    <col min="17" max="17" width="9" bestFit="1" customWidth="1"/>
    <col min="18" max="18" width="7.85546875" bestFit="1" customWidth="1"/>
    <col min="19" max="19" width="9" bestFit="1" customWidth="1"/>
    <col min="20" max="20" width="7.85546875" bestFit="1" customWidth="1"/>
    <col min="21" max="21" width="9" bestFit="1" customWidth="1"/>
    <col min="22" max="22" width="7.85546875" bestFit="1" customWidth="1"/>
    <col min="23" max="23" width="9" bestFit="1" customWidth="1"/>
    <col min="24" max="24" width="7.85546875" bestFit="1" customWidth="1"/>
    <col min="25" max="25" width="9" bestFit="1" customWidth="1"/>
    <col min="26" max="26" width="7.85546875" bestFit="1" customWidth="1"/>
    <col min="27" max="27" width="9" bestFit="1" customWidth="1"/>
    <col min="28" max="28" width="7.85546875" bestFit="1" customWidth="1"/>
    <col min="29" max="29" width="9" bestFit="1" customWidth="1"/>
    <col min="30" max="30" width="7.85546875" bestFit="1" customWidth="1"/>
    <col min="31" max="31" width="9" bestFit="1" customWidth="1"/>
    <col min="32" max="32" width="7.85546875" bestFit="1" customWidth="1"/>
    <col min="33" max="33" width="9" bestFit="1" customWidth="1"/>
    <col min="34" max="34" width="7.85546875" bestFit="1" customWidth="1"/>
    <col min="35" max="35" width="9" bestFit="1" customWidth="1"/>
    <col min="36" max="36" width="7.85546875" bestFit="1" customWidth="1"/>
    <col min="37" max="37" width="9" bestFit="1" customWidth="1"/>
    <col min="38" max="38" width="7.85546875" bestFit="1" customWidth="1"/>
    <col min="39" max="39" width="9" bestFit="1" customWidth="1"/>
    <col min="40" max="40" width="7.85546875" bestFit="1" customWidth="1"/>
    <col min="41" max="41" width="9" bestFit="1" customWidth="1"/>
    <col min="42" max="42" width="7.85546875" bestFit="1" customWidth="1"/>
    <col min="43" max="43" width="9" bestFit="1" customWidth="1"/>
    <col min="44" max="44" width="7.85546875" bestFit="1" customWidth="1"/>
    <col min="45" max="45" width="9" bestFit="1" customWidth="1"/>
    <col min="46" max="46" width="7.85546875" bestFit="1" customWidth="1"/>
    <col min="47" max="47" width="9" bestFit="1" customWidth="1"/>
  </cols>
  <sheetData>
    <row r="1" spans="1:47" ht="20.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ht="12.75" x14ac:dyDescent="0.2">
      <c r="A2" s="2">
        <v>42435.973587962966</v>
      </c>
      <c r="B2" s="3">
        <v>9</v>
      </c>
      <c r="C2" s="4">
        <v>7.2156550085617696E+16</v>
      </c>
      <c r="D2" s="5" t="s">
        <v>58</v>
      </c>
      <c r="E2" s="6">
        <v>3367</v>
      </c>
      <c r="F2" s="6">
        <v>25000</v>
      </c>
      <c r="G2" s="7">
        <v>0</v>
      </c>
      <c r="H2" s="5" t="b">
        <v>1</v>
      </c>
      <c r="I2" s="5" t="b">
        <v>0</v>
      </c>
      <c r="J2" s="5" t="b">
        <v>0</v>
      </c>
      <c r="K2" s="5" t="b">
        <v>0</v>
      </c>
      <c r="L2" s="5" t="s">
        <v>48</v>
      </c>
      <c r="M2" s="8" t="s">
        <v>59</v>
      </c>
      <c r="N2" s="8" t="s">
        <v>57</v>
      </c>
      <c r="O2" s="9">
        <v>0</v>
      </c>
      <c r="P2" s="9">
        <v>0</v>
      </c>
      <c r="Q2" s="9">
        <v>0</v>
      </c>
      <c r="R2" s="9">
        <v>0</v>
      </c>
      <c r="S2" s="9">
        <v>0</v>
      </c>
      <c r="T2" s="9">
        <v>0</v>
      </c>
      <c r="U2" s="9">
        <v>0</v>
      </c>
      <c r="V2" s="9">
        <v>0</v>
      </c>
      <c r="W2" s="9">
        <v>0</v>
      </c>
      <c r="X2" s="9">
        <v>0</v>
      </c>
      <c r="Y2" s="9">
        <v>0</v>
      </c>
      <c r="Z2" s="9">
        <v>0</v>
      </c>
      <c r="AA2" s="9">
        <v>0</v>
      </c>
      <c r="AB2" s="9">
        <v>0</v>
      </c>
      <c r="AC2" s="9">
        <v>0</v>
      </c>
      <c r="AD2" s="9">
        <v>0</v>
      </c>
      <c r="AE2" s="9">
        <v>0</v>
      </c>
      <c r="AF2" s="9">
        <v>0</v>
      </c>
      <c r="AG2" s="9">
        <v>0</v>
      </c>
      <c r="AH2" s="9">
        <v>0</v>
      </c>
      <c r="AI2" s="9">
        <v>0</v>
      </c>
      <c r="AJ2" s="9">
        <v>0</v>
      </c>
      <c r="AK2" s="9">
        <v>0</v>
      </c>
      <c r="AL2" s="9">
        <v>0</v>
      </c>
      <c r="AM2" s="9">
        <v>0</v>
      </c>
      <c r="AN2" s="9">
        <v>0</v>
      </c>
      <c r="AO2" s="9">
        <v>0</v>
      </c>
      <c r="AP2" s="9">
        <v>0</v>
      </c>
      <c r="AQ2" s="9">
        <v>0</v>
      </c>
      <c r="AR2" s="9">
        <v>0</v>
      </c>
      <c r="AS2" s="9">
        <v>0</v>
      </c>
      <c r="AT2" s="9">
        <v>0</v>
      </c>
      <c r="AU2" s="9">
        <v>0</v>
      </c>
    </row>
    <row r="3" spans="1:47" ht="12.75" x14ac:dyDescent="0.2">
      <c r="A3" s="2">
        <v>42435.973587962966</v>
      </c>
      <c r="B3" s="3">
        <v>9</v>
      </c>
      <c r="C3" s="4">
        <v>7.2104873038188896E+16</v>
      </c>
      <c r="D3" s="5" t="s">
        <v>54</v>
      </c>
      <c r="E3" s="6">
        <v>79633</v>
      </c>
      <c r="F3" s="6">
        <v>0</v>
      </c>
      <c r="G3" s="7">
        <v>777</v>
      </c>
      <c r="H3" s="5" t="b">
        <v>1</v>
      </c>
      <c r="I3" s="5" t="b">
        <v>0</v>
      </c>
      <c r="J3" s="5" t="b">
        <v>0</v>
      </c>
      <c r="K3" s="5" t="b">
        <v>1</v>
      </c>
      <c r="L3" s="5" t="s">
        <v>47</v>
      </c>
      <c r="M3" s="8" t="s">
        <v>55</v>
      </c>
      <c r="N3" s="8" t="s">
        <v>57</v>
      </c>
      <c r="O3" s="9">
        <v>510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c r="AJ3" s="9">
        <v>0</v>
      </c>
      <c r="AK3" s="9">
        <v>0</v>
      </c>
      <c r="AL3" s="9">
        <v>0</v>
      </c>
      <c r="AM3" s="9">
        <v>0</v>
      </c>
      <c r="AN3" s="9">
        <v>0</v>
      </c>
      <c r="AO3" s="9">
        <v>0</v>
      </c>
      <c r="AP3" s="9">
        <v>0</v>
      </c>
      <c r="AQ3" s="9">
        <v>0</v>
      </c>
      <c r="AR3" s="9">
        <v>0</v>
      </c>
      <c r="AS3" s="9">
        <v>0</v>
      </c>
      <c r="AT3" s="9">
        <v>0</v>
      </c>
      <c r="AU3" s="9">
        <v>0</v>
      </c>
    </row>
    <row r="4" spans="1:47" ht="12.75" x14ac:dyDescent="0.2">
      <c r="A4" s="2">
        <v>42435.973587962966</v>
      </c>
      <c r="B4" s="3">
        <v>9</v>
      </c>
      <c r="C4" s="4">
        <v>7.2157649596256704E+16</v>
      </c>
      <c r="D4" s="5" t="s">
        <v>49</v>
      </c>
      <c r="E4" s="6">
        <v>134647</v>
      </c>
      <c r="F4" s="6">
        <v>1000000</v>
      </c>
      <c r="G4" s="7">
        <v>2300</v>
      </c>
      <c r="H4" s="5" t="b">
        <v>1</v>
      </c>
      <c r="I4" s="5" t="b">
        <v>0</v>
      </c>
      <c r="J4" s="5" t="b">
        <v>0</v>
      </c>
      <c r="K4" s="5" t="b">
        <v>1</v>
      </c>
      <c r="L4" s="5" t="s">
        <v>47</v>
      </c>
      <c r="M4" s="8" t="s">
        <v>50</v>
      </c>
      <c r="N4" s="8" t="s">
        <v>56</v>
      </c>
      <c r="O4" s="9">
        <v>1515</v>
      </c>
      <c r="P4" s="9">
        <v>1</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9">
        <v>0</v>
      </c>
      <c r="AK4" s="9">
        <v>0</v>
      </c>
      <c r="AL4" s="9">
        <v>0</v>
      </c>
      <c r="AM4" s="9">
        <v>0</v>
      </c>
      <c r="AN4" s="9">
        <v>0</v>
      </c>
      <c r="AO4" s="9">
        <v>0</v>
      </c>
      <c r="AP4" s="9">
        <v>0</v>
      </c>
      <c r="AQ4" s="9">
        <v>0</v>
      </c>
      <c r="AR4" s="9">
        <v>0</v>
      </c>
      <c r="AS4" s="9">
        <v>0</v>
      </c>
      <c r="AT4" s="9">
        <v>0</v>
      </c>
      <c r="AU4" s="9">
        <v>0</v>
      </c>
    </row>
    <row r="5" spans="1:47" ht="12.75" x14ac:dyDescent="0.2">
      <c r="A5" s="2">
        <v>42435.973587962966</v>
      </c>
      <c r="B5" s="3">
        <v>9</v>
      </c>
      <c r="C5" s="4">
        <v>7.2174142271153792E+16</v>
      </c>
      <c r="D5" s="5" t="s">
        <v>51</v>
      </c>
      <c r="E5" s="6">
        <v>155700</v>
      </c>
      <c r="F5" s="6">
        <v>1400000</v>
      </c>
      <c r="G5" s="7">
        <v>8700</v>
      </c>
      <c r="H5" s="5" t="b">
        <v>1</v>
      </c>
      <c r="I5" s="5" t="b">
        <v>1</v>
      </c>
      <c r="J5" s="5" t="b">
        <v>0</v>
      </c>
      <c r="K5" s="5" t="b">
        <v>1</v>
      </c>
      <c r="L5" s="5" t="s">
        <v>47</v>
      </c>
      <c r="M5" s="8" t="s">
        <v>52</v>
      </c>
      <c r="N5" s="8" t="s">
        <v>53</v>
      </c>
      <c r="O5" s="9">
        <v>3085</v>
      </c>
      <c r="P5" s="9">
        <v>1</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c r="AJ5" s="9">
        <v>0</v>
      </c>
      <c r="AK5" s="9">
        <v>0</v>
      </c>
      <c r="AL5" s="9">
        <v>0</v>
      </c>
      <c r="AM5" s="9">
        <v>0</v>
      </c>
      <c r="AN5" s="9">
        <v>0</v>
      </c>
      <c r="AO5" s="9">
        <v>0</v>
      </c>
      <c r="AP5" s="9">
        <v>0</v>
      </c>
      <c r="AQ5" s="9">
        <v>0</v>
      </c>
      <c r="AR5" s="9">
        <v>0</v>
      </c>
      <c r="AS5" s="9">
        <v>0</v>
      </c>
      <c r="AT5" s="9">
        <v>0</v>
      </c>
      <c r="AU5" s="9">
        <v>0</v>
      </c>
    </row>
    <row r="6" spans="1:47" ht="12.75" x14ac:dyDescent="0.2">
      <c r="A6" s="2">
        <v>42442.998796296299</v>
      </c>
      <c r="B6" s="3">
        <v>10</v>
      </c>
      <c r="C6" s="9">
        <v>7.2156550085617696E+16</v>
      </c>
      <c r="D6" s="5" t="s">
        <v>58</v>
      </c>
      <c r="E6" s="6">
        <v>4992</v>
      </c>
      <c r="F6" s="6">
        <v>25000</v>
      </c>
      <c r="G6" s="7">
        <v>115</v>
      </c>
      <c r="H6" s="5" t="b">
        <v>0</v>
      </c>
      <c r="I6" s="5" t="b">
        <v>0</v>
      </c>
      <c r="J6" s="5" t="b">
        <v>0</v>
      </c>
      <c r="K6" s="5" t="b">
        <v>0</v>
      </c>
      <c r="L6" s="5" t="s">
        <v>48</v>
      </c>
      <c r="M6" s="8" t="s">
        <v>59</v>
      </c>
      <c r="N6" s="8" t="s">
        <v>60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c r="AJ6" s="9">
        <v>0</v>
      </c>
      <c r="AK6" s="9">
        <v>0</v>
      </c>
      <c r="AL6" s="9">
        <v>0</v>
      </c>
      <c r="AM6" s="9">
        <v>0</v>
      </c>
      <c r="AN6" s="9">
        <v>0</v>
      </c>
      <c r="AO6" s="9">
        <v>0</v>
      </c>
      <c r="AP6" s="9">
        <v>0</v>
      </c>
      <c r="AQ6" s="9">
        <v>0</v>
      </c>
      <c r="AR6" s="9">
        <v>0</v>
      </c>
      <c r="AS6" s="9">
        <v>0</v>
      </c>
      <c r="AT6" s="9">
        <v>0</v>
      </c>
      <c r="AU6" s="9">
        <v>0</v>
      </c>
    </row>
    <row r="7" spans="1:47" ht="12.75" x14ac:dyDescent="0.2">
      <c r="A7" s="2">
        <v>42442.998796296299</v>
      </c>
      <c r="B7" s="3">
        <v>10</v>
      </c>
      <c r="C7" s="9">
        <v>7.2104873038188896E+16</v>
      </c>
      <c r="D7" s="5" t="s">
        <v>54</v>
      </c>
      <c r="E7" s="6">
        <v>79633</v>
      </c>
      <c r="F7" s="6">
        <v>0</v>
      </c>
      <c r="G7" s="7">
        <v>777</v>
      </c>
      <c r="H7" s="5" t="b">
        <v>0</v>
      </c>
      <c r="I7" s="5" t="b">
        <v>0</v>
      </c>
      <c r="J7" s="5" t="b">
        <v>0</v>
      </c>
      <c r="K7" s="5" t="b">
        <v>1</v>
      </c>
      <c r="L7" s="5" t="s">
        <v>47</v>
      </c>
      <c r="M7" s="8" t="s">
        <v>55</v>
      </c>
      <c r="N7" s="8" t="s">
        <v>60</v>
      </c>
      <c r="O7" s="9">
        <v>510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row>
    <row r="8" spans="1:47" ht="12.75" x14ac:dyDescent="0.2">
      <c r="A8" s="2">
        <v>42442.998796296299</v>
      </c>
      <c r="B8" s="3">
        <v>10</v>
      </c>
      <c r="C8" s="9">
        <v>7.2157649596256704E+16</v>
      </c>
      <c r="D8" s="5" t="s">
        <v>49</v>
      </c>
      <c r="E8" s="6">
        <v>149474</v>
      </c>
      <c r="F8" s="6">
        <v>1200000</v>
      </c>
      <c r="G8" s="7">
        <v>2500</v>
      </c>
      <c r="H8" s="5" t="b">
        <v>1</v>
      </c>
      <c r="I8" s="5" t="b">
        <v>1</v>
      </c>
      <c r="J8" s="5" t="b">
        <v>0</v>
      </c>
      <c r="K8" s="5" t="b">
        <v>1</v>
      </c>
      <c r="L8" s="5" t="s">
        <v>47</v>
      </c>
      <c r="M8" s="8" t="s">
        <v>50</v>
      </c>
      <c r="N8" s="8" t="s">
        <v>56</v>
      </c>
      <c r="O8" s="9">
        <v>1730</v>
      </c>
      <c r="P8" s="9">
        <v>1</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row>
    <row r="9" spans="1:47" ht="12.75" x14ac:dyDescent="0.2">
      <c r="A9" s="2">
        <v>42442.998796296299</v>
      </c>
      <c r="B9" s="3">
        <v>10</v>
      </c>
      <c r="C9" s="9">
        <v>7.2174142271153792E+16</v>
      </c>
      <c r="D9" s="5" t="s">
        <v>51</v>
      </c>
      <c r="E9" s="6">
        <v>179133</v>
      </c>
      <c r="F9" s="6">
        <v>1500000</v>
      </c>
      <c r="G9" s="7">
        <v>9000</v>
      </c>
      <c r="H9" s="5" t="b">
        <v>1</v>
      </c>
      <c r="I9" s="5" t="b">
        <v>1</v>
      </c>
      <c r="J9" s="5" t="b">
        <v>0</v>
      </c>
      <c r="K9" s="5" t="b">
        <v>1</v>
      </c>
      <c r="L9" s="5" t="s">
        <v>47</v>
      </c>
      <c r="M9" s="8" t="s">
        <v>52</v>
      </c>
      <c r="N9" s="8" t="s">
        <v>53</v>
      </c>
      <c r="O9" s="9">
        <v>3140</v>
      </c>
      <c r="P9" s="9">
        <v>1</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row>
  </sheetData>
  <autoFilter ref="A1:AU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8761D"/>
  </sheetPr>
  <dimension ref="A1:S24"/>
  <sheetViews>
    <sheetView tabSelected="1" workbookViewId="0">
      <selection activeCell="B19" sqref="B19"/>
    </sheetView>
  </sheetViews>
  <sheetFormatPr defaultColWidth="14.42578125" defaultRowHeight="15.75" customHeight="1" x14ac:dyDescent="0.2"/>
  <cols>
    <col min="1" max="1" width="17.28515625" bestFit="1" customWidth="1"/>
    <col min="2" max="2" width="18.85546875" customWidth="1"/>
    <col min="3" max="3" width="15" bestFit="1" customWidth="1"/>
    <col min="4" max="4" width="12.7109375" bestFit="1" customWidth="1"/>
    <col min="5" max="5" width="19.140625" bestFit="1" customWidth="1"/>
    <col min="6" max="6" width="20.85546875" bestFit="1" customWidth="1"/>
    <col min="7" max="7" width="16.85546875" bestFit="1" customWidth="1"/>
    <col min="8" max="8" width="23" bestFit="1" customWidth="1"/>
    <col min="9" max="9" width="17.7109375" bestFit="1" customWidth="1"/>
    <col min="10" max="10" width="26.5703125" bestFit="1" customWidth="1"/>
    <col min="11" max="11" width="21.140625" bestFit="1" customWidth="1"/>
    <col min="12" max="12" width="28.7109375" bestFit="1" customWidth="1"/>
    <col min="13" max="13" width="33" bestFit="1" customWidth="1"/>
    <col min="14" max="14" width="31.28515625" bestFit="1" customWidth="1"/>
    <col min="15" max="15" width="33" bestFit="1" customWidth="1"/>
    <col min="16" max="16" width="31.140625" bestFit="1" customWidth="1"/>
    <col min="17" max="17" width="41.85546875" bestFit="1" customWidth="1"/>
    <col min="18" max="18" width="42.85546875" bestFit="1" customWidth="1"/>
    <col min="19" max="19" width="26.85546875" bestFit="1" customWidth="1"/>
  </cols>
  <sheetData>
    <row r="1" spans="1:19" ht="15.75" customHeight="1" x14ac:dyDescent="0.3">
      <c r="A1" s="1" t="s">
        <v>1</v>
      </c>
      <c r="B1" s="1" t="s">
        <v>2</v>
      </c>
      <c r="C1" s="1" t="s">
        <v>3</v>
      </c>
      <c r="D1" s="1" t="s">
        <v>4</v>
      </c>
      <c r="E1" s="1" t="s">
        <v>5</v>
      </c>
      <c r="F1" s="1" t="s">
        <v>6</v>
      </c>
      <c r="G1" s="1" t="s">
        <v>11</v>
      </c>
      <c r="H1" s="10" t="s">
        <v>61</v>
      </c>
      <c r="I1" s="10" t="s">
        <v>62</v>
      </c>
      <c r="J1" s="10" t="s">
        <v>63</v>
      </c>
      <c r="K1" s="10" t="s">
        <v>64</v>
      </c>
      <c r="L1" s="10" t="s">
        <v>65</v>
      </c>
      <c r="M1" s="10" t="s">
        <v>66</v>
      </c>
      <c r="N1" s="10" t="s">
        <v>67</v>
      </c>
      <c r="O1" s="10" t="s">
        <v>68</v>
      </c>
      <c r="P1" s="10" t="s">
        <v>69</v>
      </c>
      <c r="Q1" s="10" t="s">
        <v>70</v>
      </c>
      <c r="R1" s="10" t="s">
        <v>71</v>
      </c>
      <c r="S1" s="10" t="s">
        <v>72</v>
      </c>
    </row>
    <row r="2" spans="1:19" ht="12.75" x14ac:dyDescent="0.2">
      <c r="A2" s="21">
        <f>'2016'!B2</f>
        <v>9</v>
      </c>
      <c r="B2" s="22">
        <f>'2016'!C2</f>
        <v>7.2156550085617696E+16</v>
      </c>
      <c r="C2" s="22" t="str">
        <f>'2016'!D2</f>
        <v>Charles Clay</v>
      </c>
      <c r="D2" s="22">
        <f>'2016'!E2</f>
        <v>3367</v>
      </c>
      <c r="E2" s="22">
        <f>'2016'!F2</f>
        <v>25000</v>
      </c>
      <c r="F2" s="22">
        <f>'2016'!G2</f>
        <v>0</v>
      </c>
      <c r="G2" s="22" t="str">
        <f>'2016'!L2</f>
        <v>AcademyMember</v>
      </c>
      <c r="H2" s="25">
        <f t="shared" ref="H2:H9" si="0">ROUNDDOWN($D2/600,0)</f>
        <v>5</v>
      </c>
      <c r="I2" s="26">
        <v>1</v>
      </c>
      <c r="J2" s="26">
        <f>SUMPRODUCT(--($B$2:$B2=$B2), --($G$2:$G2="AcademyMember"))</f>
        <v>1</v>
      </c>
      <c r="K2" s="26">
        <f t="shared" ref="K2:K9" si="1">MAX(0, $I2-TrialPeriod-$J2)</f>
        <v>0</v>
      </c>
      <c r="L2" s="23" t="b">
        <f t="shared" ref="L2:L9" si="2">OR($K2 = 0, $D2 &lt; MinimumDonationPrestige)</f>
        <v>1</v>
      </c>
      <c r="M2" s="24">
        <f t="shared" ref="M2:O5" si="3">D2</f>
        <v>3367</v>
      </c>
      <c r="N2" s="24">
        <f t="shared" si="3"/>
        <v>25000</v>
      </c>
      <c r="O2" s="24">
        <f t="shared" si="3"/>
        <v>0</v>
      </c>
      <c r="P2" s="24">
        <f t="shared" ref="P2:P9" si="4">O2*ExchangeRateMaterialsToCredits</f>
        <v>0</v>
      </c>
      <c r="Q2" s="24">
        <f t="shared" ref="Q2:Q9" si="5">$N2+$P2</f>
        <v>25000</v>
      </c>
      <c r="R2" s="24">
        <f t="shared" ref="R2:R9" si="6">$E2+$P2</f>
        <v>25000</v>
      </c>
      <c r="S2" s="24">
        <f>IF(K2 &lt; 2, R2, ROUNDUP(R2/K2, 0))</f>
        <v>25000</v>
      </c>
    </row>
    <row r="3" spans="1:19" ht="12.75" x14ac:dyDescent="0.2">
      <c r="A3" s="21">
        <f>'2016'!B3</f>
        <v>9</v>
      </c>
      <c r="B3" s="22">
        <f>'2016'!C3</f>
        <v>7.2104873038188896E+16</v>
      </c>
      <c r="C3" s="23" t="str">
        <f>'2016'!D3</f>
        <v>Dark Ender</v>
      </c>
      <c r="D3" s="24">
        <f>'2016'!E3</f>
        <v>79633</v>
      </c>
      <c r="E3" s="24">
        <f>'2016'!F3</f>
        <v>0</v>
      </c>
      <c r="F3" s="23">
        <f>'2016'!G3</f>
        <v>777</v>
      </c>
      <c r="G3" s="23" t="str">
        <f>'2016'!L3</f>
        <v>PantheonMember</v>
      </c>
      <c r="H3" s="25">
        <f t="shared" si="0"/>
        <v>132</v>
      </c>
      <c r="I3" s="26">
        <v>1</v>
      </c>
      <c r="J3" s="26">
        <f>SUMPRODUCT(--($B$2:$B3=$B3), --($G$2:$G3="AcademyMember"))</f>
        <v>0</v>
      </c>
      <c r="K3" s="26">
        <f t="shared" si="1"/>
        <v>0</v>
      </c>
      <c r="L3" s="23" t="b">
        <f t="shared" si="2"/>
        <v>1</v>
      </c>
      <c r="M3" s="24">
        <f t="shared" si="3"/>
        <v>79633</v>
      </c>
      <c r="N3" s="24">
        <f t="shared" si="3"/>
        <v>0</v>
      </c>
      <c r="O3" s="24">
        <f t="shared" si="3"/>
        <v>777</v>
      </c>
      <c r="P3" s="24">
        <f t="shared" si="4"/>
        <v>194250</v>
      </c>
      <c r="Q3" s="24">
        <f t="shared" si="5"/>
        <v>194250</v>
      </c>
      <c r="R3" s="24">
        <f t="shared" si="6"/>
        <v>194250</v>
      </c>
      <c r="S3" s="24">
        <f t="shared" ref="S3:S9" si="7">IF(K3 &lt; 2, R3, ROUNDUP(R3/K3, 0))</f>
        <v>194250</v>
      </c>
    </row>
    <row r="4" spans="1:19" ht="12.75" x14ac:dyDescent="0.2">
      <c r="A4" s="21">
        <f>'2016'!B4</f>
        <v>9</v>
      </c>
      <c r="B4" s="22">
        <f>'2016'!C4</f>
        <v>7.2157649596256704E+16</v>
      </c>
      <c r="C4" s="23" t="str">
        <f>'2016'!D4</f>
        <v>Don Donnie</v>
      </c>
      <c r="D4" s="24">
        <f>'2016'!E4</f>
        <v>134647</v>
      </c>
      <c r="E4" s="24">
        <f>'2016'!F4</f>
        <v>1000000</v>
      </c>
      <c r="F4" s="23">
        <f>'2016'!G4</f>
        <v>2300</v>
      </c>
      <c r="G4" s="23" t="str">
        <f>'2016'!L4</f>
        <v>PantheonMember</v>
      </c>
      <c r="H4" s="25">
        <f t="shared" si="0"/>
        <v>224</v>
      </c>
      <c r="I4" s="26">
        <v>1</v>
      </c>
      <c r="J4" s="26">
        <f>SUMPRODUCT(--($B$2:$B4=$B4), --($G$2:$G4="AcademyMember"))</f>
        <v>0</v>
      </c>
      <c r="K4" s="26">
        <f t="shared" si="1"/>
        <v>0</v>
      </c>
      <c r="L4" s="23" t="b">
        <f t="shared" si="2"/>
        <v>1</v>
      </c>
      <c r="M4" s="24">
        <f t="shared" si="3"/>
        <v>134647</v>
      </c>
      <c r="N4" s="24">
        <f t="shared" si="3"/>
        <v>1000000</v>
      </c>
      <c r="O4" s="24">
        <f t="shared" si="3"/>
        <v>2300</v>
      </c>
      <c r="P4" s="24">
        <f t="shared" si="4"/>
        <v>575000</v>
      </c>
      <c r="Q4" s="24">
        <f t="shared" si="5"/>
        <v>1575000</v>
      </c>
      <c r="R4" s="24">
        <f t="shared" si="6"/>
        <v>1575000</v>
      </c>
      <c r="S4" s="24">
        <f t="shared" si="7"/>
        <v>1575000</v>
      </c>
    </row>
    <row r="5" spans="1:19" ht="12.75" x14ac:dyDescent="0.2">
      <c r="A5" s="21">
        <f>'2016'!B5</f>
        <v>9</v>
      </c>
      <c r="B5" s="22">
        <f>'2016'!C5</f>
        <v>7.2174142271153792E+16</v>
      </c>
      <c r="C5" s="23" t="str">
        <f>'2016'!D5</f>
        <v>Maverik Gately</v>
      </c>
      <c r="D5" s="24">
        <f>'2016'!E5</f>
        <v>155700</v>
      </c>
      <c r="E5" s="24">
        <f>'2016'!F5</f>
        <v>1400000</v>
      </c>
      <c r="F5" s="23">
        <f>'2016'!G5</f>
        <v>8700</v>
      </c>
      <c r="G5" s="23" t="str">
        <f>'2016'!L5</f>
        <v>PantheonMember</v>
      </c>
      <c r="H5" s="25">
        <f t="shared" si="0"/>
        <v>259</v>
      </c>
      <c r="I5" s="26">
        <v>1</v>
      </c>
      <c r="J5" s="26">
        <f>SUMPRODUCT(--($B$2:$B5=$B5), --($G$2:$G5="AcademyMember"))</f>
        <v>0</v>
      </c>
      <c r="K5" s="26">
        <f t="shared" si="1"/>
        <v>0</v>
      </c>
      <c r="L5" s="23" t="b">
        <f t="shared" si="2"/>
        <v>1</v>
      </c>
      <c r="M5" s="24">
        <f t="shared" si="3"/>
        <v>155700</v>
      </c>
      <c r="N5" s="24">
        <f t="shared" si="3"/>
        <v>1400000</v>
      </c>
      <c r="O5" s="24">
        <f t="shared" si="3"/>
        <v>8700</v>
      </c>
      <c r="P5" s="24">
        <f t="shared" si="4"/>
        <v>2175000</v>
      </c>
      <c r="Q5" s="24">
        <f t="shared" si="5"/>
        <v>3575000</v>
      </c>
      <c r="R5" s="24">
        <f t="shared" si="6"/>
        <v>3575000</v>
      </c>
      <c r="S5" s="24">
        <f t="shared" si="7"/>
        <v>3575000</v>
      </c>
    </row>
    <row r="6" spans="1:19" ht="12.75" x14ac:dyDescent="0.2">
      <c r="A6" s="16">
        <f>'2016'!B6</f>
        <v>10</v>
      </c>
      <c r="B6" s="11">
        <f>'2016'!C6</f>
        <v>7.2156550085617696E+16</v>
      </c>
      <c r="C6" s="12" t="str">
        <f>'2016'!D6</f>
        <v>Charles Clay</v>
      </c>
      <c r="D6" s="13">
        <f>'2016'!E6</f>
        <v>4992</v>
      </c>
      <c r="E6" s="13">
        <f>'2016'!F6</f>
        <v>25000</v>
      </c>
      <c r="F6" s="12">
        <f>'2016'!G6</f>
        <v>115</v>
      </c>
      <c r="G6" s="12" t="str">
        <f>'2016'!L6</f>
        <v>AcademyMember</v>
      </c>
      <c r="H6" s="15">
        <f t="shared" si="0"/>
        <v>8</v>
      </c>
      <c r="I6" s="14">
        <f>SUMPRODUCT(--($B$2:$B5=$B6), --($A$2:$A5=$A6-1), $I$2:$I5)+1</f>
        <v>2</v>
      </c>
      <c r="J6" s="14">
        <f>SUMPRODUCT(--($B$2:$B6=$B6), --($G$2:$G6="AcademyMember"))</f>
        <v>2</v>
      </c>
      <c r="K6" s="14">
        <f t="shared" si="1"/>
        <v>0</v>
      </c>
      <c r="L6" s="12" t="b">
        <f t="shared" si="2"/>
        <v>1</v>
      </c>
      <c r="M6" s="13">
        <f>$D6-SUMPRODUCT(--($B$2:$B6=$B6), --($A$2:$A6=$A6-1), $D$2:$D6)</f>
        <v>1625</v>
      </c>
      <c r="N6" s="13">
        <f>$E6-SUMPRODUCT(--($B$2:$B6=$B6), --($A$2:$A6=$A6-1), $E$2:$E6)</f>
        <v>0</v>
      </c>
      <c r="O6" s="13">
        <f>$F6-SUMPRODUCT(--($B$2:$B6=$B6), --($A$2:$A6=$A6-1), $F$2:$F6)</f>
        <v>115</v>
      </c>
      <c r="P6" s="13">
        <f t="shared" si="4"/>
        <v>28750</v>
      </c>
      <c r="Q6" s="13">
        <f t="shared" si="5"/>
        <v>28750</v>
      </c>
      <c r="R6" s="27">
        <f t="shared" si="6"/>
        <v>53750</v>
      </c>
      <c r="S6" s="27">
        <f t="shared" si="7"/>
        <v>53750</v>
      </c>
    </row>
    <row r="7" spans="1:19" ht="12.75" x14ac:dyDescent="0.2">
      <c r="A7" s="16">
        <f>'2016'!B7</f>
        <v>10</v>
      </c>
      <c r="B7" s="11">
        <f>'2016'!C7</f>
        <v>7.2104873038188896E+16</v>
      </c>
      <c r="C7" s="12" t="str">
        <f>'2016'!D7</f>
        <v>Dark Ender</v>
      </c>
      <c r="D7" s="13">
        <f>'2016'!E7</f>
        <v>79633</v>
      </c>
      <c r="E7" s="13">
        <f>'2016'!F7</f>
        <v>0</v>
      </c>
      <c r="F7" s="12">
        <f>'2016'!G7</f>
        <v>777</v>
      </c>
      <c r="G7" s="12" t="str">
        <f>'2016'!L7</f>
        <v>PantheonMember</v>
      </c>
      <c r="H7" s="15">
        <f t="shared" si="0"/>
        <v>132</v>
      </c>
      <c r="I7" s="14">
        <f>SUMPRODUCT(--($B$2:$B6=$B7), --($A$2:$A6=$A7-1), $I$2:$I6)+1</f>
        <v>2</v>
      </c>
      <c r="J7" s="14">
        <f>SUMPRODUCT(--($B$2:$B7=$B7), --($G$2:$G7="AcademyMember"))</f>
        <v>0</v>
      </c>
      <c r="K7" s="14">
        <f t="shared" si="1"/>
        <v>1</v>
      </c>
      <c r="L7" s="12" t="b">
        <f t="shared" si="2"/>
        <v>0</v>
      </c>
      <c r="M7" s="13">
        <f>$D7-SUMPRODUCT(--($B$2:$B7=$B7), --($A$2:$A7=$A7-1), $D$2:$D7)</f>
        <v>0</v>
      </c>
      <c r="N7" s="13">
        <f>$E7-SUMPRODUCT(--($B$2:$B7=$B7), --($A$2:$A7=$A7-1), $E$2:$E7)</f>
        <v>0</v>
      </c>
      <c r="O7" s="13">
        <f>$F7-SUMPRODUCT(--($B$2:$B7=$B7), --($A$2:$A7=$A7-1), $F$2:$F7)</f>
        <v>0</v>
      </c>
      <c r="P7" s="13">
        <f t="shared" si="4"/>
        <v>0</v>
      </c>
      <c r="Q7" s="13">
        <f t="shared" si="5"/>
        <v>0</v>
      </c>
      <c r="R7" s="27">
        <f t="shared" si="6"/>
        <v>0</v>
      </c>
      <c r="S7" s="27">
        <f t="shared" si="7"/>
        <v>0</v>
      </c>
    </row>
    <row r="8" spans="1:19" ht="12.75" x14ac:dyDescent="0.2">
      <c r="A8" s="16">
        <f>'2016'!B8</f>
        <v>10</v>
      </c>
      <c r="B8" s="11">
        <f>'2016'!C8</f>
        <v>7.2157649596256704E+16</v>
      </c>
      <c r="C8" s="12" t="str">
        <f>'2016'!D8</f>
        <v>Don Donnie</v>
      </c>
      <c r="D8" s="13">
        <f>'2016'!E8</f>
        <v>149474</v>
      </c>
      <c r="E8" s="13">
        <f>'2016'!F8</f>
        <v>1200000</v>
      </c>
      <c r="F8" s="12">
        <f>'2016'!G8</f>
        <v>2500</v>
      </c>
      <c r="G8" s="12" t="str">
        <f>'2016'!L8</f>
        <v>PantheonMember</v>
      </c>
      <c r="H8" s="15">
        <f t="shared" si="0"/>
        <v>249</v>
      </c>
      <c r="I8" s="14">
        <f>SUMPRODUCT(--($B$2:$B7=$B8), --($A$2:$A7=$A8-1), $I$2:$I7)+1</f>
        <v>2</v>
      </c>
      <c r="J8" s="14">
        <f>SUMPRODUCT(--($B$2:$B8=$B8), --($G$2:$G8="AcademyMember"))</f>
        <v>0</v>
      </c>
      <c r="K8" s="14">
        <f t="shared" si="1"/>
        <v>1</v>
      </c>
      <c r="L8" s="12" t="b">
        <f t="shared" si="2"/>
        <v>0</v>
      </c>
      <c r="M8" s="13">
        <f>$D8-SUMPRODUCT(--($B$2:$B8=$B8), --($A$2:$A8=$A8-1), $D$2:$D8)</f>
        <v>14827</v>
      </c>
      <c r="N8" s="13">
        <f>$E8-SUMPRODUCT(--($B$2:$B8=$B8), --($A$2:$A8=$A8-1), $E$2:$E8)</f>
        <v>200000</v>
      </c>
      <c r="O8" s="13">
        <f>$F8-SUMPRODUCT(--($B$2:$B8=$B8), --($A$2:$A8=$A8-1), $F$2:$F8)</f>
        <v>200</v>
      </c>
      <c r="P8" s="13">
        <f t="shared" si="4"/>
        <v>50000</v>
      </c>
      <c r="Q8" s="13">
        <f t="shared" si="5"/>
        <v>250000</v>
      </c>
      <c r="R8" s="27">
        <f t="shared" si="6"/>
        <v>1250000</v>
      </c>
      <c r="S8" s="27">
        <f t="shared" si="7"/>
        <v>1250000</v>
      </c>
    </row>
    <row r="9" spans="1:19" ht="12.75" x14ac:dyDescent="0.2">
      <c r="A9" s="16">
        <f>'2016'!B9</f>
        <v>10</v>
      </c>
      <c r="B9" s="11">
        <f>'2016'!C9</f>
        <v>7.2174142271153792E+16</v>
      </c>
      <c r="C9" s="12" t="str">
        <f>'2016'!D9</f>
        <v>Maverik Gately</v>
      </c>
      <c r="D9" s="13">
        <f>'2016'!E9</f>
        <v>179133</v>
      </c>
      <c r="E9" s="13">
        <f>'2016'!F9</f>
        <v>1500000</v>
      </c>
      <c r="F9" s="12">
        <f>'2016'!G9</f>
        <v>9000</v>
      </c>
      <c r="G9" s="12" t="str">
        <f>'2016'!L9</f>
        <v>PantheonMember</v>
      </c>
      <c r="H9" s="15">
        <f t="shared" si="0"/>
        <v>298</v>
      </c>
      <c r="I9" s="14">
        <f>SUMPRODUCT(--($B$2:$B8=$B9), --($A$2:$A8=$A9-1), $I$2:$I8)+1</f>
        <v>2</v>
      </c>
      <c r="J9" s="14">
        <f>SUMPRODUCT(--($B$2:$B9=$B9), --($G$2:$G9="AcademyMember"))</f>
        <v>0</v>
      </c>
      <c r="K9" s="14">
        <f t="shared" si="1"/>
        <v>1</v>
      </c>
      <c r="L9" s="12" t="b">
        <f t="shared" si="2"/>
        <v>0</v>
      </c>
      <c r="M9" s="13">
        <f>$D9-SUMPRODUCT(--($B$2:$B9=$B9), --($A$2:$A9=$A9-1), $D$2:$D9)</f>
        <v>23433</v>
      </c>
      <c r="N9" s="13">
        <f>$E9-SUMPRODUCT(--($B$2:$B9=$B9), --($A$2:$A9=$A9-1), $E$2:$E9)</f>
        <v>100000</v>
      </c>
      <c r="O9" s="13">
        <f>$F9-SUMPRODUCT(--($B$2:$B9=$B9), --($A$2:$A9=$A9-1), $F$2:$F9)</f>
        <v>300</v>
      </c>
      <c r="P9" s="13">
        <f t="shared" si="4"/>
        <v>75000</v>
      </c>
      <c r="Q9" s="13">
        <f t="shared" si="5"/>
        <v>175000</v>
      </c>
      <c r="R9" s="27">
        <f t="shared" si="6"/>
        <v>1575000</v>
      </c>
      <c r="S9" s="27">
        <f t="shared" si="7"/>
        <v>1575000</v>
      </c>
    </row>
    <row r="12" spans="1:19" ht="15.75" customHeight="1" x14ac:dyDescent="0.3">
      <c r="B12" s="1" t="s">
        <v>83</v>
      </c>
      <c r="C12" s="29"/>
      <c r="D12" s="29"/>
    </row>
    <row r="13" spans="1:19" ht="15.75" customHeight="1" x14ac:dyDescent="0.2">
      <c r="B13" s="28" t="s">
        <v>80</v>
      </c>
      <c r="C13" s="29"/>
      <c r="D13" s="29"/>
    </row>
    <row r="14" spans="1:19" ht="15.75" customHeight="1" x14ac:dyDescent="0.2">
      <c r="B14" s="28" t="s">
        <v>81</v>
      </c>
      <c r="C14" s="29"/>
      <c r="D14" s="29"/>
    </row>
    <row r="15" spans="1:19" ht="15.75" customHeight="1" x14ac:dyDescent="0.2">
      <c r="B15" s="28" t="s">
        <v>82</v>
      </c>
      <c r="C15" s="29"/>
      <c r="D15" s="29"/>
    </row>
    <row r="16" spans="1:19" ht="15.75" customHeight="1" x14ac:dyDescent="0.2">
      <c r="B16" s="28" t="s">
        <v>84</v>
      </c>
    </row>
    <row r="17" spans="2:2" ht="15.75" customHeight="1" x14ac:dyDescent="0.2">
      <c r="B17" s="28" t="s">
        <v>92</v>
      </c>
    </row>
    <row r="19" spans="2:2" ht="15.75" customHeight="1" x14ac:dyDescent="0.3">
      <c r="B19" s="1" t="s">
        <v>98</v>
      </c>
    </row>
    <row r="20" spans="2:2" ht="15.75" customHeight="1" x14ac:dyDescent="0.2">
      <c r="B20" s="28" t="s">
        <v>93</v>
      </c>
    </row>
    <row r="21" spans="2:2" ht="15.75" customHeight="1" x14ac:dyDescent="0.2">
      <c r="B21" s="28" t="s">
        <v>94</v>
      </c>
    </row>
    <row r="22" spans="2:2" ht="15.75" customHeight="1" x14ac:dyDescent="0.2">
      <c r="B22" s="28" t="s">
        <v>95</v>
      </c>
    </row>
    <row r="23" spans="2:2" ht="15.75" customHeight="1" x14ac:dyDescent="0.2">
      <c r="B23" s="28" t="s">
        <v>96</v>
      </c>
    </row>
    <row r="24" spans="2:2" ht="15.75" customHeight="1" x14ac:dyDescent="0.2">
      <c r="B24" s="28" t="s">
        <v>97</v>
      </c>
    </row>
  </sheetData>
  <autoFilter ref="A1:S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F8"/>
  <sheetViews>
    <sheetView workbookViewId="0">
      <selection activeCell="C6" sqref="C6"/>
    </sheetView>
  </sheetViews>
  <sheetFormatPr defaultColWidth="14.42578125" defaultRowHeight="15.75" customHeight="1" x14ac:dyDescent="0.2"/>
  <cols>
    <col min="1" max="1" width="13.85546875" customWidth="1"/>
    <col min="2" max="2" width="14.42578125" customWidth="1"/>
    <col min="3" max="3" width="19.85546875" customWidth="1"/>
    <col min="4" max="4" width="29.140625" customWidth="1"/>
    <col min="5" max="5" width="17.85546875" customWidth="1"/>
    <col min="6" max="6" width="34" customWidth="1"/>
    <col min="7" max="7" width="8.7109375" customWidth="1"/>
    <col min="8" max="8" width="17.85546875" customWidth="1"/>
    <col min="9" max="9" width="8.7109375" customWidth="1"/>
    <col min="10" max="10" width="19.7109375" customWidth="1"/>
    <col min="11" max="11" width="25.140625" customWidth="1"/>
    <col min="12" max="12" width="35.42578125" customWidth="1"/>
    <col min="13" max="13" width="23.140625" customWidth="1"/>
    <col min="14" max="14" width="15.5703125" customWidth="1"/>
    <col min="15" max="15" width="37.28515625" customWidth="1"/>
    <col min="16" max="16" width="30.42578125" customWidth="1"/>
    <col min="17" max="17" width="35.28515625" customWidth="1"/>
    <col min="18" max="18" width="15.5703125" customWidth="1"/>
    <col min="19" max="19" width="37.28515625" customWidth="1"/>
    <col min="20" max="20" width="30.42578125" customWidth="1"/>
    <col min="21" max="21" width="35.28515625" customWidth="1"/>
    <col min="22" max="22" width="15.5703125" customWidth="1"/>
    <col min="23" max="23" width="37.28515625" customWidth="1"/>
    <col min="24" max="24" width="30.42578125" customWidth="1"/>
    <col min="25" max="25" width="35.28515625" customWidth="1"/>
    <col min="26" max="26" width="15.5703125" customWidth="1"/>
    <col min="27" max="27" width="37.28515625" customWidth="1"/>
    <col min="28" max="28" width="30.42578125" bestFit="1" customWidth="1"/>
    <col min="29" max="29" width="35.28515625" customWidth="1"/>
    <col min="30" max="30" width="15.5703125" customWidth="1"/>
    <col min="31" max="31" width="37.28515625" customWidth="1"/>
    <col min="32" max="32" width="30.42578125" customWidth="1"/>
    <col min="33" max="33" width="35.28515625" customWidth="1"/>
    <col min="34" max="34" width="20.85546875" customWidth="1"/>
    <col min="35" max="35" width="42.7109375" customWidth="1"/>
    <col min="36" max="36" width="35.7109375" customWidth="1"/>
    <col min="37" max="37" width="40.5703125" customWidth="1"/>
    <col min="38" max="38" width="15.5703125" bestFit="1" customWidth="1"/>
    <col min="39" max="39" width="37.28515625" bestFit="1" customWidth="1"/>
    <col min="40" max="40" width="30.42578125" customWidth="1"/>
    <col min="41" max="41" width="24.5703125" customWidth="1"/>
    <col min="42" max="42" width="46.42578125" customWidth="1"/>
    <col min="43" max="43" width="39.42578125" customWidth="1"/>
    <col min="44" max="44" width="15.5703125" bestFit="1" customWidth="1"/>
    <col min="45" max="45" width="37.28515625" bestFit="1" customWidth="1"/>
    <col min="46" max="46" width="30.42578125" bestFit="1" customWidth="1"/>
    <col min="47" max="47" width="24.5703125" customWidth="1"/>
    <col min="48" max="48" width="46.42578125" bestFit="1" customWidth="1"/>
    <col min="49" max="49" width="39.42578125" customWidth="1"/>
    <col min="50" max="50" width="20.85546875" bestFit="1" customWidth="1"/>
    <col min="51" max="51" width="42.7109375" bestFit="1" customWidth="1"/>
    <col min="52" max="52" width="35.7109375" bestFit="1" customWidth="1"/>
  </cols>
  <sheetData>
    <row r="1" spans="1:6" ht="15.75" customHeight="1" x14ac:dyDescent="0.2">
      <c r="A1" s="30" t="s">
        <v>1</v>
      </c>
      <c r="B1" s="33">
        <v>10</v>
      </c>
    </row>
    <row r="3" spans="1:6" ht="15.75" customHeight="1" x14ac:dyDescent="0.2">
      <c r="A3" s="30" t="s">
        <v>85</v>
      </c>
      <c r="B3" t="s">
        <v>87</v>
      </c>
      <c r="C3" t="s">
        <v>88</v>
      </c>
      <c r="D3" t="s">
        <v>91</v>
      </c>
      <c r="E3" t="s">
        <v>89</v>
      </c>
      <c r="F3" t="s">
        <v>90</v>
      </c>
    </row>
    <row r="4" spans="1:6" ht="15.75" customHeight="1" x14ac:dyDescent="0.2">
      <c r="A4" s="31" t="s">
        <v>54</v>
      </c>
      <c r="B4" s="32">
        <v>79633</v>
      </c>
      <c r="C4" s="32">
        <v>0</v>
      </c>
      <c r="D4" s="32">
        <v>0</v>
      </c>
      <c r="E4" s="32">
        <v>0</v>
      </c>
      <c r="F4" s="32">
        <v>0</v>
      </c>
    </row>
    <row r="5" spans="1:6" ht="15.75" customHeight="1" x14ac:dyDescent="0.2">
      <c r="A5" s="31" t="s">
        <v>58</v>
      </c>
      <c r="B5" s="32">
        <v>4992</v>
      </c>
      <c r="C5" s="32">
        <v>1625</v>
      </c>
      <c r="D5" s="32">
        <v>53750</v>
      </c>
      <c r="E5" s="32">
        <v>0</v>
      </c>
      <c r="F5" s="32">
        <v>28750</v>
      </c>
    </row>
    <row r="6" spans="1:6" ht="15.75" customHeight="1" x14ac:dyDescent="0.2">
      <c r="A6" s="31" t="s">
        <v>49</v>
      </c>
      <c r="B6" s="32">
        <v>149474</v>
      </c>
      <c r="C6" s="32">
        <v>14827</v>
      </c>
      <c r="D6" s="32">
        <v>1250000</v>
      </c>
      <c r="E6" s="32">
        <v>200000</v>
      </c>
      <c r="F6" s="32">
        <v>50000</v>
      </c>
    </row>
    <row r="7" spans="1:6" ht="15.75" customHeight="1" x14ac:dyDescent="0.2">
      <c r="A7" s="31" t="s">
        <v>51</v>
      </c>
      <c r="B7" s="32">
        <v>179133</v>
      </c>
      <c r="C7" s="32">
        <v>23433</v>
      </c>
      <c r="D7" s="32">
        <v>1575000</v>
      </c>
      <c r="E7" s="32">
        <v>100000</v>
      </c>
      <c r="F7" s="32">
        <v>75000</v>
      </c>
    </row>
    <row r="8" spans="1:6" ht="15.75" customHeight="1" x14ac:dyDescent="0.2">
      <c r="A8" s="31" t="s">
        <v>86</v>
      </c>
      <c r="B8" s="32">
        <v>179133</v>
      </c>
      <c r="C8" s="32">
        <v>23433</v>
      </c>
      <c r="D8" s="32">
        <v>1575000</v>
      </c>
      <c r="E8" s="32">
        <v>200000</v>
      </c>
      <c r="F8" s="32">
        <v>75000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51C75"/>
  </sheetPr>
  <dimension ref="A1:H36"/>
  <sheetViews>
    <sheetView workbookViewId="0">
      <selection activeCell="A3" sqref="A3"/>
    </sheetView>
  </sheetViews>
  <sheetFormatPr defaultColWidth="14.42578125" defaultRowHeight="15.75" customHeight="1" x14ac:dyDescent="0.2"/>
  <cols>
    <col min="1" max="1" width="49.42578125" customWidth="1"/>
  </cols>
  <sheetData>
    <row r="1" spans="1:8" ht="15.75" customHeight="1" x14ac:dyDescent="0.3">
      <c r="A1" s="17" t="s">
        <v>73</v>
      </c>
      <c r="B1" s="18">
        <v>10000</v>
      </c>
    </row>
    <row r="2" spans="1:8" ht="15.75" customHeight="1" x14ac:dyDescent="0.3">
      <c r="A2" s="17" t="s">
        <v>74</v>
      </c>
      <c r="B2" s="18">
        <v>10000</v>
      </c>
    </row>
    <row r="3" spans="1:8" ht="15.75" customHeight="1" x14ac:dyDescent="0.3">
      <c r="A3" s="17" t="s">
        <v>75</v>
      </c>
      <c r="B3" s="19">
        <v>2</v>
      </c>
    </row>
    <row r="4" spans="1:8" ht="15.75" customHeight="1" x14ac:dyDescent="0.3">
      <c r="A4" s="17" t="s">
        <v>76</v>
      </c>
      <c r="B4" s="19">
        <v>1</v>
      </c>
      <c r="D4" s="20"/>
      <c r="H4" s="20"/>
    </row>
    <row r="5" spans="1:8" ht="15.75" customHeight="1" x14ac:dyDescent="0.2">
      <c r="D5" s="20"/>
      <c r="H5" s="20"/>
    </row>
    <row r="6" spans="1:8" ht="15.75" customHeight="1" x14ac:dyDescent="0.3">
      <c r="A6" s="17" t="s">
        <v>77</v>
      </c>
      <c r="B6" s="18">
        <v>250</v>
      </c>
      <c r="D6" s="20"/>
      <c r="H6" s="20"/>
    </row>
    <row r="7" spans="1:8" ht="15.75" customHeight="1" x14ac:dyDescent="0.3">
      <c r="A7" s="17" t="s">
        <v>78</v>
      </c>
      <c r="B7" s="18">
        <v>30000</v>
      </c>
      <c r="D7" s="20"/>
    </row>
    <row r="8" spans="1:8" ht="15.75" customHeight="1" x14ac:dyDescent="0.3">
      <c r="A8" s="17" t="s">
        <v>79</v>
      </c>
      <c r="B8" s="18">
        <v>2500</v>
      </c>
      <c r="D8" s="20"/>
    </row>
    <row r="9" spans="1:8" ht="15.75" customHeight="1" x14ac:dyDescent="0.2">
      <c r="D9" s="20"/>
    </row>
    <row r="10" spans="1:8" ht="15.75" customHeight="1" x14ac:dyDescent="0.2">
      <c r="D10" s="20"/>
    </row>
    <row r="11" spans="1:8" ht="15.75" customHeight="1" x14ac:dyDescent="0.2">
      <c r="D11" s="20"/>
    </row>
    <row r="12" spans="1:8" ht="15.75" customHeight="1" x14ac:dyDescent="0.2">
      <c r="D12" s="20"/>
    </row>
    <row r="13" spans="1:8" ht="15.75" customHeight="1" x14ac:dyDescent="0.2">
      <c r="D13" s="20"/>
    </row>
    <row r="14" spans="1:8" ht="15.75" customHeight="1" x14ac:dyDescent="0.2">
      <c r="D14" s="20"/>
    </row>
    <row r="15" spans="1:8" ht="15.75" customHeight="1" x14ac:dyDescent="0.2">
      <c r="D15" s="20"/>
    </row>
    <row r="16" spans="1:8" ht="15.75" customHeight="1" x14ac:dyDescent="0.2">
      <c r="D16" s="20"/>
    </row>
    <row r="17" spans="1:4" ht="15.75" customHeight="1" x14ac:dyDescent="0.2">
      <c r="D17" s="20"/>
    </row>
    <row r="18" spans="1:4" ht="15.75" customHeight="1" x14ac:dyDescent="0.2">
      <c r="A18" s="20"/>
      <c r="D18" s="20"/>
    </row>
    <row r="19" spans="1:4" ht="15.75" customHeight="1" x14ac:dyDescent="0.2">
      <c r="A19" s="20"/>
      <c r="D19" s="20"/>
    </row>
    <row r="20" spans="1:4" ht="15.75" customHeight="1" x14ac:dyDescent="0.2">
      <c r="A20" s="20"/>
      <c r="D20" s="20"/>
    </row>
    <row r="21" spans="1:4" ht="15.75" customHeight="1" x14ac:dyDescent="0.2">
      <c r="A21" s="20"/>
      <c r="D21" s="20"/>
    </row>
    <row r="22" spans="1:4" ht="15.75" customHeight="1" x14ac:dyDescent="0.2">
      <c r="A22" s="20"/>
      <c r="D22" s="20"/>
    </row>
    <row r="23" spans="1:4" ht="15.75" customHeight="1" x14ac:dyDescent="0.2">
      <c r="A23" s="20"/>
      <c r="D23" s="20"/>
    </row>
    <row r="24" spans="1:4" ht="15.75" customHeight="1" x14ac:dyDescent="0.2">
      <c r="A24" s="20"/>
      <c r="D24" s="20"/>
    </row>
    <row r="25" spans="1:4" ht="15.75" customHeight="1" x14ac:dyDescent="0.2">
      <c r="A25" s="20"/>
      <c r="D25" s="20"/>
    </row>
    <row r="26" spans="1:4" ht="15.75" customHeight="1" x14ac:dyDescent="0.2">
      <c r="D26" s="20"/>
    </row>
    <row r="27" spans="1:4" ht="15.75" customHeight="1" x14ac:dyDescent="0.2">
      <c r="D27" s="20"/>
    </row>
    <row r="28" spans="1:4" ht="15.75" customHeight="1" x14ac:dyDescent="0.2">
      <c r="D28" s="20"/>
    </row>
    <row r="29" spans="1:4" ht="15.75" customHeight="1" x14ac:dyDescent="0.2">
      <c r="D29" s="20"/>
    </row>
    <row r="30" spans="1:4" ht="15.75" customHeight="1" x14ac:dyDescent="0.2">
      <c r="D30" s="20"/>
    </row>
    <row r="31" spans="1:4" ht="15.75" customHeight="1" x14ac:dyDescent="0.2">
      <c r="A31" s="20"/>
      <c r="B31" s="20"/>
      <c r="D31" s="20"/>
    </row>
    <row r="32" spans="1:4" ht="15.75" customHeight="1" x14ac:dyDescent="0.2">
      <c r="A32" s="20"/>
      <c r="B32" s="20"/>
      <c r="D32" s="20"/>
    </row>
    <row r="33" spans="4:4" ht="15.75" customHeight="1" x14ac:dyDescent="0.2">
      <c r="D33" s="20"/>
    </row>
    <row r="34" spans="4:4" ht="15.75" customHeight="1" x14ac:dyDescent="0.2">
      <c r="D34" s="20"/>
    </row>
    <row r="35" spans="4:4" ht="15.75" customHeight="1" x14ac:dyDescent="0.2">
      <c r="D35" s="20"/>
    </row>
    <row r="36" spans="4:4" ht="15.75" customHeight="1" x14ac:dyDescent="0.2">
      <c r="D3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4</vt:i4>
      </vt:variant>
      <vt:variant>
        <vt:lpstr>Charts</vt:lpstr>
      </vt:variant>
      <vt:variant>
        <vt:i4>1</vt:i4>
      </vt:variant>
      <vt:variant>
        <vt:lpstr>Named Ranges</vt:lpstr>
      </vt:variant>
      <vt:variant>
        <vt:i4>6</vt:i4>
      </vt:variant>
    </vt:vector>
  </HeadingPairs>
  <TitlesOfParts>
    <vt:vector size="11" baseType="lpstr">
      <vt:lpstr>2016</vt:lpstr>
      <vt:lpstr>Calculations</vt:lpstr>
      <vt:lpstr>Pivot Table</vt:lpstr>
      <vt:lpstr>Settings</vt:lpstr>
      <vt:lpstr>Overall Progress PivotChart</vt:lpstr>
      <vt:lpstr>ExchangeRateMaterialsToCredits</vt:lpstr>
      <vt:lpstr>MinimumDonationPrestige</vt:lpstr>
      <vt:lpstr>MinimumPrestigeGracePeriod</vt:lpstr>
      <vt:lpstr>MinimumPrestigeRequired</vt:lpstr>
      <vt:lpstr>TrialPeriod</vt:lpstr>
      <vt:lpstr>WeeklyAverageCreditPerMember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Maverik Gately</dc:creator>
  <cp:lastModifiedBy>Maverik Gately</cp:lastModifiedBy>
  <dcterms:created xsi:type="dcterms:W3CDTF">2016-03-20T18:25:29Z</dcterms:created>
  <dcterms:modified xsi:type="dcterms:W3CDTF">2016-03-20T18:30:40Z</dcterms:modified>
</cp:coreProperties>
</file>