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s\"/>
    </mc:Choice>
  </mc:AlternateContent>
  <bookViews>
    <workbookView xWindow="0" yWindow="0" windowWidth="28800" windowHeight="12300"/>
  </bookViews>
  <sheets>
    <sheet name="РТС" sheetId="1" r:id="rId1"/>
    <sheet name="C" sheetId="2" r:id="rId2"/>
    <sheet name="C#" sheetId="3" r:id="rId3"/>
    <sheet name="D#" sheetId="4" r:id="rId4"/>
    <sheet name="E" sheetId="5" r:id="rId5"/>
    <sheet name="D" sheetId="6" r:id="rId6"/>
    <sheet name="F" sheetId="7" r:id="rId7"/>
    <sheet name="G" sheetId="8" r:id="rId8"/>
    <sheet name="G#" sheetId="9" r:id="rId9"/>
    <sheet name="A#" sheetId="10" r:id="rId10"/>
    <sheet name="B" sheetId="11" r:id="rId11"/>
    <sheet name="F#" sheetId="12" r:id="rId12"/>
    <sheet name="A" sheetId="13" r:id="rId13"/>
    <sheet name="Пифагоров строй от Ля" sheetId="14" r:id="rId14"/>
    <sheet name="G Ptolemy (384)" sheetId="15" r:id="rId15"/>
    <sheet name="натуральный звукоряд" sheetId="16" r:id="rId16"/>
    <sheet name="Нат. строй от любой частоты" sheetId="17" r:id="rId17"/>
    <sheet name="53 Шаговый строй" sheetId="18" r:id="rId18"/>
  </sheets>
  <calcPr calcId="162913"/>
</workbook>
</file>

<file path=xl/calcChain.xml><?xml version="1.0" encoding="utf-8"?>
<calcChain xmlns="http://schemas.openxmlformats.org/spreadsheetml/2006/main">
  <c r="BB8" i="18" l="1"/>
  <c r="AZ8" i="18"/>
  <c r="AW8" i="18"/>
  <c r="AV8" i="18"/>
  <c r="AT8" i="18"/>
  <c r="AQ8" i="18"/>
  <c r="AP8" i="18"/>
  <c r="AM8" i="18"/>
  <c r="AK8" i="18"/>
  <c r="AJ8" i="18"/>
  <c r="AE8" i="18"/>
  <c r="AD8" i="18"/>
  <c r="Y8" i="18"/>
  <c r="X8" i="18"/>
  <c r="U8" i="18"/>
  <c r="S8" i="18"/>
  <c r="R8" i="18"/>
  <c r="M8" i="18"/>
  <c r="L8" i="18"/>
  <c r="G8" i="18"/>
  <c r="F8" i="18"/>
  <c r="C8" i="18"/>
  <c r="BB7" i="18"/>
  <c r="BA7" i="18"/>
  <c r="BA8" i="18" s="1"/>
  <c r="AZ7" i="18"/>
  <c r="AY7" i="18"/>
  <c r="AY8" i="18" s="1"/>
  <c r="AX7" i="18"/>
  <c r="AX8" i="18" s="1"/>
  <c r="AW7" i="18"/>
  <c r="AV7" i="18"/>
  <c r="AU7" i="18"/>
  <c r="AU8" i="18" s="1"/>
  <c r="AT7" i="18"/>
  <c r="AS7" i="18"/>
  <c r="AS8" i="18" s="1"/>
  <c r="AR7" i="18"/>
  <c r="AR8" i="18" s="1"/>
  <c r="AQ7" i="18"/>
  <c r="AP7" i="18"/>
  <c r="AO7" i="18"/>
  <c r="AO8" i="18" s="1"/>
  <c r="AN7" i="18"/>
  <c r="AN8" i="18" s="1"/>
  <c r="AM7" i="18"/>
  <c r="AL7" i="18"/>
  <c r="AL8" i="18" s="1"/>
  <c r="AK7" i="18"/>
  <c r="AJ7" i="18"/>
  <c r="AI7" i="18"/>
  <c r="AI8" i="18" s="1"/>
  <c r="AH7" i="18"/>
  <c r="AH8" i="18" s="1"/>
  <c r="AG7" i="18"/>
  <c r="AG8" i="18" s="1"/>
  <c r="AF7" i="18"/>
  <c r="AF8" i="18" s="1"/>
  <c r="AE7" i="18"/>
  <c r="AD7" i="18"/>
  <c r="AC7" i="18"/>
  <c r="AC8" i="18" s="1"/>
  <c r="AB7" i="18"/>
  <c r="AB8" i="18" s="1"/>
  <c r="AA7" i="18"/>
  <c r="AA8" i="18" s="1"/>
  <c r="Z7" i="18"/>
  <c r="Z8" i="18" s="1"/>
  <c r="Y7" i="18"/>
  <c r="X7" i="18"/>
  <c r="W7" i="18"/>
  <c r="W8" i="18" s="1"/>
  <c r="V7" i="18"/>
  <c r="V8" i="18" s="1"/>
  <c r="U7" i="18"/>
  <c r="T7" i="18"/>
  <c r="T8" i="18" s="1"/>
  <c r="S7" i="18"/>
  <c r="R7" i="18"/>
  <c r="Q7" i="18"/>
  <c r="Q8" i="18" s="1"/>
  <c r="P7" i="18"/>
  <c r="P8" i="18" s="1"/>
  <c r="O7" i="18"/>
  <c r="O8" i="18" s="1"/>
  <c r="N7" i="18"/>
  <c r="N8" i="18" s="1"/>
  <c r="M7" i="18"/>
  <c r="L7" i="18"/>
  <c r="K7" i="18"/>
  <c r="K8" i="18" s="1"/>
  <c r="J7" i="18"/>
  <c r="J8" i="18" s="1"/>
  <c r="I7" i="18"/>
  <c r="I8" i="18" s="1"/>
  <c r="H7" i="18"/>
  <c r="H8" i="18" s="1"/>
  <c r="G7" i="18"/>
  <c r="F7" i="18"/>
  <c r="E7" i="18"/>
  <c r="E8" i="18" s="1"/>
  <c r="D7" i="18"/>
  <c r="D8" i="18" s="1"/>
  <c r="C7" i="18"/>
  <c r="B7" i="18"/>
  <c r="B8" i="18" s="1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L4" i="17"/>
  <c r="H4" i="17"/>
  <c r="N3" i="17"/>
  <c r="M3" i="17"/>
  <c r="L3" i="17"/>
  <c r="K3" i="17"/>
  <c r="J3" i="17"/>
  <c r="I3" i="17"/>
  <c r="H3" i="17"/>
  <c r="G3" i="17"/>
  <c r="F3" i="17"/>
  <c r="E3" i="17"/>
  <c r="D3" i="17"/>
  <c r="C3" i="17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J1" i="16"/>
  <c r="L10" i="15"/>
  <c r="L11" i="15" s="1"/>
  <c r="L12" i="15" s="1"/>
  <c r="M9" i="15"/>
  <c r="M10" i="15" s="1"/>
  <c r="M11" i="15" s="1"/>
  <c r="M12" i="15" s="1"/>
  <c r="G9" i="15"/>
  <c r="G10" i="15" s="1"/>
  <c r="G11" i="15" s="1"/>
  <c r="G12" i="15" s="1"/>
  <c r="H8" i="15"/>
  <c r="H9" i="15" s="1"/>
  <c r="H10" i="15" s="1"/>
  <c r="H11" i="15" s="1"/>
  <c r="H12" i="15" s="1"/>
  <c r="G8" i="15"/>
  <c r="B8" i="15"/>
  <c r="B9" i="15" s="1"/>
  <c r="B10" i="15" s="1"/>
  <c r="B11" i="15" s="1"/>
  <c r="B12" i="15" s="1"/>
  <c r="M7" i="15"/>
  <c r="M8" i="15" s="1"/>
  <c r="L7" i="15"/>
  <c r="L8" i="15" s="1"/>
  <c r="L9" i="15" s="1"/>
  <c r="I7" i="15"/>
  <c r="I8" i="15" s="1"/>
  <c r="I9" i="15" s="1"/>
  <c r="I10" i="15" s="1"/>
  <c r="I11" i="15" s="1"/>
  <c r="I12" i="15" s="1"/>
  <c r="H7" i="15"/>
  <c r="G7" i="15"/>
  <c r="F7" i="15"/>
  <c r="F8" i="15" s="1"/>
  <c r="F9" i="15" s="1"/>
  <c r="F10" i="15" s="1"/>
  <c r="F11" i="15" s="1"/>
  <c r="F12" i="15" s="1"/>
  <c r="E7" i="15"/>
  <c r="E8" i="15" s="1"/>
  <c r="E9" i="15" s="1"/>
  <c r="E10" i="15" s="1"/>
  <c r="E11" i="15" s="1"/>
  <c r="E12" i="15" s="1"/>
  <c r="C7" i="15"/>
  <c r="C8" i="15" s="1"/>
  <c r="C9" i="15" s="1"/>
  <c r="C10" i="15" s="1"/>
  <c r="C11" i="15" s="1"/>
  <c r="C12" i="15" s="1"/>
  <c r="B7" i="15"/>
  <c r="M6" i="15"/>
  <c r="M5" i="15" s="1"/>
  <c r="M4" i="15" s="1"/>
  <c r="M3" i="15" s="1"/>
  <c r="M2" i="15" s="1"/>
  <c r="L6" i="15"/>
  <c r="K6" i="15"/>
  <c r="K5" i="15" s="1"/>
  <c r="K4" i="15" s="1"/>
  <c r="K3" i="15" s="1"/>
  <c r="K2" i="15" s="1"/>
  <c r="J6" i="15"/>
  <c r="J7" i="15" s="1"/>
  <c r="J8" i="15" s="1"/>
  <c r="J9" i="15" s="1"/>
  <c r="J10" i="15" s="1"/>
  <c r="J11" i="15" s="1"/>
  <c r="J12" i="15" s="1"/>
  <c r="H6" i="15"/>
  <c r="G6" i="15"/>
  <c r="F6" i="15"/>
  <c r="E6" i="15"/>
  <c r="D6" i="15"/>
  <c r="C6" i="15"/>
  <c r="B6" i="15"/>
  <c r="L5" i="15"/>
  <c r="J5" i="15"/>
  <c r="J4" i="15" s="1"/>
  <c r="I5" i="15"/>
  <c r="H5" i="15"/>
  <c r="G5" i="15"/>
  <c r="F5" i="15"/>
  <c r="E5" i="15"/>
  <c r="C5" i="15"/>
  <c r="B5" i="15"/>
  <c r="L4" i="15"/>
  <c r="I4" i="15"/>
  <c r="H4" i="15"/>
  <c r="G4" i="15"/>
  <c r="F4" i="15"/>
  <c r="E4" i="15"/>
  <c r="C4" i="15"/>
  <c r="B4" i="15"/>
  <c r="L3" i="15"/>
  <c r="J3" i="15"/>
  <c r="I3" i="15"/>
  <c r="H3" i="15"/>
  <c r="G3" i="15"/>
  <c r="F3" i="15"/>
  <c r="E3" i="15"/>
  <c r="C3" i="15"/>
  <c r="B3" i="15"/>
  <c r="L2" i="15"/>
  <c r="J2" i="15"/>
  <c r="I2" i="15"/>
  <c r="H2" i="15"/>
  <c r="G2" i="15"/>
  <c r="F2" i="15"/>
  <c r="E2" i="15"/>
  <c r="C2" i="15"/>
  <c r="B2" i="15"/>
  <c r="F25" i="14"/>
  <c r="F26" i="14" s="1"/>
  <c r="F27" i="14" s="1"/>
  <c r="F24" i="14"/>
  <c r="K23" i="14"/>
  <c r="K24" i="14" s="1"/>
  <c r="K25" i="14" s="1"/>
  <c r="K26" i="14" s="1"/>
  <c r="K27" i="14" s="1"/>
  <c r="J23" i="14"/>
  <c r="J24" i="14" s="1"/>
  <c r="J25" i="14" s="1"/>
  <c r="J26" i="14" s="1"/>
  <c r="J27" i="14" s="1"/>
  <c r="M22" i="14"/>
  <c r="M23" i="14" s="1"/>
  <c r="M24" i="14" s="1"/>
  <c r="M25" i="14" s="1"/>
  <c r="M26" i="14" s="1"/>
  <c r="M27" i="14" s="1"/>
  <c r="K22" i="14"/>
  <c r="H22" i="14"/>
  <c r="H23" i="14" s="1"/>
  <c r="H24" i="14" s="1"/>
  <c r="H25" i="14" s="1"/>
  <c r="H26" i="14" s="1"/>
  <c r="H27" i="14" s="1"/>
  <c r="G22" i="14"/>
  <c r="G23" i="14" s="1"/>
  <c r="G24" i="14" s="1"/>
  <c r="G25" i="14" s="1"/>
  <c r="G26" i="14" s="1"/>
  <c r="G27" i="14" s="1"/>
  <c r="F22" i="14"/>
  <c r="F23" i="14" s="1"/>
  <c r="B22" i="14"/>
  <c r="B23" i="14" s="1"/>
  <c r="B24" i="14" s="1"/>
  <c r="B25" i="14" s="1"/>
  <c r="B26" i="14" s="1"/>
  <c r="B27" i="14" s="1"/>
  <c r="M21" i="14"/>
  <c r="M20" i="14" s="1"/>
  <c r="M19" i="14" s="1"/>
  <c r="M18" i="14" s="1"/>
  <c r="M17" i="14" s="1"/>
  <c r="L21" i="14"/>
  <c r="J21" i="14"/>
  <c r="J22" i="14" s="1"/>
  <c r="I21" i="14"/>
  <c r="I22" i="14" s="1"/>
  <c r="I23" i="14" s="1"/>
  <c r="I24" i="14" s="1"/>
  <c r="I25" i="14" s="1"/>
  <c r="I26" i="14" s="1"/>
  <c r="I27" i="14" s="1"/>
  <c r="H21" i="14"/>
  <c r="G21" i="14"/>
  <c r="F21" i="14"/>
  <c r="E21" i="14"/>
  <c r="D21" i="14"/>
  <c r="C21" i="14"/>
  <c r="C22" i="14" s="1"/>
  <c r="C23" i="14" s="1"/>
  <c r="C24" i="14" s="1"/>
  <c r="C25" i="14" s="1"/>
  <c r="C26" i="14" s="1"/>
  <c r="C27" i="14" s="1"/>
  <c r="B21" i="14"/>
  <c r="K20" i="14"/>
  <c r="J20" i="14"/>
  <c r="J19" i="14" s="1"/>
  <c r="J18" i="14" s="1"/>
  <c r="J17" i="14" s="1"/>
  <c r="I20" i="14"/>
  <c r="I19" i="14" s="1"/>
  <c r="I18" i="14" s="1"/>
  <c r="I17" i="14" s="1"/>
  <c r="H20" i="14"/>
  <c r="G20" i="14"/>
  <c r="F20" i="14"/>
  <c r="F19" i="14" s="1"/>
  <c r="C20" i="14"/>
  <c r="B20" i="14"/>
  <c r="K19" i="14"/>
  <c r="K18" i="14" s="1"/>
  <c r="H19" i="14"/>
  <c r="G19" i="14"/>
  <c r="C19" i="14"/>
  <c r="C18" i="14" s="1"/>
  <c r="C17" i="14" s="1"/>
  <c r="B19" i="14"/>
  <c r="H18" i="14"/>
  <c r="G18" i="14"/>
  <c r="F18" i="14"/>
  <c r="B18" i="14"/>
  <c r="K17" i="14"/>
  <c r="H17" i="14"/>
  <c r="G17" i="14"/>
  <c r="F17" i="14"/>
  <c r="B17" i="14"/>
  <c r="I10" i="14"/>
  <c r="I11" i="14" s="1"/>
  <c r="I12" i="14" s="1"/>
  <c r="F10" i="14"/>
  <c r="F11" i="14" s="1"/>
  <c r="F12" i="14" s="1"/>
  <c r="C9" i="14"/>
  <c r="C10" i="14" s="1"/>
  <c r="C11" i="14" s="1"/>
  <c r="C12" i="14" s="1"/>
  <c r="F8" i="14"/>
  <c r="F9" i="14" s="1"/>
  <c r="K7" i="14"/>
  <c r="K8" i="14" s="1"/>
  <c r="K9" i="14" s="1"/>
  <c r="K10" i="14" s="1"/>
  <c r="K11" i="14" s="1"/>
  <c r="K12" i="14" s="1"/>
  <c r="J7" i="14"/>
  <c r="J8" i="14" s="1"/>
  <c r="J9" i="14" s="1"/>
  <c r="J10" i="14" s="1"/>
  <c r="J11" i="14" s="1"/>
  <c r="J12" i="14" s="1"/>
  <c r="I7" i="14"/>
  <c r="I8" i="14" s="1"/>
  <c r="I9" i="14" s="1"/>
  <c r="G7" i="14"/>
  <c r="G8" i="14" s="1"/>
  <c r="G9" i="14" s="1"/>
  <c r="G10" i="14" s="1"/>
  <c r="G11" i="14" s="1"/>
  <c r="G12" i="14" s="1"/>
  <c r="F7" i="14"/>
  <c r="C7" i="14"/>
  <c r="C8" i="14" s="1"/>
  <c r="M6" i="14"/>
  <c r="M5" i="14" s="1"/>
  <c r="M4" i="14" s="1"/>
  <c r="M3" i="14" s="1"/>
  <c r="M2" i="14" s="1"/>
  <c r="L6" i="14"/>
  <c r="J6" i="14"/>
  <c r="I6" i="14"/>
  <c r="H6" i="14"/>
  <c r="H7" i="14" s="1"/>
  <c r="H8" i="14" s="1"/>
  <c r="H9" i="14" s="1"/>
  <c r="H10" i="14" s="1"/>
  <c r="H11" i="14" s="1"/>
  <c r="H12" i="14" s="1"/>
  <c r="G6" i="14"/>
  <c r="F6" i="14"/>
  <c r="E6" i="14"/>
  <c r="D6" i="14"/>
  <c r="D7" i="14" s="1"/>
  <c r="D8" i="14" s="1"/>
  <c r="D9" i="14" s="1"/>
  <c r="D10" i="14" s="1"/>
  <c r="D11" i="14" s="1"/>
  <c r="D12" i="14" s="1"/>
  <c r="C6" i="14"/>
  <c r="B6" i="14"/>
  <c r="B7" i="14" s="1"/>
  <c r="B8" i="14" s="1"/>
  <c r="B9" i="14" s="1"/>
  <c r="B10" i="14" s="1"/>
  <c r="B11" i="14" s="1"/>
  <c r="B12" i="14" s="1"/>
  <c r="K5" i="14"/>
  <c r="K4" i="14" s="1"/>
  <c r="J5" i="14"/>
  <c r="J4" i="14" s="1"/>
  <c r="J3" i="14" s="1"/>
  <c r="I5" i="14"/>
  <c r="I4" i="14" s="1"/>
  <c r="I3" i="14" s="1"/>
  <c r="I2" i="14" s="1"/>
  <c r="G5" i="14"/>
  <c r="F5" i="14"/>
  <c r="D5" i="14"/>
  <c r="D4" i="14" s="1"/>
  <c r="D3" i="14" s="1"/>
  <c r="C5" i="14"/>
  <c r="C4" i="14" s="1"/>
  <c r="C3" i="14" s="1"/>
  <c r="C2" i="14" s="1"/>
  <c r="G4" i="14"/>
  <c r="F4" i="14"/>
  <c r="K3" i="14"/>
  <c r="K2" i="14" s="1"/>
  <c r="G3" i="14"/>
  <c r="F3" i="14"/>
  <c r="J2" i="14"/>
  <c r="G2" i="14"/>
  <c r="F2" i="14"/>
  <c r="D2" i="14"/>
  <c r="I9" i="13"/>
  <c r="I10" i="13" s="1"/>
  <c r="I11" i="13" s="1"/>
  <c r="I12" i="13" s="1"/>
  <c r="H9" i="13"/>
  <c r="H10" i="13" s="1"/>
  <c r="H11" i="13" s="1"/>
  <c r="H12" i="13" s="1"/>
  <c r="E9" i="13"/>
  <c r="E10" i="13" s="1"/>
  <c r="E11" i="13" s="1"/>
  <c r="E12" i="13" s="1"/>
  <c r="C8" i="13"/>
  <c r="C9" i="13" s="1"/>
  <c r="C10" i="13" s="1"/>
  <c r="C11" i="13" s="1"/>
  <c r="C12" i="13" s="1"/>
  <c r="B8" i="13"/>
  <c r="B9" i="13" s="1"/>
  <c r="B10" i="13" s="1"/>
  <c r="B11" i="13" s="1"/>
  <c r="B12" i="13" s="1"/>
  <c r="K7" i="13"/>
  <c r="K8" i="13" s="1"/>
  <c r="K9" i="13" s="1"/>
  <c r="K10" i="13" s="1"/>
  <c r="K11" i="13" s="1"/>
  <c r="K12" i="13" s="1"/>
  <c r="H7" i="13"/>
  <c r="H8" i="13" s="1"/>
  <c r="F7" i="13"/>
  <c r="F8" i="13" s="1"/>
  <c r="F9" i="13" s="1"/>
  <c r="F10" i="13" s="1"/>
  <c r="F11" i="13" s="1"/>
  <c r="F12" i="13" s="1"/>
  <c r="E7" i="13"/>
  <c r="E8" i="13" s="1"/>
  <c r="D7" i="13"/>
  <c r="D8" i="13" s="1"/>
  <c r="D9" i="13" s="1"/>
  <c r="D10" i="13" s="1"/>
  <c r="D11" i="13" s="1"/>
  <c r="D12" i="13" s="1"/>
  <c r="B7" i="13"/>
  <c r="M6" i="13"/>
  <c r="M7" i="13" s="1"/>
  <c r="M8" i="13" s="1"/>
  <c r="M9" i="13" s="1"/>
  <c r="M10" i="13" s="1"/>
  <c r="M11" i="13" s="1"/>
  <c r="M12" i="13" s="1"/>
  <c r="L6" i="13"/>
  <c r="L5" i="13" s="1"/>
  <c r="L4" i="13" s="1"/>
  <c r="L3" i="13" s="1"/>
  <c r="L2" i="13" s="1"/>
  <c r="J6" i="13"/>
  <c r="J7" i="13" s="1"/>
  <c r="J8" i="13" s="1"/>
  <c r="J9" i="13" s="1"/>
  <c r="J10" i="13" s="1"/>
  <c r="J11" i="13" s="1"/>
  <c r="J12" i="13" s="1"/>
  <c r="I6" i="13"/>
  <c r="I7" i="13" s="1"/>
  <c r="I8" i="13" s="1"/>
  <c r="H6" i="13"/>
  <c r="G6" i="13"/>
  <c r="G7" i="13" s="1"/>
  <c r="G8" i="13" s="1"/>
  <c r="G9" i="13" s="1"/>
  <c r="G10" i="13" s="1"/>
  <c r="G11" i="13" s="1"/>
  <c r="G12" i="13" s="1"/>
  <c r="F6" i="13"/>
  <c r="E6" i="13"/>
  <c r="D6" i="13"/>
  <c r="C6" i="13"/>
  <c r="C7" i="13" s="1"/>
  <c r="B6" i="13"/>
  <c r="M5" i="13"/>
  <c r="M4" i="13" s="1"/>
  <c r="K5" i="13"/>
  <c r="J5" i="13"/>
  <c r="J4" i="13" s="1"/>
  <c r="I5" i="13"/>
  <c r="H5" i="13"/>
  <c r="F5" i="13"/>
  <c r="E5" i="13"/>
  <c r="D5" i="13"/>
  <c r="D4" i="13" s="1"/>
  <c r="D3" i="13" s="1"/>
  <c r="D2" i="13" s="1"/>
  <c r="C5" i="13"/>
  <c r="C4" i="13" s="1"/>
  <c r="C3" i="13" s="1"/>
  <c r="C2" i="13" s="1"/>
  <c r="B5" i="13"/>
  <c r="K4" i="13"/>
  <c r="I4" i="13"/>
  <c r="I3" i="13" s="1"/>
  <c r="I2" i="13" s="1"/>
  <c r="H4" i="13"/>
  <c r="H3" i="13" s="1"/>
  <c r="H2" i="13" s="1"/>
  <c r="F4" i="13"/>
  <c r="E4" i="13"/>
  <c r="B4" i="13"/>
  <c r="B3" i="13" s="1"/>
  <c r="B2" i="13" s="1"/>
  <c r="M3" i="13"/>
  <c r="M2" i="13" s="1"/>
  <c r="K3" i="13"/>
  <c r="J3" i="13"/>
  <c r="J2" i="13" s="1"/>
  <c r="F3" i="13"/>
  <c r="E3" i="13"/>
  <c r="K2" i="13"/>
  <c r="F2" i="13"/>
  <c r="E2" i="13"/>
  <c r="G11" i="12"/>
  <c r="G12" i="12" s="1"/>
  <c r="D11" i="12"/>
  <c r="D12" i="12" s="1"/>
  <c r="H10" i="12"/>
  <c r="H11" i="12" s="1"/>
  <c r="H12" i="12" s="1"/>
  <c r="G9" i="12"/>
  <c r="G10" i="12" s="1"/>
  <c r="B9" i="12"/>
  <c r="B10" i="12" s="1"/>
  <c r="B11" i="12" s="1"/>
  <c r="B12" i="12" s="1"/>
  <c r="M7" i="12"/>
  <c r="M8" i="12" s="1"/>
  <c r="M9" i="12" s="1"/>
  <c r="M10" i="12" s="1"/>
  <c r="M11" i="12" s="1"/>
  <c r="M12" i="12" s="1"/>
  <c r="I7" i="12"/>
  <c r="I8" i="12" s="1"/>
  <c r="I9" i="12" s="1"/>
  <c r="I10" i="12" s="1"/>
  <c r="I11" i="12" s="1"/>
  <c r="I12" i="12" s="1"/>
  <c r="H7" i="12"/>
  <c r="H8" i="12" s="1"/>
  <c r="H9" i="12" s="1"/>
  <c r="E7" i="12"/>
  <c r="E8" i="12" s="1"/>
  <c r="E9" i="12" s="1"/>
  <c r="E10" i="12" s="1"/>
  <c r="E11" i="12" s="1"/>
  <c r="E12" i="12" s="1"/>
  <c r="D7" i="12"/>
  <c r="D8" i="12" s="1"/>
  <c r="D9" i="12" s="1"/>
  <c r="D10" i="12" s="1"/>
  <c r="B7" i="12"/>
  <c r="B8" i="12" s="1"/>
  <c r="M6" i="12"/>
  <c r="L6" i="12"/>
  <c r="L7" i="12" s="1"/>
  <c r="L8" i="12" s="1"/>
  <c r="L9" i="12" s="1"/>
  <c r="L10" i="12" s="1"/>
  <c r="L11" i="12" s="1"/>
  <c r="L12" i="12" s="1"/>
  <c r="K6" i="12"/>
  <c r="K5" i="12" s="1"/>
  <c r="K4" i="12" s="1"/>
  <c r="K3" i="12" s="1"/>
  <c r="K2" i="12" s="1"/>
  <c r="J6" i="12"/>
  <c r="I6" i="12"/>
  <c r="G6" i="12"/>
  <c r="G7" i="12" s="1"/>
  <c r="G8" i="12" s="1"/>
  <c r="F6" i="12"/>
  <c r="E6" i="12"/>
  <c r="D6" i="12"/>
  <c r="C6" i="12"/>
  <c r="B6" i="12"/>
  <c r="M5" i="12"/>
  <c r="M4" i="12" s="1"/>
  <c r="L5" i="12"/>
  <c r="L4" i="12" s="1"/>
  <c r="L3" i="12" s="1"/>
  <c r="I5" i="12"/>
  <c r="H5" i="12"/>
  <c r="G5" i="12"/>
  <c r="E5" i="12"/>
  <c r="D5" i="12"/>
  <c r="B5" i="12"/>
  <c r="I4" i="12"/>
  <c r="I3" i="12" s="1"/>
  <c r="I2" i="12" s="1"/>
  <c r="H4" i="12"/>
  <c r="H3" i="12" s="1"/>
  <c r="H2" i="12" s="1"/>
  <c r="G4" i="12"/>
  <c r="G3" i="12" s="1"/>
  <c r="G2" i="12" s="1"/>
  <c r="E4" i="12"/>
  <c r="D4" i="12"/>
  <c r="B4" i="12"/>
  <c r="B3" i="12" s="1"/>
  <c r="B2" i="12" s="1"/>
  <c r="M3" i="12"/>
  <c r="M2" i="12" s="1"/>
  <c r="E3" i="12"/>
  <c r="D3" i="12"/>
  <c r="L2" i="12"/>
  <c r="E2" i="12"/>
  <c r="D2" i="12"/>
  <c r="E10" i="11"/>
  <c r="E11" i="11" s="1"/>
  <c r="E12" i="11" s="1"/>
  <c r="I9" i="11"/>
  <c r="I10" i="11" s="1"/>
  <c r="I11" i="11" s="1"/>
  <c r="I12" i="11" s="1"/>
  <c r="H9" i="11"/>
  <c r="H10" i="11" s="1"/>
  <c r="H11" i="11" s="1"/>
  <c r="H12" i="11" s="1"/>
  <c r="M8" i="11"/>
  <c r="M9" i="11" s="1"/>
  <c r="M10" i="11" s="1"/>
  <c r="M11" i="11" s="1"/>
  <c r="M12" i="11" s="1"/>
  <c r="I8" i="11"/>
  <c r="M7" i="11"/>
  <c r="L7" i="11"/>
  <c r="L8" i="11" s="1"/>
  <c r="L9" i="11" s="1"/>
  <c r="L10" i="11" s="1"/>
  <c r="L11" i="11" s="1"/>
  <c r="L12" i="11" s="1"/>
  <c r="K7" i="11"/>
  <c r="K8" i="11" s="1"/>
  <c r="K9" i="11" s="1"/>
  <c r="K10" i="11" s="1"/>
  <c r="K11" i="11" s="1"/>
  <c r="K12" i="11" s="1"/>
  <c r="I7" i="11"/>
  <c r="C7" i="11"/>
  <c r="C8" i="11" s="1"/>
  <c r="C9" i="11" s="1"/>
  <c r="C10" i="11" s="1"/>
  <c r="C11" i="11" s="1"/>
  <c r="C12" i="11" s="1"/>
  <c r="L6" i="11"/>
  <c r="K6" i="11"/>
  <c r="J6" i="11"/>
  <c r="J7" i="11" s="1"/>
  <c r="J8" i="11" s="1"/>
  <c r="J9" i="11" s="1"/>
  <c r="J10" i="11" s="1"/>
  <c r="J11" i="11" s="1"/>
  <c r="J12" i="11" s="1"/>
  <c r="I6" i="11"/>
  <c r="H6" i="11"/>
  <c r="H7" i="11" s="1"/>
  <c r="H8" i="11" s="1"/>
  <c r="G6" i="11"/>
  <c r="G7" i="11" s="1"/>
  <c r="G8" i="11" s="1"/>
  <c r="G9" i="11" s="1"/>
  <c r="G10" i="11" s="1"/>
  <c r="G11" i="11" s="1"/>
  <c r="G12" i="11" s="1"/>
  <c r="F6" i="11"/>
  <c r="F7" i="11" s="1"/>
  <c r="F8" i="11" s="1"/>
  <c r="F9" i="11" s="1"/>
  <c r="F10" i="11" s="1"/>
  <c r="F11" i="11" s="1"/>
  <c r="F12" i="11" s="1"/>
  <c r="E6" i="11"/>
  <c r="E7" i="11" s="1"/>
  <c r="E8" i="11" s="1"/>
  <c r="E9" i="11" s="1"/>
  <c r="D6" i="11"/>
  <c r="D7" i="11" s="1"/>
  <c r="D8" i="11" s="1"/>
  <c r="D9" i="11" s="1"/>
  <c r="D10" i="11" s="1"/>
  <c r="D11" i="11" s="1"/>
  <c r="D12" i="11" s="1"/>
  <c r="C6" i="11"/>
  <c r="B6" i="11"/>
  <c r="B7" i="11" s="1"/>
  <c r="B8" i="11" s="1"/>
  <c r="B9" i="11" s="1"/>
  <c r="B10" i="11" s="1"/>
  <c r="B11" i="11" s="1"/>
  <c r="B12" i="11" s="1"/>
  <c r="M5" i="11"/>
  <c r="L5" i="11"/>
  <c r="K5" i="11"/>
  <c r="J5" i="11"/>
  <c r="I5" i="11"/>
  <c r="H5" i="11"/>
  <c r="G5" i="11"/>
  <c r="F5" i="11"/>
  <c r="E5" i="11"/>
  <c r="D5" i="11"/>
  <c r="C5" i="11"/>
  <c r="B5" i="11"/>
  <c r="M4" i="11"/>
  <c r="L4" i="11"/>
  <c r="K4" i="11"/>
  <c r="J4" i="11"/>
  <c r="I4" i="11"/>
  <c r="H4" i="11"/>
  <c r="G4" i="11"/>
  <c r="F4" i="11"/>
  <c r="E4" i="11"/>
  <c r="D4" i="11"/>
  <c r="C4" i="11"/>
  <c r="B4" i="11"/>
  <c r="M3" i="11"/>
  <c r="L3" i="11"/>
  <c r="K3" i="11"/>
  <c r="J3" i="11"/>
  <c r="I3" i="11"/>
  <c r="H3" i="11"/>
  <c r="G3" i="11"/>
  <c r="F3" i="11"/>
  <c r="E3" i="11"/>
  <c r="D3" i="11"/>
  <c r="C3" i="11"/>
  <c r="B3" i="11"/>
  <c r="M2" i="11"/>
  <c r="L2" i="11"/>
  <c r="K2" i="11"/>
  <c r="J2" i="11"/>
  <c r="I2" i="11"/>
  <c r="H2" i="11"/>
  <c r="G2" i="11"/>
  <c r="F2" i="11"/>
  <c r="E2" i="11"/>
  <c r="D2" i="11"/>
  <c r="C2" i="11"/>
  <c r="B2" i="11"/>
  <c r="D11" i="10"/>
  <c r="D12" i="10" s="1"/>
  <c r="B10" i="10"/>
  <c r="B11" i="10" s="1"/>
  <c r="B12" i="10" s="1"/>
  <c r="G9" i="10"/>
  <c r="G10" i="10" s="1"/>
  <c r="G11" i="10" s="1"/>
  <c r="G12" i="10" s="1"/>
  <c r="D9" i="10"/>
  <c r="D10" i="10" s="1"/>
  <c r="G8" i="10"/>
  <c r="L7" i="10"/>
  <c r="L8" i="10" s="1"/>
  <c r="L9" i="10" s="1"/>
  <c r="L10" i="10" s="1"/>
  <c r="L11" i="10" s="1"/>
  <c r="L12" i="10" s="1"/>
  <c r="K7" i="10"/>
  <c r="K8" i="10" s="1"/>
  <c r="K9" i="10" s="1"/>
  <c r="K10" i="10" s="1"/>
  <c r="K11" i="10" s="1"/>
  <c r="K12" i="10" s="1"/>
  <c r="I7" i="10"/>
  <c r="I8" i="10" s="1"/>
  <c r="I9" i="10" s="1"/>
  <c r="I10" i="10" s="1"/>
  <c r="I11" i="10" s="1"/>
  <c r="I12" i="10" s="1"/>
  <c r="G7" i="10"/>
  <c r="C7" i="10"/>
  <c r="C8" i="10" s="1"/>
  <c r="C9" i="10" s="1"/>
  <c r="C10" i="10" s="1"/>
  <c r="C11" i="10" s="1"/>
  <c r="C12" i="10" s="1"/>
  <c r="M6" i="10"/>
  <c r="K6" i="10"/>
  <c r="K5" i="10" s="1"/>
  <c r="K4" i="10" s="1"/>
  <c r="K3" i="10" s="1"/>
  <c r="K2" i="10" s="1"/>
  <c r="J6" i="10"/>
  <c r="J7" i="10" s="1"/>
  <c r="J8" i="10" s="1"/>
  <c r="J9" i="10" s="1"/>
  <c r="J10" i="10" s="1"/>
  <c r="J11" i="10" s="1"/>
  <c r="J12" i="10" s="1"/>
  <c r="I6" i="10"/>
  <c r="H6" i="10"/>
  <c r="H7" i="10" s="1"/>
  <c r="H8" i="10" s="1"/>
  <c r="H9" i="10" s="1"/>
  <c r="H10" i="10" s="1"/>
  <c r="H11" i="10" s="1"/>
  <c r="H12" i="10" s="1"/>
  <c r="G6" i="10"/>
  <c r="F6" i="10"/>
  <c r="F7" i="10" s="1"/>
  <c r="F8" i="10" s="1"/>
  <c r="F9" i="10" s="1"/>
  <c r="F10" i="10" s="1"/>
  <c r="F11" i="10" s="1"/>
  <c r="F12" i="10" s="1"/>
  <c r="E6" i="10"/>
  <c r="D6" i="10"/>
  <c r="D7" i="10" s="1"/>
  <c r="D8" i="10" s="1"/>
  <c r="C6" i="10"/>
  <c r="B6" i="10"/>
  <c r="B7" i="10" s="1"/>
  <c r="B8" i="10" s="1"/>
  <c r="B9" i="10" s="1"/>
  <c r="L5" i="10"/>
  <c r="L4" i="10" s="1"/>
  <c r="L3" i="10" s="1"/>
  <c r="L2" i="10" s="1"/>
  <c r="J5" i="10"/>
  <c r="J4" i="10" s="1"/>
  <c r="J3" i="10" s="1"/>
  <c r="J2" i="10" s="1"/>
  <c r="I5" i="10"/>
  <c r="H5" i="10"/>
  <c r="G5" i="10"/>
  <c r="F5" i="10"/>
  <c r="F4" i="10" s="1"/>
  <c r="F3" i="10" s="1"/>
  <c r="F2" i="10" s="1"/>
  <c r="D5" i="10"/>
  <c r="D4" i="10" s="1"/>
  <c r="D3" i="10" s="1"/>
  <c r="D2" i="10" s="1"/>
  <c r="C5" i="10"/>
  <c r="B5" i="10"/>
  <c r="I4" i="10"/>
  <c r="H4" i="10"/>
  <c r="G4" i="10"/>
  <c r="C4" i="10"/>
  <c r="B4" i="10"/>
  <c r="I3" i="10"/>
  <c r="H3" i="10"/>
  <c r="G3" i="10"/>
  <c r="C3" i="10"/>
  <c r="B3" i="10"/>
  <c r="B2" i="10" s="1"/>
  <c r="I2" i="10"/>
  <c r="H2" i="10"/>
  <c r="G2" i="10"/>
  <c r="C2" i="10"/>
  <c r="F9" i="9"/>
  <c r="F10" i="9" s="1"/>
  <c r="F11" i="9" s="1"/>
  <c r="F12" i="9" s="1"/>
  <c r="F8" i="9"/>
  <c r="M7" i="9"/>
  <c r="M8" i="9" s="1"/>
  <c r="M9" i="9" s="1"/>
  <c r="M10" i="9" s="1"/>
  <c r="M11" i="9" s="1"/>
  <c r="M12" i="9" s="1"/>
  <c r="J7" i="9"/>
  <c r="J8" i="9" s="1"/>
  <c r="J9" i="9" s="1"/>
  <c r="J10" i="9" s="1"/>
  <c r="J11" i="9" s="1"/>
  <c r="J12" i="9" s="1"/>
  <c r="G7" i="9"/>
  <c r="G8" i="9" s="1"/>
  <c r="G9" i="9" s="1"/>
  <c r="G10" i="9" s="1"/>
  <c r="G11" i="9" s="1"/>
  <c r="G12" i="9" s="1"/>
  <c r="F7" i="9"/>
  <c r="M6" i="9"/>
  <c r="M5" i="9" s="1"/>
  <c r="M4" i="9" s="1"/>
  <c r="M3" i="9" s="1"/>
  <c r="M2" i="9" s="1"/>
  <c r="L6" i="9"/>
  <c r="K6" i="9"/>
  <c r="K5" i="9" s="1"/>
  <c r="K4" i="9" s="1"/>
  <c r="K3" i="9" s="1"/>
  <c r="I6" i="9"/>
  <c r="I7" i="9" s="1"/>
  <c r="I8" i="9" s="1"/>
  <c r="I9" i="9" s="1"/>
  <c r="I10" i="9" s="1"/>
  <c r="I11" i="9" s="1"/>
  <c r="I12" i="9" s="1"/>
  <c r="H6" i="9"/>
  <c r="H7" i="9" s="1"/>
  <c r="H8" i="9" s="1"/>
  <c r="H9" i="9" s="1"/>
  <c r="H10" i="9" s="1"/>
  <c r="H11" i="9" s="1"/>
  <c r="H12" i="9" s="1"/>
  <c r="G6" i="9"/>
  <c r="F6" i="9"/>
  <c r="E6" i="9"/>
  <c r="D6" i="9"/>
  <c r="D7" i="9" s="1"/>
  <c r="D8" i="9" s="1"/>
  <c r="D9" i="9" s="1"/>
  <c r="D10" i="9" s="1"/>
  <c r="D11" i="9" s="1"/>
  <c r="D12" i="9" s="1"/>
  <c r="C6" i="9"/>
  <c r="C7" i="9" s="1"/>
  <c r="C8" i="9" s="1"/>
  <c r="C9" i="9" s="1"/>
  <c r="C10" i="9" s="1"/>
  <c r="C11" i="9" s="1"/>
  <c r="C12" i="9" s="1"/>
  <c r="B6" i="9"/>
  <c r="B7" i="9" s="1"/>
  <c r="B8" i="9" s="1"/>
  <c r="B9" i="9" s="1"/>
  <c r="B10" i="9" s="1"/>
  <c r="B11" i="9" s="1"/>
  <c r="B12" i="9" s="1"/>
  <c r="J5" i="9"/>
  <c r="J4" i="9" s="1"/>
  <c r="J3" i="9" s="1"/>
  <c r="J2" i="9" s="1"/>
  <c r="I5" i="9"/>
  <c r="H5" i="9"/>
  <c r="G5" i="9"/>
  <c r="F5" i="9"/>
  <c r="D5" i="9"/>
  <c r="D4" i="9" s="1"/>
  <c r="D3" i="9" s="1"/>
  <c r="D2" i="9" s="1"/>
  <c r="C5" i="9"/>
  <c r="B5" i="9"/>
  <c r="I4" i="9"/>
  <c r="H4" i="9"/>
  <c r="G4" i="9"/>
  <c r="F4" i="9"/>
  <c r="C4" i="9"/>
  <c r="B4" i="9"/>
  <c r="I3" i="9"/>
  <c r="H3" i="9"/>
  <c r="G3" i="9"/>
  <c r="F3" i="9"/>
  <c r="C3" i="9"/>
  <c r="B3" i="9"/>
  <c r="K2" i="9"/>
  <c r="I2" i="9"/>
  <c r="H2" i="9"/>
  <c r="G2" i="9"/>
  <c r="F2" i="9"/>
  <c r="C2" i="9"/>
  <c r="B2" i="9"/>
  <c r="K9" i="8"/>
  <c r="K10" i="8" s="1"/>
  <c r="K11" i="8" s="1"/>
  <c r="K12" i="8" s="1"/>
  <c r="J9" i="8"/>
  <c r="J10" i="8" s="1"/>
  <c r="J11" i="8" s="1"/>
  <c r="J12" i="8" s="1"/>
  <c r="J8" i="8"/>
  <c r="F8" i="8"/>
  <c r="F9" i="8" s="1"/>
  <c r="F10" i="8" s="1"/>
  <c r="F11" i="8" s="1"/>
  <c r="F12" i="8" s="1"/>
  <c r="K7" i="8"/>
  <c r="K8" i="8" s="1"/>
  <c r="J7" i="8"/>
  <c r="I7" i="8"/>
  <c r="I8" i="8" s="1"/>
  <c r="I9" i="8" s="1"/>
  <c r="I10" i="8" s="1"/>
  <c r="I11" i="8" s="1"/>
  <c r="I12" i="8" s="1"/>
  <c r="F7" i="8"/>
  <c r="D7" i="8"/>
  <c r="D8" i="8" s="1"/>
  <c r="D9" i="8" s="1"/>
  <c r="D10" i="8" s="1"/>
  <c r="D11" i="8" s="1"/>
  <c r="D12" i="8" s="1"/>
  <c r="M6" i="8"/>
  <c r="M7" i="8" s="1"/>
  <c r="M8" i="8" s="1"/>
  <c r="M9" i="8" s="1"/>
  <c r="M10" i="8" s="1"/>
  <c r="M11" i="8" s="1"/>
  <c r="M12" i="8" s="1"/>
  <c r="L6" i="8"/>
  <c r="L5" i="8" s="1"/>
  <c r="L4" i="8" s="1"/>
  <c r="L3" i="8" s="1"/>
  <c r="L2" i="8" s="1"/>
  <c r="K6" i="8"/>
  <c r="J6" i="8"/>
  <c r="H6" i="8"/>
  <c r="H7" i="8" s="1"/>
  <c r="H8" i="8" s="1"/>
  <c r="H9" i="8" s="1"/>
  <c r="H10" i="8" s="1"/>
  <c r="H11" i="8" s="1"/>
  <c r="H12" i="8" s="1"/>
  <c r="G6" i="8"/>
  <c r="G7" i="8" s="1"/>
  <c r="G8" i="8" s="1"/>
  <c r="G9" i="8" s="1"/>
  <c r="G10" i="8" s="1"/>
  <c r="G11" i="8" s="1"/>
  <c r="G12" i="8" s="1"/>
  <c r="F6" i="8"/>
  <c r="E6" i="8"/>
  <c r="E7" i="8" s="1"/>
  <c r="E8" i="8" s="1"/>
  <c r="E9" i="8" s="1"/>
  <c r="E10" i="8" s="1"/>
  <c r="E11" i="8" s="1"/>
  <c r="E12" i="8" s="1"/>
  <c r="D6" i="8"/>
  <c r="C6" i="8"/>
  <c r="C7" i="8" s="1"/>
  <c r="C8" i="8" s="1"/>
  <c r="C9" i="8" s="1"/>
  <c r="C10" i="8" s="1"/>
  <c r="C11" i="8" s="1"/>
  <c r="C12" i="8" s="1"/>
  <c r="B6" i="8"/>
  <c r="B7" i="8" s="1"/>
  <c r="B8" i="8" s="1"/>
  <c r="B9" i="8" s="1"/>
  <c r="B10" i="8" s="1"/>
  <c r="B11" i="8" s="1"/>
  <c r="B12" i="8" s="1"/>
  <c r="M5" i="8"/>
  <c r="K5" i="8"/>
  <c r="K4" i="8" s="1"/>
  <c r="K3" i="8" s="1"/>
  <c r="K2" i="8" s="1"/>
  <c r="J5" i="8"/>
  <c r="J4" i="8" s="1"/>
  <c r="J3" i="8" s="1"/>
  <c r="J2" i="8" s="1"/>
  <c r="I5" i="8"/>
  <c r="H5" i="8"/>
  <c r="G5" i="8"/>
  <c r="F5" i="8"/>
  <c r="D5" i="8"/>
  <c r="D4" i="8" s="1"/>
  <c r="D3" i="8" s="1"/>
  <c r="D2" i="8" s="1"/>
  <c r="C5" i="8"/>
  <c r="B5" i="8"/>
  <c r="M4" i="8"/>
  <c r="I4" i="8"/>
  <c r="I3" i="8" s="1"/>
  <c r="H4" i="8"/>
  <c r="G4" i="8"/>
  <c r="F4" i="8"/>
  <c r="C4" i="8"/>
  <c r="C3" i="8" s="1"/>
  <c r="C2" i="8" s="1"/>
  <c r="B4" i="8"/>
  <c r="M3" i="8"/>
  <c r="H3" i="8"/>
  <c r="G3" i="8"/>
  <c r="F3" i="8"/>
  <c r="B3" i="8"/>
  <c r="M2" i="8"/>
  <c r="I2" i="8"/>
  <c r="H2" i="8"/>
  <c r="G2" i="8"/>
  <c r="F2" i="8"/>
  <c r="B2" i="8"/>
  <c r="K10" i="7"/>
  <c r="K11" i="7" s="1"/>
  <c r="K12" i="7" s="1"/>
  <c r="C9" i="7"/>
  <c r="C10" i="7" s="1"/>
  <c r="C11" i="7" s="1"/>
  <c r="C12" i="7" s="1"/>
  <c r="K8" i="7"/>
  <c r="K9" i="7" s="1"/>
  <c r="J7" i="7"/>
  <c r="J8" i="7" s="1"/>
  <c r="J9" i="7" s="1"/>
  <c r="J10" i="7" s="1"/>
  <c r="J11" i="7" s="1"/>
  <c r="J12" i="7" s="1"/>
  <c r="I7" i="7"/>
  <c r="I8" i="7" s="1"/>
  <c r="I9" i="7" s="1"/>
  <c r="I10" i="7" s="1"/>
  <c r="I11" i="7" s="1"/>
  <c r="I12" i="7" s="1"/>
  <c r="H7" i="7"/>
  <c r="H8" i="7" s="1"/>
  <c r="H9" i="7" s="1"/>
  <c r="H10" i="7" s="1"/>
  <c r="H11" i="7" s="1"/>
  <c r="H12" i="7" s="1"/>
  <c r="G7" i="7"/>
  <c r="G8" i="7" s="1"/>
  <c r="G9" i="7" s="1"/>
  <c r="G10" i="7" s="1"/>
  <c r="G11" i="7" s="1"/>
  <c r="G12" i="7" s="1"/>
  <c r="D7" i="7"/>
  <c r="D8" i="7" s="1"/>
  <c r="D9" i="7" s="1"/>
  <c r="D10" i="7" s="1"/>
  <c r="D11" i="7" s="1"/>
  <c r="D12" i="7" s="1"/>
  <c r="C7" i="7"/>
  <c r="C8" i="7" s="1"/>
  <c r="B7" i="7"/>
  <c r="B8" i="7" s="1"/>
  <c r="B9" i="7" s="1"/>
  <c r="B10" i="7" s="1"/>
  <c r="B11" i="7" s="1"/>
  <c r="B12" i="7" s="1"/>
  <c r="M6" i="7"/>
  <c r="M7" i="7" s="1"/>
  <c r="M8" i="7" s="1"/>
  <c r="M9" i="7" s="1"/>
  <c r="M10" i="7" s="1"/>
  <c r="M11" i="7" s="1"/>
  <c r="M12" i="7" s="1"/>
  <c r="L6" i="7"/>
  <c r="L7" i="7" s="1"/>
  <c r="L8" i="7" s="1"/>
  <c r="L9" i="7" s="1"/>
  <c r="L10" i="7" s="1"/>
  <c r="L11" i="7" s="1"/>
  <c r="L12" i="7" s="1"/>
  <c r="K6" i="7"/>
  <c r="K7" i="7" s="1"/>
  <c r="J6" i="7"/>
  <c r="J5" i="7" s="1"/>
  <c r="J4" i="7" s="1"/>
  <c r="J3" i="7" s="1"/>
  <c r="J2" i="7" s="1"/>
  <c r="I6" i="7"/>
  <c r="I5" i="7" s="1"/>
  <c r="H6" i="7"/>
  <c r="H5" i="7" s="1"/>
  <c r="H4" i="7" s="1"/>
  <c r="H3" i="7" s="1"/>
  <c r="H2" i="7" s="1"/>
  <c r="F6" i="7"/>
  <c r="F7" i="7" s="1"/>
  <c r="F8" i="7" s="1"/>
  <c r="F9" i="7" s="1"/>
  <c r="F10" i="7" s="1"/>
  <c r="F11" i="7" s="1"/>
  <c r="F12" i="7" s="1"/>
  <c r="E6" i="7"/>
  <c r="E7" i="7" s="1"/>
  <c r="E8" i="7" s="1"/>
  <c r="E9" i="7" s="1"/>
  <c r="E10" i="7" s="1"/>
  <c r="E11" i="7" s="1"/>
  <c r="E12" i="7" s="1"/>
  <c r="D6" i="7"/>
  <c r="C6" i="7"/>
  <c r="C5" i="7" s="1"/>
  <c r="C4" i="7" s="1"/>
  <c r="C3" i="7" s="1"/>
  <c r="C2" i="7" s="1"/>
  <c r="B6" i="7"/>
  <c r="B5" i="7" s="1"/>
  <c r="B4" i="7" s="1"/>
  <c r="M5" i="7"/>
  <c r="M4" i="7" s="1"/>
  <c r="M3" i="7" s="1"/>
  <c r="M2" i="7" s="1"/>
  <c r="L5" i="7"/>
  <c r="K5" i="7"/>
  <c r="G5" i="7"/>
  <c r="G4" i="7" s="1"/>
  <c r="G3" i="7" s="1"/>
  <c r="G2" i="7" s="1"/>
  <c r="F5" i="7"/>
  <c r="E5" i="7"/>
  <c r="D5" i="7"/>
  <c r="L4" i="7"/>
  <c r="K4" i="7"/>
  <c r="I4" i="7"/>
  <c r="F4" i="7"/>
  <c r="E4" i="7"/>
  <c r="D4" i="7"/>
  <c r="L3" i="7"/>
  <c r="K3" i="7"/>
  <c r="I3" i="7"/>
  <c r="I2" i="7" s="1"/>
  <c r="F3" i="7"/>
  <c r="E3" i="7"/>
  <c r="D3" i="7"/>
  <c r="B3" i="7"/>
  <c r="B2" i="7" s="1"/>
  <c r="L2" i="7"/>
  <c r="K2" i="7"/>
  <c r="F2" i="7"/>
  <c r="E2" i="7"/>
  <c r="D2" i="7"/>
  <c r="M8" i="6"/>
  <c r="M9" i="6" s="1"/>
  <c r="M10" i="6" s="1"/>
  <c r="M11" i="6" s="1"/>
  <c r="M12" i="6" s="1"/>
  <c r="B8" i="6"/>
  <c r="B9" i="6" s="1"/>
  <c r="B10" i="6" s="1"/>
  <c r="B11" i="6" s="1"/>
  <c r="B12" i="6" s="1"/>
  <c r="M7" i="6"/>
  <c r="G7" i="6"/>
  <c r="G8" i="6" s="1"/>
  <c r="G9" i="6" s="1"/>
  <c r="G10" i="6" s="1"/>
  <c r="G11" i="6" s="1"/>
  <c r="G12" i="6" s="1"/>
  <c r="D7" i="6"/>
  <c r="D8" i="6" s="1"/>
  <c r="D9" i="6" s="1"/>
  <c r="D10" i="6" s="1"/>
  <c r="D11" i="6" s="1"/>
  <c r="D12" i="6" s="1"/>
  <c r="C7" i="6"/>
  <c r="C8" i="6" s="1"/>
  <c r="C9" i="6" s="1"/>
  <c r="C10" i="6" s="1"/>
  <c r="C11" i="6" s="1"/>
  <c r="C12" i="6" s="1"/>
  <c r="B7" i="6"/>
  <c r="M6" i="6"/>
  <c r="L6" i="6"/>
  <c r="L7" i="6" s="1"/>
  <c r="L8" i="6" s="1"/>
  <c r="L9" i="6" s="1"/>
  <c r="L10" i="6" s="1"/>
  <c r="L11" i="6" s="1"/>
  <c r="L12" i="6" s="1"/>
  <c r="K6" i="6"/>
  <c r="K7" i="6" s="1"/>
  <c r="K8" i="6" s="1"/>
  <c r="K9" i="6" s="1"/>
  <c r="K10" i="6" s="1"/>
  <c r="K11" i="6" s="1"/>
  <c r="K12" i="6" s="1"/>
  <c r="J6" i="6"/>
  <c r="J7" i="6" s="1"/>
  <c r="J8" i="6" s="1"/>
  <c r="J9" i="6" s="1"/>
  <c r="J10" i="6" s="1"/>
  <c r="J11" i="6" s="1"/>
  <c r="J12" i="6" s="1"/>
  <c r="I6" i="6"/>
  <c r="H6" i="6"/>
  <c r="G6" i="6"/>
  <c r="F6" i="6"/>
  <c r="F7" i="6" s="1"/>
  <c r="F8" i="6" s="1"/>
  <c r="F9" i="6" s="1"/>
  <c r="F10" i="6" s="1"/>
  <c r="F11" i="6" s="1"/>
  <c r="F12" i="6" s="1"/>
  <c r="E6" i="6"/>
  <c r="E7" i="6" s="1"/>
  <c r="E8" i="6" s="1"/>
  <c r="E9" i="6" s="1"/>
  <c r="E10" i="6" s="1"/>
  <c r="E11" i="6" s="1"/>
  <c r="E12" i="6" s="1"/>
  <c r="C6" i="6"/>
  <c r="B6" i="6"/>
  <c r="B5" i="6" s="1"/>
  <c r="B4" i="6" s="1"/>
  <c r="B3" i="6" s="1"/>
  <c r="B2" i="6" s="1"/>
  <c r="M5" i="6"/>
  <c r="M4" i="6" s="1"/>
  <c r="M3" i="6" s="1"/>
  <c r="M2" i="6" s="1"/>
  <c r="L5" i="6"/>
  <c r="K5" i="6"/>
  <c r="J5" i="6"/>
  <c r="G5" i="6"/>
  <c r="G4" i="6" s="1"/>
  <c r="G3" i="6" s="1"/>
  <c r="G2" i="6" s="1"/>
  <c r="F5" i="6"/>
  <c r="E5" i="6"/>
  <c r="D5" i="6"/>
  <c r="C5" i="6"/>
  <c r="L4" i="6"/>
  <c r="K4" i="6"/>
  <c r="J4" i="6"/>
  <c r="F4" i="6"/>
  <c r="F3" i="6" s="1"/>
  <c r="F2" i="6" s="1"/>
  <c r="E4" i="6"/>
  <c r="D4" i="6"/>
  <c r="C4" i="6"/>
  <c r="L3" i="6"/>
  <c r="L2" i="6" s="1"/>
  <c r="K3" i="6"/>
  <c r="J3" i="6"/>
  <c r="E3" i="6"/>
  <c r="D3" i="6"/>
  <c r="C3" i="6"/>
  <c r="K2" i="6"/>
  <c r="J2" i="6"/>
  <c r="E2" i="6"/>
  <c r="D2" i="6"/>
  <c r="C2" i="6"/>
  <c r="G8" i="5"/>
  <c r="G9" i="5" s="1"/>
  <c r="G10" i="5" s="1"/>
  <c r="G11" i="5" s="1"/>
  <c r="G12" i="5" s="1"/>
  <c r="F8" i="5"/>
  <c r="F9" i="5" s="1"/>
  <c r="F10" i="5" s="1"/>
  <c r="F11" i="5" s="1"/>
  <c r="F12" i="5" s="1"/>
  <c r="H7" i="5"/>
  <c r="H8" i="5" s="1"/>
  <c r="H9" i="5" s="1"/>
  <c r="H10" i="5" s="1"/>
  <c r="H11" i="5" s="1"/>
  <c r="H12" i="5" s="1"/>
  <c r="G7" i="5"/>
  <c r="F7" i="5"/>
  <c r="B7" i="5"/>
  <c r="B8" i="5" s="1"/>
  <c r="B9" i="5" s="1"/>
  <c r="B10" i="5" s="1"/>
  <c r="B11" i="5" s="1"/>
  <c r="B12" i="5" s="1"/>
  <c r="M6" i="5"/>
  <c r="M5" i="5" s="1"/>
  <c r="L6" i="5"/>
  <c r="L5" i="5" s="1"/>
  <c r="L4" i="5" s="1"/>
  <c r="L3" i="5" s="1"/>
  <c r="L2" i="5" s="1"/>
  <c r="K6" i="5"/>
  <c r="K7" i="5" s="1"/>
  <c r="K8" i="5" s="1"/>
  <c r="K9" i="5" s="1"/>
  <c r="K10" i="5" s="1"/>
  <c r="K11" i="5" s="1"/>
  <c r="K12" i="5" s="1"/>
  <c r="J6" i="5"/>
  <c r="J7" i="5" s="1"/>
  <c r="J8" i="5" s="1"/>
  <c r="J9" i="5" s="1"/>
  <c r="J10" i="5" s="1"/>
  <c r="J11" i="5" s="1"/>
  <c r="J12" i="5" s="1"/>
  <c r="I6" i="5"/>
  <c r="I7" i="5" s="1"/>
  <c r="I8" i="5" s="1"/>
  <c r="I9" i="5" s="1"/>
  <c r="I10" i="5" s="1"/>
  <c r="I11" i="5" s="1"/>
  <c r="I12" i="5" s="1"/>
  <c r="H6" i="5"/>
  <c r="H5" i="5" s="1"/>
  <c r="H4" i="5" s="1"/>
  <c r="H3" i="5" s="1"/>
  <c r="H2" i="5" s="1"/>
  <c r="G6" i="5"/>
  <c r="E6" i="5"/>
  <c r="E7" i="5" s="1"/>
  <c r="E8" i="5" s="1"/>
  <c r="E9" i="5" s="1"/>
  <c r="E10" i="5" s="1"/>
  <c r="E11" i="5" s="1"/>
  <c r="E12" i="5" s="1"/>
  <c r="D6" i="5"/>
  <c r="D7" i="5" s="1"/>
  <c r="D8" i="5" s="1"/>
  <c r="D9" i="5" s="1"/>
  <c r="D10" i="5" s="1"/>
  <c r="D11" i="5" s="1"/>
  <c r="D12" i="5" s="1"/>
  <c r="C6" i="5"/>
  <c r="C7" i="5" s="1"/>
  <c r="C8" i="5" s="1"/>
  <c r="C9" i="5" s="1"/>
  <c r="C10" i="5" s="1"/>
  <c r="C11" i="5" s="1"/>
  <c r="C12" i="5" s="1"/>
  <c r="B6" i="5"/>
  <c r="K5" i="5"/>
  <c r="K4" i="5" s="1"/>
  <c r="K3" i="5" s="1"/>
  <c r="J5" i="5"/>
  <c r="I5" i="5"/>
  <c r="G5" i="5"/>
  <c r="F5" i="5"/>
  <c r="D5" i="5"/>
  <c r="C5" i="5"/>
  <c r="B5" i="5"/>
  <c r="M4" i="5"/>
  <c r="M3" i="5" s="1"/>
  <c r="M2" i="5" s="1"/>
  <c r="J4" i="5"/>
  <c r="I4" i="5"/>
  <c r="G4" i="5"/>
  <c r="G3" i="5" s="1"/>
  <c r="G2" i="5" s="1"/>
  <c r="F4" i="5"/>
  <c r="D4" i="5"/>
  <c r="C4" i="5"/>
  <c r="B4" i="5"/>
  <c r="J3" i="5"/>
  <c r="I3" i="5"/>
  <c r="F3" i="5"/>
  <c r="F2" i="5" s="1"/>
  <c r="D3" i="5"/>
  <c r="C3" i="5"/>
  <c r="B3" i="5"/>
  <c r="K2" i="5"/>
  <c r="J2" i="5"/>
  <c r="I2" i="5"/>
  <c r="D2" i="5"/>
  <c r="C2" i="5"/>
  <c r="B2" i="5"/>
  <c r="D11" i="4"/>
  <c r="D12" i="4" s="1"/>
  <c r="F9" i="4"/>
  <c r="F10" i="4" s="1"/>
  <c r="F11" i="4" s="1"/>
  <c r="F12" i="4" s="1"/>
  <c r="E9" i="4"/>
  <c r="E10" i="4" s="1"/>
  <c r="E11" i="4" s="1"/>
  <c r="E12" i="4" s="1"/>
  <c r="F8" i="4"/>
  <c r="E8" i="4"/>
  <c r="L7" i="4"/>
  <c r="L8" i="4" s="1"/>
  <c r="L9" i="4" s="1"/>
  <c r="L10" i="4" s="1"/>
  <c r="L11" i="4" s="1"/>
  <c r="L12" i="4" s="1"/>
  <c r="K7" i="4"/>
  <c r="K8" i="4" s="1"/>
  <c r="K9" i="4" s="1"/>
  <c r="K10" i="4" s="1"/>
  <c r="K11" i="4" s="1"/>
  <c r="K12" i="4" s="1"/>
  <c r="F7" i="4"/>
  <c r="E7" i="4"/>
  <c r="C7" i="4"/>
  <c r="C8" i="4" s="1"/>
  <c r="C9" i="4" s="1"/>
  <c r="C10" i="4" s="1"/>
  <c r="C11" i="4" s="1"/>
  <c r="C12" i="4" s="1"/>
  <c r="B7" i="4"/>
  <c r="B8" i="4" s="1"/>
  <c r="B9" i="4" s="1"/>
  <c r="B10" i="4" s="1"/>
  <c r="B11" i="4" s="1"/>
  <c r="B12" i="4" s="1"/>
  <c r="M6" i="4"/>
  <c r="L6" i="4"/>
  <c r="K6" i="4"/>
  <c r="J6" i="4"/>
  <c r="J7" i="4" s="1"/>
  <c r="J8" i="4" s="1"/>
  <c r="J9" i="4" s="1"/>
  <c r="J10" i="4" s="1"/>
  <c r="J11" i="4" s="1"/>
  <c r="J12" i="4" s="1"/>
  <c r="I6" i="4"/>
  <c r="I5" i="4" s="1"/>
  <c r="I4" i="4" s="1"/>
  <c r="I3" i="4" s="1"/>
  <c r="I2" i="4" s="1"/>
  <c r="H6" i="4"/>
  <c r="H5" i="4" s="1"/>
  <c r="H4" i="4" s="1"/>
  <c r="H3" i="4" s="1"/>
  <c r="H2" i="4" s="1"/>
  <c r="G6" i="4"/>
  <c r="G5" i="4" s="1"/>
  <c r="G4" i="4" s="1"/>
  <c r="G3" i="4" s="1"/>
  <c r="G2" i="4" s="1"/>
  <c r="F6" i="4"/>
  <c r="D6" i="4"/>
  <c r="D7" i="4" s="1"/>
  <c r="D8" i="4" s="1"/>
  <c r="D9" i="4" s="1"/>
  <c r="D10" i="4" s="1"/>
  <c r="C6" i="4"/>
  <c r="B6" i="4"/>
  <c r="L5" i="4"/>
  <c r="L4" i="4" s="1"/>
  <c r="L3" i="4" s="1"/>
  <c r="L2" i="4" s="1"/>
  <c r="K5" i="4"/>
  <c r="K4" i="4" s="1"/>
  <c r="K3" i="4" s="1"/>
  <c r="K2" i="4" s="1"/>
  <c r="J5" i="4"/>
  <c r="F5" i="4"/>
  <c r="E5" i="4"/>
  <c r="D5" i="4"/>
  <c r="C5" i="4"/>
  <c r="B5" i="4"/>
  <c r="J4" i="4"/>
  <c r="F4" i="4"/>
  <c r="E4" i="4"/>
  <c r="E3" i="4" s="1"/>
  <c r="E2" i="4" s="1"/>
  <c r="D4" i="4"/>
  <c r="D3" i="4" s="1"/>
  <c r="D2" i="4" s="1"/>
  <c r="C4" i="4"/>
  <c r="B4" i="4"/>
  <c r="J3" i="4"/>
  <c r="J2" i="4" s="1"/>
  <c r="F3" i="4"/>
  <c r="F2" i="4" s="1"/>
  <c r="C3" i="4"/>
  <c r="B3" i="4"/>
  <c r="C2" i="4"/>
  <c r="B2" i="4"/>
  <c r="M7" i="3"/>
  <c r="M8" i="3" s="1"/>
  <c r="M9" i="3" s="1"/>
  <c r="M10" i="3" s="1"/>
  <c r="M11" i="3" s="1"/>
  <c r="M12" i="3" s="1"/>
  <c r="L7" i="3"/>
  <c r="L8" i="3" s="1"/>
  <c r="L9" i="3" s="1"/>
  <c r="L10" i="3" s="1"/>
  <c r="L11" i="3" s="1"/>
  <c r="L12" i="3" s="1"/>
  <c r="K7" i="3"/>
  <c r="K8" i="3" s="1"/>
  <c r="K9" i="3" s="1"/>
  <c r="K10" i="3" s="1"/>
  <c r="K11" i="3" s="1"/>
  <c r="K12" i="3" s="1"/>
  <c r="C7" i="3"/>
  <c r="C8" i="3" s="1"/>
  <c r="C9" i="3" s="1"/>
  <c r="C10" i="3" s="1"/>
  <c r="C11" i="3" s="1"/>
  <c r="C12" i="3" s="1"/>
  <c r="B7" i="3"/>
  <c r="B8" i="3" s="1"/>
  <c r="B9" i="3" s="1"/>
  <c r="B10" i="3" s="1"/>
  <c r="B11" i="3" s="1"/>
  <c r="B12" i="3" s="1"/>
  <c r="M6" i="3"/>
  <c r="M5" i="3" s="1"/>
  <c r="M4" i="3" s="1"/>
  <c r="M3" i="3" s="1"/>
  <c r="M2" i="3" s="1"/>
  <c r="L6" i="3"/>
  <c r="L5" i="3" s="1"/>
  <c r="L4" i="3" s="1"/>
  <c r="L3" i="3" s="1"/>
  <c r="L2" i="3" s="1"/>
  <c r="K6" i="3"/>
  <c r="K5" i="3" s="1"/>
  <c r="K4" i="3" s="1"/>
  <c r="K3" i="3" s="1"/>
  <c r="K2" i="3" s="1"/>
  <c r="J6" i="3"/>
  <c r="J7" i="3" s="1"/>
  <c r="J8" i="3" s="1"/>
  <c r="J9" i="3" s="1"/>
  <c r="J10" i="3" s="1"/>
  <c r="J11" i="3" s="1"/>
  <c r="J12" i="3" s="1"/>
  <c r="I6" i="3"/>
  <c r="I7" i="3" s="1"/>
  <c r="I8" i="3" s="1"/>
  <c r="I9" i="3" s="1"/>
  <c r="I10" i="3" s="1"/>
  <c r="I11" i="3" s="1"/>
  <c r="I12" i="3" s="1"/>
  <c r="H6" i="3"/>
  <c r="H5" i="3" s="1"/>
  <c r="H4" i="3" s="1"/>
  <c r="H3" i="3" s="1"/>
  <c r="H2" i="3" s="1"/>
  <c r="G6" i="3"/>
  <c r="G5" i="3" s="1"/>
  <c r="G4" i="3" s="1"/>
  <c r="F6" i="3"/>
  <c r="F7" i="3" s="1"/>
  <c r="F8" i="3" s="1"/>
  <c r="F9" i="3" s="1"/>
  <c r="F10" i="3" s="1"/>
  <c r="F11" i="3" s="1"/>
  <c r="F12" i="3" s="1"/>
  <c r="E6" i="3"/>
  <c r="E7" i="3" s="1"/>
  <c r="E8" i="3" s="1"/>
  <c r="E9" i="3" s="1"/>
  <c r="E10" i="3" s="1"/>
  <c r="E11" i="3" s="1"/>
  <c r="E12" i="3" s="1"/>
  <c r="D6" i="3"/>
  <c r="D5" i="3" s="1"/>
  <c r="D4" i="3" s="1"/>
  <c r="D3" i="3" s="1"/>
  <c r="D2" i="3" s="1"/>
  <c r="B6" i="3"/>
  <c r="I5" i="3"/>
  <c r="I4" i="3" s="1"/>
  <c r="I3" i="3" s="1"/>
  <c r="I2" i="3" s="1"/>
  <c r="F5" i="3"/>
  <c r="F4" i="3" s="1"/>
  <c r="F3" i="3" s="1"/>
  <c r="F2" i="3" s="1"/>
  <c r="E5" i="3"/>
  <c r="E4" i="3" s="1"/>
  <c r="E3" i="3" s="1"/>
  <c r="E2" i="3" s="1"/>
  <c r="C5" i="3"/>
  <c r="B5" i="3"/>
  <c r="C4" i="3"/>
  <c r="C3" i="3" s="1"/>
  <c r="C2" i="3" s="1"/>
  <c r="B4" i="3"/>
  <c r="G3" i="3"/>
  <c r="G2" i="3" s="1"/>
  <c r="B3" i="3"/>
  <c r="B2" i="3"/>
  <c r="L9" i="2"/>
  <c r="L10" i="2" s="1"/>
  <c r="L11" i="2" s="1"/>
  <c r="L12" i="2" s="1"/>
  <c r="L8" i="2"/>
  <c r="K8" i="2"/>
  <c r="K9" i="2" s="1"/>
  <c r="K10" i="2" s="1"/>
  <c r="K11" i="2" s="1"/>
  <c r="K12" i="2" s="1"/>
  <c r="J8" i="2"/>
  <c r="J9" i="2" s="1"/>
  <c r="J10" i="2" s="1"/>
  <c r="J11" i="2" s="1"/>
  <c r="J12" i="2" s="1"/>
  <c r="L7" i="2"/>
  <c r="K7" i="2"/>
  <c r="J7" i="2"/>
  <c r="I7" i="2"/>
  <c r="I8" i="2" s="1"/>
  <c r="I9" i="2" s="1"/>
  <c r="I10" i="2" s="1"/>
  <c r="I11" i="2" s="1"/>
  <c r="I12" i="2" s="1"/>
  <c r="B7" i="2"/>
  <c r="B8" i="2" s="1"/>
  <c r="B9" i="2" s="1"/>
  <c r="B10" i="2" s="1"/>
  <c r="B11" i="2" s="1"/>
  <c r="B12" i="2" s="1"/>
  <c r="M6" i="2"/>
  <c r="M5" i="2" s="1"/>
  <c r="M4" i="2" s="1"/>
  <c r="M3" i="2" s="1"/>
  <c r="M2" i="2" s="1"/>
  <c r="L6" i="2"/>
  <c r="K6" i="2"/>
  <c r="J6" i="2"/>
  <c r="J5" i="2" s="1"/>
  <c r="J4" i="2" s="1"/>
  <c r="J3" i="2" s="1"/>
  <c r="J2" i="2" s="1"/>
  <c r="I6" i="2"/>
  <c r="I5" i="2" s="1"/>
  <c r="I4" i="2" s="1"/>
  <c r="I3" i="2" s="1"/>
  <c r="I2" i="2" s="1"/>
  <c r="H6" i="2"/>
  <c r="H7" i="2" s="1"/>
  <c r="H8" i="2" s="1"/>
  <c r="H9" i="2" s="1"/>
  <c r="H10" i="2" s="1"/>
  <c r="H11" i="2" s="1"/>
  <c r="H12" i="2" s="1"/>
  <c r="G6" i="2"/>
  <c r="G5" i="2" s="1"/>
  <c r="G4" i="2" s="1"/>
  <c r="G3" i="2" s="1"/>
  <c r="G2" i="2" s="1"/>
  <c r="F6" i="2"/>
  <c r="F7" i="2" s="1"/>
  <c r="F8" i="2" s="1"/>
  <c r="F9" i="2" s="1"/>
  <c r="F10" i="2" s="1"/>
  <c r="F11" i="2" s="1"/>
  <c r="F12" i="2" s="1"/>
  <c r="E6" i="2"/>
  <c r="E7" i="2" s="1"/>
  <c r="E8" i="2" s="1"/>
  <c r="E9" i="2" s="1"/>
  <c r="E10" i="2" s="1"/>
  <c r="E11" i="2" s="1"/>
  <c r="E12" i="2" s="1"/>
  <c r="D6" i="2"/>
  <c r="D7" i="2" s="1"/>
  <c r="D8" i="2" s="1"/>
  <c r="D9" i="2" s="1"/>
  <c r="D10" i="2" s="1"/>
  <c r="D11" i="2" s="1"/>
  <c r="D12" i="2" s="1"/>
  <c r="C6" i="2"/>
  <c r="C5" i="2" s="1"/>
  <c r="C4" i="2" s="1"/>
  <c r="C3" i="2" s="1"/>
  <c r="C2" i="2" s="1"/>
  <c r="L5" i="2"/>
  <c r="L4" i="2" s="1"/>
  <c r="L3" i="2" s="1"/>
  <c r="L2" i="2" s="1"/>
  <c r="K5" i="2"/>
  <c r="K4" i="2" s="1"/>
  <c r="K3" i="2" s="1"/>
  <c r="K2" i="2" s="1"/>
  <c r="H5" i="2"/>
  <c r="H4" i="2" s="1"/>
  <c r="H3" i="2" s="1"/>
  <c r="H2" i="2" s="1"/>
  <c r="F5" i="2"/>
  <c r="F4" i="2" s="1"/>
  <c r="F3" i="2" s="1"/>
  <c r="F2" i="2" s="1"/>
  <c r="E5" i="2"/>
  <c r="E4" i="2" s="1"/>
  <c r="E3" i="2" s="1"/>
  <c r="E2" i="2" s="1"/>
  <c r="D5" i="2"/>
  <c r="D4" i="2" s="1"/>
  <c r="D3" i="2" s="1"/>
  <c r="D2" i="2" s="1"/>
  <c r="B5" i="2"/>
  <c r="B4" i="2" s="1"/>
  <c r="B3" i="2" s="1"/>
  <c r="B2" i="2" s="1"/>
  <c r="M12" i="1"/>
  <c r="L12" i="1"/>
  <c r="K12" i="1"/>
  <c r="J12" i="1"/>
  <c r="H12" i="1"/>
  <c r="G12" i="1"/>
  <c r="F12" i="1"/>
  <c r="E12" i="1"/>
  <c r="D12" i="1"/>
  <c r="C12" i="1"/>
  <c r="B12" i="1"/>
  <c r="M11" i="1"/>
  <c r="L11" i="1"/>
  <c r="K11" i="1"/>
  <c r="J11" i="1"/>
  <c r="I11" i="1"/>
  <c r="I12" i="1" s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  <c r="D7" i="3" l="1"/>
  <c r="D8" i="3" s="1"/>
  <c r="D9" i="3" s="1"/>
  <c r="D10" i="3" s="1"/>
  <c r="D11" i="3" s="1"/>
  <c r="D12" i="3" s="1"/>
  <c r="C7" i="2"/>
  <c r="C8" i="2" s="1"/>
  <c r="C9" i="2" s="1"/>
  <c r="C10" i="2" s="1"/>
  <c r="C11" i="2" s="1"/>
  <c r="C12" i="2" s="1"/>
  <c r="I5" i="6"/>
  <c r="I4" i="6" s="1"/>
  <c r="I3" i="6" s="1"/>
  <c r="I2" i="6" s="1"/>
  <c r="I7" i="6"/>
  <c r="I8" i="6" s="1"/>
  <c r="I9" i="6" s="1"/>
  <c r="I10" i="6" s="1"/>
  <c r="I11" i="6" s="1"/>
  <c r="I12" i="6" s="1"/>
  <c r="G7" i="2"/>
  <c r="G8" i="2" s="1"/>
  <c r="G9" i="2" s="1"/>
  <c r="G10" i="2" s="1"/>
  <c r="G11" i="2" s="1"/>
  <c r="G12" i="2" s="1"/>
  <c r="H7" i="6"/>
  <c r="H8" i="6" s="1"/>
  <c r="H9" i="6" s="1"/>
  <c r="H10" i="6" s="1"/>
  <c r="H11" i="6" s="1"/>
  <c r="H12" i="6" s="1"/>
  <c r="H5" i="6"/>
  <c r="H4" i="6" s="1"/>
  <c r="H3" i="6" s="1"/>
  <c r="H2" i="6" s="1"/>
  <c r="J5" i="3"/>
  <c r="J4" i="3" s="1"/>
  <c r="J3" i="3" s="1"/>
  <c r="J2" i="3" s="1"/>
  <c r="E5" i="8"/>
  <c r="E4" i="8" s="1"/>
  <c r="E3" i="8" s="1"/>
  <c r="E2" i="8" s="1"/>
  <c r="L7" i="8"/>
  <c r="L8" i="8" s="1"/>
  <c r="L9" i="8" s="1"/>
  <c r="L10" i="8" s="1"/>
  <c r="L11" i="8" s="1"/>
  <c r="L12" i="8" s="1"/>
  <c r="G7" i="3"/>
  <c r="G8" i="3" s="1"/>
  <c r="G9" i="3" s="1"/>
  <c r="G10" i="3" s="1"/>
  <c r="G11" i="3" s="1"/>
  <c r="G12" i="3" s="1"/>
  <c r="M5" i="4"/>
  <c r="M4" i="4" s="1"/>
  <c r="M3" i="4" s="1"/>
  <c r="M2" i="4" s="1"/>
  <c r="M7" i="4"/>
  <c r="M8" i="4" s="1"/>
  <c r="M9" i="4" s="1"/>
  <c r="M10" i="4" s="1"/>
  <c r="M11" i="4" s="1"/>
  <c r="M12" i="4" s="1"/>
  <c r="M7" i="2"/>
  <c r="M8" i="2" s="1"/>
  <c r="M9" i="2" s="1"/>
  <c r="M10" i="2" s="1"/>
  <c r="M11" i="2" s="1"/>
  <c r="M12" i="2" s="1"/>
  <c r="G7" i="4"/>
  <c r="G8" i="4" s="1"/>
  <c r="G9" i="4" s="1"/>
  <c r="G10" i="4" s="1"/>
  <c r="G11" i="4" s="1"/>
  <c r="G12" i="4" s="1"/>
  <c r="K7" i="9"/>
  <c r="K8" i="9" s="1"/>
  <c r="K9" i="9" s="1"/>
  <c r="K10" i="9" s="1"/>
  <c r="K11" i="9" s="1"/>
  <c r="K12" i="9" s="1"/>
  <c r="H7" i="4"/>
  <c r="H8" i="4" s="1"/>
  <c r="H9" i="4" s="1"/>
  <c r="H10" i="4" s="1"/>
  <c r="H11" i="4" s="1"/>
  <c r="H12" i="4" s="1"/>
  <c r="L7" i="5"/>
  <c r="L8" i="5" s="1"/>
  <c r="L9" i="5" s="1"/>
  <c r="L10" i="5" s="1"/>
  <c r="L11" i="5" s="1"/>
  <c r="L12" i="5" s="1"/>
  <c r="E7" i="9"/>
  <c r="E8" i="9" s="1"/>
  <c r="E9" i="9" s="1"/>
  <c r="E10" i="9" s="1"/>
  <c r="E11" i="9" s="1"/>
  <c r="E12" i="9" s="1"/>
  <c r="E5" i="9"/>
  <c r="E4" i="9" s="1"/>
  <c r="E3" i="9" s="1"/>
  <c r="E2" i="9" s="1"/>
  <c r="L5" i="9"/>
  <c r="L4" i="9" s="1"/>
  <c r="L3" i="9" s="1"/>
  <c r="L2" i="9" s="1"/>
  <c r="L7" i="9"/>
  <c r="L8" i="9" s="1"/>
  <c r="L9" i="9" s="1"/>
  <c r="L10" i="9" s="1"/>
  <c r="L11" i="9" s="1"/>
  <c r="L12" i="9" s="1"/>
  <c r="E7" i="14"/>
  <c r="E8" i="14" s="1"/>
  <c r="E9" i="14" s="1"/>
  <c r="E10" i="14" s="1"/>
  <c r="E11" i="14" s="1"/>
  <c r="E12" i="14" s="1"/>
  <c r="E5" i="14"/>
  <c r="E4" i="14" s="1"/>
  <c r="E3" i="14" s="1"/>
  <c r="E2" i="14" s="1"/>
  <c r="L5" i="14"/>
  <c r="L4" i="14" s="1"/>
  <c r="L3" i="14" s="1"/>
  <c r="L2" i="14" s="1"/>
  <c r="L7" i="14"/>
  <c r="L8" i="14" s="1"/>
  <c r="L9" i="14" s="1"/>
  <c r="L10" i="14" s="1"/>
  <c r="L11" i="14" s="1"/>
  <c r="L12" i="14" s="1"/>
  <c r="H7" i="3"/>
  <c r="H8" i="3" s="1"/>
  <c r="H9" i="3" s="1"/>
  <c r="H10" i="3" s="1"/>
  <c r="H11" i="3" s="1"/>
  <c r="H12" i="3" s="1"/>
  <c r="I7" i="4"/>
  <c r="I8" i="4" s="1"/>
  <c r="I9" i="4" s="1"/>
  <c r="I10" i="4" s="1"/>
  <c r="I11" i="4" s="1"/>
  <c r="I12" i="4" s="1"/>
  <c r="E5" i="5"/>
  <c r="E4" i="5" s="1"/>
  <c r="E3" i="5" s="1"/>
  <c r="E2" i="5" s="1"/>
  <c r="M7" i="5"/>
  <c r="M8" i="5" s="1"/>
  <c r="M9" i="5" s="1"/>
  <c r="M10" i="5" s="1"/>
  <c r="M11" i="5" s="1"/>
  <c r="M12" i="5" s="1"/>
  <c r="C7" i="12"/>
  <c r="C8" i="12" s="1"/>
  <c r="C9" i="12" s="1"/>
  <c r="C10" i="12" s="1"/>
  <c r="C11" i="12" s="1"/>
  <c r="C12" i="12" s="1"/>
  <c r="C5" i="12"/>
  <c r="C4" i="12" s="1"/>
  <c r="C3" i="12" s="1"/>
  <c r="C2" i="12" s="1"/>
  <c r="J5" i="12"/>
  <c r="J4" i="12" s="1"/>
  <c r="J3" i="12" s="1"/>
  <c r="J2" i="12" s="1"/>
  <c r="J7" i="12"/>
  <c r="J8" i="12" s="1"/>
  <c r="J9" i="12" s="1"/>
  <c r="J10" i="12" s="1"/>
  <c r="J11" i="12" s="1"/>
  <c r="J12" i="12" s="1"/>
  <c r="E7" i="10"/>
  <c r="E8" i="10" s="1"/>
  <c r="E9" i="10" s="1"/>
  <c r="E10" i="10" s="1"/>
  <c r="E11" i="10" s="1"/>
  <c r="E12" i="10" s="1"/>
  <c r="E5" i="10"/>
  <c r="E4" i="10" s="1"/>
  <c r="E3" i="10" s="1"/>
  <c r="E2" i="10" s="1"/>
  <c r="D7" i="15"/>
  <c r="D8" i="15" s="1"/>
  <c r="D9" i="15" s="1"/>
  <c r="D10" i="15" s="1"/>
  <c r="D11" i="15" s="1"/>
  <c r="D12" i="15" s="1"/>
  <c r="D5" i="15"/>
  <c r="D4" i="15" s="1"/>
  <c r="D3" i="15" s="1"/>
  <c r="D2" i="15" s="1"/>
  <c r="M5" i="10"/>
  <c r="M4" i="10" s="1"/>
  <c r="M3" i="10" s="1"/>
  <c r="M2" i="10" s="1"/>
  <c r="M7" i="10"/>
  <c r="M8" i="10" s="1"/>
  <c r="M9" i="10" s="1"/>
  <c r="M10" i="10" s="1"/>
  <c r="M11" i="10" s="1"/>
  <c r="M12" i="10" s="1"/>
  <c r="D22" i="14"/>
  <c r="D23" i="14" s="1"/>
  <c r="D24" i="14" s="1"/>
  <c r="D25" i="14" s="1"/>
  <c r="D26" i="14" s="1"/>
  <c r="D27" i="14" s="1"/>
  <c r="D20" i="14"/>
  <c r="D19" i="14" s="1"/>
  <c r="D18" i="14" s="1"/>
  <c r="D17" i="14" s="1"/>
  <c r="E20" i="14"/>
  <c r="E19" i="14" s="1"/>
  <c r="E18" i="14" s="1"/>
  <c r="E17" i="14" s="1"/>
  <c r="E22" i="14"/>
  <c r="E23" i="14" s="1"/>
  <c r="E24" i="14" s="1"/>
  <c r="E25" i="14" s="1"/>
  <c r="E26" i="14" s="1"/>
  <c r="E27" i="14" s="1"/>
  <c r="L20" i="14"/>
  <c r="L19" i="14" s="1"/>
  <c r="L18" i="14" s="1"/>
  <c r="L17" i="14" s="1"/>
  <c r="L22" i="14"/>
  <c r="L23" i="14" s="1"/>
  <c r="L24" i="14" s="1"/>
  <c r="L25" i="14" s="1"/>
  <c r="L26" i="14" s="1"/>
  <c r="L27" i="14" s="1"/>
  <c r="K7" i="15"/>
  <c r="K8" i="15" s="1"/>
  <c r="K9" i="15" s="1"/>
  <c r="K10" i="15" s="1"/>
  <c r="K11" i="15" s="1"/>
  <c r="K12" i="15" s="1"/>
  <c r="F7" i="12"/>
  <c r="F8" i="12" s="1"/>
  <c r="F9" i="12" s="1"/>
  <c r="F10" i="12" s="1"/>
  <c r="F11" i="12" s="1"/>
  <c r="F12" i="12" s="1"/>
  <c r="F5" i="12"/>
  <c r="F4" i="12" s="1"/>
  <c r="F3" i="12" s="1"/>
  <c r="F2" i="12" s="1"/>
  <c r="G5" i="13"/>
  <c r="G4" i="13" s="1"/>
  <c r="G3" i="13" s="1"/>
  <c r="G2" i="13" s="1"/>
  <c r="B5" i="14"/>
  <c r="B4" i="14" s="1"/>
  <c r="B3" i="14" s="1"/>
  <c r="B2" i="14" s="1"/>
  <c r="H5" i="14"/>
  <c r="H4" i="14" s="1"/>
  <c r="H3" i="14" s="1"/>
  <c r="H2" i="14" s="1"/>
  <c r="K7" i="12"/>
  <c r="K8" i="12" s="1"/>
  <c r="K9" i="12" s="1"/>
  <c r="K10" i="12" s="1"/>
  <c r="K11" i="12" s="1"/>
  <c r="K12" i="12" s="1"/>
  <c r="L7" i="13"/>
  <c r="L8" i="13" s="1"/>
  <c r="L9" i="13" s="1"/>
  <c r="L10" i="13" s="1"/>
  <c r="L11" i="13" s="1"/>
  <c r="L12" i="13" s="1"/>
  <c r="M7" i="14"/>
  <c r="M8" i="14" s="1"/>
  <c r="M9" i="14" s="1"/>
  <c r="M10" i="14" s="1"/>
  <c r="M11" i="14" s="1"/>
  <c r="M12" i="14" s="1"/>
</calcChain>
</file>

<file path=xl/sharedStrings.xml><?xml version="1.0" encoding="utf-8"?>
<sst xmlns="http://schemas.openxmlformats.org/spreadsheetml/2006/main" count="331" uniqueCount="81">
  <si>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</si>
  <si>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</si>
  <si>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</si>
  <si>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</si>
  <si>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</si>
  <si>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</si>
  <si>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</si>
  <si>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</si>
  <si>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</si>
  <si>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</si>
  <si>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</si>
  <si>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</si>
  <si>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Равномерно Темперированный Строй</t>
  </si>
  <si>
    <t>подробности в группе https://vk.com/psimera</t>
  </si>
  <si>
    <t>ДЛЯ ТОГО ЧТОБЫ В ТАБЛИЦЕ ЧТО-ТО МЕНЯТЬ СОХРАНЯЙТЕ ЕЁ К СЕБЕ ЛИБО НА КОМПЬЮТЕР (ФАИЛ - СОХРАНИТЬ КАК), ЛИБО В СВОИ ДОКУМЕНТЫ (ФАИЛ - СОЗДАТЬ КОПИЮ).                                          К ИЗМЕНЕНИЯМ ДОКУМЕНТ ЗАКРЫТ ПО ПРИЧИНЕ ПУБЛИЧНОСТИ, ЕСЛИ ВСЕ БУДУТ МЕНЯТЬ ЧТО ЗАХОТЯТ, НАСТУПИТ ХАОС =) ПРОШУ ПОНЯТЬ ЭТО</t>
  </si>
  <si>
    <t>Натуральный Строй от ноты С равномерно темперированного строя</t>
  </si>
  <si>
    <t>Натуральный Строй от ноты С# равномерно темперированного строя</t>
  </si>
  <si>
    <t>Натуральный Строй от ноты D# равномерно темперированного строя</t>
  </si>
  <si>
    <t>Натуральный Строй от ноты E равномерно темперированного строя</t>
  </si>
  <si>
    <t>Натуральный Строй от ноты D равномерно темперированного строя</t>
  </si>
  <si>
    <t>Натуральный Строй от ноты F равномерно темперированного строя</t>
  </si>
  <si>
    <t>Натуральный Строй от ноты G равномерно темперированного строя</t>
  </si>
  <si>
    <t>Натуральный Строй от ноты G# равномерно темперированного строя</t>
  </si>
  <si>
    <t>Натуральный Строй от ноты A# равномерно темперированного строя</t>
  </si>
  <si>
    <t>Натуральный Строй от ноты B равномерно темперированного строя</t>
  </si>
  <si>
    <t>Натуральный Строй от ноты F# равномерно темперированного строя</t>
  </si>
  <si>
    <t>Натуральный Строй от ноты A равномерно темперированного строя</t>
  </si>
  <si>
    <t>Пифагорейский строй</t>
  </si>
  <si>
    <t>Пифагорейский строй по [вики] https://ru.wikipedia.org/wiki/Пифагоров_строй</t>
  </si>
  <si>
    <t xml:space="preserve">     </t>
  </si>
  <si>
    <t>&lt;- Основной тон</t>
  </si>
  <si>
    <t>Октава</t>
  </si>
  <si>
    <t>Квинта</t>
  </si>
  <si>
    <t>Кварта</t>
  </si>
  <si>
    <t>Большая терция</t>
  </si>
  <si>
    <t>Большая Секста</t>
  </si>
  <si>
    <t>Малая терция</t>
  </si>
  <si>
    <t>Натуральная Септима</t>
  </si>
  <si>
    <t>Малая Секста</t>
  </si>
  <si>
    <t>Большая секунда</t>
  </si>
  <si>
    <t>Чистая Септима</t>
  </si>
  <si>
    <t>Малая Терция</t>
  </si>
  <si>
    <t>Большая Терция</t>
  </si>
  <si>
    <t>Большая Септима</t>
  </si>
  <si>
    <t>Малая секунда</t>
  </si>
  <si>
    <t>Малая Септима</t>
  </si>
  <si>
    <t>Большая Секунда</t>
  </si>
  <si>
    <t>Малая Секунда</t>
  </si>
  <si>
    <t>и т.д.</t>
  </si>
  <si>
    <t xml:space="preserve"> Введите частоту тоники</t>
  </si>
  <si>
    <t>М.секунда</t>
  </si>
  <si>
    <t>Б.Секунда</t>
  </si>
  <si>
    <t>М. терция</t>
  </si>
  <si>
    <t>Б.Терция</t>
  </si>
  <si>
    <t>Тритон</t>
  </si>
  <si>
    <t>М. Секста</t>
  </si>
  <si>
    <t>Б.Секста</t>
  </si>
  <si>
    <t>М. Септима</t>
  </si>
  <si>
    <t>Б. Септима</t>
  </si>
  <si>
    <t>септ. тритон</t>
  </si>
  <si>
    <t>Гарм. Септима</t>
  </si>
  <si>
    <t>ДЛЯ ТОГО ЧТОБЫ В ТАБЛИЦЕ ЧТО-ТО МЕНЯТЬ СОХРАНЯЙТЕ ЕЁ К СЕБЕ ЛИБО НА КОМПЬЮТЕР (ФАИЛ - СОХРАНИТЬ КАК), ЛИБО В СВОИ ДОКУМЕНТЫ (ФАИЛ - СОЗДАТЬ КОПИЮ).                                                                                                          К ИЗМЕНЕНИЯМ ДОКУМЕНТ ЗАКРЫТ ПО ПРИЧИНЕ ПУБЛИЧНОСТИ, ЕСЛИ ВСЕ БУДУТ МЕНЯТЬ ЧТО ЗАХОТЯТ, НАСТУПИТ ХАОС =) ПРОШУ ПОНЯТЬ ЭТО</t>
  </si>
  <si>
    <t>РТС 53</t>
  </si>
  <si>
    <t>октава</t>
  </si>
  <si>
    <t>пифагоров строй на 53 шага</t>
  </si>
  <si>
    <t>апотома 2187 / 2048</t>
  </si>
  <si>
    <t xml:space="preserve">        большой полный тон   9 / 8</t>
  </si>
  <si>
    <t>пифагорейская дважды увеличенная прима 4782969 / 4194304</t>
  </si>
  <si>
    <t>пифагорейская увеличенная секунда 19683 / 16384</t>
  </si>
  <si>
    <t xml:space="preserve">        пифагорейская большая терция, дитон           81 / 64</t>
  </si>
  <si>
    <t>пифагорейская увеличенная терция 177147 / 131072</t>
  </si>
  <si>
    <t xml:space="preserve">	пифагорейский тритон 729 / 512</t>
  </si>
  <si>
    <t xml:space="preserve">пифагорейская дважды увеличенная терция 387420489 / 268435456 </t>
  </si>
  <si>
    <t>чистая квинта           3 / 2</t>
  </si>
  <si>
    <t>пифагорейская дважды увеличенная кварта 1594323 / 1048576</t>
  </si>
  <si>
    <t xml:space="preserve">пифагорейская увеличенная квинта           6561 / 4096 </t>
  </si>
  <si>
    <t>пифагорейская большая секста              27 / 16</t>
  </si>
  <si>
    <t>пифагорейская дважды увеличенная квинта 14348907 / 8388608</t>
  </si>
  <si>
    <t xml:space="preserve">пифагорейская увеличенная секста         59049 / 32768 </t>
  </si>
  <si>
    <t xml:space="preserve">пифагорейская большая септима         243 / 128 </t>
  </si>
  <si>
    <t>пифагорейская дважды увеличенная секста 129140163 / 67108864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</si>
</sst>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rgb="FF000000"/>
      <name val="Calibri"/>
    </font>
    <font>
      <b/>
      <sz val="9"/>
      <color rgb="FF000000"/>
      <name val="Arial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sz val="9"/>
      <name val="Arial"/>
      <family val="2"/>
      <charset val="204"/>
    </font>
    <font>
      <b/>
      <sz val="2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24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76923C"/>
        <bgColor rgb="FF76923C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9BBB59"/>
        <bgColor rgb="FF9BBB59"/>
      </patternFill>
    </fill>
    <fill>
      <patternFill patternType="solid">
        <fgColor rgb="FFC2D69B"/>
        <bgColor rgb="FFC2D69B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4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164" fontId="1" fillId="8" borderId="9" xfId="0" applyNumberFormat="1" applyFont="1" applyFill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8" borderId="1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" fillId="4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6" borderId="21" xfId="0" applyFont="1" applyFill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3" fillId="7" borderId="0" xfId="0" applyFont="1" applyFill="1" applyAlignment="1">
      <alignment vertical="top" wrapText="1"/>
    </xf>
    <xf numFmtId="0" fontId="0" fillId="0" borderId="0" xfId="0" applyFont="1" applyAlignment="1"/>
    <xf numFmtId="0" fontId="4" fillId="4" borderId="15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781050</xdr:colOff>
      <xdr:row>1</xdr:row>
      <xdr:rowOff>371475</xdr:rowOff>
    </xdr:from>
    <xdr:ext cx="504825" cy="190500"/>
    <xdr:sp macro="" textlink="">
      <xdr:nvSpPr>
        <xdr:cNvPr id="3" name="Shape 3"/>
        <xdr:cNvSpPr/>
      </xdr:nvSpPr>
      <xdr:spPr>
        <a:xfrm>
          <a:off x="1971675" y="1480175"/>
          <a:ext cx="399900" cy="219000"/>
        </a:xfrm>
        <a:prstGeom prst="downArrow">
          <a:avLst>
            <a:gd name="adj1" fmla="val 50000"/>
            <a:gd name="adj2" fmla="val 50000"/>
          </a:avLst>
        </a:prstGeom>
        <a:solidFill>
          <a:srgbClr val="6AA84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tabSelected="1"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4" ht="37.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5"/>
    </row>
    <row r="2" spans="1:14" ht="37.5" customHeight="1" x14ac:dyDescent="0.25">
      <c r="A2" s="6">
        <v>0</v>
      </c>
      <c r="B2" s="7">
        <f>K6/2^(57/12)</f>
        <v>16.351597831287414</v>
      </c>
      <c r="C2" s="8">
        <f>K6/2^(56/12)</f>
        <v>17.323914436054501</v>
      </c>
      <c r="D2" s="9">
        <f>K6/2^(55/12)</f>
        <v>18.354047994837977</v>
      </c>
      <c r="E2" s="8">
        <f>K6/2^(54/12)</f>
        <v>19.445436482630058</v>
      </c>
      <c r="F2" s="9">
        <f>K6/2^(53/12)</f>
        <v>20.601722307054366</v>
      </c>
      <c r="G2" s="9">
        <f>K6/2^(52/12)</f>
        <v>21.82676446456275</v>
      </c>
      <c r="H2" s="8">
        <f>K6/2^(51/12)</f>
        <v>23.12465141947715</v>
      </c>
      <c r="I2" s="9">
        <f>K6/2^(50/12)</f>
        <v>24.499714748859326</v>
      </c>
      <c r="J2" s="8">
        <f>K6/2^(49/12)</f>
        <v>25.956543598746581</v>
      </c>
      <c r="K2" s="9">
        <f>K6/2^(48/12)</f>
        <v>27.5</v>
      </c>
      <c r="L2" s="8">
        <f>K6/2^(47/12)</f>
        <v>29.135235094880624</v>
      </c>
      <c r="M2" s="10">
        <f>K6/2^(46/12)</f>
        <v>30.867706328507754</v>
      </c>
      <c r="N2" s="5"/>
    </row>
    <row r="3" spans="1:14" ht="37.5" customHeight="1" x14ac:dyDescent="0.25">
      <c r="A3" s="11">
        <v>1</v>
      </c>
      <c r="B3" s="12">
        <f>K6/2^(45/12)</f>
        <v>32.703195662574828</v>
      </c>
      <c r="C3" s="13">
        <f>K6/2^(44/12)</f>
        <v>34.647828872109017</v>
      </c>
      <c r="D3" s="14">
        <f>K6/2^(43/12)</f>
        <v>36.708095989675947</v>
      </c>
      <c r="E3" s="13">
        <f>K6/2^(42/12)</f>
        <v>38.890872965260115</v>
      </c>
      <c r="F3" s="14">
        <f>K6/2^(41/12)</f>
        <v>41.203444614108754</v>
      </c>
      <c r="G3" s="14">
        <f>K6/2^(40/12)</f>
        <v>43.653528929125486</v>
      </c>
      <c r="H3" s="13">
        <f>K6/2^(39/12)</f>
        <v>46.249302838954307</v>
      </c>
      <c r="I3" s="14">
        <f>K6/2^(38/12)</f>
        <v>48.99942949771868</v>
      </c>
      <c r="J3" s="13">
        <f>K6/2^(37/12)</f>
        <v>51.913087197493141</v>
      </c>
      <c r="K3" s="14">
        <f>K6/2^(36/12)</f>
        <v>55</v>
      </c>
      <c r="L3" s="13">
        <f>K6/2^(35/12)</f>
        <v>58.270470189761255</v>
      </c>
      <c r="M3" s="15">
        <f>K6/2^(34/12)</f>
        <v>61.735412657015516</v>
      </c>
      <c r="N3" s="5"/>
    </row>
    <row r="4" spans="1:14" ht="37.5" customHeight="1" x14ac:dyDescent="0.25">
      <c r="A4" s="11">
        <v>2</v>
      </c>
      <c r="B4" s="12">
        <f>K6/2^(33/12)</f>
        <v>65.406391325149656</v>
      </c>
      <c r="C4" s="13">
        <f>K6/2^(32/12)</f>
        <v>69.295657744218033</v>
      </c>
      <c r="D4" s="14">
        <f>K6/2^(31/12)</f>
        <v>73.416191979351879</v>
      </c>
      <c r="E4" s="13">
        <f>K6/2^(30/12)</f>
        <v>77.781745930520216</v>
      </c>
      <c r="F4" s="14">
        <f>K6/2^(29/12)</f>
        <v>82.406889228217494</v>
      </c>
      <c r="G4" s="14">
        <f>K6/2^(28/12)</f>
        <v>87.307057858250957</v>
      </c>
      <c r="H4" s="13">
        <f>K6/2^(27/12)</f>
        <v>92.4986056779086</v>
      </c>
      <c r="I4" s="14">
        <f>K6/2^(26/12)</f>
        <v>97.998858995437345</v>
      </c>
      <c r="J4" s="13">
        <f>K6/2^(25/12)</f>
        <v>103.82617439498628</v>
      </c>
      <c r="K4" s="14">
        <f>K6/2^(24/12)</f>
        <v>110</v>
      </c>
      <c r="L4" s="13">
        <f>K6/2^(23/12)</f>
        <v>116.54094037952248</v>
      </c>
      <c r="M4" s="15">
        <f>K6/2^(22/12)</f>
        <v>123.47082531403105</v>
      </c>
      <c r="N4" s="5"/>
    </row>
    <row r="5" spans="1:14" ht="37.5" customHeight="1" x14ac:dyDescent="0.25">
      <c r="A5" s="11">
        <v>3</v>
      </c>
      <c r="B5" s="12">
        <f>K6/2^(21/12)</f>
        <v>130.81278265029931</v>
      </c>
      <c r="C5" s="13">
        <f>K6/2^(20/12)</f>
        <v>138.59131548843607</v>
      </c>
      <c r="D5" s="14">
        <f>K6/2^(19/12)</f>
        <v>146.83238395870379</v>
      </c>
      <c r="E5" s="13">
        <f>K6/2^(18/12)</f>
        <v>155.56349186104046</v>
      </c>
      <c r="F5" s="14">
        <f>K6/2^(17/12)</f>
        <v>164.81377845643496</v>
      </c>
      <c r="G5" s="14">
        <f>K6/2^(16/12)</f>
        <v>174.61411571650197</v>
      </c>
      <c r="H5" s="13">
        <f>K6/2^(15/12)</f>
        <v>184.9972113558172</v>
      </c>
      <c r="I5" s="14">
        <f>K6/2^(14/12)</f>
        <v>195.99771799087463</v>
      </c>
      <c r="J5" s="13">
        <f>K6/2^(13/12)</f>
        <v>207.65234878997259</v>
      </c>
      <c r="K5" s="14">
        <f>K6/2^(12/12)</f>
        <v>220</v>
      </c>
      <c r="L5" s="13">
        <f>K6/2^(11/12)</f>
        <v>233.08188075904496</v>
      </c>
      <c r="M5" s="15">
        <f>K6/2^(10/12)</f>
        <v>246.94165062806206</v>
      </c>
      <c r="N5" s="5"/>
    </row>
    <row r="6" spans="1:14" ht="37.5" customHeight="1" x14ac:dyDescent="0.25">
      <c r="A6" s="11">
        <v>4</v>
      </c>
      <c r="B6" s="12">
        <f>K6/2^(9/12)</f>
        <v>261.62556530059862</v>
      </c>
      <c r="C6" s="13">
        <f>K6/2^(8/12)</f>
        <v>277.18263097687213</v>
      </c>
      <c r="D6" s="16">
        <f>K6/2^(7/12)</f>
        <v>293.66476791740757</v>
      </c>
      <c r="E6" s="13">
        <f>K6/2^(6/12)</f>
        <v>311.12698372208087</v>
      </c>
      <c r="F6" s="14">
        <f>K6/2^(5/12)</f>
        <v>329.62755691286992</v>
      </c>
      <c r="G6" s="14">
        <f>K6/2^(4/12)</f>
        <v>349.22823143300388</v>
      </c>
      <c r="H6" s="13">
        <f>K6/2^(3/12)</f>
        <v>369.9944227116344</v>
      </c>
      <c r="I6" s="14">
        <f>K6/2^(2/12)</f>
        <v>391.99543598174927</v>
      </c>
      <c r="J6" s="13">
        <f>K6/2^(1/12)</f>
        <v>415.30469757994513</v>
      </c>
      <c r="K6" s="17">
        <v>440</v>
      </c>
      <c r="L6" s="13">
        <f>K6*2^(1/12)</f>
        <v>466.16376151808993</v>
      </c>
      <c r="M6" s="15">
        <f>K6*2^(2/12)</f>
        <v>493.88330125612413</v>
      </c>
      <c r="N6" s="5"/>
    </row>
    <row r="7" spans="1:14" ht="37.5" customHeight="1" x14ac:dyDescent="0.25">
      <c r="A7" s="11">
        <v>5</v>
      </c>
      <c r="B7" s="12">
        <f>K6*2^(3/12)</f>
        <v>523.25113060119725</v>
      </c>
      <c r="C7" s="13">
        <f>K6*2^(4/12)</f>
        <v>554.36526195374415</v>
      </c>
      <c r="D7" s="14">
        <f>K6*2^(5/12)</f>
        <v>587.32953583481515</v>
      </c>
      <c r="E7" s="13">
        <f>K6*2^(6/12)</f>
        <v>622.25396744416184</v>
      </c>
      <c r="F7" s="14">
        <f>K6*2^(7/12)</f>
        <v>659.25511382573984</v>
      </c>
      <c r="G7" s="14">
        <f>K6*2^(8/12)</f>
        <v>698.45646286600777</v>
      </c>
      <c r="H7" s="13">
        <f>K6*2^(9/12)</f>
        <v>739.9888454232688</v>
      </c>
      <c r="I7" s="14">
        <f>K6*2^(10/12)</f>
        <v>783.99087196349853</v>
      </c>
      <c r="J7" s="13">
        <f>K6*2^(11/12)</f>
        <v>830.60939515989025</v>
      </c>
      <c r="K7" s="14">
        <f>K6*2^(12/12)</f>
        <v>880</v>
      </c>
      <c r="L7" s="13">
        <f>K6*2^(13/12)</f>
        <v>932.32752303617963</v>
      </c>
      <c r="M7" s="15">
        <f>K6*2^(14/12)</f>
        <v>987.76660251224826</v>
      </c>
      <c r="N7" s="5"/>
    </row>
    <row r="8" spans="1:14" ht="37.5" customHeight="1" x14ac:dyDescent="0.25">
      <c r="A8" s="11">
        <v>6</v>
      </c>
      <c r="B8" s="12">
        <f>K6*2^(15/12)</f>
        <v>1046.5022612023945</v>
      </c>
      <c r="C8" s="13">
        <f>K6*2^(16/12)</f>
        <v>1108.7305239074883</v>
      </c>
      <c r="D8" s="14">
        <f>K6*2^(17/12)</f>
        <v>1174.6590716696303</v>
      </c>
      <c r="E8" s="13">
        <f>K6*2^(18/12)</f>
        <v>1244.5079348883235</v>
      </c>
      <c r="F8" s="14">
        <f>K6*2^(19/12)</f>
        <v>1318.5102276514795</v>
      </c>
      <c r="G8" s="14">
        <f>K6*2^(20/12)</f>
        <v>1396.9129257320155</v>
      </c>
      <c r="H8" s="13">
        <f>K6*2^(21/12)</f>
        <v>1479.9776908465376</v>
      </c>
      <c r="I8" s="14">
        <f>K6*2^(22/12)</f>
        <v>1567.9817439269968</v>
      </c>
      <c r="J8" s="13">
        <f>K6*2^(23/12)</f>
        <v>1661.2187903197805</v>
      </c>
      <c r="K8" s="14">
        <f>K6*2^(24/12)</f>
        <v>1760</v>
      </c>
      <c r="L8" s="13">
        <f>K6*2^(25/12)</f>
        <v>1864.6550460723597</v>
      </c>
      <c r="M8" s="15">
        <f>K6*2^(26/12)</f>
        <v>1975.5332050244961</v>
      </c>
      <c r="N8" s="5"/>
    </row>
    <row r="9" spans="1:14" ht="37.5" customHeight="1" x14ac:dyDescent="0.25">
      <c r="A9" s="11">
        <v>7</v>
      </c>
      <c r="B9" s="12">
        <f>K6*2^(27/12)</f>
        <v>2093.004522404789</v>
      </c>
      <c r="C9" s="13">
        <f>K6*2^(28/12)</f>
        <v>2217.4610478149771</v>
      </c>
      <c r="D9" s="14">
        <f>K6*2^(29/12)</f>
        <v>2349.3181433392601</v>
      </c>
      <c r="E9" s="13">
        <f>K6*2^(30/12)</f>
        <v>2489.0158697766474</v>
      </c>
      <c r="F9" s="14">
        <f>K6*2^(31/12)</f>
        <v>2637.0204553029598</v>
      </c>
      <c r="G9" s="14">
        <f>K6*2^(32/12)</f>
        <v>2793.8258514640311</v>
      </c>
      <c r="H9" s="13">
        <f>K6*2^(33/12)</f>
        <v>2959.9553816930757</v>
      </c>
      <c r="I9" s="14">
        <f>K6*2^(34/12)</f>
        <v>3135.9634878539941</v>
      </c>
      <c r="J9" s="13">
        <f>K6*2^(35/12)</f>
        <v>3322.4375806395601</v>
      </c>
      <c r="K9" s="14">
        <f>K6*2^(36/12)</f>
        <v>3520</v>
      </c>
      <c r="L9" s="13">
        <f>K6*2^(37/12)</f>
        <v>3729.3100921447194</v>
      </c>
      <c r="M9" s="15">
        <f>K6*2^(38/12)</f>
        <v>3951.0664100489917</v>
      </c>
      <c r="N9" s="5"/>
    </row>
    <row r="10" spans="1:14" ht="37.5" customHeight="1" x14ac:dyDescent="0.25">
      <c r="A10" s="11">
        <v>8</v>
      </c>
      <c r="B10" s="12">
        <f>K6*2^(39/12)</f>
        <v>4186.0090448095771</v>
      </c>
      <c r="C10" s="13">
        <f>K6*2^(40/12)</f>
        <v>4434.9220956299532</v>
      </c>
      <c r="D10" s="14">
        <f>K6*2^(41/12)</f>
        <v>4698.6362866785194</v>
      </c>
      <c r="E10" s="13">
        <f>K6*2^(44/12)</f>
        <v>5587.6517029280612</v>
      </c>
      <c r="F10" s="14">
        <f>K6*2^(43/12)</f>
        <v>5274.0409106059187</v>
      </c>
      <c r="G10" s="14">
        <f>K6*2^(44/12)</f>
        <v>5587.6517029280612</v>
      </c>
      <c r="H10" s="13">
        <f>K6*2^(45/12)</f>
        <v>5919.9107633861504</v>
      </c>
      <c r="I10" s="14">
        <f>K6*2^(46/12)</f>
        <v>6271.9269757079892</v>
      </c>
      <c r="J10" s="13">
        <f>K6*2^(47/12)</f>
        <v>6644.8751612791211</v>
      </c>
      <c r="K10" s="14">
        <f>K6*2^(48/12)</f>
        <v>7040</v>
      </c>
      <c r="L10" s="13">
        <f>K6*2^(49/12)</f>
        <v>7458.6201842894361</v>
      </c>
      <c r="M10" s="15">
        <f>K6*2^(50/12)</f>
        <v>7902.1328200979879</v>
      </c>
      <c r="N10" s="5"/>
    </row>
    <row r="11" spans="1:14" ht="37.5" customHeight="1" x14ac:dyDescent="0.25">
      <c r="A11" s="11">
        <v>9</v>
      </c>
      <c r="B11" s="12">
        <f>K6*2^(51/12)</f>
        <v>8372.0180896191559</v>
      </c>
      <c r="C11" s="13">
        <f>K6*2^(52/12)</f>
        <v>8869.8441912599046</v>
      </c>
      <c r="D11" s="14">
        <f>K6*2^(53/12)</f>
        <v>9397.2725733570442</v>
      </c>
      <c r="E11" s="13">
        <f>K6*2^(54/12)</f>
        <v>9956.0634791065877</v>
      </c>
      <c r="F11" s="14">
        <f>K6*2^(55/12)</f>
        <v>10548.081821211836</v>
      </c>
      <c r="G11" s="14">
        <f>K6*2^(56/12)</f>
        <v>11175.303405856126</v>
      </c>
      <c r="H11" s="13">
        <f>K6*2^(57/12)</f>
        <v>11839.821526772301</v>
      </c>
      <c r="I11" s="14">
        <f>K6*2^(58/12)</f>
        <v>12543.853951415975</v>
      </c>
      <c r="J11" s="13">
        <f>K6*2^(59/12)</f>
        <v>13289.750322558248</v>
      </c>
      <c r="K11" s="14">
        <f>K6*2^(60/12)</f>
        <v>14080</v>
      </c>
      <c r="L11" s="13">
        <f>K6*2^(61/12)</f>
        <v>14917.240368578872</v>
      </c>
      <c r="M11" s="15">
        <f>K6*2^(62/12)</f>
        <v>15804.265640195976</v>
      </c>
      <c r="N11" s="5"/>
    </row>
    <row r="12" spans="1:14" ht="37.5" customHeight="1" x14ac:dyDescent="0.25">
      <c r="A12" s="18">
        <v>10</v>
      </c>
      <c r="B12" s="19">
        <f>K6*2^(63/12)</f>
        <v>16744.036179238312</v>
      </c>
      <c r="C12" s="20">
        <f>K6*2^(64/12)</f>
        <v>17739.688382519809</v>
      </c>
      <c r="D12" s="21">
        <f>K6*2^(65/12)</f>
        <v>18794.545146714081</v>
      </c>
      <c r="E12" s="20">
        <f>K6*2^(66/12)</f>
        <v>19912.126958213179</v>
      </c>
      <c r="F12" s="21">
        <f>K6*2^(67/12)</f>
        <v>21096.163642423671</v>
      </c>
      <c r="G12" s="21">
        <f>K6*2^(68/12)</f>
        <v>22350.606811712249</v>
      </c>
      <c r="H12" s="20">
        <f>K6*2^(69/12)</f>
        <v>23679.643053544605</v>
      </c>
      <c r="I12" s="21">
        <f>I11*2</f>
        <v>25087.707902831949</v>
      </c>
      <c r="J12" s="20">
        <f>K6*2^(70/12)</f>
        <v>25087.707902831939</v>
      </c>
      <c r="K12" s="21">
        <f>K6*2^(71/12)</f>
        <v>26579.500645116499</v>
      </c>
      <c r="L12" s="20">
        <f>K6*2^(72/12)</f>
        <v>28160</v>
      </c>
      <c r="M12" s="22">
        <f>K6*2^(73/12)</f>
        <v>29834.480737157748</v>
      </c>
      <c r="N12" s="5"/>
    </row>
    <row r="13" spans="1:14" x14ac:dyDescent="0.25">
      <c r="A13" s="59" t="s">
        <v>12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  <c r="N13" s="5"/>
    </row>
    <row r="14" spans="1:14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  <c r="N14" s="5"/>
    </row>
    <row r="15" spans="1:14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  <c r="N15" s="5"/>
    </row>
    <row r="16" spans="1:14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5"/>
    </row>
    <row r="17" spans="1:14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5"/>
    </row>
    <row r="18" spans="1:14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5"/>
    </row>
    <row r="19" spans="1:14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5"/>
    </row>
    <row r="20" spans="1:14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5"/>
    </row>
    <row r="21" spans="1:14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5"/>
    </row>
    <row r="22" spans="1:14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4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4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4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4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4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4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4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4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4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4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16.388569740870317</v>
      </c>
      <c r="C2" s="8">
        <f t="shared" si="0"/>
        <v>17.481141056928337</v>
      </c>
      <c r="D2" s="9">
        <f t="shared" si="0"/>
        <v>18.209521934300351</v>
      </c>
      <c r="E2" s="8">
        <f t="shared" si="0"/>
        <v>19.423490063253709</v>
      </c>
      <c r="F2" s="9">
        <f t="shared" si="0"/>
        <v>20.485712176087898</v>
      </c>
      <c r="G2" s="9">
        <f t="shared" si="0"/>
        <v>21.851426321160424</v>
      </c>
      <c r="H2" s="8">
        <f t="shared" si="0"/>
        <v>23.308188075904454</v>
      </c>
      <c r="I2" s="9">
        <f t="shared" si="0"/>
        <v>24.279362579067136</v>
      </c>
      <c r="J2" s="8">
        <f t="shared" si="0"/>
        <v>25.897986751004943</v>
      </c>
      <c r="K2" s="9">
        <f t="shared" si="0"/>
        <v>27.314282901450529</v>
      </c>
      <c r="L2" s="8">
        <f t="shared" si="0"/>
        <v>29.135235094880564</v>
      </c>
      <c r="M2" s="10">
        <f t="shared" si="0"/>
        <v>31.077584101205932</v>
      </c>
    </row>
    <row r="3" spans="1:13" ht="32.25" customHeight="1" x14ac:dyDescent="0.25">
      <c r="A3" s="11">
        <v>1</v>
      </c>
      <c r="B3" s="12">
        <f t="shared" ref="B3:M3" si="1">B4/2</f>
        <v>32.777139481740633</v>
      </c>
      <c r="C3" s="13">
        <f t="shared" si="1"/>
        <v>34.962282113856674</v>
      </c>
      <c r="D3" s="14">
        <f t="shared" si="1"/>
        <v>36.419043868600703</v>
      </c>
      <c r="E3" s="13">
        <f t="shared" si="1"/>
        <v>38.846980126507418</v>
      </c>
      <c r="F3" s="14">
        <f t="shared" si="1"/>
        <v>40.971424352175795</v>
      </c>
      <c r="G3" s="14">
        <f t="shared" si="1"/>
        <v>43.702852642320849</v>
      </c>
      <c r="H3" s="13">
        <f t="shared" si="1"/>
        <v>46.616376151808907</v>
      </c>
      <c r="I3" s="14">
        <f t="shared" si="1"/>
        <v>48.558725158134273</v>
      </c>
      <c r="J3" s="13">
        <f t="shared" si="1"/>
        <v>51.795973502009886</v>
      </c>
      <c r="K3" s="14">
        <f t="shared" si="1"/>
        <v>54.628565802901058</v>
      </c>
      <c r="L3" s="13">
        <f t="shared" si="1"/>
        <v>58.270470189761127</v>
      </c>
      <c r="M3" s="15">
        <f t="shared" si="1"/>
        <v>62.155168202411865</v>
      </c>
    </row>
    <row r="4" spans="1:13" ht="32.25" customHeight="1" x14ac:dyDescent="0.25">
      <c r="A4" s="11">
        <v>2</v>
      </c>
      <c r="B4" s="12">
        <f t="shared" ref="B4:M4" si="2">B5/2</f>
        <v>65.554278963481266</v>
      </c>
      <c r="C4" s="13">
        <f t="shared" si="2"/>
        <v>69.924564227713347</v>
      </c>
      <c r="D4" s="14">
        <f t="shared" si="2"/>
        <v>72.838087737201406</v>
      </c>
      <c r="E4" s="13">
        <f t="shared" si="2"/>
        <v>77.693960253014836</v>
      </c>
      <c r="F4" s="14">
        <f t="shared" si="2"/>
        <v>81.94284870435159</v>
      </c>
      <c r="G4" s="14">
        <f t="shared" si="2"/>
        <v>87.405705284641698</v>
      </c>
      <c r="H4" s="13">
        <f t="shared" si="2"/>
        <v>93.232752303617815</v>
      </c>
      <c r="I4" s="14">
        <f t="shared" si="2"/>
        <v>97.117450316268545</v>
      </c>
      <c r="J4" s="13">
        <f t="shared" si="2"/>
        <v>103.59194700401977</v>
      </c>
      <c r="K4" s="14">
        <f t="shared" si="2"/>
        <v>109.25713160580212</v>
      </c>
      <c r="L4" s="13">
        <f t="shared" si="2"/>
        <v>116.54094037952225</v>
      </c>
      <c r="M4" s="15">
        <f t="shared" si="2"/>
        <v>124.31033640482373</v>
      </c>
    </row>
    <row r="5" spans="1:13" ht="32.25" customHeight="1" x14ac:dyDescent="0.25">
      <c r="A5" s="11">
        <v>3</v>
      </c>
      <c r="B5" s="12">
        <f t="shared" ref="B5:M5" si="3">B6/2</f>
        <v>131.10855792696253</v>
      </c>
      <c r="C5" s="13">
        <f t="shared" si="3"/>
        <v>139.84912845542669</v>
      </c>
      <c r="D5" s="14">
        <f t="shared" si="3"/>
        <v>145.67617547440281</v>
      </c>
      <c r="E5" s="13">
        <f t="shared" si="3"/>
        <v>155.38792050602967</v>
      </c>
      <c r="F5" s="14">
        <f t="shared" si="3"/>
        <v>163.88569740870318</v>
      </c>
      <c r="G5" s="14">
        <f t="shared" si="3"/>
        <v>174.8114105692834</v>
      </c>
      <c r="H5" s="13">
        <f t="shared" si="3"/>
        <v>186.46550460723563</v>
      </c>
      <c r="I5" s="14">
        <f t="shared" si="3"/>
        <v>194.23490063253709</v>
      </c>
      <c r="J5" s="13">
        <f t="shared" si="3"/>
        <v>207.18389400803954</v>
      </c>
      <c r="K5" s="14">
        <f t="shared" si="3"/>
        <v>218.51426321160423</v>
      </c>
      <c r="L5" s="13">
        <f t="shared" si="3"/>
        <v>233.08188075904451</v>
      </c>
      <c r="M5" s="15">
        <f t="shared" si="3"/>
        <v>248.62067280964746</v>
      </c>
    </row>
    <row r="6" spans="1:13" ht="32.25" customHeight="1" x14ac:dyDescent="0.25">
      <c r="A6" s="11">
        <v>4</v>
      </c>
      <c r="B6" s="12">
        <f>L6*(9/8)/2</f>
        <v>262.21711585392507</v>
      </c>
      <c r="C6" s="13">
        <f>L6*(6/5)/2</f>
        <v>279.69825691085339</v>
      </c>
      <c r="D6" s="14">
        <f>L6*(5/4)/2</f>
        <v>291.35235094880562</v>
      </c>
      <c r="E6" s="13">
        <f>L6*(4/3)/2</f>
        <v>310.77584101205935</v>
      </c>
      <c r="F6" s="14">
        <f>L6*(45/32)/2</f>
        <v>327.77139481740636</v>
      </c>
      <c r="G6" s="14">
        <f>L6*(3/2)/2</f>
        <v>349.62282113856679</v>
      </c>
      <c r="H6" s="13">
        <f>L6*(8/5)/2</f>
        <v>372.93100921447126</v>
      </c>
      <c r="I6" s="14">
        <f>L6*(5/3)/2</f>
        <v>388.46980126507418</v>
      </c>
      <c r="J6" s="13">
        <f>L6*(16/9)/2</f>
        <v>414.36778801607909</v>
      </c>
      <c r="K6" s="14">
        <f>L6*(15/8)/2</f>
        <v>437.02852642320846</v>
      </c>
      <c r="L6" s="29">
        <v>466.16376151808902</v>
      </c>
      <c r="M6" s="15">
        <f>L6*(16/15)</f>
        <v>497.24134561929492</v>
      </c>
    </row>
    <row r="7" spans="1:13" ht="32.25" customHeight="1" x14ac:dyDescent="0.25">
      <c r="A7" s="11">
        <v>5</v>
      </c>
      <c r="B7" s="12">
        <f t="shared" ref="B7:M7" si="4">B6*2</f>
        <v>524.43423170785013</v>
      </c>
      <c r="C7" s="13">
        <f t="shared" si="4"/>
        <v>559.39651382170678</v>
      </c>
      <c r="D7" s="14">
        <f t="shared" si="4"/>
        <v>582.70470189761124</v>
      </c>
      <c r="E7" s="13">
        <f t="shared" si="4"/>
        <v>621.55168202411869</v>
      </c>
      <c r="F7" s="14">
        <f t="shared" si="4"/>
        <v>655.54278963481272</v>
      </c>
      <c r="G7" s="14">
        <f t="shared" si="4"/>
        <v>699.24564227713358</v>
      </c>
      <c r="H7" s="13">
        <f t="shared" si="4"/>
        <v>745.86201842894252</v>
      </c>
      <c r="I7" s="14">
        <f t="shared" si="4"/>
        <v>776.93960253014836</v>
      </c>
      <c r="J7" s="13">
        <f t="shared" si="4"/>
        <v>828.73557603215818</v>
      </c>
      <c r="K7" s="14">
        <f t="shared" si="4"/>
        <v>874.05705284641692</v>
      </c>
      <c r="L7" s="13">
        <f t="shared" si="4"/>
        <v>932.32752303617804</v>
      </c>
      <c r="M7" s="15">
        <f t="shared" si="4"/>
        <v>994.48269123858984</v>
      </c>
    </row>
    <row r="8" spans="1:13" ht="32.25" customHeight="1" x14ac:dyDescent="0.25">
      <c r="A8" s="11">
        <v>6</v>
      </c>
      <c r="B8" s="12">
        <f t="shared" ref="B8:M8" si="5">B7*2</f>
        <v>1048.8684634157003</v>
      </c>
      <c r="C8" s="13">
        <f t="shared" si="5"/>
        <v>1118.7930276434136</v>
      </c>
      <c r="D8" s="14">
        <f t="shared" si="5"/>
        <v>1165.4094037952225</v>
      </c>
      <c r="E8" s="13">
        <f t="shared" si="5"/>
        <v>1243.1033640482374</v>
      </c>
      <c r="F8" s="14">
        <f t="shared" si="5"/>
        <v>1311.0855792696254</v>
      </c>
      <c r="G8" s="14">
        <f t="shared" si="5"/>
        <v>1398.4912845542672</v>
      </c>
      <c r="H8" s="13">
        <f t="shared" si="5"/>
        <v>1491.724036857885</v>
      </c>
      <c r="I8" s="14">
        <f t="shared" si="5"/>
        <v>1553.8792050602967</v>
      </c>
      <c r="J8" s="13">
        <f t="shared" si="5"/>
        <v>1657.4711520643164</v>
      </c>
      <c r="K8" s="14">
        <f t="shared" si="5"/>
        <v>1748.1141056928338</v>
      </c>
      <c r="L8" s="13">
        <f t="shared" si="5"/>
        <v>1864.6550460723561</v>
      </c>
      <c r="M8" s="15">
        <f t="shared" si="5"/>
        <v>1988.9653824771797</v>
      </c>
    </row>
    <row r="9" spans="1:13" ht="32.25" customHeight="1" x14ac:dyDescent="0.25">
      <c r="A9" s="11">
        <v>7</v>
      </c>
      <c r="B9" s="12">
        <f t="shared" ref="B9:M9" si="6">B8*2</f>
        <v>2097.7369268314005</v>
      </c>
      <c r="C9" s="13">
        <f t="shared" si="6"/>
        <v>2237.5860552868271</v>
      </c>
      <c r="D9" s="14">
        <f t="shared" si="6"/>
        <v>2330.818807590445</v>
      </c>
      <c r="E9" s="13">
        <f t="shared" si="6"/>
        <v>2486.2067280964748</v>
      </c>
      <c r="F9" s="14">
        <f t="shared" si="6"/>
        <v>2622.1711585392509</v>
      </c>
      <c r="G9" s="14">
        <f t="shared" si="6"/>
        <v>2796.9825691085343</v>
      </c>
      <c r="H9" s="13">
        <f t="shared" si="6"/>
        <v>2983.4480737157701</v>
      </c>
      <c r="I9" s="14">
        <f t="shared" si="6"/>
        <v>3107.7584101205935</v>
      </c>
      <c r="J9" s="13">
        <f t="shared" si="6"/>
        <v>3314.9423041286327</v>
      </c>
      <c r="K9" s="14">
        <f t="shared" si="6"/>
        <v>3496.2282113856677</v>
      </c>
      <c r="L9" s="13">
        <f t="shared" si="6"/>
        <v>3729.3100921447121</v>
      </c>
      <c r="M9" s="15">
        <f t="shared" si="6"/>
        <v>3977.9307649543593</v>
      </c>
    </row>
    <row r="10" spans="1:13" ht="32.25" customHeight="1" x14ac:dyDescent="0.25">
      <c r="A10" s="11">
        <v>8</v>
      </c>
      <c r="B10" s="12">
        <f t="shared" ref="B10:M10" si="7">B9*2</f>
        <v>4195.473853662801</v>
      </c>
      <c r="C10" s="13">
        <f t="shared" si="7"/>
        <v>4475.1721105736542</v>
      </c>
      <c r="D10" s="14">
        <f t="shared" si="7"/>
        <v>4661.63761518089</v>
      </c>
      <c r="E10" s="13">
        <f t="shared" si="7"/>
        <v>4972.4134561929495</v>
      </c>
      <c r="F10" s="14">
        <f t="shared" si="7"/>
        <v>5244.3423170785018</v>
      </c>
      <c r="G10" s="14">
        <f t="shared" si="7"/>
        <v>5593.9651382170687</v>
      </c>
      <c r="H10" s="13">
        <f t="shared" si="7"/>
        <v>5966.8961474315402</v>
      </c>
      <c r="I10" s="14">
        <f t="shared" si="7"/>
        <v>6215.5168202411869</v>
      </c>
      <c r="J10" s="13">
        <f t="shared" si="7"/>
        <v>6629.8846082572654</v>
      </c>
      <c r="K10" s="14">
        <f t="shared" si="7"/>
        <v>6992.4564227713354</v>
      </c>
      <c r="L10" s="13">
        <f t="shared" si="7"/>
        <v>7458.6201842894243</v>
      </c>
      <c r="M10" s="15">
        <f t="shared" si="7"/>
        <v>7955.8615299087187</v>
      </c>
    </row>
    <row r="11" spans="1:13" ht="32.25" customHeight="1" x14ac:dyDescent="0.25">
      <c r="A11" s="11">
        <v>9</v>
      </c>
      <c r="B11" s="12">
        <f t="shared" ref="B11:M11" si="8">B10*2</f>
        <v>8390.9477073256021</v>
      </c>
      <c r="C11" s="13">
        <f t="shared" si="8"/>
        <v>8950.3442211473084</v>
      </c>
      <c r="D11" s="14">
        <f t="shared" si="8"/>
        <v>9323.2752303617799</v>
      </c>
      <c r="E11" s="13">
        <f t="shared" si="8"/>
        <v>9944.826912385899</v>
      </c>
      <c r="F11" s="14">
        <f t="shared" si="8"/>
        <v>10488.684634157004</v>
      </c>
      <c r="G11" s="14">
        <f t="shared" si="8"/>
        <v>11187.930276434137</v>
      </c>
      <c r="H11" s="13">
        <f t="shared" si="8"/>
        <v>11933.79229486308</v>
      </c>
      <c r="I11" s="14">
        <f t="shared" si="8"/>
        <v>12431.033640482374</v>
      </c>
      <c r="J11" s="13">
        <f t="shared" si="8"/>
        <v>13259.769216514531</v>
      </c>
      <c r="K11" s="14">
        <f t="shared" si="8"/>
        <v>13984.912845542671</v>
      </c>
      <c r="L11" s="13">
        <f t="shared" si="8"/>
        <v>14917.240368578849</v>
      </c>
      <c r="M11" s="15">
        <f t="shared" si="8"/>
        <v>15911.723059817437</v>
      </c>
    </row>
    <row r="12" spans="1:13" ht="32.25" customHeight="1" x14ac:dyDescent="0.25">
      <c r="A12" s="18">
        <v>10</v>
      </c>
      <c r="B12" s="19">
        <f t="shared" ref="B12:M12" si="9">B11*2</f>
        <v>16781.895414651204</v>
      </c>
      <c r="C12" s="20">
        <f t="shared" si="9"/>
        <v>17900.688442294617</v>
      </c>
      <c r="D12" s="21">
        <f t="shared" si="9"/>
        <v>18646.55046072356</v>
      </c>
      <c r="E12" s="20">
        <f t="shared" si="9"/>
        <v>19889.653824771798</v>
      </c>
      <c r="F12" s="21">
        <f t="shared" si="9"/>
        <v>20977.369268314007</v>
      </c>
      <c r="G12" s="21">
        <f t="shared" si="9"/>
        <v>22375.860552868275</v>
      </c>
      <c r="H12" s="20">
        <f t="shared" si="9"/>
        <v>23867.584589726161</v>
      </c>
      <c r="I12" s="21">
        <f t="shared" si="9"/>
        <v>24862.067280964748</v>
      </c>
      <c r="J12" s="20">
        <f t="shared" si="9"/>
        <v>26519.538433029062</v>
      </c>
      <c r="K12" s="21">
        <f t="shared" si="9"/>
        <v>27969.825691085342</v>
      </c>
      <c r="L12" s="20">
        <f t="shared" si="9"/>
        <v>29834.480737157697</v>
      </c>
      <c r="M12" s="22">
        <f t="shared" si="9"/>
        <v>31823.446119634875</v>
      </c>
    </row>
    <row r="13" spans="1:13" x14ac:dyDescent="0.25">
      <c r="A13" s="59" t="s">
        <v>23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26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32.25" customHeight="1" x14ac:dyDescent="0.25">
      <c r="A2" s="11">
        <v>0</v>
      </c>
      <c r="B2" s="7">
        <f t="shared" ref="B2:M2" si="0">B3/2</f>
        <v>16.462776708537469</v>
      </c>
      <c r="C2" s="8">
        <f t="shared" si="0"/>
        <v>17.363084809785612</v>
      </c>
      <c r="D2" s="9">
        <f t="shared" si="0"/>
        <v>18.520623797104651</v>
      </c>
      <c r="E2" s="8">
        <f t="shared" si="0"/>
        <v>19.292316455317344</v>
      </c>
      <c r="F2" s="9">
        <f t="shared" si="0"/>
        <v>20.578470885671834</v>
      </c>
      <c r="G2" s="9">
        <f t="shared" si="0"/>
        <v>21.703856012232013</v>
      </c>
      <c r="H2" s="8">
        <f t="shared" si="0"/>
        <v>23.150779746380813</v>
      </c>
      <c r="I2" s="9">
        <f t="shared" si="0"/>
        <v>24.694165062806203</v>
      </c>
      <c r="J2" s="8">
        <f t="shared" si="0"/>
        <v>25.723088607089792</v>
      </c>
      <c r="K2" s="9">
        <f t="shared" si="0"/>
        <v>27.437961180895776</v>
      </c>
      <c r="L2" s="8">
        <f t="shared" si="0"/>
        <v>28.938474682976015</v>
      </c>
      <c r="M2" s="10">
        <f t="shared" si="0"/>
        <v>30.867706328507751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32.25" customHeight="1" x14ac:dyDescent="0.25">
      <c r="A3" s="11">
        <v>1</v>
      </c>
      <c r="B3" s="12">
        <f t="shared" ref="B3:M3" si="1">B4/2</f>
        <v>32.925553417074937</v>
      </c>
      <c r="C3" s="13">
        <f t="shared" si="1"/>
        <v>34.726169619571223</v>
      </c>
      <c r="D3" s="14">
        <f t="shared" si="1"/>
        <v>37.041247594209302</v>
      </c>
      <c r="E3" s="13">
        <f t="shared" si="1"/>
        <v>38.584632910634689</v>
      </c>
      <c r="F3" s="14">
        <f t="shared" si="1"/>
        <v>41.156941771343668</v>
      </c>
      <c r="G3" s="14">
        <f t="shared" si="1"/>
        <v>43.407712024464026</v>
      </c>
      <c r="H3" s="13">
        <f t="shared" si="1"/>
        <v>46.301559492761626</v>
      </c>
      <c r="I3" s="14">
        <f t="shared" si="1"/>
        <v>49.388330125612406</v>
      </c>
      <c r="J3" s="13">
        <f t="shared" si="1"/>
        <v>51.446177214179585</v>
      </c>
      <c r="K3" s="14">
        <f t="shared" si="1"/>
        <v>54.875922361791552</v>
      </c>
      <c r="L3" s="13">
        <f t="shared" si="1"/>
        <v>57.876949365952029</v>
      </c>
      <c r="M3" s="15">
        <f t="shared" si="1"/>
        <v>61.735412657015502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32.25" customHeight="1" x14ac:dyDescent="0.25">
      <c r="A4" s="11">
        <v>2</v>
      </c>
      <c r="B4" s="12">
        <f t="shared" ref="B4:M4" si="2">B5/2</f>
        <v>65.851106834149874</v>
      </c>
      <c r="C4" s="13">
        <f t="shared" si="2"/>
        <v>69.452339239142447</v>
      </c>
      <c r="D4" s="14">
        <f t="shared" si="2"/>
        <v>74.082495188418605</v>
      </c>
      <c r="E4" s="13">
        <f t="shared" si="2"/>
        <v>77.169265821269377</v>
      </c>
      <c r="F4" s="14">
        <f t="shared" si="2"/>
        <v>82.313883542687336</v>
      </c>
      <c r="G4" s="14">
        <f t="shared" si="2"/>
        <v>86.815424048928051</v>
      </c>
      <c r="H4" s="13">
        <f t="shared" si="2"/>
        <v>92.603118985523253</v>
      </c>
      <c r="I4" s="14">
        <f t="shared" si="2"/>
        <v>98.776660251224811</v>
      </c>
      <c r="J4" s="13">
        <f t="shared" si="2"/>
        <v>102.89235442835917</v>
      </c>
      <c r="K4" s="14">
        <f t="shared" si="2"/>
        <v>109.7518447235831</v>
      </c>
      <c r="L4" s="13">
        <f t="shared" si="2"/>
        <v>115.75389873190406</v>
      </c>
      <c r="M4" s="15">
        <f t="shared" si="2"/>
        <v>123.470825314031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32.25" customHeight="1" x14ac:dyDescent="0.25">
      <c r="A5" s="11">
        <v>3</v>
      </c>
      <c r="B5" s="12">
        <f t="shared" ref="B5:M5" si="3">B6/2</f>
        <v>131.70221366829975</v>
      </c>
      <c r="C5" s="13">
        <f t="shared" si="3"/>
        <v>138.90467847828489</v>
      </c>
      <c r="D5" s="14">
        <f t="shared" si="3"/>
        <v>148.16499037683721</v>
      </c>
      <c r="E5" s="13">
        <f t="shared" si="3"/>
        <v>154.33853164253875</v>
      </c>
      <c r="F5" s="14">
        <f t="shared" si="3"/>
        <v>164.62776708537467</v>
      </c>
      <c r="G5" s="14">
        <f t="shared" si="3"/>
        <v>173.6308480978561</v>
      </c>
      <c r="H5" s="13">
        <f t="shared" si="3"/>
        <v>185.20623797104651</v>
      </c>
      <c r="I5" s="14">
        <f t="shared" si="3"/>
        <v>197.55332050244962</v>
      </c>
      <c r="J5" s="13">
        <f t="shared" si="3"/>
        <v>205.78470885671834</v>
      </c>
      <c r="K5" s="14">
        <f t="shared" si="3"/>
        <v>219.50368944716621</v>
      </c>
      <c r="L5" s="13">
        <f t="shared" si="3"/>
        <v>231.50779746380812</v>
      </c>
      <c r="M5" s="15">
        <f t="shared" si="3"/>
        <v>246.94165062806201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32.25" customHeight="1" x14ac:dyDescent="0.25">
      <c r="A6" s="11">
        <v>4</v>
      </c>
      <c r="B6" s="12">
        <f>M6*(16/15)/2</f>
        <v>263.4044273365995</v>
      </c>
      <c r="C6" s="13">
        <f>M6*(9/8)/2</f>
        <v>277.80935695656979</v>
      </c>
      <c r="D6" s="14">
        <f>M6*(6/5)/2</f>
        <v>296.32998075367442</v>
      </c>
      <c r="E6" s="13">
        <f>M6*(5/4)/2</f>
        <v>308.67706328507751</v>
      </c>
      <c r="F6" s="14">
        <f>M6*(4/3)/2</f>
        <v>329.25553417074934</v>
      </c>
      <c r="G6" s="14">
        <f>M6*(45/32)/2</f>
        <v>347.2616961957122</v>
      </c>
      <c r="H6" s="13">
        <f>M6*(3/2)/2</f>
        <v>370.41247594209301</v>
      </c>
      <c r="I6" s="14">
        <f>M6*(8/5)/2</f>
        <v>395.10664100489925</v>
      </c>
      <c r="J6" s="13">
        <f>M6*(5/3)/2</f>
        <v>411.56941771343668</v>
      </c>
      <c r="K6" s="14">
        <f>M6*(16/9)/2</f>
        <v>439.00737889433242</v>
      </c>
      <c r="L6" s="13">
        <f>M6*(15/8)/2</f>
        <v>463.01559492761623</v>
      </c>
      <c r="M6" s="31">
        <v>493.88330125612401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2.25" customHeight="1" x14ac:dyDescent="0.25">
      <c r="A7" s="11">
        <v>5</v>
      </c>
      <c r="B7" s="12">
        <f t="shared" ref="B7:M7" si="4">B6*2</f>
        <v>526.80885467319899</v>
      </c>
      <c r="C7" s="13">
        <f t="shared" si="4"/>
        <v>555.61871391313957</v>
      </c>
      <c r="D7" s="14">
        <f t="shared" si="4"/>
        <v>592.65996150734884</v>
      </c>
      <c r="E7" s="13">
        <f t="shared" si="4"/>
        <v>617.35412657015502</v>
      </c>
      <c r="F7" s="14">
        <f t="shared" si="4"/>
        <v>658.51106834149869</v>
      </c>
      <c r="G7" s="14">
        <f t="shared" si="4"/>
        <v>694.52339239142441</v>
      </c>
      <c r="H7" s="13">
        <f t="shared" si="4"/>
        <v>740.82495188418602</v>
      </c>
      <c r="I7" s="14">
        <f t="shared" si="4"/>
        <v>790.21328200979849</v>
      </c>
      <c r="J7" s="13">
        <f t="shared" si="4"/>
        <v>823.13883542687336</v>
      </c>
      <c r="K7" s="14">
        <f t="shared" si="4"/>
        <v>878.01475778866484</v>
      </c>
      <c r="L7" s="13">
        <f t="shared" si="4"/>
        <v>926.03118985523247</v>
      </c>
      <c r="M7" s="15">
        <f t="shared" si="4"/>
        <v>987.76660251224803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2.25" customHeight="1" x14ac:dyDescent="0.25">
      <c r="A8" s="11">
        <v>6</v>
      </c>
      <c r="B8" s="12">
        <f t="shared" ref="B8:M8" si="5">B7*2</f>
        <v>1053.617709346398</v>
      </c>
      <c r="C8" s="13">
        <f t="shared" si="5"/>
        <v>1111.2374278262791</v>
      </c>
      <c r="D8" s="14">
        <f t="shared" si="5"/>
        <v>1185.3199230146977</v>
      </c>
      <c r="E8" s="13">
        <f t="shared" si="5"/>
        <v>1234.70825314031</v>
      </c>
      <c r="F8" s="14">
        <f t="shared" si="5"/>
        <v>1317.0221366829974</v>
      </c>
      <c r="G8" s="14">
        <f t="shared" si="5"/>
        <v>1389.0467847828488</v>
      </c>
      <c r="H8" s="13">
        <f t="shared" si="5"/>
        <v>1481.649903768372</v>
      </c>
      <c r="I8" s="14">
        <f t="shared" si="5"/>
        <v>1580.426564019597</v>
      </c>
      <c r="J8" s="13">
        <f t="shared" si="5"/>
        <v>1646.2776708537467</v>
      </c>
      <c r="K8" s="14">
        <f t="shared" si="5"/>
        <v>1756.0295155773297</v>
      </c>
      <c r="L8" s="13">
        <f t="shared" si="5"/>
        <v>1852.0623797104649</v>
      </c>
      <c r="M8" s="15">
        <f t="shared" si="5"/>
        <v>1975.5332050244961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2.25" customHeight="1" x14ac:dyDescent="0.25">
      <c r="A9" s="11">
        <v>7</v>
      </c>
      <c r="B9" s="12">
        <f t="shared" ref="B9:M9" si="6">B8*2</f>
        <v>2107.235418692796</v>
      </c>
      <c r="C9" s="13">
        <f t="shared" si="6"/>
        <v>2222.4748556525583</v>
      </c>
      <c r="D9" s="14">
        <f t="shared" si="6"/>
        <v>2370.6398460293954</v>
      </c>
      <c r="E9" s="13">
        <f t="shared" si="6"/>
        <v>2469.4165062806201</v>
      </c>
      <c r="F9" s="14">
        <f t="shared" si="6"/>
        <v>2634.0442733659947</v>
      </c>
      <c r="G9" s="14">
        <f t="shared" si="6"/>
        <v>2778.0935695656976</v>
      </c>
      <c r="H9" s="13">
        <f t="shared" si="6"/>
        <v>2963.2998075367441</v>
      </c>
      <c r="I9" s="14">
        <f t="shared" si="6"/>
        <v>3160.853128039194</v>
      </c>
      <c r="J9" s="13">
        <f t="shared" si="6"/>
        <v>3292.5553417074934</v>
      </c>
      <c r="K9" s="14">
        <f t="shared" si="6"/>
        <v>3512.0590311546594</v>
      </c>
      <c r="L9" s="13">
        <f t="shared" si="6"/>
        <v>3704.1247594209299</v>
      </c>
      <c r="M9" s="15">
        <f t="shared" si="6"/>
        <v>3951.0664100489921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2.25" customHeight="1" x14ac:dyDescent="0.25">
      <c r="A10" s="11">
        <v>8</v>
      </c>
      <c r="B10" s="12">
        <f t="shared" ref="B10:M10" si="7">B9*2</f>
        <v>4214.4708373855919</v>
      </c>
      <c r="C10" s="13">
        <f t="shared" si="7"/>
        <v>4444.9497113051166</v>
      </c>
      <c r="D10" s="14">
        <f t="shared" si="7"/>
        <v>4741.2796920587907</v>
      </c>
      <c r="E10" s="13">
        <f t="shared" si="7"/>
        <v>4938.8330125612401</v>
      </c>
      <c r="F10" s="14">
        <f t="shared" si="7"/>
        <v>5268.0885467319895</v>
      </c>
      <c r="G10" s="14">
        <f t="shared" si="7"/>
        <v>5556.1871391313953</v>
      </c>
      <c r="H10" s="13">
        <f t="shared" si="7"/>
        <v>5926.5996150734882</v>
      </c>
      <c r="I10" s="14">
        <f t="shared" si="7"/>
        <v>6321.7062560783879</v>
      </c>
      <c r="J10" s="13">
        <f t="shared" si="7"/>
        <v>6585.1106834149869</v>
      </c>
      <c r="K10" s="14">
        <f t="shared" si="7"/>
        <v>7024.1180623093187</v>
      </c>
      <c r="L10" s="13">
        <f t="shared" si="7"/>
        <v>7408.2495188418598</v>
      </c>
      <c r="M10" s="15">
        <f t="shared" si="7"/>
        <v>7902.1328200979842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2.25" customHeight="1" x14ac:dyDescent="0.25">
      <c r="A11" s="11">
        <v>9</v>
      </c>
      <c r="B11" s="12">
        <f t="shared" ref="B11:M11" si="8">B10*2</f>
        <v>8428.9416747711839</v>
      </c>
      <c r="C11" s="13">
        <f t="shared" si="8"/>
        <v>8889.8994226102332</v>
      </c>
      <c r="D11" s="14">
        <f t="shared" si="8"/>
        <v>9482.5593841175814</v>
      </c>
      <c r="E11" s="13">
        <f t="shared" si="8"/>
        <v>9877.6660251224803</v>
      </c>
      <c r="F11" s="14">
        <f t="shared" si="8"/>
        <v>10536.177093463979</v>
      </c>
      <c r="G11" s="14">
        <f t="shared" si="8"/>
        <v>11112.374278262791</v>
      </c>
      <c r="H11" s="13">
        <f t="shared" si="8"/>
        <v>11853.199230146976</v>
      </c>
      <c r="I11" s="14">
        <f t="shared" si="8"/>
        <v>12643.412512156776</v>
      </c>
      <c r="J11" s="13">
        <f t="shared" si="8"/>
        <v>13170.221366829974</v>
      </c>
      <c r="K11" s="14">
        <f t="shared" si="8"/>
        <v>14048.236124618637</v>
      </c>
      <c r="L11" s="13">
        <f t="shared" si="8"/>
        <v>14816.49903768372</v>
      </c>
      <c r="M11" s="15">
        <f t="shared" si="8"/>
        <v>15804.265640195968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2.25" customHeight="1" x14ac:dyDescent="0.25">
      <c r="A12" s="18">
        <v>10</v>
      </c>
      <c r="B12" s="19">
        <f t="shared" ref="B12:M12" si="9">B11*2</f>
        <v>16857.883349542368</v>
      </c>
      <c r="C12" s="20">
        <f t="shared" si="9"/>
        <v>17779.798845220466</v>
      </c>
      <c r="D12" s="21">
        <f t="shared" si="9"/>
        <v>18965.118768235163</v>
      </c>
      <c r="E12" s="20">
        <f t="shared" si="9"/>
        <v>19755.332050244961</v>
      </c>
      <c r="F12" s="21">
        <f t="shared" si="9"/>
        <v>21072.354186927958</v>
      </c>
      <c r="G12" s="21">
        <f t="shared" si="9"/>
        <v>22224.748556525581</v>
      </c>
      <c r="H12" s="20">
        <f t="shared" si="9"/>
        <v>23706.398460293953</v>
      </c>
      <c r="I12" s="21">
        <f t="shared" si="9"/>
        <v>25286.825024313552</v>
      </c>
      <c r="J12" s="20">
        <f t="shared" si="9"/>
        <v>26340.442733659947</v>
      </c>
      <c r="K12" s="21">
        <f t="shared" si="9"/>
        <v>28096.472249237275</v>
      </c>
      <c r="L12" s="20">
        <f t="shared" si="9"/>
        <v>29632.998075367439</v>
      </c>
      <c r="M12" s="22">
        <f t="shared" si="9"/>
        <v>31608.531280391937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59" t="s">
        <v>24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26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26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2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16.259520529319854</v>
      </c>
      <c r="C2" s="8">
        <f t="shared" si="0"/>
        <v>17.343488564607846</v>
      </c>
      <c r="D2" s="9">
        <f t="shared" si="0"/>
        <v>18.499721135581702</v>
      </c>
      <c r="E2" s="8">
        <f t="shared" si="0"/>
        <v>19.270542849564272</v>
      </c>
      <c r="F2" s="9">
        <f t="shared" si="0"/>
        <v>20.555245706201887</v>
      </c>
      <c r="G2" s="9">
        <f t="shared" si="0"/>
        <v>21.679360705759805</v>
      </c>
      <c r="H2" s="8">
        <f t="shared" si="0"/>
        <v>23.124651419477125</v>
      </c>
      <c r="I2" s="9">
        <f t="shared" si="0"/>
        <v>24.666294847442266</v>
      </c>
      <c r="J2" s="8">
        <f t="shared" si="0"/>
        <v>26.015232846911765</v>
      </c>
      <c r="K2" s="9">
        <f t="shared" si="0"/>
        <v>27.749581703372549</v>
      </c>
      <c r="L2" s="8">
        <f t="shared" si="0"/>
        <v>28.905814274346405</v>
      </c>
      <c r="M2" s="10">
        <f t="shared" si="0"/>
        <v>30.832868559302831</v>
      </c>
    </row>
    <row r="3" spans="1:13" ht="32.25" customHeight="1" x14ac:dyDescent="0.25">
      <c r="A3" s="11">
        <v>1</v>
      </c>
      <c r="B3" s="12">
        <f t="shared" ref="B3:M3" si="1">B4/2</f>
        <v>32.519041058639708</v>
      </c>
      <c r="C3" s="13">
        <f t="shared" si="1"/>
        <v>34.686977129215691</v>
      </c>
      <c r="D3" s="14">
        <f t="shared" si="1"/>
        <v>36.999442271163403</v>
      </c>
      <c r="E3" s="13">
        <f t="shared" si="1"/>
        <v>38.541085699128544</v>
      </c>
      <c r="F3" s="14">
        <f t="shared" si="1"/>
        <v>41.110491412403775</v>
      </c>
      <c r="G3" s="14">
        <f t="shared" si="1"/>
        <v>43.35872141151961</v>
      </c>
      <c r="H3" s="13">
        <f t="shared" si="1"/>
        <v>46.24930283895425</v>
      </c>
      <c r="I3" s="14">
        <f t="shared" si="1"/>
        <v>49.332589694884533</v>
      </c>
      <c r="J3" s="13">
        <f t="shared" si="1"/>
        <v>52.03046569382353</v>
      </c>
      <c r="K3" s="14">
        <f t="shared" si="1"/>
        <v>55.499163406745097</v>
      </c>
      <c r="L3" s="13">
        <f t="shared" si="1"/>
        <v>57.811628548692809</v>
      </c>
      <c r="M3" s="15">
        <f t="shared" si="1"/>
        <v>61.665737118605662</v>
      </c>
    </row>
    <row r="4" spans="1:13" ht="32.25" customHeight="1" x14ac:dyDescent="0.25">
      <c r="A4" s="11">
        <v>2</v>
      </c>
      <c r="B4" s="12">
        <f t="shared" ref="B4:M4" si="2">B5/2</f>
        <v>65.038082117279416</v>
      </c>
      <c r="C4" s="13">
        <f t="shared" si="2"/>
        <v>69.373954258431382</v>
      </c>
      <c r="D4" s="14">
        <f t="shared" si="2"/>
        <v>73.998884542326806</v>
      </c>
      <c r="E4" s="13">
        <f t="shared" si="2"/>
        <v>77.082171398257088</v>
      </c>
      <c r="F4" s="14">
        <f t="shared" si="2"/>
        <v>82.22098282480755</v>
      </c>
      <c r="G4" s="14">
        <f t="shared" si="2"/>
        <v>86.717442823039221</v>
      </c>
      <c r="H4" s="13">
        <f t="shared" si="2"/>
        <v>92.4986056779085</v>
      </c>
      <c r="I4" s="14">
        <f t="shared" si="2"/>
        <v>98.665179389769065</v>
      </c>
      <c r="J4" s="13">
        <f t="shared" si="2"/>
        <v>104.06093138764706</v>
      </c>
      <c r="K4" s="14">
        <f t="shared" si="2"/>
        <v>110.99832681349019</v>
      </c>
      <c r="L4" s="13">
        <f t="shared" si="2"/>
        <v>115.62325709738562</v>
      </c>
      <c r="M4" s="15">
        <f t="shared" si="2"/>
        <v>123.33147423721132</v>
      </c>
    </row>
    <row r="5" spans="1:13" ht="32.25" customHeight="1" x14ac:dyDescent="0.25">
      <c r="A5" s="11">
        <v>3</v>
      </c>
      <c r="B5" s="12">
        <f t="shared" ref="B5:M5" si="3">B6/2</f>
        <v>130.07616423455883</v>
      </c>
      <c r="C5" s="13">
        <f t="shared" si="3"/>
        <v>138.74790851686276</v>
      </c>
      <c r="D5" s="14">
        <f t="shared" si="3"/>
        <v>147.99776908465361</v>
      </c>
      <c r="E5" s="13">
        <f t="shared" si="3"/>
        <v>154.16434279651418</v>
      </c>
      <c r="F5" s="14">
        <f t="shared" si="3"/>
        <v>164.4419656496151</v>
      </c>
      <c r="G5" s="14">
        <f t="shared" si="3"/>
        <v>173.43488564607844</v>
      </c>
      <c r="H5" s="13">
        <f t="shared" si="3"/>
        <v>184.997211355817</v>
      </c>
      <c r="I5" s="14">
        <f t="shared" si="3"/>
        <v>197.33035877953813</v>
      </c>
      <c r="J5" s="13">
        <f t="shared" si="3"/>
        <v>208.12186277529412</v>
      </c>
      <c r="K5" s="14">
        <f t="shared" si="3"/>
        <v>221.99665362698039</v>
      </c>
      <c r="L5" s="13">
        <f t="shared" si="3"/>
        <v>231.24651419477124</v>
      </c>
      <c r="M5" s="15">
        <f t="shared" si="3"/>
        <v>246.66294847442265</v>
      </c>
    </row>
    <row r="6" spans="1:13" ht="32.25" customHeight="1" x14ac:dyDescent="0.25">
      <c r="A6" s="11">
        <v>4</v>
      </c>
      <c r="B6" s="12">
        <f>H6*(45/32)/2</f>
        <v>260.15232846911766</v>
      </c>
      <c r="C6" s="13">
        <f>H6*(3/2)/2</f>
        <v>277.49581703372553</v>
      </c>
      <c r="D6" s="14">
        <f>H6*(8/5)/2</f>
        <v>295.99553816930722</v>
      </c>
      <c r="E6" s="13">
        <f>H6*(5/3)/2</f>
        <v>308.32868559302835</v>
      </c>
      <c r="F6" s="14">
        <f>H6*(16/9)/2</f>
        <v>328.8839312992302</v>
      </c>
      <c r="G6" s="14">
        <f>H6*(15/8)/2</f>
        <v>346.86977129215688</v>
      </c>
      <c r="H6" s="29">
        <v>369.994422711634</v>
      </c>
      <c r="I6" s="14">
        <f>H6*(16/15)</f>
        <v>394.66071755907626</v>
      </c>
      <c r="J6" s="13">
        <f>H6*(9/8)</f>
        <v>416.24372555058824</v>
      </c>
      <c r="K6" s="14">
        <f>H6*(6/5)</f>
        <v>443.99330725396078</v>
      </c>
      <c r="L6" s="13">
        <f>H6*(5/4)</f>
        <v>462.49302838954247</v>
      </c>
      <c r="M6" s="15">
        <f>H6*(4/3)</f>
        <v>493.3258969488453</v>
      </c>
    </row>
    <row r="7" spans="1:13" ht="32.25" customHeight="1" x14ac:dyDescent="0.25">
      <c r="A7" s="11">
        <v>5</v>
      </c>
      <c r="B7" s="12">
        <f t="shared" ref="B7:M7" si="4">B6*2</f>
        <v>520.30465693823533</v>
      </c>
      <c r="C7" s="13">
        <f t="shared" si="4"/>
        <v>554.99163406745106</v>
      </c>
      <c r="D7" s="14">
        <f t="shared" si="4"/>
        <v>591.99107633861445</v>
      </c>
      <c r="E7" s="13">
        <f t="shared" si="4"/>
        <v>616.65737118605671</v>
      </c>
      <c r="F7" s="14">
        <f t="shared" si="4"/>
        <v>657.7678625984604</v>
      </c>
      <c r="G7" s="14">
        <f t="shared" si="4"/>
        <v>693.73954258431377</v>
      </c>
      <c r="H7" s="13">
        <f t="shared" si="4"/>
        <v>739.988845423268</v>
      </c>
      <c r="I7" s="14">
        <f t="shared" si="4"/>
        <v>789.32143511815252</v>
      </c>
      <c r="J7" s="13">
        <f t="shared" si="4"/>
        <v>832.48745110117648</v>
      </c>
      <c r="K7" s="14">
        <f t="shared" si="4"/>
        <v>887.98661450792156</v>
      </c>
      <c r="L7" s="13">
        <f t="shared" si="4"/>
        <v>924.98605677908495</v>
      </c>
      <c r="M7" s="15">
        <f t="shared" si="4"/>
        <v>986.6517938976906</v>
      </c>
    </row>
    <row r="8" spans="1:13" ht="32.25" customHeight="1" x14ac:dyDescent="0.25">
      <c r="A8" s="11">
        <v>6</v>
      </c>
      <c r="B8" s="12">
        <f t="shared" ref="B8:M8" si="5">B7*2</f>
        <v>1040.6093138764707</v>
      </c>
      <c r="C8" s="13">
        <f t="shared" si="5"/>
        <v>1109.9832681349021</v>
      </c>
      <c r="D8" s="14">
        <f t="shared" si="5"/>
        <v>1183.9821526772289</v>
      </c>
      <c r="E8" s="13">
        <f t="shared" si="5"/>
        <v>1233.3147423721134</v>
      </c>
      <c r="F8" s="14">
        <f t="shared" si="5"/>
        <v>1315.5357251969208</v>
      </c>
      <c r="G8" s="14">
        <f t="shared" si="5"/>
        <v>1387.4790851686275</v>
      </c>
      <c r="H8" s="13">
        <f t="shared" si="5"/>
        <v>1479.977690846536</v>
      </c>
      <c r="I8" s="14">
        <f t="shared" si="5"/>
        <v>1578.642870236305</v>
      </c>
      <c r="J8" s="13">
        <f t="shared" si="5"/>
        <v>1664.974902202353</v>
      </c>
      <c r="K8" s="14">
        <f t="shared" si="5"/>
        <v>1775.9732290158431</v>
      </c>
      <c r="L8" s="13">
        <f t="shared" si="5"/>
        <v>1849.9721135581699</v>
      </c>
      <c r="M8" s="15">
        <f t="shared" si="5"/>
        <v>1973.3035877953812</v>
      </c>
    </row>
    <row r="9" spans="1:13" ht="32.25" customHeight="1" x14ac:dyDescent="0.25">
      <c r="A9" s="11">
        <v>7</v>
      </c>
      <c r="B9" s="12">
        <f t="shared" ref="B9:M9" si="6">B8*2</f>
        <v>2081.2186277529413</v>
      </c>
      <c r="C9" s="13">
        <f t="shared" si="6"/>
        <v>2219.9665362698042</v>
      </c>
      <c r="D9" s="14">
        <f t="shared" si="6"/>
        <v>2367.9643053544578</v>
      </c>
      <c r="E9" s="13">
        <f t="shared" si="6"/>
        <v>2466.6294847442268</v>
      </c>
      <c r="F9" s="14">
        <f t="shared" si="6"/>
        <v>2631.0714503938416</v>
      </c>
      <c r="G9" s="14">
        <f t="shared" si="6"/>
        <v>2774.9581703372551</v>
      </c>
      <c r="H9" s="13">
        <f t="shared" si="6"/>
        <v>2959.955381693072</v>
      </c>
      <c r="I9" s="14">
        <f t="shared" si="6"/>
        <v>3157.2857404726101</v>
      </c>
      <c r="J9" s="13">
        <f t="shared" si="6"/>
        <v>3329.9498044047059</v>
      </c>
      <c r="K9" s="14">
        <f t="shared" si="6"/>
        <v>3551.9464580316862</v>
      </c>
      <c r="L9" s="13">
        <f t="shared" si="6"/>
        <v>3699.9442271163398</v>
      </c>
      <c r="M9" s="15">
        <f t="shared" si="6"/>
        <v>3946.6071755907624</v>
      </c>
    </row>
    <row r="10" spans="1:13" ht="32.25" customHeight="1" x14ac:dyDescent="0.25">
      <c r="A10" s="11">
        <v>8</v>
      </c>
      <c r="B10" s="12">
        <f t="shared" ref="B10:M10" si="7">B9*2</f>
        <v>4162.4372555058826</v>
      </c>
      <c r="C10" s="13">
        <f t="shared" si="7"/>
        <v>4439.9330725396085</v>
      </c>
      <c r="D10" s="14">
        <f t="shared" si="7"/>
        <v>4735.9286107089156</v>
      </c>
      <c r="E10" s="13">
        <f t="shared" si="7"/>
        <v>4933.2589694884537</v>
      </c>
      <c r="F10" s="14">
        <f t="shared" si="7"/>
        <v>5262.1429007876832</v>
      </c>
      <c r="G10" s="14">
        <f t="shared" si="7"/>
        <v>5549.9163406745101</v>
      </c>
      <c r="H10" s="13">
        <f t="shared" si="7"/>
        <v>5919.910763386144</v>
      </c>
      <c r="I10" s="14">
        <f t="shared" si="7"/>
        <v>6314.5714809452202</v>
      </c>
      <c r="J10" s="13">
        <f t="shared" si="7"/>
        <v>6659.8996088094118</v>
      </c>
      <c r="K10" s="14">
        <f t="shared" si="7"/>
        <v>7103.8929160633725</v>
      </c>
      <c r="L10" s="13">
        <f t="shared" si="7"/>
        <v>7399.8884542326796</v>
      </c>
      <c r="M10" s="15">
        <f t="shared" si="7"/>
        <v>7893.2143511815248</v>
      </c>
    </row>
    <row r="11" spans="1:13" ht="32.25" customHeight="1" x14ac:dyDescent="0.25">
      <c r="A11" s="11">
        <v>9</v>
      </c>
      <c r="B11" s="12">
        <f t="shared" ref="B11:M11" si="8">B10*2</f>
        <v>8324.8745110117652</v>
      </c>
      <c r="C11" s="13">
        <f t="shared" si="8"/>
        <v>8879.8661450792169</v>
      </c>
      <c r="D11" s="14">
        <f t="shared" si="8"/>
        <v>9471.8572214178312</v>
      </c>
      <c r="E11" s="13">
        <f t="shared" si="8"/>
        <v>9866.5179389769073</v>
      </c>
      <c r="F11" s="14">
        <f t="shared" si="8"/>
        <v>10524.285801575366</v>
      </c>
      <c r="G11" s="14">
        <f t="shared" si="8"/>
        <v>11099.83268134902</v>
      </c>
      <c r="H11" s="13">
        <f t="shared" si="8"/>
        <v>11839.821526772288</v>
      </c>
      <c r="I11" s="14">
        <f t="shared" si="8"/>
        <v>12629.14296189044</v>
      </c>
      <c r="J11" s="13">
        <f t="shared" si="8"/>
        <v>13319.799217618824</v>
      </c>
      <c r="K11" s="14">
        <f t="shared" si="8"/>
        <v>14207.785832126745</v>
      </c>
      <c r="L11" s="13">
        <f t="shared" si="8"/>
        <v>14799.776908465359</v>
      </c>
      <c r="M11" s="15">
        <f t="shared" si="8"/>
        <v>15786.42870236305</v>
      </c>
    </row>
    <row r="12" spans="1:13" ht="32.25" customHeight="1" x14ac:dyDescent="0.25">
      <c r="A12" s="18">
        <v>10</v>
      </c>
      <c r="B12" s="19">
        <f t="shared" ref="B12:M12" si="9">B11*2</f>
        <v>16649.74902202353</v>
      </c>
      <c r="C12" s="20">
        <f t="shared" si="9"/>
        <v>17759.732290158434</v>
      </c>
      <c r="D12" s="21">
        <f t="shared" si="9"/>
        <v>18943.714442835662</v>
      </c>
      <c r="E12" s="20">
        <f t="shared" si="9"/>
        <v>19733.035877953815</v>
      </c>
      <c r="F12" s="21">
        <f t="shared" si="9"/>
        <v>21048.571603150733</v>
      </c>
      <c r="G12" s="21">
        <f t="shared" si="9"/>
        <v>22199.665362698041</v>
      </c>
      <c r="H12" s="20">
        <f t="shared" si="9"/>
        <v>23679.643053544576</v>
      </c>
      <c r="I12" s="21">
        <f t="shared" si="9"/>
        <v>25258.285923780881</v>
      </c>
      <c r="J12" s="20">
        <f t="shared" si="9"/>
        <v>26639.598435237647</v>
      </c>
      <c r="K12" s="21">
        <f t="shared" si="9"/>
        <v>28415.57166425349</v>
      </c>
      <c r="L12" s="20">
        <f t="shared" si="9"/>
        <v>29599.553816930718</v>
      </c>
      <c r="M12" s="22">
        <f t="shared" si="9"/>
        <v>31572.857404726099</v>
      </c>
    </row>
    <row r="13" spans="1:13" x14ac:dyDescent="0.25">
      <c r="A13" s="59" t="s">
        <v>25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30"/>
      <c r="H15" s="30"/>
      <c r="I15" s="30"/>
      <c r="J15" s="30"/>
      <c r="K15" s="30"/>
      <c r="L15" s="30"/>
      <c r="M15" s="30"/>
    </row>
    <row r="16" spans="1:13" x14ac:dyDescent="0.25">
      <c r="A16" s="23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x14ac:dyDescent="0.25">
      <c r="A20" s="23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 x14ac:dyDescent="0.25">
      <c r="A21" s="23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x14ac:dyDescent="0.25">
      <c r="A22" s="23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 x14ac:dyDescent="0.25">
      <c r="A23" s="23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 x14ac:dyDescent="0.25">
      <c r="A24" s="23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x14ac:dyDescent="0.25">
      <c r="A25" s="23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x14ac:dyDescent="0.25">
      <c r="A26" s="23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3" x14ac:dyDescent="0.25">
      <c r="A27" s="23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3" x14ac:dyDescent="0.25">
      <c r="A28" s="23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x14ac:dyDescent="0.25">
      <c r="A29" s="23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 x14ac:dyDescent="0.25">
      <c r="A30" s="23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3" x14ac:dyDescent="0.25">
      <c r="A31" s="23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 x14ac:dyDescent="0.25">
      <c r="A32" s="23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1:13" x14ac:dyDescent="0.25">
      <c r="A33" s="23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 x14ac:dyDescent="0.25">
      <c r="A34" s="23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3" x14ac:dyDescent="0.25">
      <c r="A35" s="23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1:13" x14ac:dyDescent="0.25">
      <c r="A36" s="23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x14ac:dyDescent="0.25">
      <c r="A37" s="23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x14ac:dyDescent="0.25">
      <c r="A38" s="23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 spans="1:13" x14ac:dyDescent="0.25">
      <c r="A39" s="23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x14ac:dyDescent="0.25">
      <c r="A40" s="23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</row>
    <row r="41" spans="1:13" x14ac:dyDescent="0.25">
      <c r="A41" s="23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 spans="1:13" x14ac:dyDescent="0.25">
      <c r="A42" s="23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1:13" x14ac:dyDescent="0.25">
      <c r="A43" s="23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1:13" x14ac:dyDescent="0.25">
      <c r="A44" s="23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 x14ac:dyDescent="0.25">
      <c r="A45" s="23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6" spans="1:13" x14ac:dyDescent="0.25">
      <c r="A46" s="23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1:13" x14ac:dyDescent="0.25">
      <c r="A47" s="23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1:13" x14ac:dyDescent="0.25">
      <c r="A48" s="23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1:13" x14ac:dyDescent="0.25">
      <c r="A49" s="23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13" x14ac:dyDescent="0.25">
      <c r="A50" s="23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1:13" x14ac:dyDescent="0.25">
      <c r="A51" s="23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1:13" x14ac:dyDescent="0.25">
      <c r="A52" s="23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 spans="1:13" x14ac:dyDescent="0.25">
      <c r="A53" s="2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x14ac:dyDescent="0.25">
      <c r="A54" s="2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13" x14ac:dyDescent="0.25">
      <c r="A55" s="2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spans="1:13" x14ac:dyDescent="0.25">
      <c r="A56" s="2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spans="1:13" x14ac:dyDescent="0.25">
      <c r="A57" s="2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 x14ac:dyDescent="0.25">
      <c r="A58" s="2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</row>
    <row r="59" spans="1:13" x14ac:dyDescent="0.25">
      <c r="A59" s="2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1:13" x14ac:dyDescent="0.25">
      <c r="A60" s="2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1:13" x14ac:dyDescent="0.25">
      <c r="A61" s="2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 spans="1:13" x14ac:dyDescent="0.25">
      <c r="A62" s="2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3" x14ac:dyDescent="0.25">
      <c r="A63" s="2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x14ac:dyDescent="0.25">
      <c r="A64" s="2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x14ac:dyDescent="0.25">
      <c r="A65" s="2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x14ac:dyDescent="0.25">
      <c r="A66" s="2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1:13" x14ac:dyDescent="0.25">
      <c r="A67" s="2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x14ac:dyDescent="0.25">
      <c r="A68" s="2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x14ac:dyDescent="0.25">
      <c r="A69" s="2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13" x14ac:dyDescent="0.25">
      <c r="A70" s="2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 spans="1:13" x14ac:dyDescent="0.25">
      <c r="A71" s="2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13" x14ac:dyDescent="0.25">
      <c r="A72" s="2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1:13" x14ac:dyDescent="0.25">
      <c r="A73" s="2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1:13" x14ac:dyDescent="0.25">
      <c r="A74" s="23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1:13" x14ac:dyDescent="0.25">
      <c r="A75" s="2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1:13" x14ac:dyDescent="0.25">
      <c r="A76" s="2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1:13" x14ac:dyDescent="0.25">
      <c r="A77" s="23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 spans="1:13" x14ac:dyDescent="0.25">
      <c r="A78" s="2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1:13" x14ac:dyDescent="0.25">
      <c r="A79" s="2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 spans="1:13" x14ac:dyDescent="0.25">
      <c r="A80" s="23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1:13" x14ac:dyDescent="0.25">
      <c r="A81" s="23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2" spans="1:13" x14ac:dyDescent="0.25">
      <c r="A82" s="23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</row>
    <row r="83" spans="1:13" x14ac:dyDescent="0.25">
      <c r="A83" s="23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</row>
    <row r="84" spans="1:13" x14ac:dyDescent="0.25">
      <c r="A84" s="2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</row>
    <row r="85" spans="1:13" x14ac:dyDescent="0.25">
      <c r="A85" s="23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</row>
    <row r="86" spans="1:13" x14ac:dyDescent="0.25">
      <c r="A86" s="23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7" spans="1:13" x14ac:dyDescent="0.25">
      <c r="A87" s="23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x14ac:dyDescent="0.25">
      <c r="A88" s="23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</row>
    <row r="89" spans="1:13" x14ac:dyDescent="0.25">
      <c r="A89" s="2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 spans="1:13" x14ac:dyDescent="0.25">
      <c r="A90" s="23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 spans="1:13" x14ac:dyDescent="0.25">
      <c r="A91" s="23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 spans="1:13" x14ac:dyDescent="0.25">
      <c r="A92" s="23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</row>
    <row r="93" spans="1:13" x14ac:dyDescent="0.25">
      <c r="A93" s="23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 spans="1:13" x14ac:dyDescent="0.25">
      <c r="A94" s="2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1:13" x14ac:dyDescent="0.25">
      <c r="A95" s="2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</row>
    <row r="96" spans="1:13" x14ac:dyDescent="0.25">
      <c r="A96" s="2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x14ac:dyDescent="0.25">
      <c r="A97" s="2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</row>
    <row r="98" spans="1:13" x14ac:dyDescent="0.25">
      <c r="A98" s="2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</row>
    <row r="99" spans="1:13" x14ac:dyDescent="0.25">
      <c r="A99" s="2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</row>
    <row r="100" spans="1:13" x14ac:dyDescent="0.25">
      <c r="A100" s="2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</row>
    <row r="101" spans="1:13" x14ac:dyDescent="0.25">
      <c r="A101" s="2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</row>
    <row r="102" spans="1:13" x14ac:dyDescent="0.25">
      <c r="A102" s="2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1:13" x14ac:dyDescent="0.25">
      <c r="A103" s="2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</row>
    <row r="104" spans="1:13" x14ac:dyDescent="0.25">
      <c r="A104" s="2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</row>
    <row r="105" spans="1:13" x14ac:dyDescent="0.25">
      <c r="A105" s="2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1:13" x14ac:dyDescent="0.25">
      <c r="A106" s="23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x14ac:dyDescent="0.25">
      <c r="A107" s="23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</row>
    <row r="108" spans="1:13" x14ac:dyDescent="0.25">
      <c r="A108" s="23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x14ac:dyDescent="0.25">
      <c r="A109" s="2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x14ac:dyDescent="0.25">
      <c r="A110" s="23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</row>
    <row r="111" spans="1:13" x14ac:dyDescent="0.25">
      <c r="A111" s="23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2" spans="1:13" x14ac:dyDescent="0.25">
      <c r="A112" s="23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1:13" x14ac:dyDescent="0.25">
      <c r="A113" s="23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x14ac:dyDescent="0.25">
      <c r="A114" s="23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1:13" x14ac:dyDescent="0.25">
      <c r="A115" s="23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</row>
    <row r="116" spans="1:13" x14ac:dyDescent="0.25">
      <c r="A116" s="23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</row>
    <row r="117" spans="1:13" x14ac:dyDescent="0.25">
      <c r="A117" s="23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1:13" x14ac:dyDescent="0.25">
      <c r="A118" s="23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x14ac:dyDescent="0.25">
      <c r="A119" s="23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</row>
    <row r="120" spans="1:13" x14ac:dyDescent="0.25">
      <c r="A120" s="23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</row>
    <row r="121" spans="1:13" x14ac:dyDescent="0.25">
      <c r="A121" s="23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x14ac:dyDescent="0.25">
      <c r="A122" s="23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1:13" x14ac:dyDescent="0.25">
      <c r="A123" s="23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x14ac:dyDescent="0.25">
      <c r="A124" s="23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x14ac:dyDescent="0.25">
      <c r="A125" s="23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1:13" x14ac:dyDescent="0.25">
      <c r="A126" s="23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 spans="1:13" x14ac:dyDescent="0.25">
      <c r="A127" s="23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x14ac:dyDescent="0.25">
      <c r="A128" s="2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1:13" x14ac:dyDescent="0.25">
      <c r="A129" s="23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1:13" x14ac:dyDescent="0.25">
      <c r="A130" s="23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x14ac:dyDescent="0.25">
      <c r="A131" s="23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1:13" x14ac:dyDescent="0.25">
      <c r="A132" s="2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</row>
    <row r="133" spans="1:13" x14ac:dyDescent="0.25">
      <c r="A133" s="23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</row>
    <row r="134" spans="1:13" x14ac:dyDescent="0.25">
      <c r="A134" s="23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 spans="1:13" x14ac:dyDescent="0.25">
      <c r="A135" s="23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</row>
    <row r="136" spans="1:13" x14ac:dyDescent="0.25">
      <c r="A136" s="23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</row>
    <row r="137" spans="1:13" x14ac:dyDescent="0.25">
      <c r="A137" s="23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</row>
    <row r="138" spans="1:13" x14ac:dyDescent="0.25">
      <c r="A138" s="23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1:13" x14ac:dyDescent="0.25">
      <c r="A139" s="23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 spans="1:13" x14ac:dyDescent="0.25">
      <c r="A140" s="23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 spans="1:13" x14ac:dyDescent="0.25">
      <c r="A141" s="23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1:13" x14ac:dyDescent="0.25">
      <c r="A142" s="23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3" x14ac:dyDescent="0.25">
      <c r="A143" s="23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 spans="1:13" x14ac:dyDescent="0.25">
      <c r="A144" s="23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 spans="1:13" x14ac:dyDescent="0.25">
      <c r="A145" s="23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1:13" x14ac:dyDescent="0.25">
      <c r="A146" s="23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1:13" x14ac:dyDescent="0.25">
      <c r="A147" s="23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 spans="1:13" x14ac:dyDescent="0.25">
      <c r="A148" s="23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</row>
    <row r="149" spans="1:13" x14ac:dyDescent="0.25">
      <c r="A149" s="23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  <row r="150" spans="1:13" x14ac:dyDescent="0.25">
      <c r="A150" s="23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</row>
    <row r="151" spans="1:13" x14ac:dyDescent="0.25">
      <c r="A151" s="23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 spans="1:13" x14ac:dyDescent="0.25">
      <c r="A152" s="23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</row>
    <row r="153" spans="1:13" x14ac:dyDescent="0.25">
      <c r="A153" s="23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 spans="1:13" x14ac:dyDescent="0.25">
      <c r="A154" s="2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 spans="1:13" x14ac:dyDescent="0.25">
      <c r="A155" s="23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  <row r="156" spans="1:13" x14ac:dyDescent="0.25">
      <c r="A156" s="23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</row>
    <row r="157" spans="1:13" x14ac:dyDescent="0.25">
      <c r="A157" s="23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</row>
    <row r="158" spans="1:13" x14ac:dyDescent="0.25">
      <c r="A158" s="23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</row>
    <row r="159" spans="1:13" x14ac:dyDescent="0.25">
      <c r="A159" s="2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 spans="1:13" x14ac:dyDescent="0.25">
      <c r="A160" s="23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</row>
    <row r="161" spans="1:13" x14ac:dyDescent="0.25">
      <c r="A161" s="23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1:13" x14ac:dyDescent="0.25">
      <c r="A162" s="23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</row>
    <row r="163" spans="1:13" x14ac:dyDescent="0.25">
      <c r="A163" s="23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</row>
    <row r="164" spans="1:13" x14ac:dyDescent="0.25">
      <c r="A164" s="23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</row>
    <row r="165" spans="1:13" x14ac:dyDescent="0.25">
      <c r="A165" s="23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</row>
    <row r="166" spans="1:13" x14ac:dyDescent="0.25">
      <c r="A166" s="23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</row>
    <row r="167" spans="1:13" x14ac:dyDescent="0.25">
      <c r="A167" s="23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</row>
    <row r="168" spans="1:13" x14ac:dyDescent="0.25">
      <c r="A168" s="23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</row>
    <row r="169" spans="1:13" x14ac:dyDescent="0.25">
      <c r="A169" s="23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</row>
    <row r="170" spans="1:13" x14ac:dyDescent="0.25">
      <c r="A170" s="23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</row>
    <row r="171" spans="1:13" x14ac:dyDescent="0.25">
      <c r="A171" s="23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 spans="1:13" x14ac:dyDescent="0.25">
      <c r="A172" s="23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</row>
    <row r="173" spans="1:13" x14ac:dyDescent="0.25">
      <c r="A173" s="2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</row>
    <row r="174" spans="1:13" x14ac:dyDescent="0.25">
      <c r="A174" s="23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</row>
    <row r="175" spans="1:13" x14ac:dyDescent="0.25">
      <c r="A175" s="23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</row>
    <row r="176" spans="1:13" x14ac:dyDescent="0.25">
      <c r="A176" s="23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</row>
    <row r="177" spans="1:13" x14ac:dyDescent="0.25">
      <c r="A177" s="23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</row>
    <row r="178" spans="1:13" x14ac:dyDescent="0.25">
      <c r="A178" s="23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</row>
    <row r="179" spans="1:13" x14ac:dyDescent="0.25">
      <c r="A179" s="23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</row>
    <row r="180" spans="1:13" x14ac:dyDescent="0.25">
      <c r="A180" s="23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</row>
    <row r="181" spans="1:13" x14ac:dyDescent="0.25">
      <c r="A181" s="23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 spans="1:13" x14ac:dyDescent="0.25">
      <c r="A182" s="23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</row>
    <row r="183" spans="1:13" x14ac:dyDescent="0.25">
      <c r="A183" s="23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</row>
    <row r="184" spans="1:13" x14ac:dyDescent="0.25">
      <c r="A184" s="23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</row>
    <row r="185" spans="1:13" x14ac:dyDescent="0.25">
      <c r="A185" s="23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</row>
    <row r="186" spans="1:13" x14ac:dyDescent="0.25">
      <c r="A186" s="2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</row>
    <row r="187" spans="1:13" x14ac:dyDescent="0.25">
      <c r="A187" s="23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</row>
    <row r="188" spans="1:13" x14ac:dyDescent="0.25">
      <c r="A188" s="2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</row>
    <row r="189" spans="1:13" x14ac:dyDescent="0.25">
      <c r="A189" s="23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</row>
    <row r="190" spans="1:13" x14ac:dyDescent="0.25">
      <c r="A190" s="23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</row>
    <row r="191" spans="1:13" x14ac:dyDescent="0.25">
      <c r="A191" s="23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1:13" x14ac:dyDescent="0.25">
      <c r="A192" s="23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</row>
    <row r="193" spans="1:13" x14ac:dyDescent="0.25">
      <c r="A193" s="2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</row>
    <row r="194" spans="1:13" x14ac:dyDescent="0.25">
      <c r="A194" s="23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</row>
    <row r="195" spans="1:13" x14ac:dyDescent="0.25">
      <c r="A195" s="23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</row>
    <row r="196" spans="1:13" x14ac:dyDescent="0.25">
      <c r="A196" s="23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</row>
    <row r="197" spans="1:13" x14ac:dyDescent="0.25">
      <c r="A197" s="23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</row>
    <row r="198" spans="1:13" x14ac:dyDescent="0.25">
      <c r="A198" s="23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</row>
    <row r="199" spans="1:13" x14ac:dyDescent="0.25">
      <c r="A199" s="23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</row>
    <row r="200" spans="1:13" x14ac:dyDescent="0.25">
      <c r="A200" s="23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</row>
    <row r="201" spans="1:13" x14ac:dyDescent="0.25">
      <c r="A201" s="23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1:13" x14ac:dyDescent="0.25">
      <c r="A202" s="23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</row>
    <row r="203" spans="1:13" x14ac:dyDescent="0.25">
      <c r="A203" s="23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</row>
    <row r="204" spans="1:13" x14ac:dyDescent="0.25">
      <c r="A204" s="23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</row>
    <row r="205" spans="1:13" x14ac:dyDescent="0.25">
      <c r="A205" s="23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</row>
    <row r="206" spans="1:13" x14ac:dyDescent="0.25">
      <c r="A206" s="23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</row>
    <row r="207" spans="1:13" x14ac:dyDescent="0.25">
      <c r="A207" s="23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</row>
    <row r="208" spans="1:13" x14ac:dyDescent="0.25">
      <c r="A208" s="23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</row>
    <row r="209" spans="1:13" x14ac:dyDescent="0.25">
      <c r="A209" s="23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</row>
    <row r="210" spans="1:13" x14ac:dyDescent="0.25">
      <c r="A210" s="23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</row>
    <row r="211" spans="1:13" x14ac:dyDescent="0.25">
      <c r="A211" s="23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1:13" x14ac:dyDescent="0.25">
      <c r="A212" s="2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</row>
    <row r="213" spans="1:13" x14ac:dyDescent="0.25">
      <c r="A213" s="23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</row>
    <row r="214" spans="1:13" x14ac:dyDescent="0.25">
      <c r="A214" s="23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</row>
    <row r="215" spans="1:13" x14ac:dyDescent="0.25">
      <c r="A215" s="23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</row>
    <row r="216" spans="1:13" x14ac:dyDescent="0.25">
      <c r="A216" s="23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</row>
    <row r="217" spans="1:13" x14ac:dyDescent="0.25">
      <c r="A217" s="23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</row>
    <row r="218" spans="1:13" x14ac:dyDescent="0.25">
      <c r="A218" s="23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</row>
    <row r="219" spans="1:13" x14ac:dyDescent="0.25">
      <c r="A219" s="23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</row>
    <row r="220" spans="1:13" x14ac:dyDescent="0.25">
      <c r="A220" s="23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</row>
    <row r="221" spans="1:13" x14ac:dyDescent="0.25">
      <c r="A221" s="23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1:13" x14ac:dyDescent="0.25">
      <c r="A222" s="23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1:13" x14ac:dyDescent="0.25">
      <c r="A223" s="23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1:13" x14ac:dyDescent="0.25">
      <c r="A224" s="23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1:13" x14ac:dyDescent="0.25">
      <c r="A225" s="2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1:13" x14ac:dyDescent="0.25">
      <c r="A226" s="23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1:13" x14ac:dyDescent="0.25">
      <c r="A227" s="2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1:13" x14ac:dyDescent="0.25">
      <c r="A228" s="23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1:13" x14ac:dyDescent="0.25">
      <c r="A229" s="23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1:13" x14ac:dyDescent="0.25">
      <c r="A230" s="23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1:13" x14ac:dyDescent="0.25">
      <c r="A231" s="23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1:13" x14ac:dyDescent="0.25">
      <c r="A232" s="23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1:13" x14ac:dyDescent="0.25">
      <c r="A233" s="23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1:13" x14ac:dyDescent="0.25">
      <c r="A234" s="23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1:13" x14ac:dyDescent="0.25">
      <c r="A235" s="23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 x14ac:dyDescent="0.25">
      <c r="A236" s="23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1:13" x14ac:dyDescent="0.25">
      <c r="A237" s="23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1:13" x14ac:dyDescent="0.25">
      <c r="A238" s="23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1:13" x14ac:dyDescent="0.25">
      <c r="A239" s="23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1:13" x14ac:dyDescent="0.25">
      <c r="A240" s="23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1:13" x14ac:dyDescent="0.25">
      <c r="A241" s="23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1:13" x14ac:dyDescent="0.25">
      <c r="A242" s="23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1:13" x14ac:dyDescent="0.25">
      <c r="A243" s="23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1:13" x14ac:dyDescent="0.25">
      <c r="A244" s="23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1:13" x14ac:dyDescent="0.25">
      <c r="A245" s="23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1:13" x14ac:dyDescent="0.25">
      <c r="A246" s="23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1:13" x14ac:dyDescent="0.25">
      <c r="A247" s="23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1:13" x14ac:dyDescent="0.25">
      <c r="A248" s="23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 spans="1:13" x14ac:dyDescent="0.25">
      <c r="A249" s="23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 spans="1:13" x14ac:dyDescent="0.25">
      <c r="A250" s="23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 spans="1:13" x14ac:dyDescent="0.25">
      <c r="A251" s="23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 spans="1:13" x14ac:dyDescent="0.25">
      <c r="A252" s="23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 spans="1:13" x14ac:dyDescent="0.25">
      <c r="A253" s="23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 spans="1:13" x14ac:dyDescent="0.25">
      <c r="A254" s="23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 spans="1:13" x14ac:dyDescent="0.25">
      <c r="A255" s="23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 spans="1:13" x14ac:dyDescent="0.25">
      <c r="A256" s="23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 spans="1:13" x14ac:dyDescent="0.25">
      <c r="A257" s="23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 spans="1:13" x14ac:dyDescent="0.25">
      <c r="A258" s="23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 spans="1:13" x14ac:dyDescent="0.25">
      <c r="A259" s="23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 spans="1:13" x14ac:dyDescent="0.25">
      <c r="A260" s="23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 spans="1:13" x14ac:dyDescent="0.25">
      <c r="A261" s="23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 spans="1:13" x14ac:dyDescent="0.25">
      <c r="A262" s="23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 spans="1:13" x14ac:dyDescent="0.25">
      <c r="A263" s="23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 spans="1:13" x14ac:dyDescent="0.25">
      <c r="A264" s="23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 spans="1:13" x14ac:dyDescent="0.25">
      <c r="A265" s="23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 spans="1:13" x14ac:dyDescent="0.25">
      <c r="A266" s="23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 spans="1:13" x14ac:dyDescent="0.25">
      <c r="A267" s="23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 spans="1:13" x14ac:dyDescent="0.25">
      <c r="A268" s="23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 spans="1:13" x14ac:dyDescent="0.25">
      <c r="A269" s="23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1:13" x14ac:dyDescent="0.25">
      <c r="A270" s="23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1:13" x14ac:dyDescent="0.25">
      <c r="A271" s="23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1:13" x14ac:dyDescent="0.25">
      <c r="A272" s="2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1:13" x14ac:dyDescent="0.25">
      <c r="A273" s="23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1:13" x14ac:dyDescent="0.25">
      <c r="A274" s="23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1:13" x14ac:dyDescent="0.25">
      <c r="A275" s="23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1:13" x14ac:dyDescent="0.25">
      <c r="A276" s="23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1:13" x14ac:dyDescent="0.25">
      <c r="A277" s="23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1:13" x14ac:dyDescent="0.25">
      <c r="A278" s="23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1:13" x14ac:dyDescent="0.25">
      <c r="A279" s="23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1:13" x14ac:dyDescent="0.25">
      <c r="A280" s="23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1:13" x14ac:dyDescent="0.25">
      <c r="A281" s="23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1:13" x14ac:dyDescent="0.25">
      <c r="A282" s="23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1:13" x14ac:dyDescent="0.25">
      <c r="A283" s="23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1:13" x14ac:dyDescent="0.25">
      <c r="A284" s="23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1:13" x14ac:dyDescent="0.25">
      <c r="A285" s="23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1:13" x14ac:dyDescent="0.25">
      <c r="A286" s="2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1:13" x14ac:dyDescent="0.25">
      <c r="A287" s="23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1:13" x14ac:dyDescent="0.25">
      <c r="A288" s="23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1:13" x14ac:dyDescent="0.25">
      <c r="A289" s="23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1:13" x14ac:dyDescent="0.25">
      <c r="A290" s="23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1:13" x14ac:dyDescent="0.25">
      <c r="A291" s="23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1:13" x14ac:dyDescent="0.25">
      <c r="A292" s="23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1:13" x14ac:dyDescent="0.25">
      <c r="A293" s="23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1:13" x14ac:dyDescent="0.25">
      <c r="A294" s="23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1:13" x14ac:dyDescent="0.25">
      <c r="A295" s="23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1:13" x14ac:dyDescent="0.25">
      <c r="A296" s="23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1:13" x14ac:dyDescent="0.25">
      <c r="A297" s="23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 spans="1:13" x14ac:dyDescent="0.25">
      <c r="A298" s="23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 spans="1:13" x14ac:dyDescent="0.25">
      <c r="A299" s="2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 spans="1:13" x14ac:dyDescent="0.25">
      <c r="A300" s="23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 spans="1:13" x14ac:dyDescent="0.25">
      <c r="A301" s="23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 spans="1:13" x14ac:dyDescent="0.25">
      <c r="A302" s="23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 spans="1:13" x14ac:dyDescent="0.25">
      <c r="A303" s="23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 spans="1:13" x14ac:dyDescent="0.25">
      <c r="A304" s="23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 spans="1:13" x14ac:dyDescent="0.25">
      <c r="A305" s="23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 spans="1:13" x14ac:dyDescent="0.25">
      <c r="A306" s="23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 spans="1:13" x14ac:dyDescent="0.25">
      <c r="A307" s="23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 spans="1:13" x14ac:dyDescent="0.25">
      <c r="A308" s="23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 spans="1:13" x14ac:dyDescent="0.25">
      <c r="A309" s="23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 spans="1:13" x14ac:dyDescent="0.25">
      <c r="A310" s="23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 spans="1:13" x14ac:dyDescent="0.25">
      <c r="A311" s="23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 spans="1:13" x14ac:dyDescent="0.25">
      <c r="A312" s="23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 spans="1:13" x14ac:dyDescent="0.25">
      <c r="A313" s="23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 spans="1:13" x14ac:dyDescent="0.25">
      <c r="A314" s="23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 spans="1:13" x14ac:dyDescent="0.25">
      <c r="A315" s="23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 spans="1:13" x14ac:dyDescent="0.25">
      <c r="A316" s="23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 spans="1:13" x14ac:dyDescent="0.25">
      <c r="A317" s="23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 spans="1:13" x14ac:dyDescent="0.25">
      <c r="A318" s="23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 spans="1:13" x14ac:dyDescent="0.25">
      <c r="A319" s="23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 spans="1:13" x14ac:dyDescent="0.25">
      <c r="A320" s="23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pans="1:13" x14ac:dyDescent="0.25">
      <c r="A321" s="23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pans="1:13" x14ac:dyDescent="0.25">
      <c r="A322" s="23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pans="1:13" x14ac:dyDescent="0.25">
      <c r="A323" s="23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spans="1:13" x14ac:dyDescent="0.25">
      <c r="A324" s="23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 spans="1:13" x14ac:dyDescent="0.25">
      <c r="A325" s="23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 spans="1:13" x14ac:dyDescent="0.25">
      <c r="A326" s="2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 spans="1:13" x14ac:dyDescent="0.25">
      <c r="A327" s="23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 spans="1:13" x14ac:dyDescent="0.25">
      <c r="A328" s="23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 spans="1:13" x14ac:dyDescent="0.25">
      <c r="A329" s="23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 spans="1:13" x14ac:dyDescent="0.25">
      <c r="A330" s="23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 spans="1:13" x14ac:dyDescent="0.25">
      <c r="A331" s="23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 spans="1:13" x14ac:dyDescent="0.25">
      <c r="A332" s="23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 spans="1:13" x14ac:dyDescent="0.25">
      <c r="A333" s="23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 spans="1:13" x14ac:dyDescent="0.25">
      <c r="A334" s="23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 spans="1:13" x14ac:dyDescent="0.25">
      <c r="A335" s="23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 spans="1:13" x14ac:dyDescent="0.25">
      <c r="A336" s="23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 spans="1:13" x14ac:dyDescent="0.25">
      <c r="A337" s="23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 spans="1:13" x14ac:dyDescent="0.25">
      <c r="A338" s="23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 spans="1:13" x14ac:dyDescent="0.25">
      <c r="A339" s="23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1:13" x14ac:dyDescent="0.25">
      <c r="A340" s="23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1:13" x14ac:dyDescent="0.25">
      <c r="A341" s="23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 spans="1:13" x14ac:dyDescent="0.25">
      <c r="A342" s="23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 spans="1:13" x14ac:dyDescent="0.25">
      <c r="A343" s="23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 spans="1:13" x14ac:dyDescent="0.25">
      <c r="A344" s="23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 spans="1:13" x14ac:dyDescent="0.25">
      <c r="A345" s="23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 spans="1:13" x14ac:dyDescent="0.25">
      <c r="A346" s="23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 spans="1:13" x14ac:dyDescent="0.25">
      <c r="A347" s="23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 spans="1:13" x14ac:dyDescent="0.25">
      <c r="A348" s="23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 spans="1:13" x14ac:dyDescent="0.25">
      <c r="A349" s="23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 spans="1:13" x14ac:dyDescent="0.25">
      <c r="A350" s="23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 spans="1:13" x14ac:dyDescent="0.25">
      <c r="A351" s="23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 spans="1:13" x14ac:dyDescent="0.25">
      <c r="A352" s="23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 spans="1:13" x14ac:dyDescent="0.25">
      <c r="A353" s="23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 spans="1:13" x14ac:dyDescent="0.25">
      <c r="A354" s="23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 spans="1:13" x14ac:dyDescent="0.25">
      <c r="A355" s="23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pans="1:13" x14ac:dyDescent="0.25">
      <c r="A356" s="23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spans="1:13" x14ac:dyDescent="0.25">
      <c r="A357" s="23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 spans="1:13" x14ac:dyDescent="0.25">
      <c r="A358" s="23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 spans="1:13" x14ac:dyDescent="0.25">
      <c r="A359" s="23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 spans="1:13" x14ac:dyDescent="0.25">
      <c r="A360" s="23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 spans="1:13" x14ac:dyDescent="0.25">
      <c r="A361" s="23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 spans="1:13" x14ac:dyDescent="0.25">
      <c r="A362" s="23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 spans="1:13" x14ac:dyDescent="0.25">
      <c r="A363" s="23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 spans="1:13" x14ac:dyDescent="0.25">
      <c r="A364" s="23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 spans="1:13" x14ac:dyDescent="0.25">
      <c r="A365" s="23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 spans="1:13" x14ac:dyDescent="0.25">
      <c r="A366" s="23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 spans="1:13" x14ac:dyDescent="0.25">
      <c r="A367" s="23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 spans="1:13" x14ac:dyDescent="0.25">
      <c r="A368" s="23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 spans="1:13" x14ac:dyDescent="0.25">
      <c r="A369" s="23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 spans="1:13" x14ac:dyDescent="0.25">
      <c r="A370" s="23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 spans="1:13" x14ac:dyDescent="0.25">
      <c r="A371" s="23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 spans="1:13" x14ac:dyDescent="0.25">
      <c r="A372" s="23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 spans="1:13" x14ac:dyDescent="0.25">
      <c r="A373" s="23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 spans="1:13" x14ac:dyDescent="0.25">
      <c r="A374" s="23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 spans="1:13" x14ac:dyDescent="0.25">
      <c r="A375" s="23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 spans="1:13" x14ac:dyDescent="0.25">
      <c r="A376" s="23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 spans="1:13" x14ac:dyDescent="0.25">
      <c r="A377" s="23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 spans="1:13" x14ac:dyDescent="0.25">
      <c r="A378" s="23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 spans="1:13" x14ac:dyDescent="0.25">
      <c r="A379" s="23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 spans="1:13" x14ac:dyDescent="0.25">
      <c r="A380" s="23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 spans="1:13" x14ac:dyDescent="0.25">
      <c r="A381" s="23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 spans="1:13" x14ac:dyDescent="0.25">
      <c r="A382" s="23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 spans="1:13" x14ac:dyDescent="0.25">
      <c r="A383" s="23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 spans="1:13" x14ac:dyDescent="0.25">
      <c r="A384" s="23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 spans="1:13" x14ac:dyDescent="0.25">
      <c r="A385" s="23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 spans="1:13" x14ac:dyDescent="0.25">
      <c r="A386" s="23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 spans="1:13" x14ac:dyDescent="0.25">
      <c r="A387" s="23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 spans="1:13" x14ac:dyDescent="0.25">
      <c r="A388" s="23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 spans="1:13" x14ac:dyDescent="0.25">
      <c r="A389" s="23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 spans="1:13" x14ac:dyDescent="0.25">
      <c r="A390" s="23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 spans="1:13" x14ac:dyDescent="0.25">
      <c r="A391" s="23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 spans="1:13" x14ac:dyDescent="0.25">
      <c r="A392" s="23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 spans="1:13" x14ac:dyDescent="0.25">
      <c r="A393" s="23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 spans="1:13" x14ac:dyDescent="0.25">
      <c r="A394" s="23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 spans="1:13" x14ac:dyDescent="0.25">
      <c r="A395" s="23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 spans="1:13" x14ac:dyDescent="0.25">
      <c r="A396" s="23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 spans="1:13" x14ac:dyDescent="0.25">
      <c r="A397" s="23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 spans="1:13" x14ac:dyDescent="0.25">
      <c r="A398" s="23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1:13" x14ac:dyDescent="0.25">
      <c r="A399" s="23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1:13" x14ac:dyDescent="0.25">
      <c r="A400" s="23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spans="1:13" x14ac:dyDescent="0.25">
      <c r="A401" s="23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 spans="1:13" x14ac:dyDescent="0.25">
      <c r="A402" s="23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 spans="1:13" x14ac:dyDescent="0.25">
      <c r="A403" s="23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 spans="1:13" x14ac:dyDescent="0.25">
      <c r="A404" s="23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 spans="1:13" x14ac:dyDescent="0.25">
      <c r="A405" s="23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 spans="1:13" x14ac:dyDescent="0.25">
      <c r="A406" s="23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 spans="1:13" x14ac:dyDescent="0.25">
      <c r="A407" s="23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 spans="1:13" x14ac:dyDescent="0.25">
      <c r="A408" s="23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 spans="1:13" x14ac:dyDescent="0.25">
      <c r="A409" s="23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 spans="1:13" x14ac:dyDescent="0.25">
      <c r="A410" s="23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 spans="1:13" x14ac:dyDescent="0.25">
      <c r="A411" s="23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 spans="1:13" x14ac:dyDescent="0.25">
      <c r="A412" s="23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 spans="1:13" x14ac:dyDescent="0.25">
      <c r="A413" s="23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 spans="1:13" x14ac:dyDescent="0.25">
      <c r="A414" s="23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 spans="1:13" x14ac:dyDescent="0.25">
      <c r="A415" s="23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 spans="1:13" x14ac:dyDescent="0.25">
      <c r="A416" s="23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 spans="1:13" x14ac:dyDescent="0.25">
      <c r="A417" s="23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 spans="1:13" x14ac:dyDescent="0.25">
      <c r="A418" s="23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 spans="1:13" x14ac:dyDescent="0.25">
      <c r="A419" s="23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 spans="1:13" x14ac:dyDescent="0.25">
      <c r="A420" s="23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 spans="1:13" x14ac:dyDescent="0.25">
      <c r="A421" s="23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 spans="1:13" x14ac:dyDescent="0.25">
      <c r="A422" s="23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 spans="1:13" x14ac:dyDescent="0.25">
      <c r="A423" s="23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 spans="1:13" x14ac:dyDescent="0.25">
      <c r="A424" s="23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 spans="1:13" x14ac:dyDescent="0.25">
      <c r="A425" s="23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 spans="1:13" x14ac:dyDescent="0.25">
      <c r="A426" s="23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 spans="1:13" x14ac:dyDescent="0.25">
      <c r="A427" s="23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 spans="1:13" x14ac:dyDescent="0.25">
      <c r="A428" s="23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 spans="1:13" x14ac:dyDescent="0.25">
      <c r="A429" s="23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 spans="1:13" x14ac:dyDescent="0.25">
      <c r="A430" s="23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 spans="1:13" x14ac:dyDescent="0.25">
      <c r="A431" s="23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 spans="1:13" x14ac:dyDescent="0.25">
      <c r="A432" s="23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 spans="1:13" x14ac:dyDescent="0.25">
      <c r="A433" s="23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 spans="1:13" x14ac:dyDescent="0.25">
      <c r="A434" s="23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 spans="1:13" x14ac:dyDescent="0.25">
      <c r="A435" s="23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 spans="1:13" x14ac:dyDescent="0.25">
      <c r="A436" s="23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 spans="1:13" x14ac:dyDescent="0.25">
      <c r="A437" s="23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 spans="1:13" x14ac:dyDescent="0.25">
      <c r="A438" s="23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 spans="1:13" x14ac:dyDescent="0.25">
      <c r="A439" s="23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 spans="1:13" x14ac:dyDescent="0.25">
      <c r="A440" s="23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 spans="1:13" x14ac:dyDescent="0.25">
      <c r="A441" s="23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 spans="1:13" x14ac:dyDescent="0.25">
      <c r="A442" s="23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 spans="1:13" x14ac:dyDescent="0.25">
      <c r="A443" s="23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 spans="1:13" x14ac:dyDescent="0.25">
      <c r="A444" s="23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 spans="1:13" x14ac:dyDescent="0.25">
      <c r="A445" s="23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 spans="1:13" x14ac:dyDescent="0.25">
      <c r="A446" s="23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 spans="1:13" x14ac:dyDescent="0.25">
      <c r="A447" s="23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 spans="1:13" x14ac:dyDescent="0.25">
      <c r="A448" s="23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 spans="1:13" x14ac:dyDescent="0.25">
      <c r="A449" s="23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 spans="1:13" x14ac:dyDescent="0.25">
      <c r="A450" s="23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 spans="1:13" x14ac:dyDescent="0.25">
      <c r="A451" s="23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 spans="1:13" x14ac:dyDescent="0.25">
      <c r="A452" s="23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 spans="1:13" x14ac:dyDescent="0.25">
      <c r="A453" s="23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 spans="1:13" x14ac:dyDescent="0.25">
      <c r="A454" s="23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 spans="1:13" x14ac:dyDescent="0.25">
      <c r="A455" s="23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 spans="1:13" x14ac:dyDescent="0.25">
      <c r="A456" s="23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 spans="1:13" x14ac:dyDescent="0.25">
      <c r="A457" s="23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 spans="1:13" x14ac:dyDescent="0.25">
      <c r="A458" s="23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 spans="1:13" x14ac:dyDescent="0.25">
      <c r="A459" s="23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 spans="1:13" x14ac:dyDescent="0.25">
      <c r="A460" s="23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 spans="1:13" x14ac:dyDescent="0.25">
      <c r="A461" s="23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 spans="1:13" x14ac:dyDescent="0.25">
      <c r="A462" s="23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 spans="1:13" x14ac:dyDescent="0.25">
      <c r="A463" s="23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 spans="1:13" x14ac:dyDescent="0.25">
      <c r="A464" s="23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 spans="1:13" x14ac:dyDescent="0.25">
      <c r="A465" s="23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 spans="1:13" x14ac:dyDescent="0.25">
      <c r="A466" s="23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 spans="1:13" x14ac:dyDescent="0.25">
      <c r="A467" s="23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 spans="1:13" x14ac:dyDescent="0.25">
      <c r="A468" s="23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 spans="1:13" x14ac:dyDescent="0.25">
      <c r="A469" s="23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 spans="1:13" x14ac:dyDescent="0.25">
      <c r="A470" s="23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 spans="1:13" x14ac:dyDescent="0.25">
      <c r="A471" s="23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 spans="1:13" x14ac:dyDescent="0.25">
      <c r="A472" s="23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 spans="1:13" x14ac:dyDescent="0.25">
      <c r="A473" s="23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 spans="1:13" x14ac:dyDescent="0.25">
      <c r="A474" s="23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 spans="1:13" x14ac:dyDescent="0.25">
      <c r="A475" s="23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 spans="1:13" x14ac:dyDescent="0.25">
      <c r="A476" s="23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 spans="1:13" x14ac:dyDescent="0.25">
      <c r="A477" s="23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 spans="1:13" x14ac:dyDescent="0.25">
      <c r="A478" s="23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 spans="1:13" x14ac:dyDescent="0.25">
      <c r="A479" s="23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 spans="1:13" x14ac:dyDescent="0.25">
      <c r="A480" s="23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 spans="1:13" x14ac:dyDescent="0.25">
      <c r="A481" s="23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 spans="1:13" x14ac:dyDescent="0.25">
      <c r="A482" s="23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 spans="1:13" x14ac:dyDescent="0.25">
      <c r="A483" s="23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 spans="1:13" x14ac:dyDescent="0.25">
      <c r="A484" s="23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 spans="1:13" x14ac:dyDescent="0.25">
      <c r="A485" s="23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 spans="1:13" x14ac:dyDescent="0.25">
      <c r="A486" s="23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 spans="1:13" x14ac:dyDescent="0.25">
      <c r="A487" s="23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 spans="1:13" x14ac:dyDescent="0.25">
      <c r="A488" s="23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 spans="1:13" x14ac:dyDescent="0.25">
      <c r="A489" s="23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 spans="1:13" x14ac:dyDescent="0.25">
      <c r="A490" s="23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 spans="1:13" x14ac:dyDescent="0.25">
      <c r="A491" s="23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 spans="1:13" x14ac:dyDescent="0.25">
      <c r="A492" s="23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 spans="1:13" x14ac:dyDescent="0.25">
      <c r="A493" s="23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 spans="1:13" x14ac:dyDescent="0.25">
      <c r="A494" s="23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 spans="1:13" x14ac:dyDescent="0.25">
      <c r="A495" s="23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 spans="1:13" x14ac:dyDescent="0.25">
      <c r="A496" s="23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 spans="1:13" x14ac:dyDescent="0.25">
      <c r="A497" s="23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 spans="1:13" x14ac:dyDescent="0.25">
      <c r="A498" s="23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 spans="1:13" x14ac:dyDescent="0.25">
      <c r="A499" s="23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 spans="1:13" x14ac:dyDescent="0.25">
      <c r="A500" s="23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 spans="1:13" x14ac:dyDescent="0.25">
      <c r="A501" s="23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 spans="1:13" x14ac:dyDescent="0.25">
      <c r="A502" s="23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 spans="1:13" x14ac:dyDescent="0.25">
      <c r="A503" s="23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 spans="1:13" x14ac:dyDescent="0.25">
      <c r="A504" s="23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 spans="1:13" x14ac:dyDescent="0.25">
      <c r="A505" s="23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 spans="1:13" x14ac:dyDescent="0.25">
      <c r="A506" s="23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 spans="1:13" x14ac:dyDescent="0.25">
      <c r="A507" s="23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 spans="1:13" x14ac:dyDescent="0.25">
      <c r="A508" s="23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 spans="1:13" x14ac:dyDescent="0.25">
      <c r="A509" s="23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 spans="1:13" x14ac:dyDescent="0.25">
      <c r="A510" s="23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 spans="1:13" x14ac:dyDescent="0.25">
      <c r="A511" s="23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 spans="1:13" x14ac:dyDescent="0.25">
      <c r="A512" s="23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 spans="1:13" x14ac:dyDescent="0.25">
      <c r="A513" s="23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 spans="1:13" x14ac:dyDescent="0.25">
      <c r="A514" s="23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 spans="1:13" x14ac:dyDescent="0.25">
      <c r="A515" s="23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 spans="1:13" x14ac:dyDescent="0.25">
      <c r="A516" s="23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 spans="1:13" x14ac:dyDescent="0.25">
      <c r="A517" s="23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 spans="1:13" x14ac:dyDescent="0.25">
      <c r="A518" s="23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 spans="1:13" x14ac:dyDescent="0.25">
      <c r="A519" s="23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 spans="1:13" x14ac:dyDescent="0.25">
      <c r="A520" s="23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 spans="1:13" x14ac:dyDescent="0.25">
      <c r="A521" s="23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 spans="1:13" x14ac:dyDescent="0.25">
      <c r="A522" s="23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 spans="1:13" x14ac:dyDescent="0.25">
      <c r="A523" s="23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 spans="1:13" x14ac:dyDescent="0.25">
      <c r="A524" s="23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 spans="1:13" x14ac:dyDescent="0.25">
      <c r="A525" s="23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 spans="1:13" x14ac:dyDescent="0.25">
      <c r="A526" s="23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 spans="1:13" x14ac:dyDescent="0.25">
      <c r="A527" s="23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 spans="1:13" x14ac:dyDescent="0.25">
      <c r="A528" s="23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1:13" x14ac:dyDescent="0.25">
      <c r="A529" s="23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1:13" x14ac:dyDescent="0.25">
      <c r="A530" s="23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1:13" x14ac:dyDescent="0.25">
      <c r="A531" s="23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1:13" x14ac:dyDescent="0.25">
      <c r="A532" s="23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1:13" x14ac:dyDescent="0.25">
      <c r="A533" s="23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1:13" x14ac:dyDescent="0.25">
      <c r="A534" s="23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1:13" x14ac:dyDescent="0.25">
      <c r="A535" s="23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1:13" x14ac:dyDescent="0.25">
      <c r="A536" s="23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1:13" x14ac:dyDescent="0.25">
      <c r="A537" s="23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1:13" x14ac:dyDescent="0.25">
      <c r="A538" s="23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1:13" x14ac:dyDescent="0.25">
      <c r="A539" s="23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1:13" x14ac:dyDescent="0.25">
      <c r="A540" s="23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1:13" x14ac:dyDescent="0.25">
      <c r="A541" s="23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1:13" x14ac:dyDescent="0.25">
      <c r="A542" s="23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1:13" x14ac:dyDescent="0.25">
      <c r="A543" s="23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1:13" x14ac:dyDescent="0.25">
      <c r="A544" s="23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1:13" x14ac:dyDescent="0.25">
      <c r="A545" s="23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1:13" x14ac:dyDescent="0.25">
      <c r="A546" s="23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1:13" x14ac:dyDescent="0.25">
      <c r="A547" s="23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1:13" x14ac:dyDescent="0.25">
      <c r="A548" s="23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1:13" x14ac:dyDescent="0.25">
      <c r="A549" s="23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1:13" x14ac:dyDescent="0.25">
      <c r="A550" s="23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1:13" x14ac:dyDescent="0.25">
      <c r="A551" s="23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1:13" x14ac:dyDescent="0.25">
      <c r="A552" s="23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1:13" x14ac:dyDescent="0.25">
      <c r="A553" s="23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1:13" x14ac:dyDescent="0.25">
      <c r="A554" s="23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1:13" x14ac:dyDescent="0.25">
      <c r="A555" s="23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1:13" x14ac:dyDescent="0.25">
      <c r="A556" s="23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 spans="1:13" x14ac:dyDescent="0.25">
      <c r="A557" s="23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 spans="1:13" x14ac:dyDescent="0.25">
      <c r="A558" s="23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 spans="1:13" x14ac:dyDescent="0.25">
      <c r="A559" s="23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 spans="1:13" x14ac:dyDescent="0.25">
      <c r="A560" s="23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 spans="1:13" x14ac:dyDescent="0.25">
      <c r="A561" s="23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 spans="1:13" x14ac:dyDescent="0.25">
      <c r="A562" s="23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 spans="1:13" x14ac:dyDescent="0.25">
      <c r="A563" s="23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 spans="1:13" x14ac:dyDescent="0.25">
      <c r="A564" s="23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 spans="1:13" x14ac:dyDescent="0.25">
      <c r="A565" s="23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 spans="1:13" x14ac:dyDescent="0.25">
      <c r="A566" s="23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 spans="1:13" x14ac:dyDescent="0.25">
      <c r="A567" s="23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 spans="1:13" x14ac:dyDescent="0.25">
      <c r="A568" s="23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 spans="1:13" x14ac:dyDescent="0.25">
      <c r="A569" s="23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 spans="1:13" x14ac:dyDescent="0.25">
      <c r="A570" s="23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 spans="1:13" x14ac:dyDescent="0.25">
      <c r="A571" s="23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 spans="1:13" x14ac:dyDescent="0.25">
      <c r="A572" s="23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 spans="1:13" x14ac:dyDescent="0.25">
      <c r="A573" s="23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 spans="1:13" x14ac:dyDescent="0.25">
      <c r="A574" s="23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 spans="1:13" x14ac:dyDescent="0.25">
      <c r="A575" s="23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 spans="1:13" x14ac:dyDescent="0.25">
      <c r="A576" s="23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 spans="1:13" x14ac:dyDescent="0.25">
      <c r="A577" s="23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 spans="1:13" x14ac:dyDescent="0.25">
      <c r="A578" s="23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 spans="1:13" x14ac:dyDescent="0.25">
      <c r="A579" s="23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 spans="1:13" x14ac:dyDescent="0.25">
      <c r="A580" s="23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 spans="1:13" x14ac:dyDescent="0.25">
      <c r="A581" s="23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 spans="1:13" x14ac:dyDescent="0.25">
      <c r="A582" s="23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 spans="1:13" x14ac:dyDescent="0.25">
      <c r="A583" s="23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 spans="1:13" x14ac:dyDescent="0.25">
      <c r="A584" s="23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 spans="1:13" x14ac:dyDescent="0.25">
      <c r="A585" s="23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 spans="1:13" x14ac:dyDescent="0.25">
      <c r="A586" s="23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 spans="1:13" x14ac:dyDescent="0.25">
      <c r="A587" s="23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 spans="1:13" x14ac:dyDescent="0.25">
      <c r="A588" s="23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 spans="1:13" x14ac:dyDescent="0.25">
      <c r="A589" s="23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 spans="1:13" x14ac:dyDescent="0.25">
      <c r="A590" s="23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 spans="1:13" x14ac:dyDescent="0.25">
      <c r="A591" s="23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 spans="1:13" x14ac:dyDescent="0.25">
      <c r="A592" s="23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 spans="1:13" x14ac:dyDescent="0.25">
      <c r="A593" s="23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 spans="1:13" x14ac:dyDescent="0.25">
      <c r="A594" s="23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 spans="1:13" x14ac:dyDescent="0.25">
      <c r="A595" s="23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 spans="1:13" x14ac:dyDescent="0.25">
      <c r="A596" s="23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 spans="1:13" x14ac:dyDescent="0.25">
      <c r="A597" s="23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 spans="1:13" x14ac:dyDescent="0.25">
      <c r="A598" s="23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 spans="1:13" x14ac:dyDescent="0.25">
      <c r="A599" s="23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 spans="1:13" x14ac:dyDescent="0.25">
      <c r="A600" s="23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 spans="1:13" x14ac:dyDescent="0.25">
      <c r="A601" s="23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 spans="1:13" x14ac:dyDescent="0.25">
      <c r="A602" s="23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 spans="1:13" x14ac:dyDescent="0.25">
      <c r="A603" s="23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 spans="1:13" x14ac:dyDescent="0.25">
      <c r="A604" s="23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 spans="1:13" x14ac:dyDescent="0.25">
      <c r="A605" s="23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 spans="1:13" x14ac:dyDescent="0.25">
      <c r="A606" s="23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 spans="1:13" x14ac:dyDescent="0.25">
      <c r="A607" s="23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 spans="1:13" x14ac:dyDescent="0.25">
      <c r="A608" s="23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 spans="1:13" x14ac:dyDescent="0.25">
      <c r="A609" s="23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 spans="1:13" x14ac:dyDescent="0.25">
      <c r="A610" s="23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 spans="1:13" x14ac:dyDescent="0.25">
      <c r="A611" s="23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 spans="1:13" x14ac:dyDescent="0.25">
      <c r="A612" s="23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 spans="1:13" x14ac:dyDescent="0.25">
      <c r="A613" s="23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 spans="1:13" x14ac:dyDescent="0.25">
      <c r="A614" s="23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 spans="1:13" x14ac:dyDescent="0.25">
      <c r="A615" s="23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 spans="1:13" x14ac:dyDescent="0.25">
      <c r="A616" s="23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 spans="1:13" x14ac:dyDescent="0.25">
      <c r="A617" s="23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 spans="1:13" x14ac:dyDescent="0.25">
      <c r="A618" s="23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 spans="1:13" x14ac:dyDescent="0.25">
      <c r="A619" s="23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 spans="1:13" x14ac:dyDescent="0.25">
      <c r="A620" s="23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 spans="1:13" x14ac:dyDescent="0.25">
      <c r="A621" s="23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 spans="1:13" x14ac:dyDescent="0.25">
      <c r="A622" s="23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 spans="1:13" x14ac:dyDescent="0.25">
      <c r="A623" s="23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 spans="1:13" x14ac:dyDescent="0.25">
      <c r="A624" s="23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 spans="1:13" x14ac:dyDescent="0.25">
      <c r="A625" s="23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 spans="1:13" x14ac:dyDescent="0.25">
      <c r="A626" s="23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 spans="1:13" x14ac:dyDescent="0.25">
      <c r="A627" s="23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 spans="1:13" x14ac:dyDescent="0.25">
      <c r="A628" s="23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 spans="1:13" x14ac:dyDescent="0.25">
      <c r="A629" s="23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 spans="1:13" x14ac:dyDescent="0.25">
      <c r="A630" s="23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 spans="1:13" x14ac:dyDescent="0.25">
      <c r="A631" s="23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 spans="1:13" x14ac:dyDescent="0.25">
      <c r="A632" s="23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 spans="1:13" x14ac:dyDescent="0.25">
      <c r="A633" s="23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 spans="1:13" x14ac:dyDescent="0.25">
      <c r="A634" s="23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 spans="1:13" x14ac:dyDescent="0.25">
      <c r="A635" s="23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 spans="1:13" x14ac:dyDescent="0.25">
      <c r="A636" s="23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 spans="1:13" x14ac:dyDescent="0.25">
      <c r="A637" s="23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 spans="1:13" x14ac:dyDescent="0.25">
      <c r="A638" s="23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 spans="1:13" x14ac:dyDescent="0.25">
      <c r="A639" s="23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 spans="1:13" x14ac:dyDescent="0.25">
      <c r="A640" s="23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 spans="1:13" x14ac:dyDescent="0.25">
      <c r="A641" s="23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 spans="1:13" x14ac:dyDescent="0.25">
      <c r="A642" s="23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 spans="1:13" x14ac:dyDescent="0.25">
      <c r="A643" s="23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 spans="1:13" x14ac:dyDescent="0.25">
      <c r="A644" s="23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 spans="1:13" x14ac:dyDescent="0.25">
      <c r="A645" s="23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 spans="1:13" x14ac:dyDescent="0.25">
      <c r="A646" s="23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 spans="1:13" x14ac:dyDescent="0.25">
      <c r="A647" s="23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 spans="1:13" x14ac:dyDescent="0.25">
      <c r="A648" s="23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 spans="1:13" x14ac:dyDescent="0.25">
      <c r="A649" s="23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 spans="1:13" x14ac:dyDescent="0.25">
      <c r="A650" s="23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 spans="1:13" x14ac:dyDescent="0.25">
      <c r="A651" s="23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 spans="1:13" x14ac:dyDescent="0.25">
      <c r="A652" s="23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 spans="1:13" x14ac:dyDescent="0.25">
      <c r="A653" s="23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 spans="1:13" x14ac:dyDescent="0.25">
      <c r="A654" s="23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 spans="1:13" x14ac:dyDescent="0.25">
      <c r="A655" s="23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 spans="1:13" x14ac:dyDescent="0.25">
      <c r="A656" s="23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 spans="1:13" x14ac:dyDescent="0.25">
      <c r="A657" s="23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 spans="1:13" x14ac:dyDescent="0.25">
      <c r="A658" s="23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 spans="1:13" x14ac:dyDescent="0.25">
      <c r="A659" s="23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 spans="1:13" x14ac:dyDescent="0.25">
      <c r="A660" s="23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 spans="1:13" x14ac:dyDescent="0.25">
      <c r="A661" s="23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 spans="1:13" x14ac:dyDescent="0.25">
      <c r="A662" s="23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 spans="1:13" x14ac:dyDescent="0.25">
      <c r="A663" s="23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 spans="1:13" x14ac:dyDescent="0.25">
      <c r="A664" s="23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 spans="1:13" x14ac:dyDescent="0.25">
      <c r="A665" s="23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 spans="1:13" x14ac:dyDescent="0.25">
      <c r="A666" s="23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 spans="1:13" x14ac:dyDescent="0.25">
      <c r="A667" s="23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 spans="1:13" x14ac:dyDescent="0.25">
      <c r="A668" s="23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 spans="1:13" x14ac:dyDescent="0.25">
      <c r="A669" s="23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 spans="1:13" x14ac:dyDescent="0.25">
      <c r="A670" s="23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 spans="1:13" x14ac:dyDescent="0.25">
      <c r="A671" s="23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 spans="1:13" x14ac:dyDescent="0.25">
      <c r="A672" s="23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 spans="1:13" x14ac:dyDescent="0.25">
      <c r="A673" s="23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 spans="1:13" x14ac:dyDescent="0.25">
      <c r="A674" s="23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 spans="1:13" x14ac:dyDescent="0.25">
      <c r="A675" s="23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 spans="1:13" x14ac:dyDescent="0.25">
      <c r="A676" s="23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 spans="1:13" x14ac:dyDescent="0.25">
      <c r="A677" s="23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 spans="1:13" x14ac:dyDescent="0.25">
      <c r="A678" s="23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 spans="1:13" x14ac:dyDescent="0.25">
      <c r="A679" s="23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 spans="1:13" x14ac:dyDescent="0.25">
      <c r="A680" s="23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 spans="1:13" x14ac:dyDescent="0.25">
      <c r="A681" s="23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 spans="1:13" x14ac:dyDescent="0.25">
      <c r="A682" s="23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 spans="1:13" x14ac:dyDescent="0.25">
      <c r="A683" s="23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 spans="1:13" x14ac:dyDescent="0.25">
      <c r="A684" s="23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 spans="1:13" x14ac:dyDescent="0.25">
      <c r="A685" s="23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 spans="1:13" x14ac:dyDescent="0.25">
      <c r="A686" s="23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 spans="1:13" x14ac:dyDescent="0.25">
      <c r="A687" s="23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 spans="1:13" x14ac:dyDescent="0.25">
      <c r="A688" s="23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 spans="1:13" x14ac:dyDescent="0.25">
      <c r="A689" s="23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 spans="1:13" x14ac:dyDescent="0.25">
      <c r="A690" s="23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 spans="1:13" x14ac:dyDescent="0.25">
      <c r="A691" s="23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 spans="1:13" x14ac:dyDescent="0.25">
      <c r="A692" s="23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 spans="1:13" x14ac:dyDescent="0.25">
      <c r="A693" s="23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 spans="1:13" x14ac:dyDescent="0.25">
      <c r="A694" s="23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 spans="1:13" x14ac:dyDescent="0.25">
      <c r="A695" s="23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 spans="1:13" x14ac:dyDescent="0.25">
      <c r="A696" s="23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 spans="1:13" x14ac:dyDescent="0.25">
      <c r="A697" s="23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 spans="1:13" x14ac:dyDescent="0.25">
      <c r="A698" s="23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 spans="1:13" x14ac:dyDescent="0.25">
      <c r="A699" s="23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 spans="1:13" x14ac:dyDescent="0.25">
      <c r="A700" s="23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 spans="1:13" x14ac:dyDescent="0.25">
      <c r="A701" s="23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 spans="1:13" x14ac:dyDescent="0.25">
      <c r="A702" s="23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 spans="1:13" x14ac:dyDescent="0.25">
      <c r="A703" s="23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 spans="1:13" x14ac:dyDescent="0.25">
      <c r="A704" s="23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 spans="1:13" x14ac:dyDescent="0.25">
      <c r="A705" s="23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 spans="1:13" x14ac:dyDescent="0.25">
      <c r="A706" s="23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 spans="1:13" x14ac:dyDescent="0.25">
      <c r="A707" s="23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 spans="1:13" x14ac:dyDescent="0.25">
      <c r="A708" s="23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 spans="1:13" x14ac:dyDescent="0.25">
      <c r="A709" s="23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 spans="1:13" x14ac:dyDescent="0.25">
      <c r="A710" s="23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 spans="1:13" x14ac:dyDescent="0.25">
      <c r="A711" s="23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 spans="1:13" x14ac:dyDescent="0.25">
      <c r="A712" s="23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 spans="1:13" x14ac:dyDescent="0.25">
      <c r="A713" s="23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 spans="1:13" x14ac:dyDescent="0.25">
      <c r="A714" s="23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 spans="1:13" x14ac:dyDescent="0.25">
      <c r="A715" s="23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 spans="1:13" x14ac:dyDescent="0.25">
      <c r="A716" s="23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 spans="1:13" x14ac:dyDescent="0.25">
      <c r="A717" s="23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 spans="1:13" x14ac:dyDescent="0.25">
      <c r="A718" s="23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 spans="1:13" x14ac:dyDescent="0.25">
      <c r="A719" s="23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 spans="1:13" x14ac:dyDescent="0.25">
      <c r="A720" s="23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 spans="1:13" x14ac:dyDescent="0.25">
      <c r="A721" s="23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 spans="1:13" x14ac:dyDescent="0.25">
      <c r="A722" s="23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 spans="1:13" x14ac:dyDescent="0.25">
      <c r="A723" s="23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 spans="1:13" x14ac:dyDescent="0.25">
      <c r="A724" s="23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 spans="1:13" x14ac:dyDescent="0.25">
      <c r="A725" s="23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 spans="1:13" x14ac:dyDescent="0.25">
      <c r="A726" s="23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 spans="1:13" x14ac:dyDescent="0.25">
      <c r="A727" s="23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 spans="1:13" x14ac:dyDescent="0.25">
      <c r="A728" s="23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 spans="1:13" x14ac:dyDescent="0.25">
      <c r="A729" s="23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 spans="1:13" x14ac:dyDescent="0.25">
      <c r="A730" s="23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 spans="1:13" x14ac:dyDescent="0.25">
      <c r="A731" s="23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 spans="1:13" x14ac:dyDescent="0.25">
      <c r="A732" s="23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 spans="1:13" x14ac:dyDescent="0.25">
      <c r="A733" s="23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 spans="1:13" x14ac:dyDescent="0.25">
      <c r="A734" s="23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 spans="1:13" x14ac:dyDescent="0.25">
      <c r="A735" s="23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 spans="1:13" x14ac:dyDescent="0.25">
      <c r="A736" s="23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 spans="1:13" x14ac:dyDescent="0.25">
      <c r="A737" s="23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 spans="1:13" x14ac:dyDescent="0.25">
      <c r="A738" s="23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 spans="1:13" x14ac:dyDescent="0.25">
      <c r="A739" s="23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 spans="1:13" x14ac:dyDescent="0.25">
      <c r="A740" s="23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 spans="1:13" x14ac:dyDescent="0.25">
      <c r="A741" s="23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 spans="1:13" x14ac:dyDescent="0.25">
      <c r="A742" s="23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 spans="1:13" x14ac:dyDescent="0.25">
      <c r="A743" s="23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 spans="1:13" x14ac:dyDescent="0.25">
      <c r="A744" s="23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 spans="1:13" x14ac:dyDescent="0.25">
      <c r="A745" s="23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 spans="1:13" x14ac:dyDescent="0.25">
      <c r="A746" s="23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 spans="1:13" x14ac:dyDescent="0.25">
      <c r="A747" s="23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 spans="1:13" x14ac:dyDescent="0.25">
      <c r="A748" s="23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 spans="1:13" x14ac:dyDescent="0.25">
      <c r="A749" s="23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 spans="1:13" x14ac:dyDescent="0.25">
      <c r="A750" s="23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 spans="1:13" x14ac:dyDescent="0.25">
      <c r="A751" s="23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 spans="1:13" x14ac:dyDescent="0.25">
      <c r="A752" s="23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 spans="1:13" x14ac:dyDescent="0.25">
      <c r="A753" s="23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 spans="1:13" x14ac:dyDescent="0.25">
      <c r="A754" s="23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 spans="1:13" x14ac:dyDescent="0.25">
      <c r="A755" s="23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 spans="1:13" x14ac:dyDescent="0.25">
      <c r="A756" s="23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 spans="1:13" x14ac:dyDescent="0.25">
      <c r="A757" s="23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 spans="1:13" x14ac:dyDescent="0.25">
      <c r="A758" s="23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 spans="1:13" x14ac:dyDescent="0.25">
      <c r="A759" s="23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 spans="1:13" x14ac:dyDescent="0.25">
      <c r="A760" s="23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 spans="1:13" x14ac:dyDescent="0.25">
      <c r="A761" s="23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 spans="1:13" x14ac:dyDescent="0.25">
      <c r="A762" s="23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 spans="1:13" x14ac:dyDescent="0.25">
      <c r="A763" s="23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 spans="1:13" x14ac:dyDescent="0.25">
      <c r="A764" s="23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 spans="1:13" x14ac:dyDescent="0.25">
      <c r="A765" s="23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 spans="1:13" x14ac:dyDescent="0.25">
      <c r="A766" s="23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 spans="1:13" x14ac:dyDescent="0.25">
      <c r="A767" s="23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 spans="1:13" x14ac:dyDescent="0.25">
      <c r="A768" s="23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 spans="1:13" x14ac:dyDescent="0.25">
      <c r="A769" s="23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 spans="1:13" x14ac:dyDescent="0.25">
      <c r="A770" s="23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 spans="1:13" x14ac:dyDescent="0.25">
      <c r="A771" s="23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 spans="1:13" x14ac:dyDescent="0.25">
      <c r="A772" s="23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 spans="1:13" x14ac:dyDescent="0.25">
      <c r="A773" s="23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 spans="1:13" x14ac:dyDescent="0.25">
      <c r="A774" s="23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 spans="1:13" x14ac:dyDescent="0.25">
      <c r="A775" s="23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 spans="1:13" x14ac:dyDescent="0.25">
      <c r="A776" s="23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 spans="1:13" x14ac:dyDescent="0.25">
      <c r="A777" s="23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 spans="1:13" x14ac:dyDescent="0.25">
      <c r="A778" s="23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 spans="1:13" x14ac:dyDescent="0.25">
      <c r="A779" s="23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 spans="1:13" x14ac:dyDescent="0.25">
      <c r="A780" s="23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 spans="1:13" x14ac:dyDescent="0.25">
      <c r="A781" s="23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 spans="1:13" x14ac:dyDescent="0.25">
      <c r="A782" s="23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 spans="1:13" x14ac:dyDescent="0.25">
      <c r="A783" s="23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 spans="1:13" x14ac:dyDescent="0.25">
      <c r="A784" s="23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 spans="1:13" x14ac:dyDescent="0.25">
      <c r="A785" s="23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 spans="1:13" x14ac:dyDescent="0.25">
      <c r="A786" s="23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 spans="1:13" x14ac:dyDescent="0.25">
      <c r="A787" s="23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 spans="1:13" x14ac:dyDescent="0.25">
      <c r="A788" s="23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 spans="1:13" x14ac:dyDescent="0.25">
      <c r="A789" s="23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 spans="1:13" x14ac:dyDescent="0.25">
      <c r="A790" s="23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 spans="1:13" x14ac:dyDescent="0.25">
      <c r="A791" s="23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 spans="1:13" x14ac:dyDescent="0.25">
      <c r="A792" s="23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 spans="1:13" x14ac:dyDescent="0.25">
      <c r="A793" s="23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 spans="1:13" x14ac:dyDescent="0.25">
      <c r="A794" s="23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 spans="1:13" x14ac:dyDescent="0.25">
      <c r="A795" s="23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 spans="1:13" x14ac:dyDescent="0.25">
      <c r="A796" s="23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 spans="1:13" x14ac:dyDescent="0.25">
      <c r="A797" s="23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 spans="1:13" x14ac:dyDescent="0.25">
      <c r="A798" s="23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 spans="1:13" x14ac:dyDescent="0.25">
      <c r="A799" s="23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 spans="1:13" x14ac:dyDescent="0.25">
      <c r="A800" s="23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 spans="1:13" x14ac:dyDescent="0.25">
      <c r="A801" s="23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 spans="1:13" x14ac:dyDescent="0.25">
      <c r="A802" s="23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 spans="1:13" x14ac:dyDescent="0.25">
      <c r="A803" s="23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 spans="1:13" x14ac:dyDescent="0.25">
      <c r="A804" s="23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 spans="1:13" x14ac:dyDescent="0.25">
      <c r="A805" s="23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 spans="1:13" x14ac:dyDescent="0.25">
      <c r="A806" s="23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 spans="1:13" x14ac:dyDescent="0.25">
      <c r="A807" s="23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 spans="1:13" x14ac:dyDescent="0.25">
      <c r="A808" s="23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 spans="1:13" x14ac:dyDescent="0.25">
      <c r="A809" s="23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 spans="1:13" x14ac:dyDescent="0.25">
      <c r="A810" s="23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 spans="1:13" x14ac:dyDescent="0.25">
      <c r="A811" s="23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 spans="1:13" x14ac:dyDescent="0.25">
      <c r="A812" s="23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 spans="1:13" x14ac:dyDescent="0.25">
      <c r="A813" s="23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 spans="1:13" x14ac:dyDescent="0.25">
      <c r="A814" s="23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 spans="1:13" x14ac:dyDescent="0.25">
      <c r="A815" s="23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 spans="1:13" x14ac:dyDescent="0.25">
      <c r="A816" s="23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 spans="1:13" x14ac:dyDescent="0.25">
      <c r="A817" s="23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 spans="1:13" x14ac:dyDescent="0.25">
      <c r="A818" s="23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 spans="1:13" x14ac:dyDescent="0.25">
      <c r="A819" s="23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 spans="1:13" x14ac:dyDescent="0.25">
      <c r="A820" s="23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 spans="1:13" x14ac:dyDescent="0.25">
      <c r="A821" s="23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 spans="1:13" x14ac:dyDescent="0.25">
      <c r="A822" s="23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 spans="1:13" x14ac:dyDescent="0.25">
      <c r="A823" s="23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 spans="1:13" x14ac:dyDescent="0.25">
      <c r="A824" s="23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 spans="1:13" x14ac:dyDescent="0.25">
      <c r="A825" s="23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 spans="1:13" x14ac:dyDescent="0.25">
      <c r="A826" s="23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 spans="1:13" x14ac:dyDescent="0.25">
      <c r="A827" s="23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 spans="1:13" x14ac:dyDescent="0.25">
      <c r="A828" s="23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 spans="1:13" x14ac:dyDescent="0.25">
      <c r="A829" s="23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 spans="1:13" x14ac:dyDescent="0.25">
      <c r="A830" s="23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 spans="1:13" x14ac:dyDescent="0.25">
      <c r="A831" s="23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 spans="1:13" x14ac:dyDescent="0.25">
      <c r="A832" s="23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 spans="1:13" x14ac:dyDescent="0.25">
      <c r="A833" s="23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 spans="1:13" x14ac:dyDescent="0.25">
      <c r="A834" s="23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 spans="1:13" x14ac:dyDescent="0.25">
      <c r="A835" s="23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 spans="1:13" x14ac:dyDescent="0.25">
      <c r="A836" s="23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 spans="1:13" x14ac:dyDescent="0.25">
      <c r="A837" s="23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 spans="1:13" x14ac:dyDescent="0.25">
      <c r="A838" s="23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 spans="1:13" x14ac:dyDescent="0.25">
      <c r="A839" s="23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 spans="1:13" x14ac:dyDescent="0.25">
      <c r="A840" s="23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 spans="1:13" x14ac:dyDescent="0.25">
      <c r="A841" s="23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 spans="1:13" x14ac:dyDescent="0.25">
      <c r="A842" s="23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 spans="1:13" x14ac:dyDescent="0.25">
      <c r="A843" s="23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 spans="1:13" x14ac:dyDescent="0.25">
      <c r="A844" s="23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 spans="1:13" x14ac:dyDescent="0.25">
      <c r="A845" s="23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 spans="1:13" x14ac:dyDescent="0.25">
      <c r="A846" s="23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 spans="1:13" x14ac:dyDescent="0.25">
      <c r="A847" s="23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 spans="1:13" x14ac:dyDescent="0.25">
      <c r="A848" s="23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 spans="1:13" x14ac:dyDescent="0.25">
      <c r="A849" s="23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 spans="1:13" x14ac:dyDescent="0.25">
      <c r="A850" s="23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 spans="1:13" x14ac:dyDescent="0.25">
      <c r="A851" s="23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 spans="1:13" x14ac:dyDescent="0.25">
      <c r="A852" s="23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 spans="1:13" x14ac:dyDescent="0.25">
      <c r="A853" s="23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 spans="1:13" x14ac:dyDescent="0.25">
      <c r="A854" s="23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 spans="1:13" x14ac:dyDescent="0.25">
      <c r="A855" s="23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 spans="1:13" x14ac:dyDescent="0.25">
      <c r="A856" s="23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 spans="1:13" x14ac:dyDescent="0.25">
      <c r="A857" s="23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 spans="1:13" x14ac:dyDescent="0.25">
      <c r="A858" s="23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 spans="1:13" x14ac:dyDescent="0.25">
      <c r="A859" s="23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 spans="1:13" x14ac:dyDescent="0.25">
      <c r="A860" s="23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 spans="1:13" x14ac:dyDescent="0.25">
      <c r="A861" s="23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 spans="1:13" x14ac:dyDescent="0.25">
      <c r="A862" s="23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 spans="1:13" x14ac:dyDescent="0.25">
      <c r="A863" s="23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 spans="1:13" x14ac:dyDescent="0.25">
      <c r="A864" s="23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 spans="1:13" x14ac:dyDescent="0.25">
      <c r="A865" s="23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 spans="1:13" x14ac:dyDescent="0.25">
      <c r="A866" s="23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 spans="1:13" x14ac:dyDescent="0.25">
      <c r="A867" s="23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 spans="1:13" x14ac:dyDescent="0.25">
      <c r="A868" s="23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 spans="1:13" x14ac:dyDescent="0.25">
      <c r="A869" s="23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 spans="1:13" x14ac:dyDescent="0.25">
      <c r="A870" s="23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 spans="1:13" x14ac:dyDescent="0.25">
      <c r="A871" s="23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 spans="1:13" x14ac:dyDescent="0.25">
      <c r="A872" s="23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 spans="1:13" x14ac:dyDescent="0.25">
      <c r="A873" s="23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 spans="1:13" x14ac:dyDescent="0.25">
      <c r="A874" s="23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 spans="1:13" x14ac:dyDescent="0.25">
      <c r="A875" s="23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 spans="1:13" x14ac:dyDescent="0.25">
      <c r="A876" s="23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 spans="1:13" x14ac:dyDescent="0.25">
      <c r="A877" s="23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 spans="1:13" x14ac:dyDescent="0.25">
      <c r="A878" s="23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 spans="1:13" x14ac:dyDescent="0.25">
      <c r="A879" s="23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 spans="1:13" x14ac:dyDescent="0.25">
      <c r="A880" s="23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 spans="1:13" x14ac:dyDescent="0.25">
      <c r="A881" s="23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 spans="1:13" x14ac:dyDescent="0.25">
      <c r="A882" s="23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 spans="1:13" x14ac:dyDescent="0.25">
      <c r="A883" s="23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 spans="1:13" x14ac:dyDescent="0.25">
      <c r="A884" s="23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 spans="1:13" x14ac:dyDescent="0.25">
      <c r="A885" s="23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 spans="1:13" x14ac:dyDescent="0.25">
      <c r="A886" s="23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 spans="1:13" x14ac:dyDescent="0.25">
      <c r="A887" s="23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 spans="1:13" x14ac:dyDescent="0.25">
      <c r="A888" s="23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 spans="1:13" x14ac:dyDescent="0.25">
      <c r="A889" s="23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 spans="1:13" x14ac:dyDescent="0.25">
      <c r="A890" s="23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 spans="1:13" x14ac:dyDescent="0.25">
      <c r="A891" s="23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 spans="1:13" x14ac:dyDescent="0.25">
      <c r="A892" s="23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 spans="1:13" x14ac:dyDescent="0.25">
      <c r="A893" s="23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 spans="1:13" x14ac:dyDescent="0.25">
      <c r="A894" s="23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 spans="1:13" x14ac:dyDescent="0.25">
      <c r="A895" s="23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 spans="1:13" x14ac:dyDescent="0.25">
      <c r="A896" s="23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 spans="1:13" x14ac:dyDescent="0.25">
      <c r="A897" s="23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  <row r="898" spans="1:13" x14ac:dyDescent="0.25">
      <c r="A898" s="23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</row>
    <row r="899" spans="1:13" x14ac:dyDescent="0.25">
      <c r="A899" s="23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</row>
    <row r="900" spans="1:13" x14ac:dyDescent="0.25">
      <c r="A900" s="23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</row>
    <row r="901" spans="1:13" x14ac:dyDescent="0.25">
      <c r="A901" s="23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</row>
    <row r="902" spans="1:13" x14ac:dyDescent="0.25">
      <c r="A902" s="23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</row>
    <row r="903" spans="1:13" x14ac:dyDescent="0.25">
      <c r="A903" s="23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</row>
    <row r="904" spans="1:13" x14ac:dyDescent="0.25">
      <c r="A904" s="23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</row>
    <row r="905" spans="1:13" x14ac:dyDescent="0.25">
      <c r="A905" s="23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</row>
    <row r="906" spans="1:13" x14ac:dyDescent="0.25">
      <c r="A906" s="23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</row>
    <row r="907" spans="1:13" x14ac:dyDescent="0.25">
      <c r="A907" s="23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</row>
    <row r="908" spans="1:13" x14ac:dyDescent="0.25">
      <c r="A908" s="23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</row>
    <row r="909" spans="1:13" x14ac:dyDescent="0.25">
      <c r="A909" s="23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</row>
    <row r="910" spans="1:13" x14ac:dyDescent="0.25">
      <c r="A910" s="23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</row>
    <row r="911" spans="1:13" x14ac:dyDescent="0.25">
      <c r="A911" s="23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</row>
    <row r="912" spans="1:13" x14ac:dyDescent="0.25">
      <c r="A912" s="23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</row>
    <row r="913" spans="1:13" x14ac:dyDescent="0.25">
      <c r="A913" s="23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</row>
    <row r="914" spans="1:13" x14ac:dyDescent="0.25">
      <c r="A914" s="23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</row>
    <row r="915" spans="1:13" x14ac:dyDescent="0.25">
      <c r="A915" s="23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</row>
    <row r="916" spans="1:13" x14ac:dyDescent="0.25">
      <c r="A916" s="23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</row>
    <row r="917" spans="1:13" x14ac:dyDescent="0.25">
      <c r="A917" s="23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</row>
    <row r="918" spans="1:13" x14ac:dyDescent="0.25">
      <c r="A918" s="23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</row>
    <row r="919" spans="1:13" x14ac:dyDescent="0.25">
      <c r="A919" s="23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</row>
    <row r="920" spans="1:13" x14ac:dyDescent="0.25">
      <c r="A920" s="23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</row>
    <row r="921" spans="1:13" x14ac:dyDescent="0.25">
      <c r="A921" s="23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</row>
    <row r="922" spans="1:13" x14ac:dyDescent="0.25">
      <c r="A922" s="23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</row>
    <row r="923" spans="1:13" x14ac:dyDescent="0.25">
      <c r="A923" s="23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</row>
    <row r="924" spans="1:13" x14ac:dyDescent="0.25">
      <c r="A924" s="23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</row>
    <row r="925" spans="1:13" x14ac:dyDescent="0.25">
      <c r="A925" s="23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</row>
    <row r="926" spans="1:13" x14ac:dyDescent="0.25">
      <c r="A926" s="23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</row>
    <row r="927" spans="1:13" x14ac:dyDescent="0.25">
      <c r="A927" s="23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</row>
    <row r="928" spans="1:13" x14ac:dyDescent="0.25">
      <c r="A928" s="23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</row>
    <row r="929" spans="1:13" x14ac:dyDescent="0.25">
      <c r="A929" s="23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</row>
    <row r="930" spans="1:13" x14ac:dyDescent="0.25">
      <c r="A930" s="23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</row>
    <row r="931" spans="1:13" x14ac:dyDescent="0.25">
      <c r="A931" s="23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</row>
    <row r="932" spans="1:13" x14ac:dyDescent="0.25">
      <c r="A932" s="23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</row>
    <row r="933" spans="1:13" x14ac:dyDescent="0.25">
      <c r="A933" s="23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</row>
    <row r="934" spans="1:13" x14ac:dyDescent="0.25">
      <c r="A934" s="23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</row>
    <row r="935" spans="1:13" x14ac:dyDescent="0.25">
      <c r="A935" s="23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</row>
    <row r="936" spans="1:13" x14ac:dyDescent="0.25">
      <c r="A936" s="23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</row>
    <row r="937" spans="1:13" x14ac:dyDescent="0.25">
      <c r="A937" s="23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</row>
    <row r="938" spans="1:13" x14ac:dyDescent="0.25">
      <c r="A938" s="23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</row>
    <row r="939" spans="1:13" x14ac:dyDescent="0.25">
      <c r="A939" s="23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</row>
    <row r="940" spans="1:13" x14ac:dyDescent="0.25">
      <c r="A940" s="23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</row>
    <row r="941" spans="1:13" x14ac:dyDescent="0.25">
      <c r="A941" s="23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</row>
    <row r="942" spans="1:13" x14ac:dyDescent="0.25">
      <c r="A942" s="23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</row>
    <row r="943" spans="1:13" x14ac:dyDescent="0.25">
      <c r="A943" s="23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</row>
    <row r="944" spans="1:13" x14ac:dyDescent="0.25">
      <c r="A944" s="23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</row>
    <row r="945" spans="1:13" x14ac:dyDescent="0.25">
      <c r="A945" s="23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</row>
    <row r="946" spans="1:13" x14ac:dyDescent="0.25">
      <c r="A946" s="23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</row>
    <row r="947" spans="1:13" x14ac:dyDescent="0.25">
      <c r="A947" s="23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</row>
    <row r="948" spans="1:13" x14ac:dyDescent="0.25">
      <c r="A948" s="23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</row>
    <row r="949" spans="1:13" x14ac:dyDescent="0.25">
      <c r="A949" s="23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</row>
    <row r="950" spans="1:13" x14ac:dyDescent="0.25">
      <c r="A950" s="23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</row>
    <row r="951" spans="1:13" x14ac:dyDescent="0.25">
      <c r="A951" s="23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</row>
    <row r="952" spans="1:13" x14ac:dyDescent="0.25">
      <c r="A952" s="23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</row>
    <row r="953" spans="1:13" x14ac:dyDescent="0.25">
      <c r="A953" s="23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</row>
    <row r="954" spans="1:13" x14ac:dyDescent="0.25">
      <c r="A954" s="23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</row>
    <row r="955" spans="1:13" x14ac:dyDescent="0.25">
      <c r="A955" s="23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</row>
    <row r="956" spans="1:13" x14ac:dyDescent="0.25">
      <c r="A956" s="23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</row>
    <row r="957" spans="1:13" x14ac:dyDescent="0.25">
      <c r="A957" s="23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</row>
    <row r="958" spans="1:13" x14ac:dyDescent="0.25">
      <c r="A958" s="23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</row>
    <row r="959" spans="1:13" x14ac:dyDescent="0.25">
      <c r="A959" s="23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</row>
    <row r="960" spans="1:13" x14ac:dyDescent="0.25">
      <c r="A960" s="23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</row>
    <row r="961" spans="1:13" x14ac:dyDescent="0.25">
      <c r="A961" s="23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</row>
    <row r="962" spans="1:13" x14ac:dyDescent="0.25">
      <c r="A962" s="23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</row>
    <row r="963" spans="1:13" x14ac:dyDescent="0.25">
      <c r="A963" s="23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</row>
    <row r="964" spans="1:13" x14ac:dyDescent="0.25">
      <c r="A964" s="23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</row>
    <row r="965" spans="1:13" x14ac:dyDescent="0.25">
      <c r="A965" s="23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</row>
    <row r="966" spans="1:13" x14ac:dyDescent="0.25">
      <c r="A966" s="23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</row>
    <row r="967" spans="1:13" x14ac:dyDescent="0.25">
      <c r="A967" s="23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</row>
    <row r="968" spans="1:13" x14ac:dyDescent="0.25">
      <c r="A968" s="23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</row>
    <row r="969" spans="1:13" x14ac:dyDescent="0.25">
      <c r="A969" s="23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</row>
    <row r="970" spans="1:13" x14ac:dyDescent="0.25">
      <c r="A970" s="23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</row>
    <row r="971" spans="1:13" x14ac:dyDescent="0.25">
      <c r="A971" s="23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</row>
    <row r="972" spans="1:13" x14ac:dyDescent="0.25">
      <c r="A972" s="23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</row>
    <row r="973" spans="1:13" x14ac:dyDescent="0.25">
      <c r="A973" s="23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</row>
    <row r="974" spans="1:13" x14ac:dyDescent="0.25">
      <c r="A974" s="23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</row>
    <row r="975" spans="1:13" x14ac:dyDescent="0.25">
      <c r="A975" s="23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</row>
    <row r="976" spans="1:13" x14ac:dyDescent="0.25">
      <c r="A976" s="23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</row>
    <row r="977" spans="1:13" x14ac:dyDescent="0.25">
      <c r="A977" s="23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</row>
    <row r="978" spans="1:13" x14ac:dyDescent="0.25">
      <c r="A978" s="23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</row>
    <row r="979" spans="1:13" x14ac:dyDescent="0.25">
      <c r="A979" s="23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</row>
    <row r="980" spans="1:13" x14ac:dyDescent="0.25">
      <c r="A980" s="23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</row>
    <row r="981" spans="1:13" x14ac:dyDescent="0.25">
      <c r="A981" s="23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</row>
    <row r="982" spans="1:13" x14ac:dyDescent="0.25">
      <c r="A982" s="23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</row>
    <row r="983" spans="1:13" x14ac:dyDescent="0.25">
      <c r="A983" s="23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</row>
    <row r="984" spans="1:13" x14ac:dyDescent="0.25">
      <c r="A984" s="23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</row>
    <row r="985" spans="1:13" x14ac:dyDescent="0.25">
      <c r="A985" s="23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</row>
    <row r="986" spans="1:13" x14ac:dyDescent="0.25">
      <c r="A986" s="23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</row>
    <row r="987" spans="1:13" x14ac:dyDescent="0.25">
      <c r="A987" s="23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</row>
    <row r="988" spans="1:13" x14ac:dyDescent="0.25">
      <c r="A988" s="23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</row>
    <row r="989" spans="1:13" x14ac:dyDescent="0.25">
      <c r="A989" s="23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</row>
    <row r="990" spans="1:13" x14ac:dyDescent="0.25">
      <c r="A990" s="23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</row>
    <row r="991" spans="1:13" x14ac:dyDescent="0.25">
      <c r="A991" s="23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</row>
    <row r="992" spans="1:13" x14ac:dyDescent="0.25">
      <c r="A992" s="23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</row>
    <row r="993" spans="1:13" x14ac:dyDescent="0.25">
      <c r="A993" s="23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</row>
    <row r="994" spans="1:13" x14ac:dyDescent="0.25">
      <c r="A994" s="23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</row>
    <row r="995" spans="1:13" x14ac:dyDescent="0.25">
      <c r="A995" s="23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</row>
    <row r="996" spans="1:13" x14ac:dyDescent="0.25">
      <c r="A996" s="23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</row>
    <row r="997" spans="1:13" x14ac:dyDescent="0.25">
      <c r="A997" s="23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</row>
    <row r="998" spans="1:13" x14ac:dyDescent="0.25">
      <c r="A998" s="23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</row>
    <row r="999" spans="1:13" x14ac:dyDescent="0.25">
      <c r="A999" s="23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</row>
    <row r="1000" spans="1:13" x14ac:dyDescent="0.25">
      <c r="A1000" s="23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26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32.25" customHeight="1" x14ac:dyDescent="0.25">
      <c r="A2" s="11">
        <v>0</v>
      </c>
      <c r="B2" s="7">
        <f t="shared" ref="B2:M2" si="0">B3/2</f>
        <v>16.5</v>
      </c>
      <c r="C2" s="8">
        <f t="shared" si="0"/>
        <v>17.1875</v>
      </c>
      <c r="D2" s="9">
        <f t="shared" si="0"/>
        <v>18.333333333333332</v>
      </c>
      <c r="E2" s="8">
        <f t="shared" si="0"/>
        <v>19.3359375</v>
      </c>
      <c r="F2" s="9">
        <f t="shared" si="0"/>
        <v>20.625</v>
      </c>
      <c r="G2" s="9">
        <f t="shared" si="0"/>
        <v>22</v>
      </c>
      <c r="H2" s="8">
        <f t="shared" si="0"/>
        <v>22.916666666666668</v>
      </c>
      <c r="I2" s="9">
        <f t="shared" si="0"/>
        <v>24.444444444444443</v>
      </c>
      <c r="J2" s="8">
        <f t="shared" si="0"/>
        <v>25.78125</v>
      </c>
      <c r="K2" s="9">
        <f t="shared" si="0"/>
        <v>27.5</v>
      </c>
      <c r="L2" s="8">
        <f t="shared" si="0"/>
        <v>29.333333333333332</v>
      </c>
      <c r="M2" s="10">
        <f t="shared" si="0"/>
        <v>30.9375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32.25" customHeight="1" x14ac:dyDescent="0.25">
      <c r="A3" s="11">
        <v>1</v>
      </c>
      <c r="B3" s="12">
        <f t="shared" ref="B3:M3" si="1">B4/2</f>
        <v>33</v>
      </c>
      <c r="C3" s="13">
        <f t="shared" si="1"/>
        <v>34.375</v>
      </c>
      <c r="D3" s="14">
        <f t="shared" si="1"/>
        <v>36.666666666666664</v>
      </c>
      <c r="E3" s="13">
        <f t="shared" si="1"/>
        <v>38.671875</v>
      </c>
      <c r="F3" s="14">
        <f t="shared" si="1"/>
        <v>41.25</v>
      </c>
      <c r="G3" s="14">
        <f t="shared" si="1"/>
        <v>44</v>
      </c>
      <c r="H3" s="13">
        <f t="shared" si="1"/>
        <v>45.833333333333336</v>
      </c>
      <c r="I3" s="14">
        <f t="shared" si="1"/>
        <v>48.888888888888886</v>
      </c>
      <c r="J3" s="13">
        <f t="shared" si="1"/>
        <v>51.5625</v>
      </c>
      <c r="K3" s="14">
        <f t="shared" si="1"/>
        <v>55</v>
      </c>
      <c r="L3" s="13">
        <f t="shared" si="1"/>
        <v>58.666666666666664</v>
      </c>
      <c r="M3" s="15">
        <f t="shared" si="1"/>
        <v>61.875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32.25" customHeight="1" x14ac:dyDescent="0.25">
      <c r="A4" s="11">
        <v>2</v>
      </c>
      <c r="B4" s="12">
        <f t="shared" ref="B4:M4" si="2">B5/2</f>
        <v>66</v>
      </c>
      <c r="C4" s="13">
        <f t="shared" si="2"/>
        <v>68.75</v>
      </c>
      <c r="D4" s="14">
        <f t="shared" si="2"/>
        <v>73.333333333333329</v>
      </c>
      <c r="E4" s="13">
        <f t="shared" si="2"/>
        <v>77.34375</v>
      </c>
      <c r="F4" s="14">
        <f t="shared" si="2"/>
        <v>82.5</v>
      </c>
      <c r="G4" s="14">
        <f t="shared" si="2"/>
        <v>88</v>
      </c>
      <c r="H4" s="13">
        <f t="shared" si="2"/>
        <v>91.666666666666671</v>
      </c>
      <c r="I4" s="14">
        <f t="shared" si="2"/>
        <v>97.777777777777771</v>
      </c>
      <c r="J4" s="13">
        <f t="shared" si="2"/>
        <v>103.125</v>
      </c>
      <c r="K4" s="14">
        <f t="shared" si="2"/>
        <v>110</v>
      </c>
      <c r="L4" s="13">
        <f t="shared" si="2"/>
        <v>117.33333333333333</v>
      </c>
      <c r="M4" s="15">
        <f t="shared" si="2"/>
        <v>123.75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32.25" customHeight="1" x14ac:dyDescent="0.25">
      <c r="A5" s="11">
        <v>3</v>
      </c>
      <c r="B5" s="12">
        <f t="shared" ref="B5:M5" si="3">B6/2</f>
        <v>132</v>
      </c>
      <c r="C5" s="13">
        <f t="shared" si="3"/>
        <v>137.5</v>
      </c>
      <c r="D5" s="14">
        <f t="shared" si="3"/>
        <v>146.66666666666666</v>
      </c>
      <c r="E5" s="13">
        <f t="shared" si="3"/>
        <v>154.6875</v>
      </c>
      <c r="F5" s="14">
        <f t="shared" si="3"/>
        <v>165</v>
      </c>
      <c r="G5" s="14">
        <f t="shared" si="3"/>
        <v>176</v>
      </c>
      <c r="H5" s="13">
        <f t="shared" si="3"/>
        <v>183.33333333333334</v>
      </c>
      <c r="I5" s="14">
        <f t="shared" si="3"/>
        <v>195.55555555555554</v>
      </c>
      <c r="J5" s="13">
        <f t="shared" si="3"/>
        <v>206.25</v>
      </c>
      <c r="K5" s="14">
        <f t="shared" si="3"/>
        <v>220</v>
      </c>
      <c r="L5" s="13">
        <f t="shared" si="3"/>
        <v>234.66666666666666</v>
      </c>
      <c r="M5" s="15">
        <f t="shared" si="3"/>
        <v>247.5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32.25" customHeight="1" x14ac:dyDescent="0.25">
      <c r="A6" s="11">
        <v>4</v>
      </c>
      <c r="B6" s="12">
        <f>K6*(6/5)/2</f>
        <v>264</v>
      </c>
      <c r="C6" s="13">
        <f>K6*(5/4)/2</f>
        <v>275</v>
      </c>
      <c r="D6" s="14">
        <f>K6*(4/3)/2</f>
        <v>293.33333333333331</v>
      </c>
      <c r="E6" s="13">
        <f>K6*(45/32)/2</f>
        <v>309.375</v>
      </c>
      <c r="F6" s="14">
        <f>K6*(3/2)/2</f>
        <v>330</v>
      </c>
      <c r="G6" s="14">
        <f>K6*(8/5)/2</f>
        <v>352</v>
      </c>
      <c r="H6" s="13">
        <f>K6*(5/3)/2</f>
        <v>366.66666666666669</v>
      </c>
      <c r="I6" s="14">
        <f>K6*(16/9)/2</f>
        <v>391.11111111111109</v>
      </c>
      <c r="J6" s="13">
        <f>K6*(15/8)/2</f>
        <v>412.5</v>
      </c>
      <c r="K6" s="29">
        <v>440</v>
      </c>
      <c r="L6" s="13">
        <f>K6*(16/15)</f>
        <v>469.33333333333331</v>
      </c>
      <c r="M6" s="15">
        <f>K6*(9/8)</f>
        <v>495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2.25" customHeight="1" x14ac:dyDescent="0.25">
      <c r="A7" s="11">
        <v>5</v>
      </c>
      <c r="B7" s="12">
        <f t="shared" ref="B7:M7" si="4">B6*2</f>
        <v>528</v>
      </c>
      <c r="C7" s="13">
        <f t="shared" si="4"/>
        <v>550</v>
      </c>
      <c r="D7" s="14">
        <f t="shared" si="4"/>
        <v>586.66666666666663</v>
      </c>
      <c r="E7" s="13">
        <f t="shared" si="4"/>
        <v>618.75</v>
      </c>
      <c r="F7" s="14">
        <f t="shared" si="4"/>
        <v>660</v>
      </c>
      <c r="G7" s="14">
        <f t="shared" si="4"/>
        <v>704</v>
      </c>
      <c r="H7" s="13">
        <f t="shared" si="4"/>
        <v>733.33333333333337</v>
      </c>
      <c r="I7" s="14">
        <f t="shared" si="4"/>
        <v>782.22222222222217</v>
      </c>
      <c r="J7" s="13">
        <f t="shared" si="4"/>
        <v>825</v>
      </c>
      <c r="K7" s="14">
        <f t="shared" si="4"/>
        <v>880</v>
      </c>
      <c r="L7" s="13">
        <f t="shared" si="4"/>
        <v>938.66666666666663</v>
      </c>
      <c r="M7" s="15">
        <f t="shared" si="4"/>
        <v>990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2.25" customHeight="1" x14ac:dyDescent="0.25">
      <c r="A8" s="11">
        <v>6</v>
      </c>
      <c r="B8" s="12">
        <f t="shared" ref="B8:M8" si="5">B7*2</f>
        <v>1056</v>
      </c>
      <c r="C8" s="13">
        <f t="shared" si="5"/>
        <v>1100</v>
      </c>
      <c r="D8" s="14">
        <f t="shared" si="5"/>
        <v>1173.3333333333333</v>
      </c>
      <c r="E8" s="13">
        <f t="shared" si="5"/>
        <v>1237.5</v>
      </c>
      <c r="F8" s="14">
        <f t="shared" si="5"/>
        <v>1320</v>
      </c>
      <c r="G8" s="14">
        <f t="shared" si="5"/>
        <v>1408</v>
      </c>
      <c r="H8" s="13">
        <f t="shared" si="5"/>
        <v>1466.6666666666667</v>
      </c>
      <c r="I8" s="14">
        <f t="shared" si="5"/>
        <v>1564.4444444444443</v>
      </c>
      <c r="J8" s="13">
        <f t="shared" si="5"/>
        <v>1650</v>
      </c>
      <c r="K8" s="14">
        <f t="shared" si="5"/>
        <v>1760</v>
      </c>
      <c r="L8" s="13">
        <f t="shared" si="5"/>
        <v>1877.3333333333333</v>
      </c>
      <c r="M8" s="15">
        <f t="shared" si="5"/>
        <v>1980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2.25" customHeight="1" x14ac:dyDescent="0.25">
      <c r="A9" s="11">
        <v>7</v>
      </c>
      <c r="B9" s="12">
        <f t="shared" ref="B9:M9" si="6">B8*2</f>
        <v>2112</v>
      </c>
      <c r="C9" s="13">
        <f t="shared" si="6"/>
        <v>2200</v>
      </c>
      <c r="D9" s="14">
        <f t="shared" si="6"/>
        <v>2346.6666666666665</v>
      </c>
      <c r="E9" s="13">
        <f t="shared" si="6"/>
        <v>2475</v>
      </c>
      <c r="F9" s="14">
        <f t="shared" si="6"/>
        <v>2640</v>
      </c>
      <c r="G9" s="14">
        <f t="shared" si="6"/>
        <v>2816</v>
      </c>
      <c r="H9" s="13">
        <f t="shared" si="6"/>
        <v>2933.3333333333335</v>
      </c>
      <c r="I9" s="14">
        <f t="shared" si="6"/>
        <v>3128.8888888888887</v>
      </c>
      <c r="J9" s="13">
        <f t="shared" si="6"/>
        <v>3300</v>
      </c>
      <c r="K9" s="14">
        <f t="shared" si="6"/>
        <v>3520</v>
      </c>
      <c r="L9" s="13">
        <f t="shared" si="6"/>
        <v>3754.6666666666665</v>
      </c>
      <c r="M9" s="15">
        <f t="shared" si="6"/>
        <v>3960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2.25" customHeight="1" x14ac:dyDescent="0.25">
      <c r="A10" s="11">
        <v>8</v>
      </c>
      <c r="B10" s="12">
        <f t="shared" ref="B10:M10" si="7">B9*2</f>
        <v>4224</v>
      </c>
      <c r="C10" s="13">
        <f t="shared" si="7"/>
        <v>4400</v>
      </c>
      <c r="D10" s="14">
        <f t="shared" si="7"/>
        <v>4693.333333333333</v>
      </c>
      <c r="E10" s="13">
        <f t="shared" si="7"/>
        <v>4950</v>
      </c>
      <c r="F10" s="14">
        <f t="shared" si="7"/>
        <v>5280</v>
      </c>
      <c r="G10" s="14">
        <f t="shared" si="7"/>
        <v>5632</v>
      </c>
      <c r="H10" s="13">
        <f t="shared" si="7"/>
        <v>5866.666666666667</v>
      </c>
      <c r="I10" s="14">
        <f t="shared" si="7"/>
        <v>6257.7777777777774</v>
      </c>
      <c r="J10" s="13">
        <f t="shared" si="7"/>
        <v>6600</v>
      </c>
      <c r="K10" s="14">
        <f t="shared" si="7"/>
        <v>7040</v>
      </c>
      <c r="L10" s="13">
        <f t="shared" si="7"/>
        <v>7509.333333333333</v>
      </c>
      <c r="M10" s="15">
        <f t="shared" si="7"/>
        <v>7920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2.25" customHeight="1" x14ac:dyDescent="0.25">
      <c r="A11" s="11">
        <v>9</v>
      </c>
      <c r="B11" s="12">
        <f t="shared" ref="B11:M11" si="8">B10*2</f>
        <v>8448</v>
      </c>
      <c r="C11" s="13">
        <f t="shared" si="8"/>
        <v>8800</v>
      </c>
      <c r="D11" s="14">
        <f t="shared" si="8"/>
        <v>9386.6666666666661</v>
      </c>
      <c r="E11" s="13">
        <f t="shared" si="8"/>
        <v>9900</v>
      </c>
      <c r="F11" s="14">
        <f t="shared" si="8"/>
        <v>10560</v>
      </c>
      <c r="G11" s="14">
        <f t="shared" si="8"/>
        <v>11264</v>
      </c>
      <c r="H11" s="13">
        <f t="shared" si="8"/>
        <v>11733.333333333334</v>
      </c>
      <c r="I11" s="14">
        <f t="shared" si="8"/>
        <v>12515.555555555555</v>
      </c>
      <c r="J11" s="13">
        <f t="shared" si="8"/>
        <v>13200</v>
      </c>
      <c r="K11" s="14">
        <f t="shared" si="8"/>
        <v>14080</v>
      </c>
      <c r="L11" s="13">
        <f t="shared" si="8"/>
        <v>15018.666666666666</v>
      </c>
      <c r="M11" s="15">
        <f t="shared" si="8"/>
        <v>15840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2.25" customHeight="1" x14ac:dyDescent="0.25">
      <c r="A12" s="18">
        <v>10</v>
      </c>
      <c r="B12" s="19">
        <f t="shared" ref="B12:M12" si="9">B11*2</f>
        <v>16896</v>
      </c>
      <c r="C12" s="20">
        <f t="shared" si="9"/>
        <v>17600</v>
      </c>
      <c r="D12" s="21">
        <f t="shared" si="9"/>
        <v>18773.333333333332</v>
      </c>
      <c r="E12" s="20">
        <f t="shared" si="9"/>
        <v>19800</v>
      </c>
      <c r="F12" s="21">
        <f t="shared" si="9"/>
        <v>21120</v>
      </c>
      <c r="G12" s="21">
        <f t="shared" si="9"/>
        <v>22528</v>
      </c>
      <c r="H12" s="20">
        <f t="shared" si="9"/>
        <v>23466.666666666668</v>
      </c>
      <c r="I12" s="21">
        <f t="shared" si="9"/>
        <v>25031.111111111109</v>
      </c>
      <c r="J12" s="20">
        <f t="shared" si="9"/>
        <v>26400</v>
      </c>
      <c r="K12" s="21">
        <f t="shared" si="9"/>
        <v>28160</v>
      </c>
      <c r="L12" s="20">
        <f t="shared" si="9"/>
        <v>30037.333333333332</v>
      </c>
      <c r="M12" s="22">
        <f t="shared" si="9"/>
        <v>31680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59" t="s">
        <v>26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26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26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2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8.42578125" customWidth="1"/>
    <col min="2" max="13" width="14.140625" customWidth="1"/>
    <col min="14" max="26" width="8.7109375" customWidth="1"/>
  </cols>
  <sheetData>
    <row r="1" spans="1:13" ht="21.7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21.75" customHeight="1" x14ac:dyDescent="0.25">
      <c r="A2" s="11">
        <v>0</v>
      </c>
      <c r="B2" s="7">
        <f t="shared" ref="B2:M2" si="0">B3/2</f>
        <v>16.518630981445313</v>
      </c>
      <c r="C2" s="8">
        <f t="shared" si="0"/>
        <v>17.168114616674288</v>
      </c>
      <c r="D2" s="9">
        <f t="shared" si="0"/>
        <v>18.333333333333332</v>
      </c>
      <c r="E2" s="8">
        <f t="shared" si="0"/>
        <v>19.57763671875</v>
      </c>
      <c r="F2" s="9">
        <f t="shared" si="0"/>
        <v>20.625</v>
      </c>
      <c r="G2" s="9">
        <f t="shared" si="0"/>
        <v>22.02484130859375</v>
      </c>
      <c r="H2" s="8">
        <f t="shared" si="0"/>
        <v>23.203125</v>
      </c>
      <c r="I2" s="9">
        <f t="shared" si="0"/>
        <v>24.777946472167969</v>
      </c>
      <c r="J2" s="8">
        <f t="shared" si="0"/>
        <v>26.103515625</v>
      </c>
      <c r="K2" s="9">
        <f t="shared" si="0"/>
        <v>27.5</v>
      </c>
      <c r="L2" s="8">
        <f t="shared" si="0"/>
        <v>29.366455078125</v>
      </c>
      <c r="M2" s="10">
        <f t="shared" si="0"/>
        <v>30.9375</v>
      </c>
    </row>
    <row r="3" spans="1:13" ht="21.75" customHeight="1" x14ac:dyDescent="0.25">
      <c r="A3" s="11">
        <v>1</v>
      </c>
      <c r="B3" s="12">
        <f t="shared" ref="B3:M3" si="1">B4/2</f>
        <v>33.037261962890625</v>
      </c>
      <c r="C3" s="13">
        <f t="shared" si="1"/>
        <v>34.336229233348575</v>
      </c>
      <c r="D3" s="14">
        <f t="shared" si="1"/>
        <v>36.666666666666664</v>
      </c>
      <c r="E3" s="13">
        <f t="shared" si="1"/>
        <v>39.1552734375</v>
      </c>
      <c r="F3" s="14">
        <f t="shared" si="1"/>
        <v>41.25</v>
      </c>
      <c r="G3" s="14">
        <f t="shared" si="1"/>
        <v>44.0496826171875</v>
      </c>
      <c r="H3" s="13">
        <f t="shared" si="1"/>
        <v>46.40625</v>
      </c>
      <c r="I3" s="14">
        <f t="shared" si="1"/>
        <v>49.555892944335938</v>
      </c>
      <c r="J3" s="13">
        <f t="shared" si="1"/>
        <v>52.20703125</v>
      </c>
      <c r="K3" s="14">
        <f t="shared" si="1"/>
        <v>55</v>
      </c>
      <c r="L3" s="13">
        <f t="shared" si="1"/>
        <v>58.73291015625</v>
      </c>
      <c r="M3" s="15">
        <f t="shared" si="1"/>
        <v>61.875</v>
      </c>
    </row>
    <row r="4" spans="1:13" ht="21.75" customHeight="1" x14ac:dyDescent="0.25">
      <c r="A4" s="11">
        <v>2</v>
      </c>
      <c r="B4" s="12">
        <f t="shared" ref="B4:M4" si="2">B5/2</f>
        <v>66.07452392578125</v>
      </c>
      <c r="C4" s="13">
        <f t="shared" si="2"/>
        <v>68.672458466697151</v>
      </c>
      <c r="D4" s="14">
        <f t="shared" si="2"/>
        <v>73.333333333333329</v>
      </c>
      <c r="E4" s="13">
        <f t="shared" si="2"/>
        <v>78.310546875</v>
      </c>
      <c r="F4" s="14">
        <f t="shared" si="2"/>
        <v>82.5</v>
      </c>
      <c r="G4" s="14">
        <f t="shared" si="2"/>
        <v>88.099365234375</v>
      </c>
      <c r="H4" s="13">
        <f t="shared" si="2"/>
        <v>92.8125</v>
      </c>
      <c r="I4" s="14">
        <f t="shared" si="2"/>
        <v>99.111785888671875</v>
      </c>
      <c r="J4" s="13">
        <f t="shared" si="2"/>
        <v>104.4140625</v>
      </c>
      <c r="K4" s="14">
        <f t="shared" si="2"/>
        <v>110</v>
      </c>
      <c r="L4" s="13">
        <f t="shared" si="2"/>
        <v>117.4658203125</v>
      </c>
      <c r="M4" s="15">
        <f t="shared" si="2"/>
        <v>123.75</v>
      </c>
    </row>
    <row r="5" spans="1:13" ht="21.75" customHeight="1" x14ac:dyDescent="0.25">
      <c r="A5" s="11">
        <v>3</v>
      </c>
      <c r="B5" s="12">
        <f t="shared" ref="B5:M5" si="3">B6/2</f>
        <v>132.1490478515625</v>
      </c>
      <c r="C5" s="13">
        <f t="shared" si="3"/>
        <v>137.3449169333943</v>
      </c>
      <c r="D5" s="14">
        <f t="shared" si="3"/>
        <v>146.66666666666666</v>
      </c>
      <c r="E5" s="13">
        <f t="shared" si="3"/>
        <v>156.62109375</v>
      </c>
      <c r="F5" s="14">
        <f t="shared" si="3"/>
        <v>165</v>
      </c>
      <c r="G5" s="14">
        <f t="shared" si="3"/>
        <v>176.19873046875</v>
      </c>
      <c r="H5" s="13">
        <f t="shared" si="3"/>
        <v>185.625</v>
      </c>
      <c r="I5" s="14">
        <f t="shared" si="3"/>
        <v>198.22357177734375</v>
      </c>
      <c r="J5" s="13">
        <f t="shared" si="3"/>
        <v>208.828125</v>
      </c>
      <c r="K5" s="14">
        <f t="shared" si="3"/>
        <v>220</v>
      </c>
      <c r="L5" s="13">
        <f t="shared" si="3"/>
        <v>234.931640625</v>
      </c>
      <c r="M5" s="15">
        <f t="shared" si="3"/>
        <v>247.5</v>
      </c>
    </row>
    <row r="6" spans="1:13" ht="21.75" customHeight="1" x14ac:dyDescent="0.25">
      <c r="A6" s="11">
        <v>4</v>
      </c>
      <c r="B6" s="12">
        <f>K6*((3/2)^9)/2^6</f>
        <v>264.298095703125</v>
      </c>
      <c r="C6" s="13">
        <f>K6/((3/2)^8)*2^4</f>
        <v>274.6898338667886</v>
      </c>
      <c r="D6" s="14">
        <f>K6*(4/3)/2</f>
        <v>293.33333333333331</v>
      </c>
      <c r="E6" s="13">
        <f>K6*((3/2)^6)/2^4</f>
        <v>313.2421875</v>
      </c>
      <c r="F6" s="14">
        <f>K6*(3/2)/2</f>
        <v>330</v>
      </c>
      <c r="G6" s="14">
        <f>K6*((3/2)^8)/2^5</f>
        <v>352.3974609375</v>
      </c>
      <c r="H6" s="13">
        <f>K6*((3/2)^3)/2^2</f>
        <v>371.25</v>
      </c>
      <c r="I6" s="14">
        <f>K6*((3/2)^10)/2^6</f>
        <v>396.4471435546875</v>
      </c>
      <c r="J6" s="13">
        <f>K6*((3/2)^5)/2^3</f>
        <v>417.65625</v>
      </c>
      <c r="K6" s="29">
        <v>440</v>
      </c>
      <c r="L6" s="13">
        <f>K6*((3/2)^7)/2^4</f>
        <v>469.86328125</v>
      </c>
      <c r="M6" s="15">
        <f>K6*((3/2)^2)/2</f>
        <v>495</v>
      </c>
    </row>
    <row r="7" spans="1:13" ht="21.75" customHeight="1" x14ac:dyDescent="0.25">
      <c r="A7" s="11">
        <v>5</v>
      </c>
      <c r="B7" s="12">
        <f t="shared" ref="B7:M7" si="4">B6*2</f>
        <v>528.59619140625</v>
      </c>
      <c r="C7" s="13">
        <f t="shared" si="4"/>
        <v>549.37966773357721</v>
      </c>
      <c r="D7" s="14">
        <f t="shared" si="4"/>
        <v>586.66666666666663</v>
      </c>
      <c r="E7" s="13">
        <f t="shared" si="4"/>
        <v>626.484375</v>
      </c>
      <c r="F7" s="14">
        <f t="shared" si="4"/>
        <v>660</v>
      </c>
      <c r="G7" s="14">
        <f t="shared" si="4"/>
        <v>704.794921875</v>
      </c>
      <c r="H7" s="13">
        <f t="shared" si="4"/>
        <v>742.5</v>
      </c>
      <c r="I7" s="14">
        <f t="shared" si="4"/>
        <v>792.894287109375</v>
      </c>
      <c r="J7" s="13">
        <f t="shared" si="4"/>
        <v>835.3125</v>
      </c>
      <c r="K7" s="14">
        <f t="shared" si="4"/>
        <v>880</v>
      </c>
      <c r="L7" s="13">
        <f t="shared" si="4"/>
        <v>939.7265625</v>
      </c>
      <c r="M7" s="15">
        <f t="shared" si="4"/>
        <v>990</v>
      </c>
    </row>
    <row r="8" spans="1:13" ht="21.75" customHeight="1" x14ac:dyDescent="0.25">
      <c r="A8" s="11">
        <v>6</v>
      </c>
      <c r="B8" s="12">
        <f t="shared" ref="B8:M8" si="5">B7*2</f>
        <v>1057.1923828125</v>
      </c>
      <c r="C8" s="13">
        <f t="shared" si="5"/>
        <v>1098.7593354671544</v>
      </c>
      <c r="D8" s="14">
        <f t="shared" si="5"/>
        <v>1173.3333333333333</v>
      </c>
      <c r="E8" s="13">
        <f t="shared" si="5"/>
        <v>1252.96875</v>
      </c>
      <c r="F8" s="14">
        <f t="shared" si="5"/>
        <v>1320</v>
      </c>
      <c r="G8" s="14">
        <f t="shared" si="5"/>
        <v>1409.58984375</v>
      </c>
      <c r="H8" s="13">
        <f t="shared" si="5"/>
        <v>1485</v>
      </c>
      <c r="I8" s="14">
        <f t="shared" si="5"/>
        <v>1585.78857421875</v>
      </c>
      <c r="J8" s="13">
        <f t="shared" si="5"/>
        <v>1670.625</v>
      </c>
      <c r="K8" s="14">
        <f t="shared" si="5"/>
        <v>1760</v>
      </c>
      <c r="L8" s="13">
        <f t="shared" si="5"/>
        <v>1879.453125</v>
      </c>
      <c r="M8" s="15">
        <f t="shared" si="5"/>
        <v>1980</v>
      </c>
    </row>
    <row r="9" spans="1:13" ht="21.75" customHeight="1" x14ac:dyDescent="0.25">
      <c r="A9" s="11">
        <v>7</v>
      </c>
      <c r="B9" s="12">
        <f t="shared" ref="B9:M9" si="6">B8*2</f>
        <v>2114.384765625</v>
      </c>
      <c r="C9" s="13">
        <f t="shared" si="6"/>
        <v>2197.5186709343088</v>
      </c>
      <c r="D9" s="14">
        <f t="shared" si="6"/>
        <v>2346.6666666666665</v>
      </c>
      <c r="E9" s="13">
        <f t="shared" si="6"/>
        <v>2505.9375</v>
      </c>
      <c r="F9" s="14">
        <f t="shared" si="6"/>
        <v>2640</v>
      </c>
      <c r="G9" s="14">
        <f t="shared" si="6"/>
        <v>2819.1796875</v>
      </c>
      <c r="H9" s="13">
        <f t="shared" si="6"/>
        <v>2970</v>
      </c>
      <c r="I9" s="14">
        <f t="shared" si="6"/>
        <v>3171.5771484375</v>
      </c>
      <c r="J9" s="13">
        <f t="shared" si="6"/>
        <v>3341.25</v>
      </c>
      <c r="K9" s="14">
        <f t="shared" si="6"/>
        <v>3520</v>
      </c>
      <c r="L9" s="13">
        <f t="shared" si="6"/>
        <v>3758.90625</v>
      </c>
      <c r="M9" s="15">
        <f t="shared" si="6"/>
        <v>3960</v>
      </c>
    </row>
    <row r="10" spans="1:13" ht="21.75" customHeight="1" x14ac:dyDescent="0.25">
      <c r="A10" s="11">
        <v>8</v>
      </c>
      <c r="B10" s="12">
        <f t="shared" ref="B10:M10" si="7">B9*2</f>
        <v>4228.76953125</v>
      </c>
      <c r="C10" s="13">
        <f t="shared" si="7"/>
        <v>4395.0373418686177</v>
      </c>
      <c r="D10" s="14">
        <f t="shared" si="7"/>
        <v>4693.333333333333</v>
      </c>
      <c r="E10" s="13">
        <f t="shared" si="7"/>
        <v>5011.875</v>
      </c>
      <c r="F10" s="14">
        <f t="shared" si="7"/>
        <v>5280</v>
      </c>
      <c r="G10" s="14">
        <f t="shared" si="7"/>
        <v>5638.359375</v>
      </c>
      <c r="H10" s="13">
        <f t="shared" si="7"/>
        <v>5940</v>
      </c>
      <c r="I10" s="14">
        <f t="shared" si="7"/>
        <v>6343.154296875</v>
      </c>
      <c r="J10" s="13">
        <f t="shared" si="7"/>
        <v>6682.5</v>
      </c>
      <c r="K10" s="14">
        <f t="shared" si="7"/>
        <v>7040</v>
      </c>
      <c r="L10" s="13">
        <f t="shared" si="7"/>
        <v>7517.8125</v>
      </c>
      <c r="M10" s="15">
        <f t="shared" si="7"/>
        <v>7920</v>
      </c>
    </row>
    <row r="11" spans="1:13" ht="21.75" customHeight="1" x14ac:dyDescent="0.25">
      <c r="A11" s="11">
        <v>9</v>
      </c>
      <c r="B11" s="12">
        <f t="shared" ref="B11:M11" si="8">B10*2</f>
        <v>8457.5390625</v>
      </c>
      <c r="C11" s="13">
        <f t="shared" si="8"/>
        <v>8790.0746837372353</v>
      </c>
      <c r="D11" s="14">
        <f t="shared" si="8"/>
        <v>9386.6666666666661</v>
      </c>
      <c r="E11" s="13">
        <f t="shared" si="8"/>
        <v>10023.75</v>
      </c>
      <c r="F11" s="14">
        <f t="shared" si="8"/>
        <v>10560</v>
      </c>
      <c r="G11" s="14">
        <f t="shared" si="8"/>
        <v>11276.71875</v>
      </c>
      <c r="H11" s="13">
        <f t="shared" si="8"/>
        <v>11880</v>
      </c>
      <c r="I11" s="14">
        <f t="shared" si="8"/>
        <v>12686.30859375</v>
      </c>
      <c r="J11" s="13">
        <f t="shared" si="8"/>
        <v>13365</v>
      </c>
      <c r="K11" s="14">
        <f t="shared" si="8"/>
        <v>14080</v>
      </c>
      <c r="L11" s="13">
        <f t="shared" si="8"/>
        <v>15035.625</v>
      </c>
      <c r="M11" s="15">
        <f t="shared" si="8"/>
        <v>15840</v>
      </c>
    </row>
    <row r="12" spans="1:13" ht="21.75" customHeight="1" x14ac:dyDescent="0.25">
      <c r="A12" s="18">
        <v>10</v>
      </c>
      <c r="B12" s="19">
        <f t="shared" ref="B12:M12" si="9">B11*2</f>
        <v>16915.078125</v>
      </c>
      <c r="C12" s="20">
        <f t="shared" si="9"/>
        <v>17580.149367474471</v>
      </c>
      <c r="D12" s="21">
        <f t="shared" si="9"/>
        <v>18773.333333333332</v>
      </c>
      <c r="E12" s="20">
        <f t="shared" si="9"/>
        <v>20047.5</v>
      </c>
      <c r="F12" s="21">
        <f t="shared" si="9"/>
        <v>21120</v>
      </c>
      <c r="G12" s="21">
        <f t="shared" si="9"/>
        <v>22553.4375</v>
      </c>
      <c r="H12" s="20">
        <f t="shared" si="9"/>
        <v>23760</v>
      </c>
      <c r="I12" s="21">
        <f t="shared" si="9"/>
        <v>25372.6171875</v>
      </c>
      <c r="J12" s="20">
        <f t="shared" si="9"/>
        <v>26730</v>
      </c>
      <c r="K12" s="21">
        <f t="shared" si="9"/>
        <v>28160</v>
      </c>
      <c r="L12" s="20">
        <f t="shared" si="9"/>
        <v>30071.25</v>
      </c>
      <c r="M12" s="22">
        <f t="shared" si="9"/>
        <v>31680</v>
      </c>
    </row>
    <row r="13" spans="1:13" ht="21.75" customHeight="1" x14ac:dyDescent="0.25">
      <c r="A13" s="70" t="s">
        <v>27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ht="21.75" customHeight="1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ht="21.75" customHeight="1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1"/>
      <c r="B16" s="2" t="s">
        <v>0</v>
      </c>
      <c r="C16" s="3" t="s">
        <v>1</v>
      </c>
      <c r="D16" s="4" t="s">
        <v>2</v>
      </c>
      <c r="E16" s="3" t="s">
        <v>3</v>
      </c>
      <c r="F16" s="2" t="s">
        <v>4</v>
      </c>
      <c r="G16" s="2" t="s">
        <v>5</v>
      </c>
      <c r="H16" s="3" t="s">
        <v>6</v>
      </c>
      <c r="I16" s="2" t="s">
        <v>7</v>
      </c>
      <c r="J16" s="3" t="s">
        <v>8</v>
      </c>
      <c r="K16" s="2" t="s">
        <v>9</v>
      </c>
      <c r="L16" s="3" t="s">
        <v>10</v>
      </c>
      <c r="M16" s="2" t="s">
        <v>11</v>
      </c>
    </row>
    <row r="17" spans="1:13" x14ac:dyDescent="0.25">
      <c r="A17" s="11">
        <v>0</v>
      </c>
      <c r="B17" s="7">
        <f t="shared" ref="B17:M17" si="10">B18/2</f>
        <v>16.296296296296294</v>
      </c>
      <c r="C17" s="8">
        <f t="shared" si="10"/>
        <v>17.40234375</v>
      </c>
      <c r="D17" s="9">
        <f t="shared" si="10"/>
        <v>18.333333333333332</v>
      </c>
      <c r="E17" s="8">
        <f t="shared" si="10"/>
        <v>19.57763671875</v>
      </c>
      <c r="F17" s="9">
        <f t="shared" si="10"/>
        <v>20.625</v>
      </c>
      <c r="G17" s="9">
        <f t="shared" si="10"/>
        <v>21.728395061728392</v>
      </c>
      <c r="H17" s="8">
        <f t="shared" si="10"/>
        <v>23.203125</v>
      </c>
      <c r="I17" s="9">
        <f t="shared" si="10"/>
        <v>24.444444444444443</v>
      </c>
      <c r="J17" s="8">
        <f t="shared" si="10"/>
        <v>26.103515625</v>
      </c>
      <c r="K17" s="9">
        <f t="shared" si="10"/>
        <v>27.5</v>
      </c>
      <c r="L17" s="8">
        <f t="shared" si="10"/>
        <v>28.971193415637863</v>
      </c>
      <c r="M17" s="10">
        <f t="shared" si="10"/>
        <v>30.9375</v>
      </c>
    </row>
    <row r="18" spans="1:13" x14ac:dyDescent="0.25">
      <c r="A18" s="11">
        <v>1</v>
      </c>
      <c r="B18" s="12">
        <f t="shared" ref="B18:M18" si="11">B19/2</f>
        <v>32.592592592592588</v>
      </c>
      <c r="C18" s="13">
        <f t="shared" si="11"/>
        <v>34.8046875</v>
      </c>
      <c r="D18" s="14">
        <f t="shared" si="11"/>
        <v>36.666666666666664</v>
      </c>
      <c r="E18" s="13">
        <f t="shared" si="11"/>
        <v>39.1552734375</v>
      </c>
      <c r="F18" s="14">
        <f t="shared" si="11"/>
        <v>41.25</v>
      </c>
      <c r="G18" s="14">
        <f t="shared" si="11"/>
        <v>43.456790123456784</v>
      </c>
      <c r="H18" s="13">
        <f t="shared" si="11"/>
        <v>46.40625</v>
      </c>
      <c r="I18" s="14">
        <f t="shared" si="11"/>
        <v>48.888888888888886</v>
      </c>
      <c r="J18" s="13">
        <f t="shared" si="11"/>
        <v>52.20703125</v>
      </c>
      <c r="K18" s="14">
        <f t="shared" si="11"/>
        <v>55</v>
      </c>
      <c r="L18" s="13">
        <f t="shared" si="11"/>
        <v>57.942386831275726</v>
      </c>
      <c r="M18" s="15">
        <f t="shared" si="11"/>
        <v>61.875</v>
      </c>
    </row>
    <row r="19" spans="1:13" x14ac:dyDescent="0.25">
      <c r="A19" s="11">
        <v>2</v>
      </c>
      <c r="B19" s="12">
        <f t="shared" ref="B19:M19" si="12">B20/2</f>
        <v>65.185185185185176</v>
      </c>
      <c r="C19" s="13">
        <f t="shared" si="12"/>
        <v>69.609375</v>
      </c>
      <c r="D19" s="14">
        <f t="shared" si="12"/>
        <v>73.333333333333329</v>
      </c>
      <c r="E19" s="13">
        <f t="shared" si="12"/>
        <v>78.310546875</v>
      </c>
      <c r="F19" s="14">
        <f t="shared" si="12"/>
        <v>82.5</v>
      </c>
      <c r="G19" s="14">
        <f t="shared" si="12"/>
        <v>86.913580246913568</v>
      </c>
      <c r="H19" s="13">
        <f t="shared" si="12"/>
        <v>92.8125</v>
      </c>
      <c r="I19" s="14">
        <f t="shared" si="12"/>
        <v>97.777777777777771</v>
      </c>
      <c r="J19" s="13">
        <f t="shared" si="12"/>
        <v>104.4140625</v>
      </c>
      <c r="K19" s="14">
        <f t="shared" si="12"/>
        <v>110</v>
      </c>
      <c r="L19" s="13">
        <f t="shared" si="12"/>
        <v>115.88477366255145</v>
      </c>
      <c r="M19" s="15">
        <f t="shared" si="12"/>
        <v>123.75</v>
      </c>
    </row>
    <row r="20" spans="1:13" x14ac:dyDescent="0.25">
      <c r="A20" s="11">
        <v>3</v>
      </c>
      <c r="B20" s="12">
        <f t="shared" ref="B20:M20" si="13">B21/2</f>
        <v>130.37037037037035</v>
      </c>
      <c r="C20" s="13">
        <f t="shared" si="13"/>
        <v>139.21875</v>
      </c>
      <c r="D20" s="14">
        <f t="shared" si="13"/>
        <v>146.66666666666666</v>
      </c>
      <c r="E20" s="13">
        <f t="shared" si="13"/>
        <v>156.62109375</v>
      </c>
      <c r="F20" s="14">
        <f t="shared" si="13"/>
        <v>165</v>
      </c>
      <c r="G20" s="14">
        <f t="shared" si="13"/>
        <v>173.82716049382714</v>
      </c>
      <c r="H20" s="13">
        <f t="shared" si="13"/>
        <v>185.625</v>
      </c>
      <c r="I20" s="14">
        <f t="shared" si="13"/>
        <v>195.55555555555554</v>
      </c>
      <c r="J20" s="13">
        <f t="shared" si="13"/>
        <v>208.828125</v>
      </c>
      <c r="K20" s="14">
        <f t="shared" si="13"/>
        <v>220</v>
      </c>
      <c r="L20" s="13">
        <f t="shared" si="13"/>
        <v>231.76954732510291</v>
      </c>
      <c r="M20" s="15">
        <f t="shared" si="13"/>
        <v>247.5</v>
      </c>
    </row>
    <row r="21" spans="1:13" x14ac:dyDescent="0.25">
      <c r="A21" s="11">
        <v>4</v>
      </c>
      <c r="B21" s="12">
        <f>K21*(32/27)/2</f>
        <v>260.7407407407407</v>
      </c>
      <c r="C21" s="13">
        <f>K21*(81/64)/2</f>
        <v>278.4375</v>
      </c>
      <c r="D21" s="14">
        <f>K21*(4/3)/2</f>
        <v>293.33333333333331</v>
      </c>
      <c r="E21" s="13">
        <f>K21*(729/512)/2</f>
        <v>313.2421875</v>
      </c>
      <c r="F21" s="14">
        <f>K21*(3/2)/2</f>
        <v>330</v>
      </c>
      <c r="G21" s="14">
        <f>K21*(128/81)/2</f>
        <v>347.65432098765427</v>
      </c>
      <c r="H21" s="13">
        <f>K21*(27/16)/2</f>
        <v>371.25</v>
      </c>
      <c r="I21" s="14">
        <f>K21*(16/9)/2</f>
        <v>391.11111111111109</v>
      </c>
      <c r="J21" s="13">
        <f>K21*(243/128)/2</f>
        <v>417.65625</v>
      </c>
      <c r="K21" s="29">
        <v>440</v>
      </c>
      <c r="L21" s="13">
        <f>K21*(256/243)</f>
        <v>463.53909465020581</v>
      </c>
      <c r="M21" s="15">
        <f>K21*(9/8)</f>
        <v>495</v>
      </c>
    </row>
    <row r="22" spans="1:13" x14ac:dyDescent="0.25">
      <c r="A22" s="11">
        <v>5</v>
      </c>
      <c r="B22" s="12">
        <f t="shared" ref="B22:M22" si="14">B21*2</f>
        <v>521.48148148148141</v>
      </c>
      <c r="C22" s="13">
        <f t="shared" si="14"/>
        <v>556.875</v>
      </c>
      <c r="D22" s="14">
        <f t="shared" si="14"/>
        <v>586.66666666666663</v>
      </c>
      <c r="E22" s="13">
        <f t="shared" si="14"/>
        <v>626.484375</v>
      </c>
      <c r="F22" s="14">
        <f t="shared" si="14"/>
        <v>660</v>
      </c>
      <c r="G22" s="14">
        <f t="shared" si="14"/>
        <v>695.30864197530855</v>
      </c>
      <c r="H22" s="13">
        <f t="shared" si="14"/>
        <v>742.5</v>
      </c>
      <c r="I22" s="14">
        <f t="shared" si="14"/>
        <v>782.22222222222217</v>
      </c>
      <c r="J22" s="13">
        <f t="shared" si="14"/>
        <v>835.3125</v>
      </c>
      <c r="K22" s="14">
        <f t="shared" si="14"/>
        <v>880</v>
      </c>
      <c r="L22" s="13">
        <f t="shared" si="14"/>
        <v>927.07818930041162</v>
      </c>
      <c r="M22" s="15">
        <f t="shared" si="14"/>
        <v>990</v>
      </c>
    </row>
    <row r="23" spans="1:13" x14ac:dyDescent="0.25">
      <c r="A23" s="11">
        <v>6</v>
      </c>
      <c r="B23" s="12">
        <f t="shared" ref="B23:M23" si="15">B22*2</f>
        <v>1042.9629629629628</v>
      </c>
      <c r="C23" s="13">
        <f t="shared" si="15"/>
        <v>1113.75</v>
      </c>
      <c r="D23" s="14">
        <f t="shared" si="15"/>
        <v>1173.3333333333333</v>
      </c>
      <c r="E23" s="13">
        <f t="shared" si="15"/>
        <v>1252.96875</v>
      </c>
      <c r="F23" s="14">
        <f t="shared" si="15"/>
        <v>1320</v>
      </c>
      <c r="G23" s="14">
        <f t="shared" si="15"/>
        <v>1390.6172839506171</v>
      </c>
      <c r="H23" s="13">
        <f t="shared" si="15"/>
        <v>1485</v>
      </c>
      <c r="I23" s="14">
        <f t="shared" si="15"/>
        <v>1564.4444444444443</v>
      </c>
      <c r="J23" s="13">
        <f t="shared" si="15"/>
        <v>1670.625</v>
      </c>
      <c r="K23" s="14">
        <f t="shared" si="15"/>
        <v>1760</v>
      </c>
      <c r="L23" s="13">
        <f t="shared" si="15"/>
        <v>1854.1563786008232</v>
      </c>
      <c r="M23" s="15">
        <f t="shared" si="15"/>
        <v>1980</v>
      </c>
    </row>
    <row r="24" spans="1:13" x14ac:dyDescent="0.25">
      <c r="A24" s="11">
        <v>7</v>
      </c>
      <c r="B24" s="12">
        <f t="shared" ref="B24:M24" si="16">B23*2</f>
        <v>2085.9259259259256</v>
      </c>
      <c r="C24" s="13">
        <f t="shared" si="16"/>
        <v>2227.5</v>
      </c>
      <c r="D24" s="14">
        <f t="shared" si="16"/>
        <v>2346.6666666666665</v>
      </c>
      <c r="E24" s="13">
        <f t="shared" si="16"/>
        <v>2505.9375</v>
      </c>
      <c r="F24" s="14">
        <f t="shared" si="16"/>
        <v>2640</v>
      </c>
      <c r="G24" s="14">
        <f t="shared" si="16"/>
        <v>2781.2345679012342</v>
      </c>
      <c r="H24" s="13">
        <f t="shared" si="16"/>
        <v>2970</v>
      </c>
      <c r="I24" s="14">
        <f t="shared" si="16"/>
        <v>3128.8888888888887</v>
      </c>
      <c r="J24" s="13">
        <f t="shared" si="16"/>
        <v>3341.25</v>
      </c>
      <c r="K24" s="14">
        <f t="shared" si="16"/>
        <v>3520</v>
      </c>
      <c r="L24" s="13">
        <f t="shared" si="16"/>
        <v>3708.3127572016465</v>
      </c>
      <c r="M24" s="15">
        <f t="shared" si="16"/>
        <v>3960</v>
      </c>
    </row>
    <row r="25" spans="1:13" x14ac:dyDescent="0.25">
      <c r="A25" s="11">
        <v>8</v>
      </c>
      <c r="B25" s="12">
        <f t="shared" ref="B25:M25" si="17">B24*2</f>
        <v>4171.8518518518513</v>
      </c>
      <c r="C25" s="13">
        <f t="shared" si="17"/>
        <v>4455</v>
      </c>
      <c r="D25" s="14">
        <f t="shared" si="17"/>
        <v>4693.333333333333</v>
      </c>
      <c r="E25" s="13">
        <f t="shared" si="17"/>
        <v>5011.875</v>
      </c>
      <c r="F25" s="14">
        <f t="shared" si="17"/>
        <v>5280</v>
      </c>
      <c r="G25" s="14">
        <f t="shared" si="17"/>
        <v>5562.4691358024684</v>
      </c>
      <c r="H25" s="13">
        <f t="shared" si="17"/>
        <v>5940</v>
      </c>
      <c r="I25" s="14">
        <f t="shared" si="17"/>
        <v>6257.7777777777774</v>
      </c>
      <c r="J25" s="13">
        <f t="shared" si="17"/>
        <v>6682.5</v>
      </c>
      <c r="K25" s="14">
        <f t="shared" si="17"/>
        <v>7040</v>
      </c>
      <c r="L25" s="13">
        <f t="shared" si="17"/>
        <v>7416.625514403293</v>
      </c>
      <c r="M25" s="15">
        <f t="shared" si="17"/>
        <v>7920</v>
      </c>
    </row>
    <row r="26" spans="1:13" x14ac:dyDescent="0.25">
      <c r="A26" s="11">
        <v>9</v>
      </c>
      <c r="B26" s="12">
        <f t="shared" ref="B26:M26" si="18">B25*2</f>
        <v>8343.7037037037026</v>
      </c>
      <c r="C26" s="13">
        <f t="shared" si="18"/>
        <v>8910</v>
      </c>
      <c r="D26" s="14">
        <f t="shared" si="18"/>
        <v>9386.6666666666661</v>
      </c>
      <c r="E26" s="13">
        <f t="shared" si="18"/>
        <v>10023.75</v>
      </c>
      <c r="F26" s="14">
        <f t="shared" si="18"/>
        <v>10560</v>
      </c>
      <c r="G26" s="14">
        <f t="shared" si="18"/>
        <v>11124.938271604937</v>
      </c>
      <c r="H26" s="13">
        <f t="shared" si="18"/>
        <v>11880</v>
      </c>
      <c r="I26" s="14">
        <f t="shared" si="18"/>
        <v>12515.555555555555</v>
      </c>
      <c r="J26" s="13">
        <f t="shared" si="18"/>
        <v>13365</v>
      </c>
      <c r="K26" s="14">
        <f t="shared" si="18"/>
        <v>14080</v>
      </c>
      <c r="L26" s="13">
        <f t="shared" si="18"/>
        <v>14833.251028806586</v>
      </c>
      <c r="M26" s="15">
        <f t="shared" si="18"/>
        <v>15840</v>
      </c>
    </row>
    <row r="27" spans="1:13" x14ac:dyDescent="0.25">
      <c r="A27" s="18">
        <v>10</v>
      </c>
      <c r="B27" s="19">
        <f t="shared" ref="B27:M27" si="19">B26*2</f>
        <v>16687.407407407405</v>
      </c>
      <c r="C27" s="20">
        <f t="shared" si="19"/>
        <v>17820</v>
      </c>
      <c r="D27" s="21">
        <f t="shared" si="19"/>
        <v>18773.333333333332</v>
      </c>
      <c r="E27" s="20">
        <f t="shared" si="19"/>
        <v>20047.5</v>
      </c>
      <c r="F27" s="21">
        <f t="shared" si="19"/>
        <v>21120</v>
      </c>
      <c r="G27" s="21">
        <f t="shared" si="19"/>
        <v>22249.876543209873</v>
      </c>
      <c r="H27" s="20">
        <f t="shared" si="19"/>
        <v>23760</v>
      </c>
      <c r="I27" s="21">
        <f t="shared" si="19"/>
        <v>25031.111111111109</v>
      </c>
      <c r="J27" s="20">
        <f t="shared" si="19"/>
        <v>26730</v>
      </c>
      <c r="K27" s="21">
        <f t="shared" si="19"/>
        <v>28160</v>
      </c>
      <c r="L27" s="20">
        <f t="shared" si="19"/>
        <v>29666.502057613172</v>
      </c>
      <c r="M27" s="22">
        <f t="shared" si="19"/>
        <v>31680</v>
      </c>
    </row>
    <row r="28" spans="1:13" x14ac:dyDescent="0.25">
      <c r="A28" s="70" t="s">
        <v>28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</row>
    <row r="29" spans="1:13" x14ac:dyDescent="0.25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4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68" t="s">
        <v>14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x14ac:dyDescent="0.25">
      <c r="A32" s="23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4">
    <mergeCell ref="A13:M14"/>
    <mergeCell ref="A15:F15"/>
    <mergeCell ref="A28:M29"/>
    <mergeCell ref="B31:M3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</v>
      </c>
      <c r="C2" s="8">
        <f t="shared" si="0"/>
        <v>16.799999999999997</v>
      </c>
      <c r="D2" s="9">
        <f t="shared" si="0"/>
        <v>18</v>
      </c>
      <c r="E2" s="8">
        <f t="shared" si="0"/>
        <v>19.200000000000003</v>
      </c>
      <c r="F2" s="9">
        <f t="shared" si="0"/>
        <v>20</v>
      </c>
      <c r="G2" s="9">
        <f t="shared" si="0"/>
        <v>21.6</v>
      </c>
      <c r="H2" s="8">
        <f t="shared" si="0"/>
        <v>22.5</v>
      </c>
      <c r="I2" s="9">
        <f t="shared" si="0"/>
        <v>24</v>
      </c>
      <c r="J2" s="8">
        <f t="shared" si="0"/>
        <v>25.6</v>
      </c>
      <c r="K2" s="9">
        <f t="shared" si="0"/>
        <v>27</v>
      </c>
      <c r="L2" s="8">
        <f t="shared" si="0"/>
        <v>28.799999999999997</v>
      </c>
      <c r="M2" s="10">
        <f t="shared" si="0"/>
        <v>30</v>
      </c>
    </row>
    <row r="3" spans="1:13" ht="32.25" customHeight="1" x14ac:dyDescent="0.25">
      <c r="A3" s="11">
        <v>1</v>
      </c>
      <c r="B3" s="12">
        <f t="shared" ref="B3:M3" si="1">B4/2</f>
        <v>32</v>
      </c>
      <c r="C3" s="13">
        <f t="shared" si="1"/>
        <v>33.599999999999994</v>
      </c>
      <c r="D3" s="14">
        <f t="shared" si="1"/>
        <v>36</v>
      </c>
      <c r="E3" s="13">
        <f t="shared" si="1"/>
        <v>38.400000000000006</v>
      </c>
      <c r="F3" s="14">
        <f t="shared" si="1"/>
        <v>40</v>
      </c>
      <c r="G3" s="14">
        <f t="shared" si="1"/>
        <v>43.2</v>
      </c>
      <c r="H3" s="13">
        <f t="shared" si="1"/>
        <v>45</v>
      </c>
      <c r="I3" s="14">
        <f t="shared" si="1"/>
        <v>48</v>
      </c>
      <c r="J3" s="13">
        <f t="shared" si="1"/>
        <v>51.2</v>
      </c>
      <c r="K3" s="14">
        <f t="shared" si="1"/>
        <v>54</v>
      </c>
      <c r="L3" s="13">
        <f t="shared" si="1"/>
        <v>57.599999999999994</v>
      </c>
      <c r="M3" s="15">
        <f t="shared" si="1"/>
        <v>60</v>
      </c>
    </row>
    <row r="4" spans="1:13" ht="32.25" customHeight="1" x14ac:dyDescent="0.25">
      <c r="A4" s="11">
        <v>2</v>
      </c>
      <c r="B4" s="12">
        <f t="shared" ref="B4:M4" si="2">B5/2</f>
        <v>64</v>
      </c>
      <c r="C4" s="13">
        <f t="shared" si="2"/>
        <v>67.199999999999989</v>
      </c>
      <c r="D4" s="14">
        <f t="shared" si="2"/>
        <v>72</v>
      </c>
      <c r="E4" s="13">
        <f t="shared" si="2"/>
        <v>76.800000000000011</v>
      </c>
      <c r="F4" s="14">
        <f t="shared" si="2"/>
        <v>80</v>
      </c>
      <c r="G4" s="14">
        <f t="shared" si="2"/>
        <v>86.4</v>
      </c>
      <c r="H4" s="13">
        <f t="shared" si="2"/>
        <v>90</v>
      </c>
      <c r="I4" s="14">
        <f t="shared" si="2"/>
        <v>96</v>
      </c>
      <c r="J4" s="13">
        <f t="shared" si="2"/>
        <v>102.4</v>
      </c>
      <c r="K4" s="14">
        <f t="shared" si="2"/>
        <v>108</v>
      </c>
      <c r="L4" s="13">
        <f t="shared" si="2"/>
        <v>115.19999999999999</v>
      </c>
      <c r="M4" s="15">
        <f t="shared" si="2"/>
        <v>120</v>
      </c>
    </row>
    <row r="5" spans="1:13" ht="32.25" customHeight="1" x14ac:dyDescent="0.25">
      <c r="A5" s="11">
        <v>3</v>
      </c>
      <c r="B5" s="12">
        <f t="shared" ref="B5:M5" si="3">B6/2</f>
        <v>128</v>
      </c>
      <c r="C5" s="13">
        <f t="shared" si="3"/>
        <v>134.39999999999998</v>
      </c>
      <c r="D5" s="14">
        <f t="shared" si="3"/>
        <v>144</v>
      </c>
      <c r="E5" s="13">
        <f t="shared" si="3"/>
        <v>153.60000000000002</v>
      </c>
      <c r="F5" s="14">
        <f t="shared" si="3"/>
        <v>160</v>
      </c>
      <c r="G5" s="14">
        <f t="shared" si="3"/>
        <v>172.8</v>
      </c>
      <c r="H5" s="13">
        <f t="shared" si="3"/>
        <v>180</v>
      </c>
      <c r="I5" s="14">
        <f t="shared" si="3"/>
        <v>192</v>
      </c>
      <c r="J5" s="13">
        <f t="shared" si="3"/>
        <v>204.8</v>
      </c>
      <c r="K5" s="14">
        <f t="shared" si="3"/>
        <v>216</v>
      </c>
      <c r="L5" s="13">
        <f t="shared" si="3"/>
        <v>230.39999999999998</v>
      </c>
      <c r="M5" s="15">
        <f t="shared" si="3"/>
        <v>240</v>
      </c>
    </row>
    <row r="6" spans="1:13" ht="32.25" customHeight="1" x14ac:dyDescent="0.25">
      <c r="A6" s="11">
        <v>4</v>
      </c>
      <c r="B6" s="12">
        <f>I6*(4/3)/2</f>
        <v>256</v>
      </c>
      <c r="C6" s="13">
        <f>I6*(7/5)/2</f>
        <v>268.79999999999995</v>
      </c>
      <c r="D6" s="14">
        <f>I6*(3/2)/2</f>
        <v>288</v>
      </c>
      <c r="E6" s="13">
        <f>I6*(8/5)/2</f>
        <v>307.20000000000005</v>
      </c>
      <c r="F6" s="14">
        <f>I6*(5/3)/2</f>
        <v>320</v>
      </c>
      <c r="G6" s="14">
        <f>I6*(9/5)/2</f>
        <v>345.6</v>
      </c>
      <c r="H6" s="13">
        <f>I6*(15/8)/2</f>
        <v>360</v>
      </c>
      <c r="I6" s="29">
        <v>384</v>
      </c>
      <c r="J6" s="13">
        <f>I6*(16/15)</f>
        <v>409.6</v>
      </c>
      <c r="K6" s="14">
        <f>I6*(9/8)</f>
        <v>432</v>
      </c>
      <c r="L6" s="13">
        <f>I6*(6/5)</f>
        <v>460.79999999999995</v>
      </c>
      <c r="M6" s="15">
        <f>I6*(5/4)</f>
        <v>480</v>
      </c>
    </row>
    <row r="7" spans="1:13" ht="32.25" customHeight="1" x14ac:dyDescent="0.25">
      <c r="A7" s="11">
        <v>5</v>
      </c>
      <c r="B7" s="12">
        <f t="shared" ref="B7:M7" si="4">B6*2</f>
        <v>512</v>
      </c>
      <c r="C7" s="13">
        <f t="shared" si="4"/>
        <v>537.59999999999991</v>
      </c>
      <c r="D7" s="14">
        <f t="shared" si="4"/>
        <v>576</v>
      </c>
      <c r="E7" s="13">
        <f t="shared" si="4"/>
        <v>614.40000000000009</v>
      </c>
      <c r="F7" s="14">
        <f t="shared" si="4"/>
        <v>640</v>
      </c>
      <c r="G7" s="14">
        <f t="shared" si="4"/>
        <v>691.2</v>
      </c>
      <c r="H7" s="13">
        <f t="shared" si="4"/>
        <v>720</v>
      </c>
      <c r="I7" s="14">
        <f t="shared" si="4"/>
        <v>768</v>
      </c>
      <c r="J7" s="13">
        <f t="shared" si="4"/>
        <v>819.2</v>
      </c>
      <c r="K7" s="14">
        <f t="shared" si="4"/>
        <v>864</v>
      </c>
      <c r="L7" s="13">
        <f t="shared" si="4"/>
        <v>921.59999999999991</v>
      </c>
      <c r="M7" s="15">
        <f t="shared" si="4"/>
        <v>960</v>
      </c>
    </row>
    <row r="8" spans="1:13" ht="32.25" customHeight="1" x14ac:dyDescent="0.25">
      <c r="A8" s="11">
        <v>6</v>
      </c>
      <c r="B8" s="12">
        <f t="shared" ref="B8:M8" si="5">B7*2</f>
        <v>1024</v>
      </c>
      <c r="C8" s="13">
        <f t="shared" si="5"/>
        <v>1075.1999999999998</v>
      </c>
      <c r="D8" s="14">
        <f t="shared" si="5"/>
        <v>1152</v>
      </c>
      <c r="E8" s="13">
        <f t="shared" si="5"/>
        <v>1228.8000000000002</v>
      </c>
      <c r="F8" s="14">
        <f t="shared" si="5"/>
        <v>1280</v>
      </c>
      <c r="G8" s="14">
        <f t="shared" si="5"/>
        <v>1382.4</v>
      </c>
      <c r="H8" s="13">
        <f t="shared" si="5"/>
        <v>1440</v>
      </c>
      <c r="I8" s="14">
        <f t="shared" si="5"/>
        <v>1536</v>
      </c>
      <c r="J8" s="13">
        <f t="shared" si="5"/>
        <v>1638.4</v>
      </c>
      <c r="K8" s="14">
        <f t="shared" si="5"/>
        <v>1728</v>
      </c>
      <c r="L8" s="13">
        <f t="shared" si="5"/>
        <v>1843.1999999999998</v>
      </c>
      <c r="M8" s="15">
        <f t="shared" si="5"/>
        <v>1920</v>
      </c>
    </row>
    <row r="9" spans="1:13" ht="32.25" customHeight="1" x14ac:dyDescent="0.25">
      <c r="A9" s="11">
        <v>7</v>
      </c>
      <c r="B9" s="12">
        <f t="shared" ref="B9:M9" si="6">B8*2</f>
        <v>2048</v>
      </c>
      <c r="C9" s="13">
        <f t="shared" si="6"/>
        <v>2150.3999999999996</v>
      </c>
      <c r="D9" s="14">
        <f t="shared" si="6"/>
        <v>2304</v>
      </c>
      <c r="E9" s="13">
        <f t="shared" si="6"/>
        <v>2457.6000000000004</v>
      </c>
      <c r="F9" s="14">
        <f t="shared" si="6"/>
        <v>2560</v>
      </c>
      <c r="G9" s="14">
        <f t="shared" si="6"/>
        <v>2764.8</v>
      </c>
      <c r="H9" s="13">
        <f t="shared" si="6"/>
        <v>2880</v>
      </c>
      <c r="I9" s="14">
        <f t="shared" si="6"/>
        <v>3072</v>
      </c>
      <c r="J9" s="13">
        <f t="shared" si="6"/>
        <v>3276.8</v>
      </c>
      <c r="K9" s="14">
        <f t="shared" si="6"/>
        <v>3456</v>
      </c>
      <c r="L9" s="13">
        <f t="shared" si="6"/>
        <v>3686.3999999999996</v>
      </c>
      <c r="M9" s="15">
        <f t="shared" si="6"/>
        <v>3840</v>
      </c>
    </row>
    <row r="10" spans="1:13" ht="32.25" customHeight="1" x14ac:dyDescent="0.25">
      <c r="A10" s="11">
        <v>8</v>
      </c>
      <c r="B10" s="12">
        <f t="shared" ref="B10:M10" si="7">B9*2</f>
        <v>4096</v>
      </c>
      <c r="C10" s="13">
        <f t="shared" si="7"/>
        <v>4300.7999999999993</v>
      </c>
      <c r="D10" s="14">
        <f t="shared" si="7"/>
        <v>4608</v>
      </c>
      <c r="E10" s="13">
        <f t="shared" si="7"/>
        <v>4915.2000000000007</v>
      </c>
      <c r="F10" s="14">
        <f t="shared" si="7"/>
        <v>5120</v>
      </c>
      <c r="G10" s="14">
        <f t="shared" si="7"/>
        <v>5529.6</v>
      </c>
      <c r="H10" s="13">
        <f t="shared" si="7"/>
        <v>5760</v>
      </c>
      <c r="I10" s="14">
        <f t="shared" si="7"/>
        <v>6144</v>
      </c>
      <c r="J10" s="13">
        <f t="shared" si="7"/>
        <v>6553.6</v>
      </c>
      <c r="K10" s="14">
        <f t="shared" si="7"/>
        <v>6912</v>
      </c>
      <c r="L10" s="13">
        <f t="shared" si="7"/>
        <v>7372.7999999999993</v>
      </c>
      <c r="M10" s="15">
        <f t="shared" si="7"/>
        <v>7680</v>
      </c>
    </row>
    <row r="11" spans="1:13" ht="32.25" customHeight="1" x14ac:dyDescent="0.25">
      <c r="A11" s="11">
        <v>9</v>
      </c>
      <c r="B11" s="12">
        <f t="shared" ref="B11:M11" si="8">B10*2</f>
        <v>8192</v>
      </c>
      <c r="C11" s="13">
        <f t="shared" si="8"/>
        <v>8601.5999999999985</v>
      </c>
      <c r="D11" s="14">
        <f t="shared" si="8"/>
        <v>9216</v>
      </c>
      <c r="E11" s="13">
        <f t="shared" si="8"/>
        <v>9830.4000000000015</v>
      </c>
      <c r="F11" s="14">
        <f t="shared" si="8"/>
        <v>10240</v>
      </c>
      <c r="G11" s="14">
        <f t="shared" si="8"/>
        <v>11059.2</v>
      </c>
      <c r="H11" s="13">
        <f t="shared" si="8"/>
        <v>11520</v>
      </c>
      <c r="I11" s="14">
        <f t="shared" si="8"/>
        <v>12288</v>
      </c>
      <c r="J11" s="13">
        <f t="shared" si="8"/>
        <v>13107.2</v>
      </c>
      <c r="K11" s="14">
        <f t="shared" si="8"/>
        <v>13824</v>
      </c>
      <c r="L11" s="13">
        <f t="shared" si="8"/>
        <v>14745.599999999999</v>
      </c>
      <c r="M11" s="15">
        <f t="shared" si="8"/>
        <v>15360</v>
      </c>
    </row>
    <row r="12" spans="1:13" ht="32.25" customHeight="1" x14ac:dyDescent="0.25">
      <c r="A12" s="18">
        <v>10</v>
      </c>
      <c r="B12" s="19">
        <f t="shared" ref="B12:M12" si="9">B11*2</f>
        <v>16384</v>
      </c>
      <c r="C12" s="20">
        <f t="shared" si="9"/>
        <v>17203.199999999997</v>
      </c>
      <c r="D12" s="21">
        <f t="shared" si="9"/>
        <v>18432</v>
      </c>
      <c r="E12" s="20">
        <f t="shared" si="9"/>
        <v>19660.800000000003</v>
      </c>
      <c r="F12" s="21">
        <f t="shared" si="9"/>
        <v>20480</v>
      </c>
      <c r="G12" s="21">
        <f t="shared" si="9"/>
        <v>22118.400000000001</v>
      </c>
      <c r="H12" s="20">
        <f t="shared" si="9"/>
        <v>23040</v>
      </c>
      <c r="I12" s="21">
        <f t="shared" si="9"/>
        <v>24576</v>
      </c>
      <c r="J12" s="20">
        <f t="shared" si="9"/>
        <v>26214.400000000001</v>
      </c>
      <c r="K12" s="21">
        <f t="shared" si="9"/>
        <v>27648</v>
      </c>
      <c r="L12" s="20">
        <f t="shared" si="9"/>
        <v>29491.199999999997</v>
      </c>
      <c r="M12" s="22">
        <f t="shared" si="9"/>
        <v>30720</v>
      </c>
    </row>
    <row r="13" spans="1:13" x14ac:dyDescent="0.25">
      <c r="A13" s="59" t="s">
        <v>29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 x14ac:dyDescent="0.25"/>
  <cols>
    <col min="1" max="9" width="18" customWidth="1"/>
    <col min="10" max="12" width="9.140625" customWidth="1"/>
    <col min="13" max="26" width="8.7109375" customWidth="1"/>
  </cols>
  <sheetData>
    <row r="1" spans="1:26" ht="37.5" customHeight="1" x14ac:dyDescent="0.25">
      <c r="A1" s="32">
        <v>440</v>
      </c>
      <c r="B1" s="33" t="s">
        <v>30</v>
      </c>
      <c r="C1" s="34"/>
      <c r="D1" s="34"/>
      <c r="E1" s="34"/>
      <c r="F1" s="34"/>
      <c r="G1" s="34"/>
      <c r="H1" s="34"/>
      <c r="I1" s="34"/>
      <c r="J1" s="71" t="str">
        <f>HYPERLINK("https://www.youtube.com/watch?v=ZXF5JV4USWM","О том как пользоватся этими таблицами смотри ВИДЕО")</f>
        <v>О том как пользоватся этими таблицами смотри ВИДЕО</v>
      </c>
      <c r="K1" s="72"/>
      <c r="L1" s="72"/>
      <c r="M1" s="72"/>
      <c r="N1" s="72"/>
      <c r="O1" s="73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37.5" customHeight="1" x14ac:dyDescent="0.25">
      <c r="A2" s="36">
        <f>A1*2</f>
        <v>880</v>
      </c>
      <c r="B2" s="33" t="s">
        <v>31</v>
      </c>
      <c r="C2" s="33"/>
      <c r="D2" s="33"/>
      <c r="E2" s="33"/>
      <c r="F2" s="33"/>
      <c r="G2" s="33"/>
      <c r="H2" s="33"/>
      <c r="I2" s="33"/>
      <c r="J2" s="74"/>
      <c r="K2" s="75"/>
      <c r="L2" s="75"/>
      <c r="M2" s="75"/>
      <c r="N2" s="75"/>
      <c r="O2" s="76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7.5" customHeight="1" x14ac:dyDescent="0.25">
      <c r="A3" s="36">
        <f>A1*3</f>
        <v>1320</v>
      </c>
      <c r="B3" s="33" t="s">
        <v>32</v>
      </c>
      <c r="C3" s="33"/>
      <c r="D3" s="33"/>
      <c r="E3" s="33"/>
      <c r="F3" s="33"/>
      <c r="G3" s="33"/>
      <c r="H3" s="33"/>
      <c r="I3" s="33"/>
      <c r="J3" s="37"/>
      <c r="K3" s="37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37.5" customHeight="1" x14ac:dyDescent="0.25">
      <c r="A4" s="36">
        <f>A1*4</f>
        <v>1760</v>
      </c>
      <c r="B4" s="33" t="s">
        <v>33</v>
      </c>
      <c r="C4" s="33" t="s">
        <v>31</v>
      </c>
      <c r="D4" s="33"/>
      <c r="E4" s="33"/>
      <c r="F4" s="33"/>
      <c r="G4" s="33"/>
      <c r="H4" s="33"/>
      <c r="I4" s="33"/>
      <c r="J4" s="37"/>
      <c r="K4" s="37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37.5" customHeight="1" x14ac:dyDescent="0.25">
      <c r="A5" s="36">
        <f>A1*5</f>
        <v>2200</v>
      </c>
      <c r="B5" s="33" t="s">
        <v>34</v>
      </c>
      <c r="C5" s="38" t="s">
        <v>35</v>
      </c>
      <c r="D5" s="33"/>
      <c r="E5" s="33"/>
      <c r="F5" s="33"/>
      <c r="G5" s="33"/>
      <c r="H5" s="33"/>
      <c r="I5" s="33"/>
      <c r="J5" s="37"/>
      <c r="K5" s="37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37.5" customHeight="1" x14ac:dyDescent="0.25">
      <c r="A6" s="36">
        <f>A1*6</f>
        <v>2640</v>
      </c>
      <c r="B6" s="33" t="s">
        <v>36</v>
      </c>
      <c r="C6" s="33" t="s">
        <v>32</v>
      </c>
      <c r="D6" s="33" t="s">
        <v>31</v>
      </c>
      <c r="E6" s="33"/>
      <c r="F6" s="33"/>
      <c r="G6" s="33"/>
      <c r="H6" s="33"/>
      <c r="I6" s="33"/>
      <c r="J6" s="37"/>
      <c r="K6" s="37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7.5" customHeight="1" x14ac:dyDescent="0.25">
      <c r="A7" s="36">
        <f>A1*7</f>
        <v>3080</v>
      </c>
      <c r="B7" s="33"/>
      <c r="C7" s="33"/>
      <c r="D7" s="33" t="s">
        <v>37</v>
      </c>
      <c r="E7" s="33"/>
      <c r="F7" s="33"/>
      <c r="G7" s="33"/>
      <c r="H7" s="33"/>
      <c r="I7" s="33"/>
      <c r="J7" s="37"/>
      <c r="K7" s="37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37.5" customHeight="1" x14ac:dyDescent="0.25">
      <c r="A8" s="36">
        <f>A1*8</f>
        <v>3520</v>
      </c>
      <c r="B8" s="33"/>
      <c r="C8" s="33" t="s">
        <v>33</v>
      </c>
      <c r="D8" s="33" t="s">
        <v>38</v>
      </c>
      <c r="E8" s="33" t="s">
        <v>31</v>
      </c>
      <c r="F8" s="33"/>
      <c r="G8" s="33"/>
      <c r="H8" s="33"/>
      <c r="I8" s="33"/>
      <c r="J8" s="37"/>
      <c r="K8" s="37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37.5" customHeight="1" x14ac:dyDescent="0.25">
      <c r="A9" s="36">
        <f>A1*9</f>
        <v>3960</v>
      </c>
      <c r="B9" s="38" t="s">
        <v>39</v>
      </c>
      <c r="C9" s="33"/>
      <c r="D9" s="33" t="s">
        <v>32</v>
      </c>
      <c r="E9" s="33" t="s">
        <v>40</v>
      </c>
      <c r="F9" s="33"/>
      <c r="G9" s="33"/>
      <c r="H9" s="33"/>
      <c r="I9" s="33"/>
      <c r="J9" s="37"/>
      <c r="K9" s="37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37.5" customHeight="1" x14ac:dyDescent="0.25">
      <c r="A10" s="36">
        <f>A1*10</f>
        <v>4400</v>
      </c>
      <c r="B10" s="33"/>
      <c r="C10" s="33" t="s">
        <v>34</v>
      </c>
      <c r="D10" s="33"/>
      <c r="E10" s="33" t="s">
        <v>35</v>
      </c>
      <c r="F10" s="33" t="s">
        <v>31</v>
      </c>
      <c r="G10" s="33"/>
      <c r="H10" s="33"/>
      <c r="I10" s="33"/>
      <c r="J10" s="37"/>
      <c r="K10" s="37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37.5" customHeight="1" x14ac:dyDescent="0.25">
      <c r="A11" s="36">
        <f>A1*11</f>
        <v>4840</v>
      </c>
      <c r="B11" s="33"/>
      <c r="C11" s="33"/>
      <c r="D11" s="33"/>
      <c r="E11" s="33"/>
      <c r="F11" s="33"/>
      <c r="G11" s="33"/>
      <c r="H11" s="33"/>
      <c r="I11" s="33"/>
      <c r="J11" s="37"/>
      <c r="K11" s="37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37.5" customHeight="1" x14ac:dyDescent="0.25">
      <c r="A12" s="36">
        <f>A1*12</f>
        <v>5280</v>
      </c>
      <c r="B12" s="33"/>
      <c r="C12" s="33" t="s">
        <v>41</v>
      </c>
      <c r="D12" s="33" t="s">
        <v>33</v>
      </c>
      <c r="E12" s="33" t="s">
        <v>32</v>
      </c>
      <c r="F12" s="33"/>
      <c r="G12" s="33" t="s">
        <v>31</v>
      </c>
      <c r="H12" s="33"/>
      <c r="I12" s="33"/>
      <c r="J12" s="37"/>
      <c r="K12" s="37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7.5" customHeight="1" x14ac:dyDescent="0.25">
      <c r="A13" s="36">
        <f>A1*13</f>
        <v>5720</v>
      </c>
      <c r="B13" s="33"/>
      <c r="C13" s="33"/>
      <c r="D13" s="33"/>
      <c r="E13" s="33"/>
      <c r="F13" s="33"/>
      <c r="G13" s="33"/>
      <c r="H13" s="33"/>
      <c r="I13" s="33"/>
      <c r="J13" s="37"/>
      <c r="K13" s="37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7.5" customHeight="1" x14ac:dyDescent="0.25">
      <c r="A14" s="36">
        <f>A1*14</f>
        <v>6160</v>
      </c>
      <c r="B14" s="33"/>
      <c r="C14" s="33"/>
      <c r="D14" s="33"/>
      <c r="E14" s="33"/>
      <c r="F14" s="33"/>
      <c r="G14" s="33" t="s">
        <v>37</v>
      </c>
      <c r="H14" s="33" t="s">
        <v>31</v>
      </c>
      <c r="I14" s="33"/>
      <c r="J14" s="37"/>
      <c r="K14" s="37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37.5" customHeight="1" x14ac:dyDescent="0.25">
      <c r="A15" s="36">
        <f>A1*15</f>
        <v>6600</v>
      </c>
      <c r="B15" s="33"/>
      <c r="C15" s="33"/>
      <c r="D15" s="33" t="s">
        <v>42</v>
      </c>
      <c r="E15" s="33"/>
      <c r="F15" s="33" t="s">
        <v>32</v>
      </c>
      <c r="G15" s="33" t="s">
        <v>35</v>
      </c>
      <c r="H15" s="33" t="s">
        <v>43</v>
      </c>
      <c r="I15" s="33"/>
      <c r="J15" s="37"/>
      <c r="K15" s="37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7.5" customHeight="1" x14ac:dyDescent="0.25">
      <c r="A16" s="36">
        <f>A1*16</f>
        <v>7040</v>
      </c>
      <c r="B16" s="33" t="s">
        <v>44</v>
      </c>
      <c r="C16" s="33"/>
      <c r="D16" s="33"/>
      <c r="E16" s="33" t="s">
        <v>33</v>
      </c>
      <c r="F16" s="33"/>
      <c r="G16" s="33" t="s">
        <v>38</v>
      </c>
      <c r="H16" s="33" t="s">
        <v>45</v>
      </c>
      <c r="I16" s="33" t="s">
        <v>31</v>
      </c>
      <c r="J16" s="37"/>
      <c r="K16" s="37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7.5" customHeight="1" x14ac:dyDescent="0.25">
      <c r="A17" s="36">
        <f>A1*17</f>
        <v>7480</v>
      </c>
      <c r="B17" s="33"/>
      <c r="C17" s="33"/>
      <c r="D17" s="33"/>
      <c r="E17" s="33"/>
      <c r="F17" s="33"/>
      <c r="G17" s="33"/>
      <c r="H17" s="33"/>
      <c r="I17" s="33"/>
      <c r="J17" s="37"/>
      <c r="K17" s="37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7.5" customHeight="1" x14ac:dyDescent="0.25">
      <c r="A18" s="36">
        <f>A1*18</f>
        <v>7920</v>
      </c>
      <c r="B18" s="33"/>
      <c r="C18" s="33" t="s">
        <v>46</v>
      </c>
      <c r="D18" s="33" t="s">
        <v>41</v>
      </c>
      <c r="E18" s="33"/>
      <c r="F18" s="33"/>
      <c r="G18" s="33" t="s">
        <v>32</v>
      </c>
      <c r="H18" s="33"/>
      <c r="I18" s="33"/>
      <c r="J18" s="37"/>
      <c r="K18" s="37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7.5" customHeight="1" x14ac:dyDescent="0.25">
      <c r="A19" s="36">
        <f>A1*19</f>
        <v>8360</v>
      </c>
      <c r="B19" s="33"/>
      <c r="C19" s="33"/>
      <c r="D19" s="33"/>
      <c r="E19" s="33"/>
      <c r="F19" s="33"/>
      <c r="G19" s="33"/>
      <c r="H19" s="33"/>
      <c r="I19" s="33"/>
      <c r="J19" s="37"/>
      <c r="K19" s="37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7.5" customHeight="1" x14ac:dyDescent="0.25">
      <c r="A20" s="36">
        <f>A1*20</f>
        <v>8800</v>
      </c>
      <c r="B20" s="33"/>
      <c r="C20" s="33"/>
      <c r="D20" s="33"/>
      <c r="E20" s="33" t="s">
        <v>42</v>
      </c>
      <c r="F20" s="33" t="s">
        <v>33</v>
      </c>
      <c r="G20" s="33"/>
      <c r="H20" s="33"/>
      <c r="I20" s="33"/>
      <c r="J20" s="37"/>
      <c r="K20" s="37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7.5" customHeight="1" x14ac:dyDescent="0.25">
      <c r="A21" s="36">
        <f>A1*21</f>
        <v>9240</v>
      </c>
      <c r="B21" s="33"/>
      <c r="C21" s="33"/>
      <c r="D21" s="33"/>
      <c r="E21" s="33"/>
      <c r="F21" s="33"/>
      <c r="G21" s="33"/>
      <c r="H21" s="33" t="s">
        <v>32</v>
      </c>
      <c r="I21" s="33"/>
      <c r="J21" s="37"/>
      <c r="K21" s="3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7.5" customHeight="1" x14ac:dyDescent="0.25">
      <c r="A22" s="36">
        <f>A1*22</f>
        <v>9680</v>
      </c>
      <c r="B22" s="33"/>
      <c r="C22" s="33"/>
      <c r="D22" s="33"/>
      <c r="E22" s="33"/>
      <c r="F22" s="33"/>
      <c r="G22" s="33"/>
      <c r="H22" s="33"/>
      <c r="I22" s="33"/>
      <c r="J22" s="37"/>
      <c r="K22" s="37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7.5" customHeight="1" x14ac:dyDescent="0.25">
      <c r="A23" s="36">
        <f>A1*23</f>
        <v>10120</v>
      </c>
      <c r="B23" s="33"/>
      <c r="C23" s="33"/>
      <c r="D23" s="33"/>
      <c r="E23" s="33"/>
      <c r="F23" s="33"/>
      <c r="G23" s="33"/>
      <c r="H23" s="33"/>
      <c r="I23" s="33"/>
      <c r="J23" s="37"/>
      <c r="K23" s="37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7.5" customHeight="1" x14ac:dyDescent="0.25">
      <c r="A24" s="36">
        <f>A1*24</f>
        <v>10560</v>
      </c>
      <c r="B24" s="33"/>
      <c r="C24" s="33"/>
      <c r="D24" s="33"/>
      <c r="E24" s="33" t="s">
        <v>41</v>
      </c>
      <c r="F24" s="33"/>
      <c r="G24" s="33" t="s">
        <v>33</v>
      </c>
      <c r="H24" s="33"/>
      <c r="I24" s="33" t="s">
        <v>32</v>
      </c>
      <c r="J24" s="37"/>
      <c r="K24" s="37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7.5" customHeight="1" x14ac:dyDescent="0.25">
      <c r="A25" s="36">
        <f>A1*25</f>
        <v>11000</v>
      </c>
      <c r="B25" s="33"/>
      <c r="C25" s="33"/>
      <c r="D25" s="33"/>
      <c r="E25" s="33"/>
      <c r="F25" s="33" t="s">
        <v>42</v>
      </c>
      <c r="G25" s="33"/>
      <c r="H25" s="33"/>
      <c r="I25" s="33"/>
      <c r="J25" s="37"/>
      <c r="K25" s="37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7.5" customHeight="1" x14ac:dyDescent="0.25">
      <c r="A26" s="36">
        <f>A1*26</f>
        <v>11440</v>
      </c>
      <c r="B26" s="33"/>
      <c r="C26" s="33"/>
      <c r="D26" s="33"/>
      <c r="E26" s="33"/>
      <c r="F26" s="33"/>
      <c r="G26" s="33"/>
      <c r="H26" s="33"/>
      <c r="I26" s="33"/>
      <c r="J26" s="37"/>
      <c r="K26" s="37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7.5" customHeight="1" x14ac:dyDescent="0.25">
      <c r="A27" s="36">
        <f>A1*27</f>
        <v>11880</v>
      </c>
      <c r="B27" s="33"/>
      <c r="C27" s="33"/>
      <c r="D27" s="33" t="s">
        <v>46</v>
      </c>
      <c r="E27" s="33"/>
      <c r="F27" s="33"/>
      <c r="G27" s="33"/>
      <c r="H27" s="33"/>
      <c r="I27" s="33"/>
      <c r="J27" s="37"/>
      <c r="K27" s="37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7.5" customHeight="1" x14ac:dyDescent="0.25">
      <c r="A28" s="36">
        <f>A1*28</f>
        <v>12320</v>
      </c>
      <c r="B28" s="33"/>
      <c r="C28" s="33"/>
      <c r="D28" s="33"/>
      <c r="E28" s="33"/>
      <c r="F28" s="33"/>
      <c r="G28" s="33"/>
      <c r="H28" s="33" t="s">
        <v>33</v>
      </c>
      <c r="I28" s="33"/>
      <c r="J28" s="37"/>
      <c r="K28" s="37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7.5" customHeight="1" x14ac:dyDescent="0.25">
      <c r="A29" s="36">
        <f>A1*29</f>
        <v>12760</v>
      </c>
      <c r="B29" s="33"/>
      <c r="C29" s="33"/>
      <c r="D29" s="33"/>
      <c r="E29" s="33"/>
      <c r="F29" s="33"/>
      <c r="G29" s="33"/>
      <c r="H29" s="33"/>
      <c r="I29" s="33"/>
      <c r="J29" s="37"/>
      <c r="K29" s="37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7.5" customHeight="1" x14ac:dyDescent="0.25">
      <c r="A30" s="36">
        <f>A1*30</f>
        <v>13200</v>
      </c>
      <c r="B30" s="33"/>
      <c r="C30" s="33"/>
      <c r="D30" s="33"/>
      <c r="E30" s="33"/>
      <c r="F30" s="33" t="s">
        <v>41</v>
      </c>
      <c r="G30" s="33" t="s">
        <v>42</v>
      </c>
      <c r="H30" s="33"/>
      <c r="I30" s="33"/>
      <c r="J30" s="37"/>
      <c r="K30" s="3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7.5" customHeight="1" x14ac:dyDescent="0.25">
      <c r="A31" s="36">
        <f>A1*31</f>
        <v>13640</v>
      </c>
      <c r="B31" s="33"/>
      <c r="C31" s="33"/>
      <c r="D31" s="33"/>
      <c r="E31" s="33"/>
      <c r="F31" s="33"/>
      <c r="G31" s="33"/>
      <c r="H31" s="33"/>
      <c r="I31" s="33"/>
      <c r="J31" s="37"/>
      <c r="K31" s="37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7.5" customHeight="1" x14ac:dyDescent="0.25">
      <c r="A32" s="36">
        <f>A1*32</f>
        <v>14080</v>
      </c>
      <c r="B32" s="33"/>
      <c r="C32" s="33" t="s">
        <v>47</v>
      </c>
      <c r="D32" s="33"/>
      <c r="E32" s="33"/>
      <c r="F32" s="33"/>
      <c r="G32" s="33"/>
      <c r="H32" s="33"/>
      <c r="I32" s="33" t="s">
        <v>33</v>
      </c>
      <c r="J32" s="37"/>
      <c r="K32" s="3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41.25" customHeight="1" x14ac:dyDescent="0.25">
      <c r="A33" s="39" t="s">
        <v>48</v>
      </c>
      <c r="B33" s="34"/>
      <c r="C33" s="34"/>
      <c r="D33" s="34"/>
      <c r="E33" s="34"/>
      <c r="F33" s="34"/>
      <c r="G33" s="34"/>
      <c r="H33" s="34"/>
      <c r="I33" s="34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25">
      <c r="A34" s="65" t="s">
        <v>13</v>
      </c>
      <c r="B34" s="66"/>
      <c r="C34" s="66"/>
      <c r="D34" s="66"/>
      <c r="E34" s="66"/>
      <c r="F34" s="67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25">
      <c r="A36" s="68" t="s">
        <v>14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x14ac:dyDescent="0.2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">
    <mergeCell ref="J1:O2"/>
    <mergeCell ref="A34:F34"/>
    <mergeCell ref="A36:L3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 x14ac:dyDescent="0.25"/>
  <cols>
    <col min="1" max="1" width="4.28515625" customWidth="1"/>
    <col min="2" max="2" width="32" customWidth="1"/>
    <col min="3" max="24" width="15.7109375" customWidth="1"/>
    <col min="25" max="26" width="8.7109375" customWidth="1"/>
  </cols>
  <sheetData>
    <row r="1" spans="1:26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37.5" customHeight="1" x14ac:dyDescent="0.25">
      <c r="A2" s="23"/>
      <c r="B2" s="40" t="s">
        <v>49</v>
      </c>
      <c r="C2" s="41" t="s">
        <v>50</v>
      </c>
      <c r="D2" s="41" t="s">
        <v>51</v>
      </c>
      <c r="E2" s="41" t="s">
        <v>52</v>
      </c>
      <c r="F2" s="41" t="s">
        <v>53</v>
      </c>
      <c r="G2" s="41" t="s">
        <v>33</v>
      </c>
      <c r="H2" s="42" t="s">
        <v>54</v>
      </c>
      <c r="I2" s="42" t="s">
        <v>32</v>
      </c>
      <c r="J2" s="42" t="s">
        <v>55</v>
      </c>
      <c r="K2" s="42" t="s">
        <v>56</v>
      </c>
      <c r="L2" s="42" t="s">
        <v>57</v>
      </c>
      <c r="M2" s="41" t="s">
        <v>58</v>
      </c>
      <c r="N2" s="41" t="s">
        <v>31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7.5" customHeight="1" x14ac:dyDescent="0.25">
      <c r="A3" s="23"/>
      <c r="B3" s="29">
        <v>440</v>
      </c>
      <c r="C3" s="16">
        <f>B3*(16/15)</f>
        <v>469.33333333333331</v>
      </c>
      <c r="D3" s="14">
        <f>B3*(9/8)</f>
        <v>495</v>
      </c>
      <c r="E3" s="14">
        <f>B3*(6/5)</f>
        <v>528</v>
      </c>
      <c r="F3" s="16">
        <f>B3*(5/4)</f>
        <v>550</v>
      </c>
      <c r="G3" s="43">
        <f>B3*(4/3)</f>
        <v>586.66666666666663</v>
      </c>
      <c r="H3" s="16">
        <f>B3*(45/32)</f>
        <v>618.75</v>
      </c>
      <c r="I3" s="44">
        <f>B3*(3/2)</f>
        <v>660</v>
      </c>
      <c r="J3" s="14">
        <f>B3*(8/5)</f>
        <v>704</v>
      </c>
      <c r="K3" s="45">
        <f>B3*(5/3)</f>
        <v>733.33333333333337</v>
      </c>
      <c r="L3" s="14">
        <f>B3*(16/9)</f>
        <v>782.22222222222217</v>
      </c>
      <c r="M3" s="16">
        <f>B3*(15/8)</f>
        <v>825</v>
      </c>
      <c r="N3" s="46">
        <f>B3*2</f>
        <v>880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4.5" customHeight="1" x14ac:dyDescent="0.25">
      <c r="A4" s="23"/>
      <c r="B4" s="23"/>
      <c r="C4" s="23"/>
      <c r="D4" s="23"/>
      <c r="E4" s="23"/>
      <c r="F4" s="23"/>
      <c r="G4" s="23"/>
      <c r="H4" s="47">
        <f>B3*(7/5)</f>
        <v>616</v>
      </c>
      <c r="I4" s="48"/>
      <c r="J4" s="48"/>
      <c r="K4" s="48"/>
      <c r="L4" s="47">
        <f>B3*(7/4)</f>
        <v>770</v>
      </c>
      <c r="M4" s="48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34.5" customHeight="1" x14ac:dyDescent="0.25">
      <c r="A5" s="23"/>
      <c r="B5" s="23"/>
      <c r="C5" s="23"/>
      <c r="D5" s="23"/>
      <c r="E5" s="23"/>
      <c r="F5" s="23"/>
      <c r="G5" s="23"/>
      <c r="H5" s="49" t="s">
        <v>59</v>
      </c>
      <c r="I5" s="48"/>
      <c r="J5" s="48"/>
      <c r="K5" s="48"/>
      <c r="L5" s="49" t="s">
        <v>60</v>
      </c>
      <c r="M5" s="48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5">
      <c r="A6" s="23"/>
      <c r="B6" s="65" t="s">
        <v>13</v>
      </c>
      <c r="C6" s="66"/>
      <c r="D6" s="66"/>
      <c r="E6" s="66"/>
      <c r="F6" s="66"/>
      <c r="G6" s="67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25">
      <c r="A8" s="23"/>
      <c r="B8" s="68" t="s">
        <v>61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25">
      <c r="A9" s="23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5">
      <c r="A14" s="5"/>
      <c r="B14" s="5"/>
      <c r="C14" s="5"/>
      <c r="D14" s="5"/>
      <c r="E14" s="5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7.25" customHeight="1" x14ac:dyDescent="0.25">
      <c r="A15" s="5"/>
      <c r="B15" s="30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23"/>
      <c r="Z15" s="23"/>
    </row>
    <row r="16" spans="1:26" ht="14.25" customHeight="1" x14ac:dyDescent="0.25">
      <c r="A16" s="5"/>
      <c r="B16" s="5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3"/>
      <c r="Z16" s="23"/>
    </row>
    <row r="17" spans="1:26" x14ac:dyDescent="0.25">
      <c r="A17" s="23"/>
      <c r="B17" s="23"/>
      <c r="C17" s="23"/>
      <c r="D17" s="2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3"/>
      <c r="Z17" s="23"/>
    </row>
    <row r="18" spans="1:26" x14ac:dyDescent="0.25">
      <c r="A18" s="23"/>
      <c r="B18" s="23"/>
      <c r="C18" s="23"/>
      <c r="D18" s="2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23"/>
      <c r="Z18" s="23"/>
    </row>
    <row r="19" spans="1:26" x14ac:dyDescent="0.25">
      <c r="A19" s="23"/>
      <c r="B19" s="23"/>
      <c r="C19" s="23"/>
      <c r="D19" s="2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3"/>
      <c r="Z19" s="23"/>
    </row>
    <row r="20" spans="1:26" x14ac:dyDescent="0.25">
      <c r="A20" s="23"/>
      <c r="B20" s="23"/>
      <c r="C20" s="23"/>
      <c r="D20" s="2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3"/>
      <c r="Z20" s="23"/>
    </row>
    <row r="21" spans="1:26" x14ac:dyDescent="0.25">
      <c r="A21" s="23"/>
      <c r="B21" s="23"/>
      <c r="C21" s="23"/>
      <c r="D21" s="2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3"/>
      <c r="Z21" s="23"/>
    </row>
    <row r="22" spans="1:26" x14ac:dyDescent="0.25">
      <c r="A22" s="23"/>
      <c r="B22" s="23"/>
      <c r="C22" s="23"/>
      <c r="D22" s="2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3"/>
      <c r="Z22" s="23"/>
    </row>
    <row r="23" spans="1:26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B6:G6"/>
    <mergeCell ref="B8:M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1000"/>
  <sheetViews>
    <sheetView workbookViewId="0"/>
  </sheetViews>
  <sheetFormatPr defaultColWidth="17.28515625" defaultRowHeight="15" customHeight="1" x14ac:dyDescent="0.25"/>
  <cols>
    <col min="1" max="1" width="35.140625" customWidth="1"/>
    <col min="2" max="54" width="12.7109375" customWidth="1"/>
    <col min="55" max="55" width="8.7109375" customWidth="1"/>
  </cols>
  <sheetData>
    <row r="1" spans="1:55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5" ht="26.25" customHeight="1" x14ac:dyDescent="0.25">
      <c r="A2" s="30" t="s">
        <v>62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</row>
    <row r="3" spans="1:55" ht="26.25" customHeight="1" x14ac:dyDescent="0.25">
      <c r="A3" s="51" t="s">
        <v>49</v>
      </c>
      <c r="B3" s="34">
        <v>1</v>
      </c>
      <c r="C3" s="34">
        <v>2</v>
      </c>
      <c r="D3" s="34">
        <v>3</v>
      </c>
      <c r="E3" s="34">
        <v>4</v>
      </c>
      <c r="F3" s="34">
        <v>5</v>
      </c>
      <c r="G3" s="34">
        <v>6</v>
      </c>
      <c r="H3" s="34">
        <v>7</v>
      </c>
      <c r="I3" s="34">
        <v>8</v>
      </c>
      <c r="J3" s="34">
        <v>9</v>
      </c>
      <c r="K3" s="34">
        <v>10</v>
      </c>
      <c r="L3" s="34">
        <v>11</v>
      </c>
      <c r="M3" s="34">
        <v>12</v>
      </c>
      <c r="N3" s="34">
        <v>13</v>
      </c>
      <c r="O3" s="34">
        <v>14</v>
      </c>
      <c r="P3" s="34">
        <v>15</v>
      </c>
      <c r="Q3" s="34">
        <v>16</v>
      </c>
      <c r="R3" s="34">
        <v>17</v>
      </c>
      <c r="S3" s="34">
        <v>18</v>
      </c>
      <c r="T3" s="34">
        <v>19</v>
      </c>
      <c r="U3" s="34">
        <v>20</v>
      </c>
      <c r="V3" s="34">
        <v>21</v>
      </c>
      <c r="W3" s="34">
        <v>22</v>
      </c>
      <c r="X3" s="34">
        <v>23</v>
      </c>
      <c r="Y3" s="34">
        <v>24</v>
      </c>
      <c r="Z3" s="34">
        <v>25</v>
      </c>
      <c r="AA3" s="34">
        <v>26</v>
      </c>
      <c r="AB3" s="34">
        <v>27</v>
      </c>
      <c r="AC3" s="34">
        <v>28</v>
      </c>
      <c r="AD3" s="34">
        <v>29</v>
      </c>
      <c r="AE3" s="34">
        <v>30</v>
      </c>
      <c r="AF3" s="34">
        <v>31</v>
      </c>
      <c r="AG3" s="34">
        <v>32</v>
      </c>
      <c r="AH3" s="34">
        <v>33</v>
      </c>
      <c r="AI3" s="34">
        <v>34</v>
      </c>
      <c r="AJ3" s="34">
        <v>35</v>
      </c>
      <c r="AK3" s="34">
        <v>36</v>
      </c>
      <c r="AL3" s="34">
        <v>37</v>
      </c>
      <c r="AM3" s="34">
        <v>38</v>
      </c>
      <c r="AN3" s="34">
        <v>39</v>
      </c>
      <c r="AO3" s="34">
        <v>40</v>
      </c>
      <c r="AP3" s="34">
        <v>41</v>
      </c>
      <c r="AQ3" s="34">
        <v>42</v>
      </c>
      <c r="AR3" s="34">
        <v>43</v>
      </c>
      <c r="AS3" s="34">
        <v>44</v>
      </c>
      <c r="AT3" s="34">
        <v>45</v>
      </c>
      <c r="AU3" s="34">
        <v>46</v>
      </c>
      <c r="AV3" s="34">
        <v>47</v>
      </c>
      <c r="AW3" s="34">
        <v>48</v>
      </c>
      <c r="AX3" s="34">
        <v>49</v>
      </c>
      <c r="AY3" s="34">
        <v>50</v>
      </c>
      <c r="AZ3" s="34">
        <v>51</v>
      </c>
      <c r="BA3" s="34">
        <v>52</v>
      </c>
      <c r="BB3" s="34" t="s">
        <v>63</v>
      </c>
      <c r="BC3" s="35"/>
    </row>
    <row r="4" spans="1:55" ht="27" customHeight="1" x14ac:dyDescent="0.25">
      <c r="A4" s="52">
        <v>440</v>
      </c>
      <c r="B4" s="41">
        <f>A4*2^(1/53)</f>
        <v>445.79222293096251</v>
      </c>
      <c r="C4" s="41">
        <f>A4*2^(2/53)</f>
        <v>451.6606955130203</v>
      </c>
      <c r="D4" s="41">
        <f>A4*2^(3/53)</f>
        <v>457.60642150748623</v>
      </c>
      <c r="E4" s="41">
        <f>A4*2^(4/53)</f>
        <v>463.63041788933009</v>
      </c>
      <c r="F4" s="41">
        <f>A4*2^(5/53)</f>
        <v>469.73371502112622</v>
      </c>
      <c r="G4" s="41">
        <f>A4*2^(6/53)</f>
        <v>475.91735682928885</v>
      </c>
      <c r="H4" s="41">
        <f>A4*2^(7/53)</f>
        <v>482.18240098262902</v>
      </c>
      <c r="I4" s="41">
        <f>A4*2^(8/53)</f>
        <v>488.52991907326111</v>
      </c>
      <c r="J4" s="41">
        <f>A4*2^(9/53)</f>
        <v>494.96099679989157</v>
      </c>
      <c r="K4" s="41">
        <f>A4*2^(10/53)</f>
        <v>501.47673415351966</v>
      </c>
      <c r="L4" s="41">
        <f>A4*2^(11/53)</f>
        <v>508.07824560558373</v>
      </c>
      <c r="M4" s="41">
        <f>A4*2^(12/53)</f>
        <v>514.76666029858336</v>
      </c>
      <c r="N4" s="41">
        <f>A4*2^(13/53)</f>
        <v>521.54312223921158</v>
      </c>
      <c r="O4" s="41">
        <f>A4*2^(14/53)</f>
        <v>528.40879049402918</v>
      </c>
      <c r="P4" s="41">
        <f>A4*2^(15/53)</f>
        <v>535.36483938771471</v>
      </c>
      <c r="Q4" s="41">
        <f>A4*2^(16/53)</f>
        <v>542.41245870392515</v>
      </c>
      <c r="R4" s="41">
        <f>A4*2^(17/53)</f>
        <v>549.55285388879918</v>
      </c>
      <c r="S4" s="41">
        <f>A4*2^(18/53)</f>
        <v>556.78724625714142</v>
      </c>
      <c r="T4" s="41">
        <f>A4*2^(19/53)</f>
        <v>564.11687320131887</v>
      </c>
      <c r="U4" s="41">
        <f>A4*2^(20/53)</f>
        <v>571.54298840290869</v>
      </c>
      <c r="V4" s="41">
        <f>A4*2^(21/53)</f>
        <v>579.06686204713185</v>
      </c>
      <c r="W4" s="41">
        <f>A4*2^(22/53)</f>
        <v>586.68978104010876</v>
      </c>
      <c r="X4" s="41">
        <f>A4*2^(23/53)</f>
        <v>594.41304922897666</v>
      </c>
      <c r="Y4" s="41">
        <f>A4*2^(24/53)</f>
        <v>602.23798762490253</v>
      </c>
      <c r="Z4" s="41">
        <f>A4*2^(25/53)</f>
        <v>610.16593462903359</v>
      </c>
      <c r="AA4" s="41">
        <f>A4*2^(26/53)</f>
        <v>618.19824626142088</v>
      </c>
      <c r="AB4" s="41">
        <f>A4*2^(27/53)</f>
        <v>626.33629639295771</v>
      </c>
      <c r="AC4" s="41">
        <f>A4*2^(28/53)</f>
        <v>634.58147698036998</v>
      </c>
      <c r="AD4" s="41">
        <f>A4*2^(29/53)</f>
        <v>642.93519830430125</v>
      </c>
      <c r="AE4" s="41">
        <f>A4*2^(30/53)</f>
        <v>651.39888921053091</v>
      </c>
      <c r="AF4" s="41">
        <f>A4*2^(31/53)</f>
        <v>659.97399735436886</v>
      </c>
      <c r="AG4" s="41">
        <f>A4*2^(32/53)</f>
        <v>668.66198944826647</v>
      </c>
      <c r="AH4" s="41">
        <f>A4*2^(33/53)</f>
        <v>677.46435151268747</v>
      </c>
      <c r="AI4" s="41">
        <f>A4*2^(34/53)</f>
        <v>686.38258913028153</v>
      </c>
      <c r="AJ4" s="41">
        <f>A4*2^(35/53)</f>
        <v>695.41822770340389</v>
      </c>
      <c r="AK4" s="41">
        <f>A4*2^(36/53)</f>
        <v>704.57281271502427</v>
      </c>
      <c r="AL4" s="41">
        <f>A4*2^(37/53)</f>
        <v>713.8479099930712</v>
      </c>
      <c r="AM4" s="41">
        <f>A4*2^(38/53)</f>
        <v>723.24510597825645</v>
      </c>
      <c r="AN4" s="41">
        <f>A4*2^(39/53)</f>
        <v>732.76600799542371</v>
      </c>
      <c r="AO4" s="41">
        <f>A4*2^(40/53)</f>
        <v>742.41224452847143</v>
      </c>
      <c r="AP4" s="41">
        <f>A4*2^(41/53)</f>
        <v>752.18546549889209</v>
      </c>
      <c r="AQ4" s="41">
        <f>A4*2^(42/53)</f>
        <v>762.08734254798162</v>
      </c>
      <c r="AR4" s="41">
        <f>A4*2^(43/53)</f>
        <v>772.11956932276041</v>
      </c>
      <c r="AS4" s="41">
        <f>A4*2^(44/53)</f>
        <v>782.28386176566084</v>
      </c>
      <c r="AT4" s="41">
        <f>A4*2^(45/53)</f>
        <v>792.58195840802659</v>
      </c>
      <c r="AU4" s="41">
        <f>A4*2^(46/53)</f>
        <v>803.01562066747681</v>
      </c>
      <c r="AV4" s="41">
        <f>A4*2^(47/53)</f>
        <v>813.58663314918408</v>
      </c>
      <c r="AW4" s="41">
        <f>A4*2^(48/53)</f>
        <v>824.2968039511187</v>
      </c>
      <c r="AX4" s="41">
        <f>A4*2^(49/53)</f>
        <v>835.14796497331145</v>
      </c>
      <c r="AY4" s="41">
        <f>A4*2^(50/53)</f>
        <v>846.1419722311864</v>
      </c>
      <c r="AZ4" s="41">
        <f>A4*2^(51/53)</f>
        <v>857.28070617302126</v>
      </c>
      <c r="BA4" s="41">
        <f>A4*2^(52/53)</f>
        <v>868.56607200158271</v>
      </c>
      <c r="BB4" s="41">
        <f>A4*2^(53/53)</f>
        <v>880</v>
      </c>
    </row>
    <row r="5" spans="1:55" x14ac:dyDescent="0.25"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</row>
    <row r="6" spans="1:55" ht="19.5" customHeight="1" x14ac:dyDescent="0.25">
      <c r="A6" s="53" t="s">
        <v>64</v>
      </c>
      <c r="B6" s="23"/>
      <c r="C6" s="23"/>
      <c r="D6" s="23"/>
      <c r="E6" s="23"/>
      <c r="G6" s="23"/>
      <c r="H6" s="23"/>
      <c r="I6" s="23"/>
      <c r="M6" s="23"/>
      <c r="N6" s="23"/>
      <c r="O6" s="23"/>
      <c r="P6" s="23"/>
      <c r="R6" s="23"/>
      <c r="T6" s="23"/>
      <c r="U6" s="23"/>
      <c r="V6" s="23"/>
      <c r="W6" s="23"/>
      <c r="X6" s="23"/>
      <c r="Y6" s="23"/>
      <c r="BB6" s="23"/>
    </row>
    <row r="7" spans="1:55" x14ac:dyDescent="0.25">
      <c r="A7" s="29">
        <v>440</v>
      </c>
      <c r="B7" s="12">
        <f>A7*((3/2)^12)/2^7</f>
        <v>446.00303649902344</v>
      </c>
      <c r="C7" s="15">
        <f>A7*((3/2)^24)/2^14</f>
        <v>452.08797401443007</v>
      </c>
      <c r="D7" s="14">
        <f>A7*((3/2)^36)/2^21</f>
        <v>458.25592994347147</v>
      </c>
      <c r="E7" s="12">
        <f>A7*((3/2)^48)/2^28</f>
        <v>464.50803692834546</v>
      </c>
      <c r="F7" s="14">
        <f>A7*((3/2)^7)/2^4</f>
        <v>469.86328125</v>
      </c>
      <c r="G7" s="12">
        <f>A7*((3/2)^19)/2^11</f>
        <v>476.27375040203333</v>
      </c>
      <c r="H7" s="15">
        <f>A7*((3/2)^31)/2^18</f>
        <v>482.77167928201101</v>
      </c>
      <c r="I7" s="14">
        <f>A7*((3/2)^43)/2^25</f>
        <v>489.35826112615814</v>
      </c>
      <c r="J7" s="15">
        <f>A7*((3/2)^2)/2</f>
        <v>495</v>
      </c>
      <c r="K7" s="14">
        <f>A7*((3/2)^14)/2^8</f>
        <v>501.75341606140137</v>
      </c>
      <c r="L7" s="14">
        <f>A7*((3/2)^26)/2^15</f>
        <v>508.59897076623383</v>
      </c>
      <c r="M7" s="12">
        <f>A7*((3/2)^38)/2^22</f>
        <v>515.53792118640524</v>
      </c>
      <c r="N7" s="15">
        <f>A7*((3/2)^50)/2^29</f>
        <v>522.57154154438865</v>
      </c>
      <c r="O7" s="12">
        <f>A7*((3/2)^9)/2^5</f>
        <v>528.59619140625</v>
      </c>
      <c r="P7" s="15">
        <f>A7*((3/2)^21)/2^12</f>
        <v>535.8079692022875</v>
      </c>
      <c r="Q7" s="14">
        <f>A7*((3/2)^33)/2^19</f>
        <v>543.11813919226245</v>
      </c>
      <c r="R7" s="12">
        <f>A7*((3/2)^45)/2^26</f>
        <v>550.52804376692791</v>
      </c>
      <c r="S7" s="14">
        <f>A7*((3/2)^4)/2^2</f>
        <v>556.875</v>
      </c>
      <c r="T7" s="12">
        <f>A7*((3/2)^16)/2^9</f>
        <v>564.47259306907654</v>
      </c>
      <c r="U7" s="15">
        <f>A7*((3/2)^28)/2^16</f>
        <v>572.17384211201306</v>
      </c>
      <c r="V7" s="14">
        <f>A7*((3/2)^40)/2^23</f>
        <v>579.98016133470594</v>
      </c>
      <c r="W7" s="14">
        <f>A7*((3/2)^52)/2^30</f>
        <v>587.89298423743719</v>
      </c>
      <c r="X7" s="15">
        <f>A7*((3/2)^11)/2^6</f>
        <v>594.67071533203125</v>
      </c>
      <c r="Y7" s="14">
        <f>A7*((3/2)^23)/2^13</f>
        <v>602.78396535257343</v>
      </c>
      <c r="Z7" s="12">
        <f>A7*((3/2)^35)/2^20</f>
        <v>611.00790659129518</v>
      </c>
      <c r="AA7" s="15">
        <f>A7*((3/2)^47)/2^27</f>
        <v>619.34404923779391</v>
      </c>
      <c r="AB7" s="12">
        <f>A7*((3/2)^6)/2^3</f>
        <v>626.484375</v>
      </c>
      <c r="AC7" s="15">
        <f>A7*((3/2)^18)/2^10</f>
        <v>635.03166720271111</v>
      </c>
      <c r="AD7" s="14">
        <f>A7*((3/2)^30)/2^17</f>
        <v>643.69557237601475</v>
      </c>
      <c r="AE7" s="12">
        <f>A7*((3/2)^42)/2^24</f>
        <v>652.47768150154423</v>
      </c>
      <c r="AF7" s="14">
        <f>A7*((3/2))</f>
        <v>660</v>
      </c>
      <c r="AG7" s="14">
        <f>A7*((3/2)^13)/2^7</f>
        <v>669.00455474853516</v>
      </c>
      <c r="AH7" s="12">
        <f>A7*((3/2)^25)/2^14</f>
        <v>678.13196102164511</v>
      </c>
      <c r="AI7" s="15">
        <f>A7*((3/2)^37)/2^21</f>
        <v>687.38389491520707</v>
      </c>
      <c r="AJ7" s="14">
        <f>A7*((3/2)^49)/2^28</f>
        <v>696.76205539251816</v>
      </c>
      <c r="AK7" s="15">
        <f>A7*((3/2)^8)/2^4</f>
        <v>704.794921875</v>
      </c>
      <c r="AL7" s="14">
        <f>A7*((3/2)^20)/2^11</f>
        <v>714.41062560304999</v>
      </c>
      <c r="AM7" s="12">
        <f>A7*((3/2)^32)/2^18</f>
        <v>724.15751892301648</v>
      </c>
      <c r="AN7" s="15">
        <f>A7*((3/2)^44)/2^25</f>
        <v>734.03739168923721</v>
      </c>
      <c r="AO7" s="12">
        <f>A7*((3/2)^3)/2</f>
        <v>742.5</v>
      </c>
      <c r="AP7" s="15">
        <f>A7*((3/2)^15)/2^8</f>
        <v>752.63012409210205</v>
      </c>
      <c r="AQ7" s="14">
        <f>A7*((3/2)^27)/2^15</f>
        <v>762.89845614935075</v>
      </c>
      <c r="AR7" s="14">
        <f>A7*((3/2)^39)/2^22</f>
        <v>773.30688177960803</v>
      </c>
      <c r="AS7" s="12">
        <f>A7*((3/2)^51)/2^29</f>
        <v>783.85731231658292</v>
      </c>
      <c r="AT7" s="14">
        <f>A7*((3/2)^10)/2^5</f>
        <v>792.894287109375</v>
      </c>
      <c r="AU7" s="12">
        <f>A7*((3/2)^22)/2^12</f>
        <v>803.71195380343124</v>
      </c>
      <c r="AV7" s="15">
        <f>A7*((3/2)^34)/2^19</f>
        <v>814.6772087883935</v>
      </c>
      <c r="AW7" s="14">
        <f>A7*((3/2)^46)/2^26</f>
        <v>825.79206565039192</v>
      </c>
      <c r="AX7" s="15">
        <f>A7*((3/2)^5)/2^2</f>
        <v>835.3125</v>
      </c>
      <c r="AY7" s="14">
        <f>A7*((3/2)^17)/2^9</f>
        <v>846.70888960361481</v>
      </c>
      <c r="AZ7" s="12">
        <f>A7*((3/2)^29)/2^16</f>
        <v>858.26076316801959</v>
      </c>
      <c r="BA7" s="15">
        <f>A7*((3/2)^41)/2^23</f>
        <v>869.97024200205908</v>
      </c>
      <c r="BB7" s="15">
        <f>A7*((3/2)^53)/2^30</f>
        <v>881.83947635615584</v>
      </c>
    </row>
    <row r="8" spans="1:55" x14ac:dyDescent="0.25">
      <c r="A8" s="23"/>
      <c r="B8">
        <f>B7/A7</f>
        <v>1.0136432647705078</v>
      </c>
      <c r="C8">
        <f>C7/A7</f>
        <v>1.0274726682146138</v>
      </c>
      <c r="D8">
        <f>D7/A7</f>
        <v>1.041490749871526</v>
      </c>
      <c r="E8">
        <f>E7/A7</f>
        <v>1.0557000839280579</v>
      </c>
      <c r="F8">
        <f>F7/A7</f>
        <v>1.06787109375</v>
      </c>
      <c r="G8">
        <f>G7/A7</f>
        <v>1.082440341822803</v>
      </c>
      <c r="H8">
        <f>H7/A7</f>
        <v>1.0972083620045705</v>
      </c>
      <c r="I8">
        <f>I7/A7</f>
        <v>1.1121778661958139</v>
      </c>
      <c r="J8">
        <f>J7/A7</f>
        <v>1.125</v>
      </c>
      <c r="K8">
        <f>K7/A7</f>
        <v>1.1403486728668213</v>
      </c>
      <c r="L8">
        <f>L7/A7</f>
        <v>1.1559067517414405</v>
      </c>
      <c r="M8">
        <f>M7/A7</f>
        <v>1.1716770936054666</v>
      </c>
      <c r="N8">
        <f>N7/A7</f>
        <v>1.1876625944190651</v>
      </c>
      <c r="O8">
        <f>O7/A7</f>
        <v>1.20135498046875</v>
      </c>
      <c r="P8">
        <f>P7/A7</f>
        <v>1.2177453845506534</v>
      </c>
      <c r="Q8">
        <f>Q7/A7</f>
        <v>1.2343594072551418</v>
      </c>
      <c r="R8">
        <f>R7/A7</f>
        <v>1.2512000994702908</v>
      </c>
      <c r="S8">
        <f>S7/A7</f>
        <v>1.265625</v>
      </c>
      <c r="T8">
        <f>T7/A7</f>
        <v>1.282892256975174</v>
      </c>
      <c r="U8">
        <f>U7/A7</f>
        <v>1.3003950957091206</v>
      </c>
      <c r="V8">
        <f>V7/A7</f>
        <v>1.31813673030615</v>
      </c>
      <c r="W8">
        <f>W7/A7</f>
        <v>1.3361204187214482</v>
      </c>
      <c r="X8">
        <f>X7/A7</f>
        <v>1.3515243530273438</v>
      </c>
      <c r="Y8">
        <f>Y7/A7</f>
        <v>1.3699635576194851</v>
      </c>
      <c r="Z8">
        <f>Z7/A7</f>
        <v>1.3886543331620345</v>
      </c>
      <c r="AA8">
        <f>AA7/A7</f>
        <v>1.4076001119040771</v>
      </c>
      <c r="AB8">
        <f>AB7/A7</f>
        <v>1.423828125</v>
      </c>
      <c r="AC8">
        <f>AC7/A7</f>
        <v>1.4432537890970707</v>
      </c>
      <c r="AD8">
        <f>AD7/A7</f>
        <v>1.4629444826727609</v>
      </c>
      <c r="AE8">
        <f>AE7/A7</f>
        <v>1.4829038215944188</v>
      </c>
      <c r="AF8">
        <f>AF7/A7</f>
        <v>1.5</v>
      </c>
      <c r="AG8">
        <f>AG7/A7</f>
        <v>1.5204648971557617</v>
      </c>
      <c r="AH8">
        <f>AH7/A7</f>
        <v>1.5412090023219207</v>
      </c>
      <c r="AI8">
        <f>AI7/A7</f>
        <v>1.5622361248072887</v>
      </c>
      <c r="AJ8">
        <f>AJ7/A7</f>
        <v>1.5835501258920868</v>
      </c>
      <c r="AK8">
        <f>AK7/A7</f>
        <v>1.601806640625</v>
      </c>
      <c r="AL8">
        <f>AL7/A7</f>
        <v>1.6236605127342045</v>
      </c>
      <c r="AM8">
        <f>AM7/A7</f>
        <v>1.6458125430068555</v>
      </c>
      <c r="AN8">
        <f>AN7/A7</f>
        <v>1.668266799293721</v>
      </c>
      <c r="AO8">
        <f>AO7/A7</f>
        <v>1.6875</v>
      </c>
      <c r="AP8">
        <f>AP7/A7</f>
        <v>1.7105230093002319</v>
      </c>
      <c r="AQ8">
        <f>AQ7/A7</f>
        <v>1.7338601276121608</v>
      </c>
      <c r="AR8">
        <f>AR7/A7</f>
        <v>1.7575156404082002</v>
      </c>
      <c r="AS8">
        <f>AS7/A7</f>
        <v>1.7814938916285976</v>
      </c>
      <c r="AT8">
        <f>AT7/A7</f>
        <v>1.802032470703125</v>
      </c>
      <c r="AU8">
        <f>AU7/A7</f>
        <v>1.8266180768259801</v>
      </c>
      <c r="AV8">
        <f>AV7/A7</f>
        <v>1.8515391108827124</v>
      </c>
      <c r="AW8">
        <f>AW7/A7</f>
        <v>1.8768001492054363</v>
      </c>
      <c r="AX8">
        <f>AX7/A7</f>
        <v>1.8984375</v>
      </c>
      <c r="AY8">
        <f>AY7/A7</f>
        <v>1.9243383854627609</v>
      </c>
      <c r="AZ8">
        <f>AZ7/A7</f>
        <v>1.9505926435636809</v>
      </c>
      <c r="BA8">
        <f>BA7/A7</f>
        <v>1.9772050954592253</v>
      </c>
      <c r="BB8" s="54">
        <f>BB7/A7</f>
        <v>2.0041806280821723</v>
      </c>
    </row>
    <row r="9" spans="1:55" ht="42" customHeight="1" x14ac:dyDescent="0.25">
      <c r="B9" s="55"/>
      <c r="C9" s="55"/>
      <c r="D9" s="55"/>
      <c r="E9" s="55"/>
      <c r="F9" s="56" t="s">
        <v>65</v>
      </c>
      <c r="G9" s="57"/>
      <c r="H9" s="57"/>
      <c r="I9" s="57"/>
      <c r="J9" s="58" t="s">
        <v>66</v>
      </c>
      <c r="K9" s="58" t="s">
        <v>67</v>
      </c>
      <c r="L9" s="57"/>
      <c r="M9" s="55"/>
      <c r="N9" s="55"/>
      <c r="O9" s="56" t="s">
        <v>68</v>
      </c>
      <c r="P9" s="55"/>
      <c r="Q9" s="55"/>
      <c r="R9" s="55"/>
      <c r="S9" s="56" t="s">
        <v>69</v>
      </c>
      <c r="T9" s="55"/>
      <c r="U9" s="55"/>
      <c r="V9" s="57"/>
      <c r="W9" s="57"/>
      <c r="X9" s="58" t="s">
        <v>70</v>
      </c>
      <c r="Y9" s="57"/>
      <c r="Z9" s="57"/>
      <c r="AA9" s="57"/>
      <c r="AB9" s="58" t="s">
        <v>71</v>
      </c>
      <c r="AC9" s="58" t="s">
        <v>72</v>
      </c>
      <c r="AD9" s="57"/>
      <c r="AE9" s="57"/>
      <c r="AF9" s="58" t="s">
        <v>73</v>
      </c>
      <c r="AG9" s="58" t="s">
        <v>74</v>
      </c>
      <c r="AH9" s="57"/>
      <c r="AI9" s="57"/>
      <c r="AJ9" s="57"/>
      <c r="AK9" s="58" t="s">
        <v>75</v>
      </c>
      <c r="AL9" s="57"/>
      <c r="AM9" s="57"/>
      <c r="AN9" s="57"/>
      <c r="AO9" s="58" t="s">
        <v>76</v>
      </c>
      <c r="AP9" s="58" t="s">
        <v>77</v>
      </c>
      <c r="AQ9" s="57"/>
      <c r="AR9" s="57"/>
      <c r="AS9" s="57"/>
      <c r="AT9" s="58" t="s">
        <v>78</v>
      </c>
      <c r="AU9" s="57"/>
      <c r="AV9" s="57"/>
      <c r="AW9" s="55"/>
      <c r="AX9" s="56" t="s">
        <v>79</v>
      </c>
      <c r="AY9" s="56" t="s">
        <v>80</v>
      </c>
      <c r="AZ9" s="55"/>
      <c r="BA9" s="57"/>
      <c r="BB9" s="57"/>
    </row>
    <row r="10" spans="1:5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</row>
    <row r="11" spans="1:55" x14ac:dyDescent="0.25">
      <c r="A11" s="65" t="s">
        <v>13</v>
      </c>
      <c r="B11" s="66"/>
      <c r="C11" s="66"/>
      <c r="D11" s="66"/>
      <c r="E11" s="66"/>
      <c r="F11" s="67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</row>
    <row r="12" spans="1:55" x14ac:dyDescent="0.25">
      <c r="A12" s="23"/>
      <c r="B12" s="23"/>
      <c r="C12" s="23"/>
      <c r="D12" s="23"/>
      <c r="E12" s="23"/>
      <c r="F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</row>
    <row r="13" spans="1:55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</row>
    <row r="14" spans="1:55" x14ac:dyDescent="0.25">
      <c r="A14" s="68" t="s">
        <v>14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</row>
    <row r="15" spans="1:55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</row>
    <row r="16" spans="1:55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</row>
    <row r="17" spans="1:54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</row>
    <row r="18" spans="1:5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</row>
    <row r="19" spans="1:54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</row>
    <row r="20" spans="1:54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</row>
    <row r="21" spans="1:54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</row>
    <row r="22" spans="1:54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</row>
    <row r="23" spans="1:54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</row>
    <row r="24" spans="1:54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</row>
    <row r="25" spans="1:54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</row>
    <row r="26" spans="1:54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</row>
    <row r="27" spans="1:54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</row>
    <row r="28" spans="1:54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</row>
    <row r="29" spans="1:54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</row>
    <row r="30" spans="1:54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</row>
    <row r="31" spans="1:54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</row>
    <row r="32" spans="1:54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</row>
    <row r="33" spans="1:54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</row>
    <row r="34" spans="1:54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</row>
    <row r="35" spans="1:54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</row>
    <row r="36" spans="1:54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</row>
    <row r="37" spans="1:54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</row>
    <row r="38" spans="1:54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</row>
    <row r="39" spans="1:54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</row>
    <row r="40" spans="1:54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</row>
    <row r="41" spans="1:54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</row>
    <row r="42" spans="1:54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</row>
    <row r="43" spans="1:54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</row>
    <row r="44" spans="1:54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</row>
    <row r="45" spans="1:54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</row>
    <row r="46" spans="1:5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</row>
    <row r="47" spans="1:54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</row>
    <row r="48" spans="1:54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</row>
    <row r="49" spans="1:54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</row>
    <row r="50" spans="1:54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</row>
    <row r="51" spans="1:54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</row>
    <row r="52" spans="1:54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</row>
    <row r="53" spans="1:54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</row>
    <row r="54" spans="1:54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</row>
    <row r="55" spans="1:54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</row>
    <row r="56" spans="1:54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</row>
    <row r="57" spans="1:54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</row>
    <row r="58" spans="1:54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</row>
    <row r="59" spans="1:54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</row>
    <row r="60" spans="1:54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</row>
    <row r="61" spans="1:54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</row>
    <row r="62" spans="1:54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</row>
    <row r="63" spans="1:54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</row>
    <row r="64" spans="1:54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</row>
    <row r="65" spans="1:54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</row>
    <row r="66" spans="1:54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</row>
    <row r="67" spans="1:54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</row>
    <row r="68" spans="1:54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</row>
    <row r="69" spans="1:54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</row>
    <row r="70" spans="1:54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</row>
    <row r="71" spans="1:54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</row>
    <row r="72" spans="1:54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</row>
    <row r="73" spans="1:54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</row>
    <row r="74" spans="1:54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</row>
    <row r="75" spans="1:54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</row>
    <row r="76" spans="1:54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</row>
    <row r="77" spans="1:54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</row>
    <row r="78" spans="1:54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</row>
    <row r="79" spans="1:54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</row>
    <row r="80" spans="1:54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</row>
    <row r="81" spans="1:54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</row>
    <row r="82" spans="1:54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</row>
    <row r="83" spans="1:54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</row>
    <row r="84" spans="1:54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</row>
    <row r="85" spans="1:54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</row>
    <row r="86" spans="1:54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</row>
    <row r="87" spans="1:54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</row>
    <row r="88" spans="1:54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</row>
    <row r="89" spans="1:54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</row>
    <row r="90" spans="1:54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</row>
    <row r="91" spans="1:54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</row>
    <row r="92" spans="1:54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</row>
    <row r="93" spans="1:54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</row>
    <row r="94" spans="1:54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</row>
    <row r="95" spans="1:54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</row>
    <row r="96" spans="1:54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</row>
    <row r="97" spans="1:54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</row>
    <row r="98" spans="1:54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</row>
    <row r="99" spans="1:54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</row>
    <row r="100" spans="1:54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</row>
    <row r="101" spans="1:54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</row>
    <row r="102" spans="1:54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</row>
    <row r="103" spans="1:54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</row>
    <row r="104" spans="1:54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</row>
    <row r="105" spans="1:54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</row>
    <row r="106" spans="1:54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</row>
    <row r="107" spans="1:54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</row>
    <row r="108" spans="1:54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</row>
    <row r="109" spans="1:54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</row>
    <row r="110" spans="1:54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</row>
    <row r="111" spans="1:54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</row>
    <row r="112" spans="1:54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</row>
    <row r="113" spans="1:54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</row>
    <row r="114" spans="1:54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</row>
    <row r="115" spans="1:54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</row>
    <row r="116" spans="1:54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</row>
    <row r="117" spans="1:54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</row>
    <row r="118" spans="1:54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</row>
    <row r="119" spans="1:54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</row>
    <row r="120" spans="1:54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</row>
    <row r="121" spans="1:54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</row>
    <row r="122" spans="1:54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</row>
    <row r="123" spans="1:54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</row>
    <row r="124" spans="1:54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</row>
    <row r="125" spans="1:54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</row>
    <row r="126" spans="1:54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</row>
    <row r="127" spans="1:54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</row>
    <row r="128" spans="1:54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</row>
    <row r="129" spans="1:54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</row>
    <row r="130" spans="1:54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</row>
    <row r="131" spans="1:54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</row>
    <row r="132" spans="1:54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</row>
    <row r="133" spans="1:54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</row>
    <row r="134" spans="1:54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</row>
    <row r="135" spans="1:54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</row>
    <row r="136" spans="1:54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</row>
    <row r="137" spans="1:54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</row>
    <row r="138" spans="1:54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</row>
    <row r="139" spans="1:54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</row>
    <row r="140" spans="1:54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</row>
    <row r="141" spans="1:54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</row>
    <row r="142" spans="1:54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</row>
    <row r="143" spans="1:54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</row>
    <row r="144" spans="1:54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</row>
    <row r="145" spans="1:54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</row>
    <row r="146" spans="1:54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</row>
    <row r="147" spans="1:54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</row>
    <row r="148" spans="1:54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</row>
    <row r="149" spans="1:54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</row>
    <row r="150" spans="1:54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</row>
    <row r="151" spans="1:54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</row>
    <row r="152" spans="1:54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</row>
    <row r="153" spans="1:54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</row>
    <row r="154" spans="1:54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</row>
    <row r="155" spans="1:54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</row>
    <row r="156" spans="1:54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</row>
    <row r="157" spans="1:54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</row>
    <row r="158" spans="1:54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</row>
    <row r="159" spans="1:54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</row>
    <row r="160" spans="1:54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</row>
    <row r="161" spans="1:54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</row>
    <row r="162" spans="1:54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</row>
    <row r="163" spans="1:54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</row>
    <row r="164" spans="1:54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</row>
    <row r="165" spans="1:54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</row>
    <row r="166" spans="1:54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</row>
    <row r="167" spans="1:54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</row>
    <row r="168" spans="1:54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</row>
    <row r="169" spans="1:54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</row>
    <row r="170" spans="1:54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</row>
    <row r="171" spans="1:54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</row>
    <row r="172" spans="1:54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</row>
    <row r="173" spans="1:54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</row>
    <row r="174" spans="1:54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</row>
    <row r="175" spans="1:54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</row>
    <row r="176" spans="1:54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</row>
    <row r="177" spans="1:54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</row>
    <row r="178" spans="1:54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</row>
    <row r="179" spans="1:54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</row>
    <row r="180" spans="1:54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</row>
    <row r="181" spans="1:54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</row>
    <row r="182" spans="1:54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</row>
    <row r="183" spans="1:54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</row>
    <row r="184" spans="1:54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</row>
    <row r="185" spans="1:54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</row>
    <row r="186" spans="1:54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</row>
    <row r="187" spans="1:54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</row>
    <row r="188" spans="1:54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</row>
    <row r="189" spans="1:54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</row>
    <row r="190" spans="1:54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</row>
    <row r="191" spans="1:54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</row>
    <row r="192" spans="1:54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</row>
    <row r="193" spans="1:54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</row>
    <row r="194" spans="1:54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</row>
    <row r="195" spans="1:54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</row>
    <row r="196" spans="1:54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</row>
    <row r="197" spans="1:54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</row>
    <row r="198" spans="1:54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</row>
    <row r="199" spans="1:54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</row>
    <row r="200" spans="1:54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</row>
    <row r="201" spans="1:54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</row>
    <row r="202" spans="1:54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</row>
    <row r="203" spans="1:54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</row>
    <row r="204" spans="1:54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</row>
    <row r="205" spans="1:54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</row>
    <row r="206" spans="1:54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</row>
    <row r="207" spans="1:54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</row>
    <row r="208" spans="1:54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</row>
    <row r="209" spans="1:54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</row>
    <row r="210" spans="1:54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</row>
    <row r="211" spans="1:54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</row>
    <row r="212" spans="1:54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</row>
    <row r="213" spans="1:54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</row>
    <row r="214" spans="1:54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</row>
    <row r="215" spans="1:54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</row>
    <row r="216" spans="1:54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</row>
    <row r="217" spans="1:54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</row>
    <row r="218" spans="1:54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</row>
    <row r="219" spans="1:54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</row>
    <row r="220" spans="1:54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</row>
    <row r="221" spans="1:54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</row>
    <row r="222" spans="1:54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</row>
    <row r="223" spans="1:54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</row>
    <row r="224" spans="1:54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</row>
    <row r="225" spans="1:54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</row>
    <row r="226" spans="1:54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</row>
    <row r="227" spans="1:54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</row>
    <row r="228" spans="1:54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</row>
    <row r="229" spans="1:54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</row>
    <row r="230" spans="1:54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</row>
    <row r="231" spans="1:54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</row>
    <row r="232" spans="1:54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</row>
    <row r="233" spans="1:54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</row>
    <row r="234" spans="1:54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</row>
    <row r="235" spans="1:54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</row>
    <row r="236" spans="1:54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</row>
    <row r="237" spans="1:54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</row>
    <row r="238" spans="1:54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</row>
    <row r="239" spans="1:54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</row>
    <row r="240" spans="1:54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</row>
    <row r="241" spans="1:54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</row>
    <row r="242" spans="1:54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</row>
    <row r="243" spans="1:54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</row>
    <row r="244" spans="1:54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</row>
    <row r="245" spans="1:54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</row>
    <row r="246" spans="1:54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</row>
    <row r="247" spans="1:54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</row>
    <row r="248" spans="1:54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</row>
    <row r="249" spans="1:54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</row>
    <row r="250" spans="1:54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</row>
    <row r="251" spans="1:54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</row>
    <row r="252" spans="1:54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</row>
    <row r="253" spans="1:54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</row>
    <row r="254" spans="1:54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</row>
    <row r="255" spans="1:54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</row>
    <row r="256" spans="1:54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</row>
    <row r="257" spans="1:54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</row>
    <row r="258" spans="1:54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</row>
    <row r="259" spans="1:54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</row>
    <row r="260" spans="1:54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</row>
    <row r="261" spans="1:54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</row>
    <row r="262" spans="1:54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</row>
    <row r="263" spans="1:54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</row>
    <row r="264" spans="1:54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</row>
    <row r="265" spans="1:54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</row>
    <row r="266" spans="1:54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</row>
    <row r="267" spans="1:54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</row>
    <row r="268" spans="1:54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</row>
    <row r="269" spans="1:54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</row>
    <row r="270" spans="1:54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</row>
    <row r="271" spans="1:54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</row>
    <row r="272" spans="1:54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</row>
    <row r="273" spans="1:54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</row>
    <row r="274" spans="1:54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</row>
    <row r="275" spans="1:54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</row>
    <row r="276" spans="1:54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</row>
    <row r="277" spans="1:54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</row>
    <row r="278" spans="1:54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</row>
    <row r="279" spans="1:54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</row>
    <row r="280" spans="1:54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</row>
    <row r="281" spans="1:54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</row>
    <row r="282" spans="1:54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</row>
    <row r="283" spans="1:54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</row>
    <row r="284" spans="1:54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</row>
    <row r="285" spans="1:54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</row>
    <row r="286" spans="1:54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</row>
    <row r="287" spans="1:54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</row>
    <row r="288" spans="1:54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</row>
    <row r="289" spans="1:54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</row>
    <row r="290" spans="1:54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</row>
    <row r="291" spans="1:54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</row>
    <row r="292" spans="1:54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</row>
    <row r="293" spans="1:54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</row>
    <row r="294" spans="1:54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</row>
    <row r="295" spans="1:54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</row>
    <row r="296" spans="1:54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</row>
    <row r="297" spans="1:54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</row>
    <row r="298" spans="1:54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</row>
    <row r="299" spans="1:54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</row>
    <row r="300" spans="1:54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</row>
    <row r="301" spans="1:54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</row>
    <row r="302" spans="1:54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</row>
    <row r="303" spans="1:54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</row>
    <row r="304" spans="1:54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</row>
    <row r="305" spans="1:54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</row>
    <row r="306" spans="1:54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</row>
    <row r="307" spans="1:54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</row>
    <row r="308" spans="1:54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</row>
    <row r="309" spans="1:54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</row>
    <row r="310" spans="1:54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</row>
    <row r="311" spans="1:54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</row>
    <row r="312" spans="1:54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</row>
    <row r="313" spans="1:54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</row>
    <row r="314" spans="1:54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</row>
    <row r="315" spans="1:54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</row>
    <row r="316" spans="1:54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</row>
    <row r="317" spans="1:54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</row>
    <row r="318" spans="1:54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</row>
    <row r="319" spans="1:54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</row>
    <row r="320" spans="1:54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</row>
    <row r="321" spans="1:54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</row>
    <row r="322" spans="1:54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</row>
    <row r="323" spans="1:54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</row>
    <row r="324" spans="1:54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</row>
    <row r="325" spans="1:54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</row>
    <row r="326" spans="1:54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</row>
    <row r="327" spans="1:54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</row>
    <row r="328" spans="1:54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</row>
    <row r="329" spans="1:54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</row>
    <row r="330" spans="1:54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</row>
    <row r="331" spans="1:54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</row>
    <row r="332" spans="1:54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</row>
    <row r="333" spans="1:54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</row>
    <row r="334" spans="1:54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</row>
    <row r="335" spans="1:54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</row>
    <row r="336" spans="1:54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</row>
    <row r="337" spans="1:54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</row>
    <row r="338" spans="1:54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</row>
    <row r="339" spans="1:54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</row>
    <row r="340" spans="1:54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</row>
    <row r="341" spans="1:54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</row>
    <row r="342" spans="1:54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</row>
    <row r="343" spans="1:54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</row>
    <row r="344" spans="1:54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</row>
    <row r="345" spans="1:54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</row>
    <row r="346" spans="1:54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</row>
    <row r="347" spans="1:54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</row>
    <row r="348" spans="1:54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</row>
    <row r="349" spans="1:54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</row>
    <row r="350" spans="1:54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</row>
    <row r="351" spans="1:54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</row>
    <row r="352" spans="1:54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</row>
    <row r="353" spans="1:54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</row>
    <row r="354" spans="1:54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</row>
    <row r="355" spans="1:54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</row>
    <row r="356" spans="1:54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</row>
    <row r="357" spans="1:54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</row>
    <row r="358" spans="1:54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</row>
    <row r="359" spans="1:54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</row>
    <row r="360" spans="1:54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</row>
    <row r="361" spans="1:54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</row>
    <row r="362" spans="1:54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</row>
    <row r="363" spans="1:54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</row>
    <row r="364" spans="1:54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</row>
    <row r="365" spans="1:54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</row>
    <row r="366" spans="1:54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</row>
    <row r="367" spans="1:54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</row>
    <row r="368" spans="1:54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</row>
    <row r="369" spans="1:54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</row>
    <row r="370" spans="1:54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</row>
    <row r="371" spans="1:54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</row>
    <row r="372" spans="1:54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</row>
    <row r="373" spans="1:54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</row>
    <row r="374" spans="1:54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</row>
    <row r="375" spans="1:54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</row>
    <row r="376" spans="1:54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</row>
    <row r="377" spans="1:54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</row>
    <row r="378" spans="1:54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</row>
    <row r="379" spans="1:54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</row>
    <row r="380" spans="1:54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</row>
    <row r="381" spans="1:54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</row>
    <row r="382" spans="1:54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</row>
    <row r="383" spans="1:54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</row>
    <row r="384" spans="1:54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</row>
    <row r="385" spans="1:54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</row>
    <row r="386" spans="1:54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</row>
    <row r="387" spans="1:54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</row>
    <row r="388" spans="1:54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</row>
    <row r="389" spans="1:54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</row>
    <row r="390" spans="1:54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</row>
    <row r="391" spans="1:54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</row>
    <row r="392" spans="1:54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</row>
    <row r="393" spans="1:54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</row>
    <row r="394" spans="1:54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</row>
    <row r="395" spans="1:54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</row>
    <row r="396" spans="1:54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</row>
    <row r="397" spans="1:54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</row>
    <row r="398" spans="1:54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</row>
    <row r="399" spans="1:54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</row>
    <row r="400" spans="1:54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</row>
    <row r="401" spans="1:54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</row>
    <row r="402" spans="1:54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</row>
    <row r="403" spans="1:54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</row>
    <row r="404" spans="1:54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</row>
    <row r="405" spans="1:54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</row>
    <row r="406" spans="1:54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</row>
    <row r="407" spans="1:54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</row>
    <row r="408" spans="1:54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</row>
    <row r="409" spans="1:54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</row>
    <row r="410" spans="1:54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</row>
    <row r="411" spans="1:54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</row>
    <row r="412" spans="1:54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</row>
    <row r="413" spans="1:54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</row>
    <row r="414" spans="1:54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</row>
    <row r="415" spans="1:54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</row>
    <row r="416" spans="1:54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</row>
    <row r="417" spans="1:54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</row>
    <row r="418" spans="1:54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</row>
    <row r="419" spans="1:54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</row>
    <row r="420" spans="1:54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</row>
    <row r="421" spans="1:54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</row>
    <row r="422" spans="1:54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</row>
    <row r="423" spans="1:54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</row>
    <row r="424" spans="1:54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</row>
    <row r="425" spans="1:54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</row>
    <row r="426" spans="1:54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</row>
    <row r="427" spans="1:54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</row>
    <row r="428" spans="1:54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</row>
    <row r="429" spans="1:54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</row>
    <row r="430" spans="1:54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</row>
    <row r="431" spans="1:54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</row>
    <row r="432" spans="1:54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</row>
    <row r="433" spans="1:54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</row>
    <row r="434" spans="1:54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</row>
    <row r="435" spans="1:54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</row>
    <row r="436" spans="1:54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</row>
    <row r="437" spans="1:54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</row>
    <row r="438" spans="1:54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</row>
    <row r="439" spans="1:54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</row>
    <row r="440" spans="1:54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</row>
    <row r="441" spans="1:54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</row>
    <row r="442" spans="1:54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</row>
    <row r="443" spans="1:54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</row>
    <row r="444" spans="1:54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</row>
    <row r="445" spans="1:54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</row>
    <row r="446" spans="1:54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</row>
    <row r="447" spans="1:54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</row>
    <row r="448" spans="1:54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</row>
    <row r="449" spans="1:54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</row>
    <row r="450" spans="1:54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</row>
    <row r="451" spans="1:54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</row>
    <row r="452" spans="1:54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</row>
    <row r="453" spans="1:54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</row>
    <row r="454" spans="1:54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</row>
    <row r="455" spans="1:54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</row>
    <row r="456" spans="1:54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</row>
    <row r="457" spans="1:54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</row>
    <row r="458" spans="1:54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</row>
    <row r="459" spans="1:54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</row>
    <row r="460" spans="1:54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</row>
    <row r="461" spans="1:54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</row>
    <row r="462" spans="1:54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</row>
    <row r="463" spans="1:54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</row>
    <row r="464" spans="1:54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</row>
    <row r="465" spans="1:54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</row>
    <row r="466" spans="1:54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</row>
    <row r="467" spans="1:54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</row>
    <row r="468" spans="1:54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</row>
    <row r="469" spans="1:54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</row>
    <row r="470" spans="1:54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</row>
    <row r="471" spans="1:54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</row>
    <row r="472" spans="1:54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</row>
    <row r="473" spans="1:54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</row>
    <row r="474" spans="1:54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</row>
    <row r="475" spans="1:54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</row>
    <row r="476" spans="1:54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</row>
    <row r="477" spans="1:54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</row>
    <row r="478" spans="1:54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</row>
    <row r="479" spans="1:54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</row>
    <row r="480" spans="1:54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</row>
    <row r="481" spans="1:54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</row>
    <row r="482" spans="1:54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</row>
    <row r="483" spans="1:54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</row>
    <row r="484" spans="1:54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</row>
    <row r="485" spans="1:54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</row>
    <row r="486" spans="1:54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</row>
    <row r="487" spans="1:54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</row>
    <row r="488" spans="1:54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</row>
    <row r="489" spans="1:54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</row>
    <row r="490" spans="1:54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</row>
    <row r="491" spans="1:54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</row>
    <row r="492" spans="1:54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</row>
    <row r="493" spans="1:54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</row>
    <row r="494" spans="1:54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</row>
    <row r="495" spans="1:54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</row>
    <row r="496" spans="1:54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</row>
    <row r="497" spans="1:54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</row>
    <row r="498" spans="1:54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</row>
    <row r="499" spans="1:54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</row>
    <row r="500" spans="1:54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</row>
    <row r="501" spans="1:54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</row>
    <row r="502" spans="1:54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</row>
    <row r="503" spans="1:54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</row>
    <row r="504" spans="1:54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</row>
    <row r="505" spans="1:54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</row>
    <row r="506" spans="1:54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</row>
    <row r="507" spans="1:54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</row>
    <row r="508" spans="1:54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</row>
    <row r="509" spans="1:54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</row>
    <row r="510" spans="1:54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</row>
    <row r="511" spans="1:54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</row>
    <row r="512" spans="1:54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</row>
    <row r="513" spans="1:54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</row>
    <row r="514" spans="1:54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</row>
    <row r="515" spans="1:54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</row>
    <row r="516" spans="1:54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</row>
    <row r="517" spans="1:54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</row>
    <row r="518" spans="1:54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</row>
    <row r="519" spans="1:54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</row>
    <row r="520" spans="1:54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</row>
    <row r="521" spans="1:54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</row>
    <row r="522" spans="1:54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</row>
    <row r="523" spans="1:54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</row>
    <row r="524" spans="1:54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</row>
    <row r="525" spans="1:54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</row>
    <row r="526" spans="1:54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</row>
    <row r="527" spans="1:54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</row>
    <row r="528" spans="1:54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</row>
    <row r="529" spans="1:54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</row>
    <row r="530" spans="1:54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</row>
    <row r="531" spans="1:54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</row>
    <row r="532" spans="1:54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</row>
    <row r="533" spans="1:54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</row>
    <row r="534" spans="1:54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</row>
    <row r="535" spans="1:54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</row>
    <row r="536" spans="1:54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</row>
    <row r="537" spans="1:54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</row>
    <row r="538" spans="1:54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</row>
    <row r="539" spans="1:54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</row>
    <row r="540" spans="1:54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</row>
    <row r="541" spans="1:54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</row>
    <row r="542" spans="1:54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</row>
    <row r="543" spans="1:54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</row>
    <row r="544" spans="1:54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</row>
    <row r="545" spans="1:54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</row>
    <row r="546" spans="1:54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</row>
    <row r="547" spans="1:54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</row>
    <row r="548" spans="1:54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</row>
    <row r="549" spans="1:54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</row>
    <row r="550" spans="1:54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</row>
    <row r="551" spans="1:54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</row>
    <row r="552" spans="1:54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</row>
    <row r="553" spans="1:54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</row>
    <row r="554" spans="1:54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</row>
    <row r="555" spans="1:54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</row>
    <row r="556" spans="1:54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</row>
    <row r="557" spans="1:54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</row>
    <row r="558" spans="1:54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</row>
    <row r="559" spans="1:54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</row>
    <row r="560" spans="1:54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</row>
    <row r="561" spans="1:54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</row>
    <row r="562" spans="1:54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</row>
    <row r="563" spans="1:54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</row>
    <row r="564" spans="1:54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</row>
    <row r="565" spans="1:54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</row>
    <row r="566" spans="1:54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</row>
    <row r="567" spans="1:54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</row>
    <row r="568" spans="1:54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</row>
    <row r="569" spans="1:54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</row>
    <row r="570" spans="1:54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</row>
    <row r="571" spans="1:54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</row>
    <row r="572" spans="1:54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</row>
    <row r="573" spans="1:54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</row>
    <row r="574" spans="1:54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</row>
    <row r="575" spans="1:54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</row>
    <row r="576" spans="1:54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</row>
    <row r="577" spans="1:54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</row>
    <row r="578" spans="1:54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</row>
    <row r="579" spans="1:54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</row>
    <row r="580" spans="1:54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</row>
    <row r="581" spans="1:54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</row>
    <row r="582" spans="1:54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</row>
    <row r="583" spans="1:54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</row>
    <row r="584" spans="1:54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</row>
    <row r="585" spans="1:54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</row>
    <row r="586" spans="1:54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</row>
    <row r="587" spans="1:54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</row>
    <row r="588" spans="1:54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</row>
    <row r="589" spans="1:54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</row>
    <row r="590" spans="1:54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</row>
    <row r="591" spans="1:54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</row>
    <row r="592" spans="1:54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</row>
    <row r="593" spans="1:54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</row>
    <row r="594" spans="1:54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</row>
    <row r="595" spans="1:54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</row>
    <row r="596" spans="1:54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</row>
    <row r="597" spans="1:54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</row>
    <row r="598" spans="1:54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</row>
    <row r="599" spans="1:54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</row>
    <row r="600" spans="1:54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</row>
    <row r="601" spans="1:54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</row>
    <row r="602" spans="1:54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</row>
    <row r="603" spans="1:54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</row>
    <row r="604" spans="1:54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</row>
    <row r="605" spans="1:54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</row>
    <row r="606" spans="1:54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</row>
    <row r="607" spans="1:54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</row>
    <row r="608" spans="1:54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</row>
    <row r="609" spans="1:54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</row>
    <row r="610" spans="1:54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</row>
    <row r="611" spans="1:54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</row>
    <row r="612" spans="1:54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</row>
    <row r="613" spans="1:54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</row>
    <row r="614" spans="1:54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</row>
    <row r="615" spans="1:54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</row>
    <row r="616" spans="1:54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</row>
    <row r="617" spans="1:54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</row>
    <row r="618" spans="1:54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</row>
    <row r="619" spans="1:54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</row>
    <row r="620" spans="1:54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</row>
    <row r="621" spans="1:54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</row>
    <row r="622" spans="1:54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</row>
    <row r="623" spans="1:54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</row>
    <row r="624" spans="1:54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</row>
    <row r="625" spans="1:54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</row>
    <row r="626" spans="1:54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</row>
    <row r="627" spans="1:54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</row>
    <row r="628" spans="1:54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</row>
    <row r="629" spans="1:54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</row>
    <row r="630" spans="1:54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</row>
    <row r="631" spans="1:54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</row>
    <row r="632" spans="1:54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</row>
    <row r="633" spans="1:54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</row>
    <row r="634" spans="1:54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</row>
    <row r="635" spans="1:54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</row>
    <row r="636" spans="1:54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</row>
    <row r="637" spans="1:54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</row>
    <row r="638" spans="1:54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</row>
    <row r="639" spans="1:54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</row>
    <row r="640" spans="1:54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</row>
    <row r="641" spans="1:54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</row>
    <row r="642" spans="1:54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</row>
    <row r="643" spans="1:54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</row>
    <row r="644" spans="1:54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</row>
    <row r="645" spans="1:54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</row>
    <row r="646" spans="1:54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</row>
    <row r="647" spans="1:54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</row>
    <row r="648" spans="1:54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</row>
    <row r="649" spans="1:54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</row>
    <row r="650" spans="1:54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</row>
    <row r="651" spans="1:54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</row>
    <row r="652" spans="1:54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</row>
    <row r="653" spans="1:54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</row>
    <row r="654" spans="1:54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</row>
    <row r="655" spans="1:54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</row>
    <row r="656" spans="1:54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</row>
    <row r="657" spans="1:54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</row>
    <row r="658" spans="1:54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</row>
    <row r="659" spans="1:54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</row>
    <row r="660" spans="1:54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</row>
    <row r="661" spans="1:54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</row>
    <row r="662" spans="1:54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</row>
    <row r="663" spans="1:54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</row>
    <row r="664" spans="1:54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</row>
    <row r="665" spans="1:54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</row>
    <row r="666" spans="1:54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</row>
    <row r="667" spans="1:54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</row>
    <row r="668" spans="1:54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</row>
    <row r="669" spans="1:54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</row>
    <row r="670" spans="1:54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</row>
    <row r="671" spans="1:54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</row>
    <row r="672" spans="1:54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</row>
    <row r="673" spans="1:54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</row>
    <row r="674" spans="1:54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</row>
    <row r="675" spans="1:54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</row>
    <row r="676" spans="1:54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</row>
    <row r="677" spans="1:54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</row>
    <row r="678" spans="1:54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</row>
    <row r="679" spans="1:54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</row>
    <row r="680" spans="1:54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</row>
    <row r="681" spans="1:54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</row>
    <row r="682" spans="1:54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</row>
    <row r="683" spans="1:54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</row>
    <row r="684" spans="1:54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</row>
    <row r="685" spans="1:54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</row>
    <row r="686" spans="1:54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</row>
    <row r="687" spans="1:54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</row>
    <row r="688" spans="1:54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</row>
    <row r="689" spans="1:54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</row>
    <row r="690" spans="1:54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</row>
    <row r="691" spans="1:54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</row>
    <row r="692" spans="1:54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</row>
    <row r="693" spans="1:54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</row>
    <row r="694" spans="1:54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</row>
    <row r="695" spans="1:54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</row>
    <row r="696" spans="1:54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</row>
    <row r="697" spans="1:54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</row>
    <row r="698" spans="1:54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</row>
    <row r="699" spans="1:54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</row>
    <row r="700" spans="1:54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</row>
    <row r="701" spans="1:54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</row>
    <row r="702" spans="1:54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</row>
    <row r="703" spans="1:54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</row>
    <row r="704" spans="1:54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</row>
    <row r="705" spans="1:54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</row>
    <row r="706" spans="1:54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</row>
    <row r="707" spans="1:54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</row>
    <row r="708" spans="1:54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</row>
    <row r="709" spans="1:54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</row>
    <row r="710" spans="1:54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</row>
    <row r="711" spans="1:54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</row>
    <row r="712" spans="1:54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</row>
    <row r="713" spans="1:54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</row>
    <row r="714" spans="1:54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</row>
    <row r="715" spans="1:54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</row>
    <row r="716" spans="1:54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</row>
    <row r="717" spans="1:54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</row>
    <row r="718" spans="1:54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</row>
    <row r="719" spans="1:54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</row>
    <row r="720" spans="1:54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</row>
    <row r="721" spans="1:54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</row>
    <row r="722" spans="1:54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</row>
    <row r="723" spans="1:54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</row>
    <row r="724" spans="1:54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</row>
    <row r="725" spans="1:54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</row>
    <row r="726" spans="1:54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</row>
    <row r="727" spans="1:54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</row>
    <row r="728" spans="1:54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</row>
    <row r="729" spans="1:54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</row>
    <row r="730" spans="1:54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</row>
    <row r="731" spans="1:54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</row>
    <row r="732" spans="1:54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</row>
    <row r="733" spans="1:54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</row>
    <row r="734" spans="1:54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</row>
    <row r="735" spans="1:54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</row>
    <row r="736" spans="1:54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</row>
    <row r="737" spans="1:54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</row>
    <row r="738" spans="1:54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</row>
    <row r="739" spans="1:54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</row>
    <row r="740" spans="1:54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</row>
    <row r="741" spans="1:54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</row>
    <row r="742" spans="1:54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</row>
    <row r="743" spans="1:54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</row>
    <row r="744" spans="1:54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</row>
    <row r="745" spans="1:54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</row>
    <row r="746" spans="1:54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</row>
    <row r="747" spans="1:54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</row>
    <row r="748" spans="1:54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</row>
    <row r="749" spans="1:54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</row>
    <row r="750" spans="1:54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</row>
    <row r="751" spans="1:54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</row>
    <row r="752" spans="1:54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</row>
    <row r="753" spans="1:54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</row>
    <row r="754" spans="1:54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</row>
    <row r="755" spans="1:54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</row>
    <row r="756" spans="1:54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</row>
    <row r="757" spans="1:54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</row>
    <row r="758" spans="1:54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</row>
    <row r="759" spans="1:54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</row>
    <row r="760" spans="1:54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</row>
    <row r="761" spans="1:54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</row>
    <row r="762" spans="1:54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</row>
    <row r="763" spans="1:54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</row>
    <row r="764" spans="1:54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</row>
    <row r="765" spans="1:54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</row>
    <row r="766" spans="1:54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</row>
    <row r="767" spans="1:54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</row>
    <row r="768" spans="1:54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</row>
    <row r="769" spans="1:54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</row>
    <row r="770" spans="1:54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</row>
    <row r="771" spans="1:54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</row>
    <row r="772" spans="1:54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</row>
    <row r="773" spans="1:54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</row>
    <row r="774" spans="1:54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</row>
    <row r="775" spans="1:54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</row>
    <row r="776" spans="1:54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</row>
    <row r="777" spans="1:54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</row>
    <row r="778" spans="1:54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</row>
    <row r="779" spans="1:54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</row>
    <row r="780" spans="1:54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</row>
    <row r="781" spans="1:54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</row>
    <row r="782" spans="1:54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</row>
    <row r="783" spans="1:54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</row>
    <row r="784" spans="1:54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</row>
    <row r="785" spans="1:54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</row>
    <row r="786" spans="1:54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</row>
    <row r="787" spans="1:54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</row>
    <row r="788" spans="1:54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</row>
    <row r="789" spans="1:54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</row>
    <row r="790" spans="1:54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</row>
    <row r="791" spans="1:54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</row>
    <row r="792" spans="1:54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</row>
    <row r="793" spans="1:54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</row>
    <row r="794" spans="1:54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</row>
    <row r="795" spans="1:54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</row>
    <row r="796" spans="1:54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</row>
    <row r="797" spans="1:54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</row>
    <row r="798" spans="1:54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</row>
    <row r="799" spans="1:54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</row>
    <row r="800" spans="1:54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</row>
    <row r="801" spans="1:54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</row>
    <row r="802" spans="1:54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</row>
    <row r="803" spans="1:54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</row>
    <row r="804" spans="1:54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</row>
    <row r="805" spans="1:54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</row>
    <row r="806" spans="1:54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</row>
    <row r="807" spans="1:54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</row>
    <row r="808" spans="1:54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</row>
    <row r="809" spans="1:54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</row>
    <row r="810" spans="1:54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</row>
    <row r="811" spans="1:54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</row>
    <row r="812" spans="1:54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</row>
    <row r="813" spans="1:54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</row>
    <row r="814" spans="1:54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</row>
    <row r="815" spans="1:54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</row>
    <row r="816" spans="1:54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</row>
    <row r="817" spans="1:54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</row>
    <row r="818" spans="1:54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</row>
    <row r="819" spans="1:54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</row>
    <row r="820" spans="1:54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</row>
    <row r="821" spans="1:54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</row>
    <row r="822" spans="1:54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</row>
    <row r="823" spans="1:54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</row>
    <row r="824" spans="1:54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</row>
    <row r="825" spans="1:54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</row>
    <row r="826" spans="1:54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</row>
    <row r="827" spans="1:54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</row>
    <row r="828" spans="1:54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</row>
    <row r="829" spans="1:54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</row>
    <row r="830" spans="1:54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</row>
    <row r="831" spans="1:54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</row>
    <row r="832" spans="1:54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</row>
    <row r="833" spans="1:54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</row>
    <row r="834" spans="1:54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</row>
    <row r="835" spans="1:54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</row>
    <row r="836" spans="1:54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</row>
    <row r="837" spans="1:54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</row>
    <row r="838" spans="1:54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</row>
    <row r="839" spans="1:54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</row>
    <row r="840" spans="1:54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</row>
    <row r="841" spans="1:54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</row>
    <row r="842" spans="1:54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</row>
    <row r="843" spans="1:54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</row>
    <row r="844" spans="1:54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</row>
    <row r="845" spans="1:54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</row>
    <row r="846" spans="1:54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</row>
    <row r="847" spans="1:54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</row>
    <row r="848" spans="1:54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</row>
    <row r="849" spans="1:54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</row>
    <row r="850" spans="1:54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</row>
    <row r="851" spans="1:54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</row>
    <row r="852" spans="1:54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</row>
    <row r="853" spans="1:54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</row>
    <row r="854" spans="1:54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</row>
    <row r="855" spans="1:54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</row>
    <row r="856" spans="1:54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</row>
    <row r="857" spans="1:54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</row>
    <row r="858" spans="1:54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</row>
    <row r="859" spans="1:54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</row>
    <row r="860" spans="1:54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</row>
    <row r="861" spans="1:54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</row>
    <row r="862" spans="1:54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</row>
    <row r="863" spans="1:54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</row>
    <row r="864" spans="1:54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</row>
    <row r="865" spans="1:54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</row>
    <row r="866" spans="1:54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</row>
    <row r="867" spans="1:54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</row>
    <row r="868" spans="1:54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</row>
    <row r="869" spans="1:54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</row>
    <row r="870" spans="1:54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</row>
    <row r="871" spans="1:54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</row>
    <row r="872" spans="1:54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</row>
    <row r="873" spans="1:54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</row>
    <row r="874" spans="1:54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</row>
    <row r="875" spans="1:54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</row>
    <row r="876" spans="1:54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</row>
    <row r="877" spans="1:54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</row>
    <row r="878" spans="1:54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</row>
    <row r="879" spans="1:54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</row>
    <row r="880" spans="1:54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</row>
    <row r="881" spans="1:54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</row>
    <row r="882" spans="1:54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</row>
    <row r="883" spans="1:54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</row>
    <row r="884" spans="1:54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</row>
    <row r="885" spans="1:54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</row>
    <row r="886" spans="1:54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</row>
    <row r="887" spans="1:54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</row>
    <row r="888" spans="1:54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</row>
    <row r="889" spans="1:54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</row>
    <row r="890" spans="1:54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</row>
    <row r="891" spans="1:54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</row>
    <row r="892" spans="1:54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</row>
    <row r="893" spans="1:54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</row>
    <row r="894" spans="1:54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</row>
    <row r="895" spans="1:54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</row>
    <row r="896" spans="1:54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</row>
    <row r="897" spans="1:54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</row>
    <row r="898" spans="1:54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</row>
    <row r="899" spans="1:54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</row>
    <row r="900" spans="1:54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</row>
    <row r="901" spans="1:54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</row>
    <row r="902" spans="1:54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</row>
    <row r="903" spans="1:54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</row>
    <row r="904" spans="1:54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</row>
    <row r="905" spans="1:54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</row>
    <row r="906" spans="1:54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</row>
    <row r="907" spans="1:54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</row>
    <row r="908" spans="1:54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</row>
    <row r="909" spans="1:54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</row>
    <row r="910" spans="1:54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</row>
    <row r="911" spans="1:54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</row>
    <row r="912" spans="1:54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</row>
    <row r="913" spans="1:54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</row>
    <row r="914" spans="1:54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</row>
    <row r="915" spans="1:54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</row>
    <row r="916" spans="1:54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</row>
    <row r="917" spans="1:54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</row>
    <row r="918" spans="1:54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</row>
    <row r="919" spans="1:54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</row>
    <row r="920" spans="1:54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</row>
    <row r="921" spans="1:54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</row>
    <row r="922" spans="1:54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</row>
    <row r="923" spans="1:54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</row>
    <row r="924" spans="1:54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</row>
    <row r="925" spans="1:54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</row>
    <row r="926" spans="1:54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</row>
    <row r="927" spans="1:54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</row>
    <row r="928" spans="1:54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</row>
    <row r="929" spans="1:54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</row>
    <row r="930" spans="1:54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</row>
    <row r="931" spans="1:54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</row>
    <row r="932" spans="1:54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</row>
    <row r="933" spans="1:54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</row>
    <row r="934" spans="1:54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</row>
    <row r="935" spans="1:54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</row>
    <row r="936" spans="1:54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</row>
    <row r="937" spans="1:54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</row>
    <row r="938" spans="1:54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</row>
    <row r="939" spans="1:54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</row>
    <row r="940" spans="1:54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</row>
    <row r="941" spans="1:54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</row>
    <row r="942" spans="1:54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</row>
    <row r="943" spans="1:54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</row>
    <row r="944" spans="1:54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</row>
    <row r="945" spans="1:54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</row>
    <row r="946" spans="1:54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</row>
    <row r="947" spans="1:54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</row>
    <row r="948" spans="1:54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</row>
    <row r="949" spans="1:54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</row>
    <row r="950" spans="1:54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</row>
    <row r="951" spans="1:54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</row>
    <row r="952" spans="1:54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</row>
    <row r="953" spans="1:54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</row>
    <row r="954" spans="1:54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</row>
    <row r="955" spans="1:54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</row>
    <row r="956" spans="1:54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</row>
    <row r="957" spans="1:54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</row>
    <row r="958" spans="1:54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</row>
    <row r="959" spans="1:54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</row>
    <row r="960" spans="1:54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</row>
    <row r="961" spans="1:54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</row>
    <row r="962" spans="1:54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</row>
    <row r="963" spans="1:54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</row>
    <row r="964" spans="1:54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</row>
    <row r="965" spans="1:54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</row>
    <row r="966" spans="1:54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</row>
    <row r="967" spans="1:54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</row>
    <row r="968" spans="1:54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</row>
    <row r="969" spans="1:54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</row>
    <row r="970" spans="1:54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</row>
    <row r="971" spans="1:54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</row>
    <row r="972" spans="1:54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</row>
    <row r="973" spans="1:54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</row>
    <row r="974" spans="1:54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</row>
    <row r="975" spans="1:54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</row>
    <row r="976" spans="1:54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</row>
    <row r="977" spans="1:54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</row>
    <row r="978" spans="1:54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</row>
    <row r="979" spans="1:54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</row>
    <row r="980" spans="1:54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</row>
    <row r="981" spans="1:54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</row>
    <row r="982" spans="1:54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</row>
    <row r="983" spans="1:54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</row>
    <row r="984" spans="1:54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</row>
    <row r="985" spans="1:54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</row>
    <row r="986" spans="1:54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</row>
    <row r="987" spans="1:54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</row>
    <row r="988" spans="1:54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</row>
    <row r="989" spans="1:54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</row>
    <row r="990" spans="1:54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</row>
    <row r="991" spans="1:54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</row>
    <row r="992" spans="1:54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</row>
    <row r="993" spans="1:54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</row>
    <row r="994" spans="1:54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</row>
    <row r="995" spans="1:54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</row>
    <row r="996" spans="1:54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</row>
    <row r="997" spans="1:54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</row>
    <row r="998" spans="1:54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</row>
    <row r="999" spans="1:54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</row>
    <row r="1000" spans="1:54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</row>
  </sheetData>
  <mergeCells count="2">
    <mergeCell ref="A11:F11"/>
    <mergeCell ref="A14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16.351597831287375</v>
      </c>
      <c r="C2" s="8">
        <f t="shared" si="0"/>
        <v>17.441704353373201</v>
      </c>
      <c r="D2" s="9">
        <f t="shared" si="0"/>
        <v>18.395547560198295</v>
      </c>
      <c r="E2" s="8">
        <f t="shared" si="0"/>
        <v>19.621917397544848</v>
      </c>
      <c r="F2" s="9">
        <f t="shared" si="0"/>
        <v>20.439497289109219</v>
      </c>
      <c r="G2" s="9">
        <f t="shared" si="0"/>
        <v>21.8021304417165</v>
      </c>
      <c r="H2" s="8">
        <f t="shared" si="0"/>
        <v>22.994434450247869</v>
      </c>
      <c r="I2" s="9">
        <f t="shared" si="0"/>
        <v>24.527396746931061</v>
      </c>
      <c r="J2" s="8">
        <f t="shared" si="0"/>
        <v>26.162556530059803</v>
      </c>
      <c r="K2" s="9">
        <f t="shared" si="0"/>
        <v>27.252663052145625</v>
      </c>
      <c r="L2" s="8">
        <f t="shared" si="0"/>
        <v>29.069507255622</v>
      </c>
      <c r="M2" s="10">
        <f t="shared" si="0"/>
        <v>30.659245933663829</v>
      </c>
    </row>
    <row r="3" spans="1:13" ht="32.25" customHeight="1" x14ac:dyDescent="0.25">
      <c r="A3" s="11">
        <v>1</v>
      </c>
      <c r="B3" s="12">
        <f t="shared" ref="B3:M3" si="1">B4/2</f>
        <v>32.70319566257475</v>
      </c>
      <c r="C3" s="13">
        <f t="shared" si="1"/>
        <v>34.883408706746401</v>
      </c>
      <c r="D3" s="14">
        <f t="shared" si="1"/>
        <v>36.791095120396591</v>
      </c>
      <c r="E3" s="13">
        <f t="shared" si="1"/>
        <v>39.243834795089697</v>
      </c>
      <c r="F3" s="14">
        <f t="shared" si="1"/>
        <v>40.878994578218439</v>
      </c>
      <c r="G3" s="14">
        <f t="shared" si="1"/>
        <v>43.604260883433</v>
      </c>
      <c r="H3" s="13">
        <f t="shared" si="1"/>
        <v>45.988868900495739</v>
      </c>
      <c r="I3" s="14">
        <f t="shared" si="1"/>
        <v>49.054793493862121</v>
      </c>
      <c r="J3" s="13">
        <f t="shared" si="1"/>
        <v>52.325113060119605</v>
      </c>
      <c r="K3" s="14">
        <f t="shared" si="1"/>
        <v>54.50532610429125</v>
      </c>
      <c r="L3" s="13">
        <f t="shared" si="1"/>
        <v>58.139014511244</v>
      </c>
      <c r="M3" s="15">
        <f t="shared" si="1"/>
        <v>61.318491867327658</v>
      </c>
    </row>
    <row r="4" spans="1:13" ht="32.25" customHeight="1" x14ac:dyDescent="0.25">
      <c r="A4" s="11">
        <v>2</v>
      </c>
      <c r="B4" s="12">
        <f t="shared" ref="B4:M4" si="2">B5/2</f>
        <v>65.406391325149499</v>
      </c>
      <c r="C4" s="13">
        <f t="shared" si="2"/>
        <v>69.766817413492802</v>
      </c>
      <c r="D4" s="14">
        <f t="shared" si="2"/>
        <v>73.582190240793182</v>
      </c>
      <c r="E4" s="13">
        <f t="shared" si="2"/>
        <v>78.487669590179394</v>
      </c>
      <c r="F4" s="14">
        <f t="shared" si="2"/>
        <v>81.757989156436878</v>
      </c>
      <c r="G4" s="14">
        <f t="shared" si="2"/>
        <v>87.208521766865999</v>
      </c>
      <c r="H4" s="13">
        <f t="shared" si="2"/>
        <v>91.977737800991477</v>
      </c>
      <c r="I4" s="14">
        <f t="shared" si="2"/>
        <v>98.109586987724242</v>
      </c>
      <c r="J4" s="13">
        <f t="shared" si="2"/>
        <v>104.65022612023921</v>
      </c>
      <c r="K4" s="14">
        <f t="shared" si="2"/>
        <v>109.0106522085825</v>
      </c>
      <c r="L4" s="13">
        <f t="shared" si="2"/>
        <v>116.278029022488</v>
      </c>
      <c r="M4" s="15">
        <f t="shared" si="2"/>
        <v>122.63698373465532</v>
      </c>
    </row>
    <row r="5" spans="1:13" ht="32.25" customHeight="1" x14ac:dyDescent="0.25">
      <c r="A5" s="11">
        <v>3</v>
      </c>
      <c r="B5" s="12">
        <f t="shared" ref="B5:M5" si="3">B6/2</f>
        <v>130.812782650299</v>
      </c>
      <c r="C5" s="13">
        <f t="shared" si="3"/>
        <v>139.5336348269856</v>
      </c>
      <c r="D5" s="14">
        <f t="shared" si="3"/>
        <v>147.16438048158636</v>
      </c>
      <c r="E5" s="13">
        <f t="shared" si="3"/>
        <v>156.97533918035879</v>
      </c>
      <c r="F5" s="14">
        <f t="shared" si="3"/>
        <v>163.51597831287376</v>
      </c>
      <c r="G5" s="14">
        <f t="shared" si="3"/>
        <v>174.417043533732</v>
      </c>
      <c r="H5" s="13">
        <f t="shared" si="3"/>
        <v>183.95547560198295</v>
      </c>
      <c r="I5" s="14">
        <f t="shared" si="3"/>
        <v>196.21917397544848</v>
      </c>
      <c r="J5" s="13">
        <f t="shared" si="3"/>
        <v>209.30045224047842</v>
      </c>
      <c r="K5" s="14">
        <f t="shared" si="3"/>
        <v>218.021304417165</v>
      </c>
      <c r="L5" s="13">
        <f t="shared" si="3"/>
        <v>232.556058044976</v>
      </c>
      <c r="M5" s="15">
        <f t="shared" si="3"/>
        <v>245.27396746931063</v>
      </c>
    </row>
    <row r="6" spans="1:13" ht="32.25" customHeight="1" x14ac:dyDescent="0.25">
      <c r="A6" s="11">
        <v>4</v>
      </c>
      <c r="B6" s="24">
        <v>261.625565300598</v>
      </c>
      <c r="C6" s="13">
        <f>B6*(16/15)</f>
        <v>279.06726965397121</v>
      </c>
      <c r="D6" s="16">
        <f>B6*(9/8)</f>
        <v>294.32876096317273</v>
      </c>
      <c r="E6" s="13">
        <f>B6*(6/5)</f>
        <v>313.95067836071757</v>
      </c>
      <c r="F6" s="14">
        <f>B6*(5/4)</f>
        <v>327.03195662574751</v>
      </c>
      <c r="G6" s="14">
        <f>B6*(4/3)</f>
        <v>348.834087067464</v>
      </c>
      <c r="H6" s="13">
        <f>B6*(45/32)</f>
        <v>367.91095120396591</v>
      </c>
      <c r="I6" s="14">
        <f>B6*(3/2)</f>
        <v>392.43834795089697</v>
      </c>
      <c r="J6" s="13">
        <f>B6*(8/5)</f>
        <v>418.60090448095684</v>
      </c>
      <c r="K6" s="14">
        <f>B6*(5/3)</f>
        <v>436.04260883433</v>
      </c>
      <c r="L6" s="13">
        <f>B6*(16/9)</f>
        <v>465.112116089952</v>
      </c>
      <c r="M6" s="15">
        <f>B6*(15/8)</f>
        <v>490.54793493862127</v>
      </c>
    </row>
    <row r="7" spans="1:13" ht="32.25" customHeight="1" x14ac:dyDescent="0.25">
      <c r="A7" s="11">
        <v>5</v>
      </c>
      <c r="B7" s="12">
        <f t="shared" ref="B7:M7" si="4">B6*2</f>
        <v>523.251130601196</v>
      </c>
      <c r="C7" s="13">
        <f t="shared" si="4"/>
        <v>558.13453930794242</v>
      </c>
      <c r="D7" s="14">
        <f t="shared" si="4"/>
        <v>588.65752192634545</v>
      </c>
      <c r="E7" s="13">
        <f t="shared" si="4"/>
        <v>627.90135672143515</v>
      </c>
      <c r="F7" s="14">
        <f t="shared" si="4"/>
        <v>654.06391325149502</v>
      </c>
      <c r="G7" s="14">
        <f t="shared" si="4"/>
        <v>697.66817413492799</v>
      </c>
      <c r="H7" s="13">
        <f t="shared" si="4"/>
        <v>735.82190240793182</v>
      </c>
      <c r="I7" s="14">
        <f t="shared" si="4"/>
        <v>784.87669590179394</v>
      </c>
      <c r="J7" s="13">
        <f t="shared" si="4"/>
        <v>837.20180896191368</v>
      </c>
      <c r="K7" s="14">
        <f t="shared" si="4"/>
        <v>872.08521766865999</v>
      </c>
      <c r="L7" s="13">
        <f t="shared" si="4"/>
        <v>930.22423217990399</v>
      </c>
      <c r="M7" s="15">
        <f t="shared" si="4"/>
        <v>981.09586987724254</v>
      </c>
    </row>
    <row r="8" spans="1:13" ht="32.25" customHeight="1" x14ac:dyDescent="0.25">
      <c r="A8" s="11">
        <v>6</v>
      </c>
      <c r="B8" s="12">
        <f t="shared" ref="B8:M8" si="5">B7*2</f>
        <v>1046.502261202392</v>
      </c>
      <c r="C8" s="13">
        <f t="shared" si="5"/>
        <v>1116.2690786158848</v>
      </c>
      <c r="D8" s="14">
        <f t="shared" si="5"/>
        <v>1177.3150438526909</v>
      </c>
      <c r="E8" s="13">
        <f t="shared" si="5"/>
        <v>1255.8027134428703</v>
      </c>
      <c r="F8" s="14">
        <f t="shared" si="5"/>
        <v>1308.12782650299</v>
      </c>
      <c r="G8" s="14">
        <f t="shared" si="5"/>
        <v>1395.336348269856</v>
      </c>
      <c r="H8" s="13">
        <f t="shared" si="5"/>
        <v>1471.6438048158636</v>
      </c>
      <c r="I8" s="14">
        <f t="shared" si="5"/>
        <v>1569.7533918035879</v>
      </c>
      <c r="J8" s="13">
        <f t="shared" si="5"/>
        <v>1674.4036179238274</v>
      </c>
      <c r="K8" s="14">
        <f t="shared" si="5"/>
        <v>1744.17043533732</v>
      </c>
      <c r="L8" s="13">
        <f t="shared" si="5"/>
        <v>1860.448464359808</v>
      </c>
      <c r="M8" s="15">
        <f t="shared" si="5"/>
        <v>1962.1917397544851</v>
      </c>
    </row>
    <row r="9" spans="1:13" ht="32.25" customHeight="1" x14ac:dyDescent="0.25">
      <c r="A9" s="11">
        <v>7</v>
      </c>
      <c r="B9" s="12">
        <f t="shared" ref="B9:M9" si="6">B8*2</f>
        <v>2093.004522404784</v>
      </c>
      <c r="C9" s="13">
        <f t="shared" si="6"/>
        <v>2232.5381572317697</v>
      </c>
      <c r="D9" s="14">
        <f t="shared" si="6"/>
        <v>2354.6300877053818</v>
      </c>
      <c r="E9" s="13">
        <f t="shared" si="6"/>
        <v>2511.6054268857406</v>
      </c>
      <c r="F9" s="14">
        <f t="shared" si="6"/>
        <v>2616.2556530059801</v>
      </c>
      <c r="G9" s="14">
        <f t="shared" si="6"/>
        <v>2790.672696539712</v>
      </c>
      <c r="H9" s="13">
        <f t="shared" si="6"/>
        <v>2943.2876096317273</v>
      </c>
      <c r="I9" s="14">
        <f t="shared" si="6"/>
        <v>3139.5067836071757</v>
      </c>
      <c r="J9" s="13">
        <f t="shared" si="6"/>
        <v>3348.8072358476547</v>
      </c>
      <c r="K9" s="14">
        <f t="shared" si="6"/>
        <v>3488.34087067464</v>
      </c>
      <c r="L9" s="13">
        <f t="shared" si="6"/>
        <v>3720.896928719616</v>
      </c>
      <c r="M9" s="15">
        <f t="shared" si="6"/>
        <v>3924.3834795089701</v>
      </c>
    </row>
    <row r="10" spans="1:13" ht="32.25" customHeight="1" x14ac:dyDescent="0.25">
      <c r="A10" s="11">
        <v>8</v>
      </c>
      <c r="B10" s="12">
        <f t="shared" ref="B10:M10" si="7">B9*2</f>
        <v>4186.009044809568</v>
      </c>
      <c r="C10" s="13">
        <f t="shared" si="7"/>
        <v>4465.0763144635393</v>
      </c>
      <c r="D10" s="14">
        <f t="shared" si="7"/>
        <v>4709.2601754107636</v>
      </c>
      <c r="E10" s="13">
        <f t="shared" si="7"/>
        <v>5023.2108537714812</v>
      </c>
      <c r="F10" s="14">
        <f t="shared" si="7"/>
        <v>5232.5113060119602</v>
      </c>
      <c r="G10" s="14">
        <f t="shared" si="7"/>
        <v>5581.345393079424</v>
      </c>
      <c r="H10" s="13">
        <f t="shared" si="7"/>
        <v>5886.5752192634545</v>
      </c>
      <c r="I10" s="14">
        <f t="shared" si="7"/>
        <v>6279.0135672143515</v>
      </c>
      <c r="J10" s="13">
        <f t="shared" si="7"/>
        <v>6697.6144716953095</v>
      </c>
      <c r="K10" s="14">
        <f t="shared" si="7"/>
        <v>6976.6817413492799</v>
      </c>
      <c r="L10" s="13">
        <f t="shared" si="7"/>
        <v>7441.7938574392319</v>
      </c>
      <c r="M10" s="15">
        <f t="shared" si="7"/>
        <v>7848.7669590179403</v>
      </c>
    </row>
    <row r="11" spans="1:13" ht="32.25" customHeight="1" x14ac:dyDescent="0.25">
      <c r="A11" s="11">
        <v>9</v>
      </c>
      <c r="B11" s="12">
        <f t="shared" ref="B11:M11" si="8">B10*2</f>
        <v>8372.0180896191359</v>
      </c>
      <c r="C11" s="13">
        <f t="shared" si="8"/>
        <v>8930.1526289270787</v>
      </c>
      <c r="D11" s="14">
        <f t="shared" si="8"/>
        <v>9418.5203508215272</v>
      </c>
      <c r="E11" s="13">
        <f t="shared" si="8"/>
        <v>10046.421707542962</v>
      </c>
      <c r="F11" s="14">
        <f t="shared" si="8"/>
        <v>10465.02261202392</v>
      </c>
      <c r="G11" s="14">
        <f t="shared" si="8"/>
        <v>11162.690786158848</v>
      </c>
      <c r="H11" s="13">
        <f t="shared" si="8"/>
        <v>11773.150438526909</v>
      </c>
      <c r="I11" s="14">
        <f t="shared" si="8"/>
        <v>12558.027134428703</v>
      </c>
      <c r="J11" s="13">
        <f t="shared" si="8"/>
        <v>13395.228943390619</v>
      </c>
      <c r="K11" s="14">
        <f t="shared" si="8"/>
        <v>13953.36348269856</v>
      </c>
      <c r="L11" s="13">
        <f t="shared" si="8"/>
        <v>14883.587714878464</v>
      </c>
      <c r="M11" s="15">
        <f t="shared" si="8"/>
        <v>15697.533918035881</v>
      </c>
    </row>
    <row r="12" spans="1:13" ht="32.25" customHeight="1" x14ac:dyDescent="0.25">
      <c r="A12" s="18">
        <v>10</v>
      </c>
      <c r="B12" s="25">
        <f t="shared" ref="B12:M12" si="9">B11*2</f>
        <v>16744.036179238272</v>
      </c>
      <c r="C12" s="26">
        <f t="shared" si="9"/>
        <v>17860.305257854157</v>
      </c>
      <c r="D12" s="27">
        <f t="shared" si="9"/>
        <v>18837.040701643054</v>
      </c>
      <c r="E12" s="26">
        <f t="shared" si="9"/>
        <v>20092.843415085925</v>
      </c>
      <c r="F12" s="27">
        <f t="shared" si="9"/>
        <v>20930.045224047841</v>
      </c>
      <c r="G12" s="27">
        <f t="shared" si="9"/>
        <v>22325.381572317696</v>
      </c>
      <c r="H12" s="26">
        <f t="shared" si="9"/>
        <v>23546.300877053818</v>
      </c>
      <c r="I12" s="27">
        <f t="shared" si="9"/>
        <v>25116.054268857406</v>
      </c>
      <c r="J12" s="26">
        <f t="shared" si="9"/>
        <v>26790.457886781238</v>
      </c>
      <c r="K12" s="27">
        <f t="shared" si="9"/>
        <v>27906.72696539712</v>
      </c>
      <c r="L12" s="26">
        <f t="shared" si="9"/>
        <v>29767.175429756928</v>
      </c>
      <c r="M12" s="28">
        <f t="shared" si="9"/>
        <v>31395.067836071761</v>
      </c>
    </row>
    <row r="13" spans="1:13" x14ac:dyDescent="0.25">
      <c r="A13" s="59" t="s">
        <v>15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3"/>
      <c r="B18" s="68" t="s">
        <v>14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8:M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16.241169783801094</v>
      </c>
      <c r="C2" s="8">
        <f t="shared" si="0"/>
        <v>17.323914436054501</v>
      </c>
      <c r="D2" s="9">
        <f t="shared" si="0"/>
        <v>18.478842065124802</v>
      </c>
      <c r="E2" s="8">
        <f t="shared" si="0"/>
        <v>19.489403740561315</v>
      </c>
      <c r="F2" s="9">
        <f t="shared" si="0"/>
        <v>20.788697323265399</v>
      </c>
      <c r="G2" s="9">
        <f t="shared" si="0"/>
        <v>21.654893045068128</v>
      </c>
      <c r="H2" s="8">
        <f t="shared" si="0"/>
        <v>23.098552581406</v>
      </c>
      <c r="I2" s="9">
        <f t="shared" si="0"/>
        <v>24.361754675701643</v>
      </c>
      <c r="J2" s="8">
        <f t="shared" si="0"/>
        <v>25.985871654081752</v>
      </c>
      <c r="K2" s="9">
        <f t="shared" si="0"/>
        <v>27.718263097687203</v>
      </c>
      <c r="L2" s="8">
        <f t="shared" si="0"/>
        <v>28.873190726757503</v>
      </c>
      <c r="M2" s="10">
        <f t="shared" si="0"/>
        <v>30.798070108541335</v>
      </c>
    </row>
    <row r="3" spans="1:13" ht="32.25" customHeight="1" x14ac:dyDescent="0.25">
      <c r="A3" s="11">
        <v>1</v>
      </c>
      <c r="B3" s="12">
        <f t="shared" ref="B3:M3" si="1">B4/2</f>
        <v>32.482339567602189</v>
      </c>
      <c r="C3" s="13">
        <f t="shared" si="1"/>
        <v>34.647828872109002</v>
      </c>
      <c r="D3" s="14">
        <f t="shared" si="1"/>
        <v>36.957684130249604</v>
      </c>
      <c r="E3" s="13">
        <f t="shared" si="1"/>
        <v>38.978807481122629</v>
      </c>
      <c r="F3" s="14">
        <f t="shared" si="1"/>
        <v>41.577394646530799</v>
      </c>
      <c r="G3" s="14">
        <f t="shared" si="1"/>
        <v>43.309786090136257</v>
      </c>
      <c r="H3" s="13">
        <f t="shared" si="1"/>
        <v>46.197105162812001</v>
      </c>
      <c r="I3" s="14">
        <f t="shared" si="1"/>
        <v>48.723509351403287</v>
      </c>
      <c r="J3" s="13">
        <f t="shared" si="1"/>
        <v>51.971743308163504</v>
      </c>
      <c r="K3" s="14">
        <f t="shared" si="1"/>
        <v>55.436526195374405</v>
      </c>
      <c r="L3" s="13">
        <f t="shared" si="1"/>
        <v>57.746381453515006</v>
      </c>
      <c r="M3" s="15">
        <f t="shared" si="1"/>
        <v>61.59614021708267</v>
      </c>
    </row>
    <row r="4" spans="1:13" ht="32.25" customHeight="1" x14ac:dyDescent="0.25">
      <c r="A4" s="11">
        <v>2</v>
      </c>
      <c r="B4" s="12">
        <f t="shared" ref="B4:M4" si="2">B5/2</f>
        <v>64.964679135204378</v>
      </c>
      <c r="C4" s="13">
        <f t="shared" si="2"/>
        <v>69.295657744218005</v>
      </c>
      <c r="D4" s="14">
        <f t="shared" si="2"/>
        <v>73.915368260499207</v>
      </c>
      <c r="E4" s="13">
        <f t="shared" si="2"/>
        <v>77.957614962245259</v>
      </c>
      <c r="F4" s="14">
        <f t="shared" si="2"/>
        <v>83.154789293061597</v>
      </c>
      <c r="G4" s="14">
        <f t="shared" si="2"/>
        <v>86.619572180272513</v>
      </c>
      <c r="H4" s="13">
        <f t="shared" si="2"/>
        <v>92.394210325624002</v>
      </c>
      <c r="I4" s="14">
        <f t="shared" si="2"/>
        <v>97.447018702806574</v>
      </c>
      <c r="J4" s="13">
        <f t="shared" si="2"/>
        <v>103.94348661632701</v>
      </c>
      <c r="K4" s="14">
        <f t="shared" si="2"/>
        <v>110.87305239074881</v>
      </c>
      <c r="L4" s="13">
        <f t="shared" si="2"/>
        <v>115.49276290703001</v>
      </c>
      <c r="M4" s="15">
        <f t="shared" si="2"/>
        <v>123.19228043416534</v>
      </c>
    </row>
    <row r="5" spans="1:13" ht="32.25" customHeight="1" x14ac:dyDescent="0.25">
      <c r="A5" s="11">
        <v>3</v>
      </c>
      <c r="B5" s="12">
        <f t="shared" ref="B5:M5" si="3">B6/2</f>
        <v>129.92935827040876</v>
      </c>
      <c r="C5" s="13">
        <f t="shared" si="3"/>
        <v>138.59131548843601</v>
      </c>
      <c r="D5" s="14">
        <f t="shared" si="3"/>
        <v>147.83073652099841</v>
      </c>
      <c r="E5" s="13">
        <f t="shared" si="3"/>
        <v>155.91522992449052</v>
      </c>
      <c r="F5" s="14">
        <f t="shared" si="3"/>
        <v>166.30957858612319</v>
      </c>
      <c r="G5" s="14">
        <f t="shared" si="3"/>
        <v>173.23914436054503</v>
      </c>
      <c r="H5" s="13">
        <f t="shared" si="3"/>
        <v>184.788420651248</v>
      </c>
      <c r="I5" s="14">
        <f t="shared" si="3"/>
        <v>194.89403740561315</v>
      </c>
      <c r="J5" s="13">
        <f t="shared" si="3"/>
        <v>207.88697323265401</v>
      </c>
      <c r="K5" s="14">
        <f t="shared" si="3"/>
        <v>221.74610478149762</v>
      </c>
      <c r="L5" s="13">
        <f t="shared" si="3"/>
        <v>230.98552581406003</v>
      </c>
      <c r="M5" s="15">
        <f t="shared" si="3"/>
        <v>246.38456086833068</v>
      </c>
    </row>
    <row r="6" spans="1:13" ht="32.25" customHeight="1" x14ac:dyDescent="0.25">
      <c r="A6" s="11">
        <v>4</v>
      </c>
      <c r="B6" s="12">
        <f>C6*(15/8)/2</f>
        <v>259.85871654081751</v>
      </c>
      <c r="C6" s="29">
        <v>277.18263097687202</v>
      </c>
      <c r="D6" s="14">
        <f>C6*(16/15)</f>
        <v>295.66147304199683</v>
      </c>
      <c r="E6" s="13">
        <f>C6*(9/8)</f>
        <v>311.83045984898104</v>
      </c>
      <c r="F6" s="14">
        <f>C6*(6/5)</f>
        <v>332.61915717224639</v>
      </c>
      <c r="G6" s="14">
        <f>C6*(5/4)</f>
        <v>346.47828872109005</v>
      </c>
      <c r="H6" s="13">
        <f>C6*(4/3)</f>
        <v>369.57684130249601</v>
      </c>
      <c r="I6" s="14">
        <f>C6*(45/32)</f>
        <v>389.78807481122629</v>
      </c>
      <c r="J6" s="13">
        <f>C6*(3/2)</f>
        <v>415.77394646530803</v>
      </c>
      <c r="K6" s="14">
        <f>C6*(8/5)</f>
        <v>443.49220956299524</v>
      </c>
      <c r="L6" s="13">
        <f>C6*(5/3)</f>
        <v>461.97105162812005</v>
      </c>
      <c r="M6" s="15">
        <f>C6*(16/9)</f>
        <v>492.76912173666136</v>
      </c>
    </row>
    <row r="7" spans="1:13" ht="32.25" customHeight="1" x14ac:dyDescent="0.25">
      <c r="A7" s="11">
        <v>5</v>
      </c>
      <c r="B7" s="12">
        <f t="shared" ref="B7:M7" si="4">B6*2</f>
        <v>519.71743308163502</v>
      </c>
      <c r="C7" s="13">
        <f t="shared" si="4"/>
        <v>554.36526195374404</v>
      </c>
      <c r="D7" s="14">
        <f t="shared" si="4"/>
        <v>591.32294608399366</v>
      </c>
      <c r="E7" s="13">
        <f t="shared" si="4"/>
        <v>623.66091969796207</v>
      </c>
      <c r="F7" s="14">
        <f t="shared" si="4"/>
        <v>665.23831434449278</v>
      </c>
      <c r="G7" s="14">
        <f t="shared" si="4"/>
        <v>692.95657744218011</v>
      </c>
      <c r="H7" s="13">
        <f t="shared" si="4"/>
        <v>739.15368260499201</v>
      </c>
      <c r="I7" s="14">
        <f t="shared" si="4"/>
        <v>779.57614962245259</v>
      </c>
      <c r="J7" s="13">
        <f t="shared" si="4"/>
        <v>831.54789293061606</v>
      </c>
      <c r="K7" s="14">
        <f t="shared" si="4"/>
        <v>886.98441912599048</v>
      </c>
      <c r="L7" s="13">
        <f t="shared" si="4"/>
        <v>923.9421032562401</v>
      </c>
      <c r="M7" s="15">
        <f t="shared" si="4"/>
        <v>985.53824347332272</v>
      </c>
    </row>
    <row r="8" spans="1:13" ht="32.25" customHeight="1" x14ac:dyDescent="0.25">
      <c r="A8" s="11">
        <v>6</v>
      </c>
      <c r="B8" s="12">
        <f t="shared" ref="B8:M8" si="5">B7*2</f>
        <v>1039.43486616327</v>
      </c>
      <c r="C8" s="13">
        <f t="shared" si="5"/>
        <v>1108.7305239074881</v>
      </c>
      <c r="D8" s="14">
        <f t="shared" si="5"/>
        <v>1182.6458921679873</v>
      </c>
      <c r="E8" s="13">
        <f t="shared" si="5"/>
        <v>1247.3218393959241</v>
      </c>
      <c r="F8" s="14">
        <f t="shared" si="5"/>
        <v>1330.4766286889856</v>
      </c>
      <c r="G8" s="14">
        <f t="shared" si="5"/>
        <v>1385.9131548843602</v>
      </c>
      <c r="H8" s="13">
        <f t="shared" si="5"/>
        <v>1478.307365209984</v>
      </c>
      <c r="I8" s="14">
        <f t="shared" si="5"/>
        <v>1559.1522992449052</v>
      </c>
      <c r="J8" s="13">
        <f t="shared" si="5"/>
        <v>1663.0957858612321</v>
      </c>
      <c r="K8" s="14">
        <f t="shared" si="5"/>
        <v>1773.968838251981</v>
      </c>
      <c r="L8" s="13">
        <f t="shared" si="5"/>
        <v>1847.8842065124802</v>
      </c>
      <c r="M8" s="15">
        <f t="shared" si="5"/>
        <v>1971.0764869466454</v>
      </c>
    </row>
    <row r="9" spans="1:13" ht="32.25" customHeight="1" x14ac:dyDescent="0.25">
      <c r="A9" s="11">
        <v>7</v>
      </c>
      <c r="B9" s="12">
        <f t="shared" ref="B9:M9" si="6">B8*2</f>
        <v>2078.8697323265401</v>
      </c>
      <c r="C9" s="13">
        <f t="shared" si="6"/>
        <v>2217.4610478149762</v>
      </c>
      <c r="D9" s="14">
        <f t="shared" si="6"/>
        <v>2365.2917843359746</v>
      </c>
      <c r="E9" s="13">
        <f t="shared" si="6"/>
        <v>2494.6436787918483</v>
      </c>
      <c r="F9" s="14">
        <f t="shared" si="6"/>
        <v>2660.9532573779711</v>
      </c>
      <c r="G9" s="14">
        <f t="shared" si="6"/>
        <v>2771.8263097687204</v>
      </c>
      <c r="H9" s="13">
        <f t="shared" si="6"/>
        <v>2956.6147304199681</v>
      </c>
      <c r="I9" s="14">
        <f t="shared" si="6"/>
        <v>3118.3045984898104</v>
      </c>
      <c r="J9" s="13">
        <f t="shared" si="6"/>
        <v>3326.1915717224642</v>
      </c>
      <c r="K9" s="14">
        <f t="shared" si="6"/>
        <v>3547.9376765039619</v>
      </c>
      <c r="L9" s="13">
        <f t="shared" si="6"/>
        <v>3695.7684130249604</v>
      </c>
      <c r="M9" s="15">
        <f t="shared" si="6"/>
        <v>3942.1529738932909</v>
      </c>
    </row>
    <row r="10" spans="1:13" ht="32.25" customHeight="1" x14ac:dyDescent="0.25">
      <c r="A10" s="11">
        <v>8</v>
      </c>
      <c r="B10" s="12">
        <f t="shared" ref="B10:M10" si="7">B9*2</f>
        <v>4157.7394646530802</v>
      </c>
      <c r="C10" s="13">
        <f t="shared" si="7"/>
        <v>4434.9220956299523</v>
      </c>
      <c r="D10" s="14">
        <f t="shared" si="7"/>
        <v>4730.5835686719493</v>
      </c>
      <c r="E10" s="13">
        <f t="shared" si="7"/>
        <v>4989.2873575836966</v>
      </c>
      <c r="F10" s="14">
        <f t="shared" si="7"/>
        <v>5321.9065147559422</v>
      </c>
      <c r="G10" s="14">
        <f t="shared" si="7"/>
        <v>5543.6526195374408</v>
      </c>
      <c r="H10" s="13">
        <f t="shared" si="7"/>
        <v>5913.2294608399361</v>
      </c>
      <c r="I10" s="14">
        <f t="shared" si="7"/>
        <v>6236.6091969796207</v>
      </c>
      <c r="J10" s="13">
        <f t="shared" si="7"/>
        <v>6652.3831434449285</v>
      </c>
      <c r="K10" s="14">
        <f t="shared" si="7"/>
        <v>7095.8753530079239</v>
      </c>
      <c r="L10" s="13">
        <f t="shared" si="7"/>
        <v>7391.5368260499208</v>
      </c>
      <c r="M10" s="15">
        <f t="shared" si="7"/>
        <v>7884.3059477865818</v>
      </c>
    </row>
    <row r="11" spans="1:13" ht="32.25" customHeight="1" x14ac:dyDescent="0.25">
      <c r="A11" s="11">
        <v>9</v>
      </c>
      <c r="B11" s="12">
        <f t="shared" ref="B11:M11" si="8">B10*2</f>
        <v>8315.4789293061604</v>
      </c>
      <c r="C11" s="13">
        <f t="shared" si="8"/>
        <v>8869.8441912599046</v>
      </c>
      <c r="D11" s="14">
        <f t="shared" si="8"/>
        <v>9461.1671373438985</v>
      </c>
      <c r="E11" s="13">
        <f t="shared" si="8"/>
        <v>9978.5747151673932</v>
      </c>
      <c r="F11" s="14">
        <f t="shared" si="8"/>
        <v>10643.813029511884</v>
      </c>
      <c r="G11" s="14">
        <f t="shared" si="8"/>
        <v>11087.305239074882</v>
      </c>
      <c r="H11" s="13">
        <f t="shared" si="8"/>
        <v>11826.458921679872</v>
      </c>
      <c r="I11" s="14">
        <f t="shared" si="8"/>
        <v>12473.218393959241</v>
      </c>
      <c r="J11" s="13">
        <f t="shared" si="8"/>
        <v>13304.766286889857</v>
      </c>
      <c r="K11" s="14">
        <f t="shared" si="8"/>
        <v>14191.750706015848</v>
      </c>
      <c r="L11" s="13">
        <f t="shared" si="8"/>
        <v>14783.073652099842</v>
      </c>
      <c r="M11" s="15">
        <f t="shared" si="8"/>
        <v>15768.611895573164</v>
      </c>
    </row>
    <row r="12" spans="1:13" ht="32.25" customHeight="1" x14ac:dyDescent="0.25">
      <c r="A12" s="18">
        <v>10</v>
      </c>
      <c r="B12" s="19">
        <f t="shared" ref="B12:M12" si="9">B11*2</f>
        <v>16630.957858612321</v>
      </c>
      <c r="C12" s="20">
        <f t="shared" si="9"/>
        <v>17739.688382519809</v>
      </c>
      <c r="D12" s="21">
        <f t="shared" si="9"/>
        <v>18922.334274687797</v>
      </c>
      <c r="E12" s="20">
        <f t="shared" si="9"/>
        <v>19957.149430334786</v>
      </c>
      <c r="F12" s="21">
        <f t="shared" si="9"/>
        <v>21287.626059023769</v>
      </c>
      <c r="G12" s="21">
        <f t="shared" si="9"/>
        <v>22174.610478149763</v>
      </c>
      <c r="H12" s="20">
        <f t="shared" si="9"/>
        <v>23652.917843359744</v>
      </c>
      <c r="I12" s="21">
        <f t="shared" si="9"/>
        <v>24946.436787918483</v>
      </c>
      <c r="J12" s="20">
        <f t="shared" si="9"/>
        <v>26609.532573779714</v>
      </c>
      <c r="K12" s="21">
        <f t="shared" si="9"/>
        <v>28383.501412031696</v>
      </c>
      <c r="L12" s="20">
        <f t="shared" si="9"/>
        <v>29566.147304199683</v>
      </c>
      <c r="M12" s="22">
        <f t="shared" si="9"/>
        <v>31537.223791146327</v>
      </c>
    </row>
    <row r="13" spans="1:13" x14ac:dyDescent="0.25">
      <c r="A13" s="59" t="s">
        <v>16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16.204530402191669</v>
      </c>
      <c r="C2" s="8">
        <f t="shared" si="0"/>
        <v>17.284832429004446</v>
      </c>
      <c r="D2" s="9">
        <f t="shared" si="0"/>
        <v>18.230096702465627</v>
      </c>
      <c r="E2" s="8">
        <f t="shared" si="0"/>
        <v>19.445436482630001</v>
      </c>
      <c r="F2" s="9">
        <f t="shared" si="0"/>
        <v>20.741798914805333</v>
      </c>
      <c r="G2" s="9">
        <f t="shared" si="0"/>
        <v>21.876116042958749</v>
      </c>
      <c r="H2" s="8">
        <f t="shared" si="0"/>
        <v>23.334523779156001</v>
      </c>
      <c r="I2" s="9">
        <f t="shared" si="0"/>
        <v>24.306795603287501</v>
      </c>
      <c r="J2" s="8">
        <f t="shared" si="0"/>
        <v>25.927248643506665</v>
      </c>
      <c r="K2" s="9">
        <f t="shared" si="0"/>
        <v>27.345145053698438</v>
      </c>
      <c r="L2" s="8">
        <f t="shared" si="0"/>
        <v>29.168154723945001</v>
      </c>
      <c r="M2" s="10">
        <f t="shared" si="0"/>
        <v>31.112698372208001</v>
      </c>
    </row>
    <row r="3" spans="1:13" ht="32.25" customHeight="1" x14ac:dyDescent="0.25">
      <c r="A3" s="11">
        <v>1</v>
      </c>
      <c r="B3" s="12">
        <f t="shared" ref="B3:M3" si="1">B4/2</f>
        <v>32.409060804383337</v>
      </c>
      <c r="C3" s="13">
        <f t="shared" si="1"/>
        <v>34.569664858008892</v>
      </c>
      <c r="D3" s="14">
        <f t="shared" si="1"/>
        <v>36.460193404931253</v>
      </c>
      <c r="E3" s="13">
        <f t="shared" si="1"/>
        <v>38.890872965260002</v>
      </c>
      <c r="F3" s="14">
        <f t="shared" si="1"/>
        <v>41.483597829610666</v>
      </c>
      <c r="G3" s="14">
        <f t="shared" si="1"/>
        <v>43.752232085917498</v>
      </c>
      <c r="H3" s="13">
        <f t="shared" si="1"/>
        <v>46.669047558312002</v>
      </c>
      <c r="I3" s="14">
        <f t="shared" si="1"/>
        <v>48.613591206575002</v>
      </c>
      <c r="J3" s="13">
        <f t="shared" si="1"/>
        <v>51.854497287013331</v>
      </c>
      <c r="K3" s="14">
        <f t="shared" si="1"/>
        <v>54.690290107396876</v>
      </c>
      <c r="L3" s="13">
        <f t="shared" si="1"/>
        <v>58.336309447890002</v>
      </c>
      <c r="M3" s="15">
        <f t="shared" si="1"/>
        <v>62.225396744416003</v>
      </c>
    </row>
    <row r="4" spans="1:13" ht="32.25" customHeight="1" x14ac:dyDescent="0.25">
      <c r="A4" s="11">
        <v>2</v>
      </c>
      <c r="B4" s="12">
        <f t="shared" ref="B4:M4" si="2">B5/2</f>
        <v>64.818121608766674</v>
      </c>
      <c r="C4" s="13">
        <f t="shared" si="2"/>
        <v>69.139329716017784</v>
      </c>
      <c r="D4" s="14">
        <f t="shared" si="2"/>
        <v>72.920386809862507</v>
      </c>
      <c r="E4" s="13">
        <f t="shared" si="2"/>
        <v>77.781745930520003</v>
      </c>
      <c r="F4" s="14">
        <f t="shared" si="2"/>
        <v>82.967195659221332</v>
      </c>
      <c r="G4" s="14">
        <f t="shared" si="2"/>
        <v>87.504464171834996</v>
      </c>
      <c r="H4" s="13">
        <f t="shared" si="2"/>
        <v>93.338095116624004</v>
      </c>
      <c r="I4" s="14">
        <f t="shared" si="2"/>
        <v>97.227182413150004</v>
      </c>
      <c r="J4" s="13">
        <f t="shared" si="2"/>
        <v>103.70899457402666</v>
      </c>
      <c r="K4" s="14">
        <f t="shared" si="2"/>
        <v>109.38058021479375</v>
      </c>
      <c r="L4" s="13">
        <f t="shared" si="2"/>
        <v>116.67261889578</v>
      </c>
      <c r="M4" s="15">
        <f t="shared" si="2"/>
        <v>124.45079348883201</v>
      </c>
    </row>
    <row r="5" spans="1:13" ht="32.25" customHeight="1" x14ac:dyDescent="0.25">
      <c r="A5" s="11">
        <v>3</v>
      </c>
      <c r="B5" s="12">
        <f t="shared" ref="B5:M5" si="3">B6/2</f>
        <v>129.63624321753335</v>
      </c>
      <c r="C5" s="13">
        <f t="shared" si="3"/>
        <v>138.27865943203557</v>
      </c>
      <c r="D5" s="14">
        <f t="shared" si="3"/>
        <v>145.84077361972501</v>
      </c>
      <c r="E5" s="13">
        <f t="shared" si="3"/>
        <v>155.56349186104001</v>
      </c>
      <c r="F5" s="14">
        <f t="shared" si="3"/>
        <v>165.93439131844266</v>
      </c>
      <c r="G5" s="14">
        <f t="shared" si="3"/>
        <v>175.00892834366999</v>
      </c>
      <c r="H5" s="13">
        <f t="shared" si="3"/>
        <v>186.67619023324801</v>
      </c>
      <c r="I5" s="14">
        <f t="shared" si="3"/>
        <v>194.45436482630001</v>
      </c>
      <c r="J5" s="13">
        <f t="shared" si="3"/>
        <v>207.41798914805332</v>
      </c>
      <c r="K5" s="14">
        <f t="shared" si="3"/>
        <v>218.76116042958751</v>
      </c>
      <c r="L5" s="13">
        <f t="shared" si="3"/>
        <v>233.34523779156001</v>
      </c>
      <c r="M5" s="15">
        <f t="shared" si="3"/>
        <v>248.90158697766401</v>
      </c>
    </row>
    <row r="6" spans="1:13" ht="32.25" customHeight="1" x14ac:dyDescent="0.25">
      <c r="A6" s="11">
        <v>4</v>
      </c>
      <c r="B6" s="12">
        <f>E6*(5/3)/2</f>
        <v>259.2724864350667</v>
      </c>
      <c r="C6" s="13">
        <f>E6*(16/9)/2</f>
        <v>276.55731886407114</v>
      </c>
      <c r="D6" s="14">
        <f>E6*(15/8)/2</f>
        <v>291.68154723945003</v>
      </c>
      <c r="E6" s="29">
        <v>311.12698372208001</v>
      </c>
      <c r="F6" s="14">
        <f>E6*(16/15)</f>
        <v>331.86878263688533</v>
      </c>
      <c r="G6" s="14">
        <f>E6*(9/8)</f>
        <v>350.01785668733999</v>
      </c>
      <c r="H6" s="13">
        <f>E6*(6/5)</f>
        <v>373.35238046649602</v>
      </c>
      <c r="I6" s="14">
        <f>E6*(5/4)</f>
        <v>388.90872965260002</v>
      </c>
      <c r="J6" s="13">
        <f>E6*(4/3)</f>
        <v>414.83597829610665</v>
      </c>
      <c r="K6" s="14">
        <f>E6*(45/32)</f>
        <v>437.52232085917501</v>
      </c>
      <c r="L6" s="13">
        <f>E6*(3/2)</f>
        <v>466.69047558312002</v>
      </c>
      <c r="M6" s="15">
        <f>E6*(8/5)</f>
        <v>497.80317395532802</v>
      </c>
    </row>
    <row r="7" spans="1:13" ht="32.25" customHeight="1" x14ac:dyDescent="0.25">
      <c r="A7" s="11">
        <v>5</v>
      </c>
      <c r="B7" s="12">
        <f t="shared" ref="B7:M7" si="4">B6*2</f>
        <v>518.54497287013339</v>
      </c>
      <c r="C7" s="13">
        <f t="shared" si="4"/>
        <v>553.11463772814227</v>
      </c>
      <c r="D7" s="14">
        <f t="shared" si="4"/>
        <v>583.36309447890005</v>
      </c>
      <c r="E7" s="13">
        <f t="shared" si="4"/>
        <v>622.25396744416003</v>
      </c>
      <c r="F7" s="14">
        <f t="shared" si="4"/>
        <v>663.73756527377066</v>
      </c>
      <c r="G7" s="14">
        <f t="shared" si="4"/>
        <v>700.03571337467997</v>
      </c>
      <c r="H7" s="13">
        <f t="shared" si="4"/>
        <v>746.70476093299203</v>
      </c>
      <c r="I7" s="14">
        <f t="shared" si="4"/>
        <v>777.81745930520003</v>
      </c>
      <c r="J7" s="13">
        <f t="shared" si="4"/>
        <v>829.67195659221329</v>
      </c>
      <c r="K7" s="14">
        <f t="shared" si="4"/>
        <v>875.04464171835002</v>
      </c>
      <c r="L7" s="13">
        <f t="shared" si="4"/>
        <v>933.38095116624004</v>
      </c>
      <c r="M7" s="15">
        <f t="shared" si="4"/>
        <v>995.60634791065604</v>
      </c>
    </row>
    <row r="8" spans="1:13" ht="32.25" customHeight="1" x14ac:dyDescent="0.25">
      <c r="A8" s="11">
        <v>6</v>
      </c>
      <c r="B8" s="12">
        <f t="shared" ref="B8:M8" si="5">B7*2</f>
        <v>1037.0899457402668</v>
      </c>
      <c r="C8" s="13">
        <f t="shared" si="5"/>
        <v>1106.2292754562845</v>
      </c>
      <c r="D8" s="14">
        <f t="shared" si="5"/>
        <v>1166.7261889578001</v>
      </c>
      <c r="E8" s="13">
        <f t="shared" si="5"/>
        <v>1244.5079348883201</v>
      </c>
      <c r="F8" s="14">
        <f t="shared" si="5"/>
        <v>1327.4751305475413</v>
      </c>
      <c r="G8" s="14">
        <f t="shared" si="5"/>
        <v>1400.0714267493599</v>
      </c>
      <c r="H8" s="13">
        <f t="shared" si="5"/>
        <v>1493.4095218659841</v>
      </c>
      <c r="I8" s="14">
        <f t="shared" si="5"/>
        <v>1555.6349186104001</v>
      </c>
      <c r="J8" s="13">
        <f t="shared" si="5"/>
        <v>1659.3439131844266</v>
      </c>
      <c r="K8" s="14">
        <f t="shared" si="5"/>
        <v>1750.0892834367</v>
      </c>
      <c r="L8" s="13">
        <f t="shared" si="5"/>
        <v>1866.7619023324801</v>
      </c>
      <c r="M8" s="15">
        <f t="shared" si="5"/>
        <v>1991.2126958213121</v>
      </c>
    </row>
    <row r="9" spans="1:13" ht="32.25" customHeight="1" x14ac:dyDescent="0.25">
      <c r="A9" s="11">
        <v>7</v>
      </c>
      <c r="B9" s="12">
        <f t="shared" ref="B9:M9" si="6">B8*2</f>
        <v>2074.1798914805336</v>
      </c>
      <c r="C9" s="13">
        <f t="shared" si="6"/>
        <v>2212.4585509125691</v>
      </c>
      <c r="D9" s="14">
        <f t="shared" si="6"/>
        <v>2333.4523779156002</v>
      </c>
      <c r="E9" s="13">
        <f t="shared" si="6"/>
        <v>2489.0158697766401</v>
      </c>
      <c r="F9" s="14">
        <f t="shared" si="6"/>
        <v>2654.9502610950826</v>
      </c>
      <c r="G9" s="14">
        <f t="shared" si="6"/>
        <v>2800.1428534987199</v>
      </c>
      <c r="H9" s="13">
        <f t="shared" si="6"/>
        <v>2986.8190437319681</v>
      </c>
      <c r="I9" s="14">
        <f t="shared" si="6"/>
        <v>3111.2698372208001</v>
      </c>
      <c r="J9" s="13">
        <f t="shared" si="6"/>
        <v>3318.6878263688532</v>
      </c>
      <c r="K9" s="14">
        <f t="shared" si="6"/>
        <v>3500.1785668734001</v>
      </c>
      <c r="L9" s="13">
        <f t="shared" si="6"/>
        <v>3733.5238046649602</v>
      </c>
      <c r="M9" s="15">
        <f t="shared" si="6"/>
        <v>3982.4253916426242</v>
      </c>
    </row>
    <row r="10" spans="1:13" ht="32.25" customHeight="1" x14ac:dyDescent="0.25">
      <c r="A10" s="11">
        <v>8</v>
      </c>
      <c r="B10" s="12">
        <f t="shared" ref="B10:M10" si="7">B9*2</f>
        <v>4148.3597829610671</v>
      </c>
      <c r="C10" s="13">
        <f t="shared" si="7"/>
        <v>4424.9171018251382</v>
      </c>
      <c r="D10" s="14">
        <f t="shared" si="7"/>
        <v>4666.9047558312004</v>
      </c>
      <c r="E10" s="13">
        <f t="shared" si="7"/>
        <v>4978.0317395532802</v>
      </c>
      <c r="F10" s="14">
        <f t="shared" si="7"/>
        <v>5309.9005221901652</v>
      </c>
      <c r="G10" s="14">
        <f t="shared" si="7"/>
        <v>5600.2857069974398</v>
      </c>
      <c r="H10" s="13">
        <f t="shared" si="7"/>
        <v>5973.6380874639362</v>
      </c>
      <c r="I10" s="14">
        <f t="shared" si="7"/>
        <v>6222.5396744416003</v>
      </c>
      <c r="J10" s="13">
        <f t="shared" si="7"/>
        <v>6637.3756527377063</v>
      </c>
      <c r="K10" s="14">
        <f t="shared" si="7"/>
        <v>7000.3571337468002</v>
      </c>
      <c r="L10" s="13">
        <f t="shared" si="7"/>
        <v>7467.0476093299203</v>
      </c>
      <c r="M10" s="15">
        <f t="shared" si="7"/>
        <v>7964.8507832852483</v>
      </c>
    </row>
    <row r="11" spans="1:13" ht="32.25" customHeight="1" x14ac:dyDescent="0.25">
      <c r="A11" s="11">
        <v>9</v>
      </c>
      <c r="B11" s="12">
        <f t="shared" ref="B11:M11" si="8">B10*2</f>
        <v>8296.7195659221343</v>
      </c>
      <c r="C11" s="13">
        <f t="shared" si="8"/>
        <v>8849.8342036502763</v>
      </c>
      <c r="D11" s="14">
        <f t="shared" si="8"/>
        <v>9333.8095116624008</v>
      </c>
      <c r="E11" s="13">
        <f t="shared" si="8"/>
        <v>9956.0634791065604</v>
      </c>
      <c r="F11" s="14">
        <f t="shared" si="8"/>
        <v>10619.80104438033</v>
      </c>
      <c r="G11" s="14">
        <f t="shared" si="8"/>
        <v>11200.57141399488</v>
      </c>
      <c r="H11" s="13">
        <f t="shared" si="8"/>
        <v>11947.276174927872</v>
      </c>
      <c r="I11" s="14">
        <f t="shared" si="8"/>
        <v>12445.079348883201</v>
      </c>
      <c r="J11" s="13">
        <f t="shared" si="8"/>
        <v>13274.751305475413</v>
      </c>
      <c r="K11" s="14">
        <f t="shared" si="8"/>
        <v>14000.7142674936</v>
      </c>
      <c r="L11" s="13">
        <f t="shared" si="8"/>
        <v>14934.095218659841</v>
      </c>
      <c r="M11" s="15">
        <f t="shared" si="8"/>
        <v>15929.701566570497</v>
      </c>
    </row>
    <row r="12" spans="1:13" ht="32.25" customHeight="1" x14ac:dyDescent="0.25">
      <c r="A12" s="18">
        <v>10</v>
      </c>
      <c r="B12" s="19">
        <f t="shared" ref="B12:M12" si="9">B11*2</f>
        <v>16593.439131844269</v>
      </c>
      <c r="C12" s="20">
        <f t="shared" si="9"/>
        <v>17699.668407300553</v>
      </c>
      <c r="D12" s="21">
        <f t="shared" si="9"/>
        <v>18667.619023324802</v>
      </c>
      <c r="E12" s="20">
        <f t="shared" si="9"/>
        <v>19912.126958213121</v>
      </c>
      <c r="F12" s="21">
        <f t="shared" si="9"/>
        <v>21239.602088760661</v>
      </c>
      <c r="G12" s="21">
        <f t="shared" si="9"/>
        <v>22401.142827989759</v>
      </c>
      <c r="H12" s="20">
        <f t="shared" si="9"/>
        <v>23894.552349855745</v>
      </c>
      <c r="I12" s="21">
        <f t="shared" si="9"/>
        <v>24890.158697766401</v>
      </c>
      <c r="J12" s="20">
        <f t="shared" si="9"/>
        <v>26549.502610950825</v>
      </c>
      <c r="K12" s="21">
        <f t="shared" si="9"/>
        <v>28001.428534987201</v>
      </c>
      <c r="L12" s="20">
        <f t="shared" si="9"/>
        <v>29868.190437319681</v>
      </c>
      <c r="M12" s="22">
        <f t="shared" si="9"/>
        <v>31859.403133140993</v>
      </c>
    </row>
    <row r="13" spans="1:13" x14ac:dyDescent="0.25">
      <c r="A13" s="59" t="s">
        <v>17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16.481377845643451</v>
      </c>
      <c r="C2" s="8">
        <f t="shared" si="0"/>
        <v>17.168101922545262</v>
      </c>
      <c r="D2" s="9">
        <f t="shared" si="0"/>
        <v>18.312642050714945</v>
      </c>
      <c r="E2" s="8">
        <f t="shared" si="0"/>
        <v>19.314114662863417</v>
      </c>
      <c r="F2" s="9">
        <f t="shared" si="0"/>
        <v>20.601722307054313</v>
      </c>
      <c r="G2" s="9">
        <f t="shared" si="0"/>
        <v>21.975170460857935</v>
      </c>
      <c r="H2" s="8">
        <f t="shared" si="0"/>
        <v>23.176937595436101</v>
      </c>
      <c r="I2" s="9">
        <f t="shared" si="0"/>
        <v>24.722066768465176</v>
      </c>
      <c r="J2" s="8">
        <f t="shared" si="0"/>
        <v>25.752152883817892</v>
      </c>
      <c r="K2" s="9">
        <f t="shared" si="0"/>
        <v>27.468963076072416</v>
      </c>
      <c r="L2" s="8">
        <f t="shared" si="0"/>
        <v>28.971171994295126</v>
      </c>
      <c r="M2" s="10">
        <f t="shared" si="0"/>
        <v>30.902583460581468</v>
      </c>
    </row>
    <row r="3" spans="1:13" ht="32.25" customHeight="1" x14ac:dyDescent="0.25">
      <c r="A3" s="11">
        <v>1</v>
      </c>
      <c r="B3" s="12">
        <f t="shared" ref="B3:M3" si="1">B4/2</f>
        <v>32.962755691286901</v>
      </c>
      <c r="C3" s="13">
        <f t="shared" si="1"/>
        <v>34.336203845090523</v>
      </c>
      <c r="D3" s="14">
        <f t="shared" si="1"/>
        <v>36.625284101429891</v>
      </c>
      <c r="E3" s="13">
        <f t="shared" si="1"/>
        <v>38.628229325726835</v>
      </c>
      <c r="F3" s="14">
        <f t="shared" si="1"/>
        <v>41.203444614108626</v>
      </c>
      <c r="G3" s="14">
        <f t="shared" si="1"/>
        <v>43.95034092171587</v>
      </c>
      <c r="H3" s="13">
        <f t="shared" si="1"/>
        <v>46.353875190872202</v>
      </c>
      <c r="I3" s="14">
        <f t="shared" si="1"/>
        <v>49.444133536930352</v>
      </c>
      <c r="J3" s="13">
        <f t="shared" si="1"/>
        <v>51.504305767635785</v>
      </c>
      <c r="K3" s="14">
        <f t="shared" si="1"/>
        <v>54.937926152144833</v>
      </c>
      <c r="L3" s="13">
        <f t="shared" si="1"/>
        <v>57.942343988590252</v>
      </c>
      <c r="M3" s="15">
        <f t="shared" si="1"/>
        <v>61.805166921162936</v>
      </c>
    </row>
    <row r="4" spans="1:13" ht="32.25" customHeight="1" x14ac:dyDescent="0.25">
      <c r="A4" s="11">
        <v>2</v>
      </c>
      <c r="B4" s="12">
        <f t="shared" ref="B4:M4" si="2">B5/2</f>
        <v>65.925511382573802</v>
      </c>
      <c r="C4" s="13">
        <f t="shared" si="2"/>
        <v>68.672407690181046</v>
      </c>
      <c r="D4" s="14">
        <f t="shared" si="2"/>
        <v>73.250568202859782</v>
      </c>
      <c r="E4" s="13">
        <f t="shared" si="2"/>
        <v>77.25645865145367</v>
      </c>
      <c r="F4" s="14">
        <f t="shared" si="2"/>
        <v>82.406889228217253</v>
      </c>
      <c r="G4" s="14">
        <f t="shared" si="2"/>
        <v>87.900681843431741</v>
      </c>
      <c r="H4" s="13">
        <f t="shared" si="2"/>
        <v>92.707750381744404</v>
      </c>
      <c r="I4" s="14">
        <f t="shared" si="2"/>
        <v>98.888267073860703</v>
      </c>
      <c r="J4" s="13">
        <f t="shared" si="2"/>
        <v>103.00861153527157</v>
      </c>
      <c r="K4" s="14">
        <f t="shared" si="2"/>
        <v>109.87585230428967</v>
      </c>
      <c r="L4" s="13">
        <f t="shared" si="2"/>
        <v>115.8846879771805</v>
      </c>
      <c r="M4" s="15">
        <f t="shared" si="2"/>
        <v>123.61033384232587</v>
      </c>
    </row>
    <row r="5" spans="1:13" ht="32.25" customHeight="1" x14ac:dyDescent="0.25">
      <c r="A5" s="11">
        <v>3</v>
      </c>
      <c r="B5" s="12">
        <f t="shared" ref="B5:M5" si="3">B6/2</f>
        <v>131.8510227651476</v>
      </c>
      <c r="C5" s="13">
        <f t="shared" si="3"/>
        <v>137.34481538036209</v>
      </c>
      <c r="D5" s="14">
        <f t="shared" si="3"/>
        <v>146.50113640571956</v>
      </c>
      <c r="E5" s="13">
        <f t="shared" si="3"/>
        <v>154.51291730290734</v>
      </c>
      <c r="F5" s="14">
        <f t="shared" si="3"/>
        <v>164.81377845643451</v>
      </c>
      <c r="G5" s="14">
        <f t="shared" si="3"/>
        <v>175.80136368686348</v>
      </c>
      <c r="H5" s="13">
        <f t="shared" si="3"/>
        <v>185.41550076348881</v>
      </c>
      <c r="I5" s="14">
        <f t="shared" si="3"/>
        <v>197.77653414772141</v>
      </c>
      <c r="J5" s="13">
        <f t="shared" si="3"/>
        <v>206.01722307054314</v>
      </c>
      <c r="K5" s="14">
        <f t="shared" si="3"/>
        <v>219.75170460857933</v>
      </c>
      <c r="L5" s="13">
        <f t="shared" si="3"/>
        <v>231.76937595436101</v>
      </c>
      <c r="M5" s="15">
        <f t="shared" si="3"/>
        <v>247.22066768465174</v>
      </c>
    </row>
    <row r="6" spans="1:13" ht="32.25" customHeight="1" x14ac:dyDescent="0.25">
      <c r="A6" s="11">
        <v>4</v>
      </c>
      <c r="B6" s="12">
        <f>F6*(8/5)/2</f>
        <v>263.70204553029521</v>
      </c>
      <c r="C6" s="13">
        <f>F6*(5/3)/2</f>
        <v>274.68963076072419</v>
      </c>
      <c r="D6" s="14">
        <f>F6*(16/9)/2</f>
        <v>293.00227281143913</v>
      </c>
      <c r="E6" s="13">
        <f>F6*(15/8)/2</f>
        <v>309.02583460581468</v>
      </c>
      <c r="F6" s="29">
        <v>329.62755691286901</v>
      </c>
      <c r="G6" s="14">
        <f>F6*(16/15)</f>
        <v>351.60272737372696</v>
      </c>
      <c r="H6" s="13">
        <f>F6*(9/8)</f>
        <v>370.83100152697762</v>
      </c>
      <c r="I6" s="14">
        <f>F6*(6/5)</f>
        <v>395.55306829544281</v>
      </c>
      <c r="J6" s="13">
        <f>F6*(5/4)</f>
        <v>412.03444614108628</v>
      </c>
      <c r="K6" s="14">
        <f>F6*(4/3)</f>
        <v>439.50340921715866</v>
      </c>
      <c r="L6" s="13">
        <f>F6*(45/32)</f>
        <v>463.53875190872202</v>
      </c>
      <c r="M6" s="15">
        <f>F6*(3/2)</f>
        <v>494.44133536930349</v>
      </c>
    </row>
    <row r="7" spans="1:13" ht="32.25" customHeight="1" x14ac:dyDescent="0.25">
      <c r="A7" s="11">
        <v>5</v>
      </c>
      <c r="B7" s="12">
        <f t="shared" ref="B7:M7" si="4">B6*2</f>
        <v>527.40409106059042</v>
      </c>
      <c r="C7" s="13">
        <f t="shared" si="4"/>
        <v>549.37926152144837</v>
      </c>
      <c r="D7" s="14">
        <f t="shared" si="4"/>
        <v>586.00454562287825</v>
      </c>
      <c r="E7" s="13">
        <f t="shared" si="4"/>
        <v>618.05166921162936</v>
      </c>
      <c r="F7" s="14">
        <f t="shared" si="4"/>
        <v>659.25511382573802</v>
      </c>
      <c r="G7" s="14">
        <f t="shared" si="4"/>
        <v>703.20545474745393</v>
      </c>
      <c r="H7" s="13">
        <f t="shared" si="4"/>
        <v>741.66200305395523</v>
      </c>
      <c r="I7" s="14">
        <f t="shared" si="4"/>
        <v>791.10613659088563</v>
      </c>
      <c r="J7" s="13">
        <f t="shared" si="4"/>
        <v>824.06889228217256</v>
      </c>
      <c r="K7" s="14">
        <f t="shared" si="4"/>
        <v>879.00681843431732</v>
      </c>
      <c r="L7" s="13">
        <f t="shared" si="4"/>
        <v>927.07750381744404</v>
      </c>
      <c r="M7" s="15">
        <f t="shared" si="4"/>
        <v>988.88267073860698</v>
      </c>
    </row>
    <row r="8" spans="1:13" ht="32.25" customHeight="1" x14ac:dyDescent="0.25">
      <c r="A8" s="11">
        <v>6</v>
      </c>
      <c r="B8" s="12">
        <f t="shared" ref="B8:M8" si="5">B7*2</f>
        <v>1054.8081821211808</v>
      </c>
      <c r="C8" s="13">
        <f t="shared" si="5"/>
        <v>1098.7585230428967</v>
      </c>
      <c r="D8" s="14">
        <f t="shared" si="5"/>
        <v>1172.0090912457565</v>
      </c>
      <c r="E8" s="13">
        <f t="shared" si="5"/>
        <v>1236.1033384232587</v>
      </c>
      <c r="F8" s="14">
        <f t="shared" si="5"/>
        <v>1318.510227651476</v>
      </c>
      <c r="G8" s="14">
        <f t="shared" si="5"/>
        <v>1406.4109094949079</v>
      </c>
      <c r="H8" s="13">
        <f t="shared" si="5"/>
        <v>1483.3240061079105</v>
      </c>
      <c r="I8" s="14">
        <f t="shared" si="5"/>
        <v>1582.2122731817713</v>
      </c>
      <c r="J8" s="13">
        <f t="shared" si="5"/>
        <v>1648.1377845643451</v>
      </c>
      <c r="K8" s="14">
        <f t="shared" si="5"/>
        <v>1758.0136368686346</v>
      </c>
      <c r="L8" s="13">
        <f t="shared" si="5"/>
        <v>1854.1550076348881</v>
      </c>
      <c r="M8" s="15">
        <f t="shared" si="5"/>
        <v>1977.765341477214</v>
      </c>
    </row>
    <row r="9" spans="1:13" ht="32.25" customHeight="1" x14ac:dyDescent="0.25">
      <c r="A9" s="11">
        <v>7</v>
      </c>
      <c r="B9" s="12">
        <f t="shared" ref="B9:M9" si="6">B8*2</f>
        <v>2109.6163642423617</v>
      </c>
      <c r="C9" s="13">
        <f t="shared" si="6"/>
        <v>2197.5170460857935</v>
      </c>
      <c r="D9" s="14">
        <f t="shared" si="6"/>
        <v>2344.018182491513</v>
      </c>
      <c r="E9" s="13">
        <f t="shared" si="6"/>
        <v>2472.2066768465174</v>
      </c>
      <c r="F9" s="14">
        <f t="shared" si="6"/>
        <v>2637.0204553029521</v>
      </c>
      <c r="G9" s="14">
        <f t="shared" si="6"/>
        <v>2812.8218189898157</v>
      </c>
      <c r="H9" s="13">
        <f t="shared" si="6"/>
        <v>2966.6480122158209</v>
      </c>
      <c r="I9" s="14">
        <f t="shared" si="6"/>
        <v>3164.4245463635425</v>
      </c>
      <c r="J9" s="13">
        <f t="shared" si="6"/>
        <v>3296.2755691286902</v>
      </c>
      <c r="K9" s="14">
        <f t="shared" si="6"/>
        <v>3516.0272737372693</v>
      </c>
      <c r="L9" s="13">
        <f t="shared" si="6"/>
        <v>3708.3100152697762</v>
      </c>
      <c r="M9" s="15">
        <f t="shared" si="6"/>
        <v>3955.5306829544279</v>
      </c>
    </row>
    <row r="10" spans="1:13" ht="32.25" customHeight="1" x14ac:dyDescent="0.25">
      <c r="A10" s="11">
        <v>8</v>
      </c>
      <c r="B10" s="12">
        <f t="shared" ref="B10:M10" si="7">B9*2</f>
        <v>4219.2327284847233</v>
      </c>
      <c r="C10" s="13">
        <f t="shared" si="7"/>
        <v>4395.034092171587</v>
      </c>
      <c r="D10" s="14">
        <f t="shared" si="7"/>
        <v>4688.036364983026</v>
      </c>
      <c r="E10" s="13">
        <f t="shared" si="7"/>
        <v>4944.4133536930349</v>
      </c>
      <c r="F10" s="14">
        <f t="shared" si="7"/>
        <v>5274.0409106059042</v>
      </c>
      <c r="G10" s="14">
        <f t="shared" si="7"/>
        <v>5625.6436379796314</v>
      </c>
      <c r="H10" s="13">
        <f t="shared" si="7"/>
        <v>5933.2960244316419</v>
      </c>
      <c r="I10" s="14">
        <f t="shared" si="7"/>
        <v>6328.849092727085</v>
      </c>
      <c r="J10" s="13">
        <f t="shared" si="7"/>
        <v>6592.5511382573804</v>
      </c>
      <c r="K10" s="14">
        <f t="shared" si="7"/>
        <v>7032.0545474745386</v>
      </c>
      <c r="L10" s="13">
        <f t="shared" si="7"/>
        <v>7416.6200305395523</v>
      </c>
      <c r="M10" s="15">
        <f t="shared" si="7"/>
        <v>7911.0613659088558</v>
      </c>
    </row>
    <row r="11" spans="1:13" ht="32.25" customHeight="1" x14ac:dyDescent="0.25">
      <c r="A11" s="11">
        <v>9</v>
      </c>
      <c r="B11" s="12">
        <f t="shared" ref="B11:M11" si="8">B10*2</f>
        <v>8438.4654569694467</v>
      </c>
      <c r="C11" s="13">
        <f t="shared" si="8"/>
        <v>8790.0681843431739</v>
      </c>
      <c r="D11" s="14">
        <f t="shared" si="8"/>
        <v>9376.0727299660521</v>
      </c>
      <c r="E11" s="13">
        <f t="shared" si="8"/>
        <v>9888.8267073860698</v>
      </c>
      <c r="F11" s="14">
        <f t="shared" si="8"/>
        <v>10548.081821211808</v>
      </c>
      <c r="G11" s="14">
        <f t="shared" si="8"/>
        <v>11251.287275959263</v>
      </c>
      <c r="H11" s="13">
        <f t="shared" si="8"/>
        <v>11866.592048863284</v>
      </c>
      <c r="I11" s="14">
        <f t="shared" si="8"/>
        <v>12657.69818545417</v>
      </c>
      <c r="J11" s="13">
        <f t="shared" si="8"/>
        <v>13185.102276514761</v>
      </c>
      <c r="K11" s="14">
        <f t="shared" si="8"/>
        <v>14064.109094949077</v>
      </c>
      <c r="L11" s="13">
        <f t="shared" si="8"/>
        <v>14833.240061079105</v>
      </c>
      <c r="M11" s="15">
        <f t="shared" si="8"/>
        <v>15822.122731817712</v>
      </c>
    </row>
    <row r="12" spans="1:13" ht="32.25" customHeight="1" x14ac:dyDescent="0.25">
      <c r="A12" s="18">
        <v>10</v>
      </c>
      <c r="B12" s="19">
        <f t="shared" ref="B12:M12" si="9">B11*2</f>
        <v>16876.930913938893</v>
      </c>
      <c r="C12" s="20">
        <f t="shared" si="9"/>
        <v>17580.136368686348</v>
      </c>
      <c r="D12" s="21">
        <f t="shared" si="9"/>
        <v>18752.145459932104</v>
      </c>
      <c r="E12" s="20">
        <f t="shared" si="9"/>
        <v>19777.65341477214</v>
      </c>
      <c r="F12" s="21">
        <f t="shared" si="9"/>
        <v>21096.163642423617</v>
      </c>
      <c r="G12" s="21">
        <f t="shared" si="9"/>
        <v>22502.574551918526</v>
      </c>
      <c r="H12" s="20">
        <f t="shared" si="9"/>
        <v>23733.184097726567</v>
      </c>
      <c r="I12" s="21">
        <f t="shared" si="9"/>
        <v>25315.39637090834</v>
      </c>
      <c r="J12" s="20">
        <f t="shared" si="9"/>
        <v>26370.204553029522</v>
      </c>
      <c r="K12" s="21">
        <f t="shared" si="9"/>
        <v>28128.218189898154</v>
      </c>
      <c r="L12" s="20">
        <f t="shared" si="9"/>
        <v>29666.480122158209</v>
      </c>
      <c r="M12" s="22">
        <f t="shared" si="9"/>
        <v>31644.245463635423</v>
      </c>
    </row>
    <row r="13" spans="1:13" x14ac:dyDescent="0.25">
      <c r="A13" s="59" t="s">
        <v>18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16.314709328744833</v>
      </c>
      <c r="C2" s="8">
        <f t="shared" si="0"/>
        <v>17.206919995160568</v>
      </c>
      <c r="D2" s="9">
        <f t="shared" si="0"/>
        <v>18.354047994837938</v>
      </c>
      <c r="E2" s="8">
        <f t="shared" si="0"/>
        <v>19.5776511944938</v>
      </c>
      <c r="F2" s="9">
        <f t="shared" si="0"/>
        <v>20.64830399419268</v>
      </c>
      <c r="G2" s="9">
        <f t="shared" si="0"/>
        <v>22.024857593805525</v>
      </c>
      <c r="H2" s="8">
        <f t="shared" si="0"/>
        <v>22.942559993547423</v>
      </c>
      <c r="I2" s="9">
        <f t="shared" si="0"/>
        <v>24.472063993117249</v>
      </c>
      <c r="J2" s="8">
        <f t="shared" si="0"/>
        <v>25.810379992740849</v>
      </c>
      <c r="K2" s="9">
        <f t="shared" si="0"/>
        <v>27.531071992256905</v>
      </c>
      <c r="L2" s="8">
        <f t="shared" si="0"/>
        <v>29.366476791740702</v>
      </c>
      <c r="M2" s="10">
        <f t="shared" si="0"/>
        <v>30.590079991396564</v>
      </c>
    </row>
    <row r="3" spans="1:13" ht="32.25" customHeight="1" x14ac:dyDescent="0.25">
      <c r="A3" s="11">
        <v>1</v>
      </c>
      <c r="B3" s="12">
        <f t="shared" ref="B3:M3" si="1">B4/2</f>
        <v>32.629418657489666</v>
      </c>
      <c r="C3" s="13">
        <f t="shared" si="1"/>
        <v>34.413839990321136</v>
      </c>
      <c r="D3" s="14">
        <f t="shared" si="1"/>
        <v>36.708095989675876</v>
      </c>
      <c r="E3" s="13">
        <f t="shared" si="1"/>
        <v>39.1553023889876</v>
      </c>
      <c r="F3" s="14">
        <f t="shared" si="1"/>
        <v>41.296607988385361</v>
      </c>
      <c r="G3" s="14">
        <f t="shared" si="1"/>
        <v>44.049715187611049</v>
      </c>
      <c r="H3" s="13">
        <f t="shared" si="1"/>
        <v>45.885119987094846</v>
      </c>
      <c r="I3" s="14">
        <f t="shared" si="1"/>
        <v>48.944127986234498</v>
      </c>
      <c r="J3" s="13">
        <f t="shared" si="1"/>
        <v>51.620759985481698</v>
      </c>
      <c r="K3" s="14">
        <f t="shared" si="1"/>
        <v>55.06214398451381</v>
      </c>
      <c r="L3" s="13">
        <f t="shared" si="1"/>
        <v>58.732953583481404</v>
      </c>
      <c r="M3" s="15">
        <f t="shared" si="1"/>
        <v>61.180159982793128</v>
      </c>
    </row>
    <row r="4" spans="1:13" ht="32.25" customHeight="1" x14ac:dyDescent="0.25">
      <c r="A4" s="11">
        <v>2</v>
      </c>
      <c r="B4" s="12">
        <f t="shared" ref="B4:M4" si="2">B5/2</f>
        <v>65.258837314979331</v>
      </c>
      <c r="C4" s="13">
        <f t="shared" si="2"/>
        <v>68.827679980642273</v>
      </c>
      <c r="D4" s="14">
        <f t="shared" si="2"/>
        <v>73.416191979351751</v>
      </c>
      <c r="E4" s="13">
        <f t="shared" si="2"/>
        <v>78.3106047779752</v>
      </c>
      <c r="F4" s="14">
        <f t="shared" si="2"/>
        <v>82.593215976770722</v>
      </c>
      <c r="G4" s="14">
        <f t="shared" si="2"/>
        <v>88.099430375222099</v>
      </c>
      <c r="H4" s="13">
        <f t="shared" si="2"/>
        <v>91.770239974189693</v>
      </c>
      <c r="I4" s="14">
        <f t="shared" si="2"/>
        <v>97.888255972468997</v>
      </c>
      <c r="J4" s="13">
        <f t="shared" si="2"/>
        <v>103.2415199709634</v>
      </c>
      <c r="K4" s="14">
        <f t="shared" si="2"/>
        <v>110.12428796902762</v>
      </c>
      <c r="L4" s="13">
        <f t="shared" si="2"/>
        <v>117.46590716696281</v>
      </c>
      <c r="M4" s="15">
        <f t="shared" si="2"/>
        <v>122.36031996558626</v>
      </c>
    </row>
    <row r="5" spans="1:13" ht="32.25" customHeight="1" x14ac:dyDescent="0.25">
      <c r="A5" s="11">
        <v>3</v>
      </c>
      <c r="B5" s="12">
        <f t="shared" ref="B5:M5" si="3">B6/2</f>
        <v>130.51767462995866</v>
      </c>
      <c r="C5" s="13">
        <f t="shared" si="3"/>
        <v>137.65535996128455</v>
      </c>
      <c r="D5" s="14">
        <f t="shared" si="3"/>
        <v>146.8323839587035</v>
      </c>
      <c r="E5" s="13">
        <f t="shared" si="3"/>
        <v>156.6212095559504</v>
      </c>
      <c r="F5" s="14">
        <f t="shared" si="3"/>
        <v>165.18643195354144</v>
      </c>
      <c r="G5" s="14">
        <f t="shared" si="3"/>
        <v>176.1988607504442</v>
      </c>
      <c r="H5" s="13">
        <f t="shared" si="3"/>
        <v>183.54047994837939</v>
      </c>
      <c r="I5" s="14">
        <f t="shared" si="3"/>
        <v>195.77651194493799</v>
      </c>
      <c r="J5" s="13">
        <f t="shared" si="3"/>
        <v>206.48303994192679</v>
      </c>
      <c r="K5" s="14">
        <f t="shared" si="3"/>
        <v>220.24857593805524</v>
      </c>
      <c r="L5" s="13">
        <f t="shared" si="3"/>
        <v>234.93181433392562</v>
      </c>
      <c r="M5" s="15">
        <f t="shared" si="3"/>
        <v>244.72063993117251</v>
      </c>
    </row>
    <row r="6" spans="1:13" ht="32.25" customHeight="1" x14ac:dyDescent="0.25">
      <c r="A6" s="11">
        <v>4</v>
      </c>
      <c r="B6" s="12">
        <f>D6*(16/9)/2</f>
        <v>261.03534925991733</v>
      </c>
      <c r="C6" s="13">
        <f>D6*(15/8)/2</f>
        <v>275.31071992256909</v>
      </c>
      <c r="D6" s="29">
        <v>293.664767917407</v>
      </c>
      <c r="E6" s="13">
        <f>D6*(16/15)</f>
        <v>313.2424191119008</v>
      </c>
      <c r="F6" s="14">
        <f>D6*(9/8)</f>
        <v>330.37286390708289</v>
      </c>
      <c r="G6" s="14">
        <f>D6*(6/5)</f>
        <v>352.39772150088839</v>
      </c>
      <c r="H6" s="13">
        <f>D6*(5/4)</f>
        <v>367.08095989675877</v>
      </c>
      <c r="I6" s="14">
        <f>D6*(4/3)</f>
        <v>391.55302388987599</v>
      </c>
      <c r="J6" s="13">
        <f>D6*(45/32)</f>
        <v>412.96607988385358</v>
      </c>
      <c r="K6" s="14">
        <f>D6*(3/2)</f>
        <v>440.49715187611048</v>
      </c>
      <c r="L6" s="13">
        <f>D6*(8/5)</f>
        <v>469.86362866785123</v>
      </c>
      <c r="M6" s="15">
        <f>D6*(5/3)</f>
        <v>489.44127986234503</v>
      </c>
    </row>
    <row r="7" spans="1:13" ht="32.25" customHeight="1" x14ac:dyDescent="0.25">
      <c r="A7" s="11">
        <v>5</v>
      </c>
      <c r="B7" s="12">
        <f t="shared" ref="B7:M7" si="4">B6*2</f>
        <v>522.07069851983465</v>
      </c>
      <c r="C7" s="13">
        <f t="shared" si="4"/>
        <v>550.62143984513818</v>
      </c>
      <c r="D7" s="14">
        <f t="shared" si="4"/>
        <v>587.32953583481401</v>
      </c>
      <c r="E7" s="13">
        <f t="shared" si="4"/>
        <v>626.4848382238016</v>
      </c>
      <c r="F7" s="14">
        <f t="shared" si="4"/>
        <v>660.74572781416578</v>
      </c>
      <c r="G7" s="14">
        <f t="shared" si="4"/>
        <v>704.79544300177679</v>
      </c>
      <c r="H7" s="13">
        <f t="shared" si="4"/>
        <v>734.16191979351754</v>
      </c>
      <c r="I7" s="14">
        <f t="shared" si="4"/>
        <v>783.10604777975198</v>
      </c>
      <c r="J7" s="13">
        <f t="shared" si="4"/>
        <v>825.93215976770716</v>
      </c>
      <c r="K7" s="14">
        <f t="shared" si="4"/>
        <v>880.99430375222096</v>
      </c>
      <c r="L7" s="13">
        <f t="shared" si="4"/>
        <v>939.72725733570246</v>
      </c>
      <c r="M7" s="15">
        <f t="shared" si="4"/>
        <v>978.88255972469005</v>
      </c>
    </row>
    <row r="8" spans="1:13" ht="32.25" customHeight="1" x14ac:dyDescent="0.25">
      <c r="A8" s="11">
        <v>6</v>
      </c>
      <c r="B8" s="12">
        <f t="shared" ref="B8:M8" si="5">B7*2</f>
        <v>1044.1413970396693</v>
      </c>
      <c r="C8" s="13">
        <f t="shared" si="5"/>
        <v>1101.2428796902764</v>
      </c>
      <c r="D8" s="14">
        <f t="shared" si="5"/>
        <v>1174.659071669628</v>
      </c>
      <c r="E8" s="13">
        <f t="shared" si="5"/>
        <v>1252.9696764476032</v>
      </c>
      <c r="F8" s="14">
        <f t="shared" si="5"/>
        <v>1321.4914556283316</v>
      </c>
      <c r="G8" s="14">
        <f t="shared" si="5"/>
        <v>1409.5908860035536</v>
      </c>
      <c r="H8" s="13">
        <f t="shared" si="5"/>
        <v>1468.3238395870351</v>
      </c>
      <c r="I8" s="14">
        <f t="shared" si="5"/>
        <v>1566.212095559504</v>
      </c>
      <c r="J8" s="13">
        <f t="shared" si="5"/>
        <v>1651.8643195354143</v>
      </c>
      <c r="K8" s="14">
        <f t="shared" si="5"/>
        <v>1761.9886075044419</v>
      </c>
      <c r="L8" s="13">
        <f t="shared" si="5"/>
        <v>1879.4545146714049</v>
      </c>
      <c r="M8" s="15">
        <f t="shared" si="5"/>
        <v>1957.7651194493801</v>
      </c>
    </row>
    <row r="9" spans="1:13" ht="32.25" customHeight="1" x14ac:dyDescent="0.25">
      <c r="A9" s="11">
        <v>7</v>
      </c>
      <c r="B9" s="12">
        <f t="shared" ref="B9:M9" si="6">B8*2</f>
        <v>2088.2827940793386</v>
      </c>
      <c r="C9" s="13">
        <f t="shared" si="6"/>
        <v>2202.4857593805527</v>
      </c>
      <c r="D9" s="14">
        <f t="shared" si="6"/>
        <v>2349.318143339256</v>
      </c>
      <c r="E9" s="13">
        <f t="shared" si="6"/>
        <v>2505.9393528952064</v>
      </c>
      <c r="F9" s="14">
        <f t="shared" si="6"/>
        <v>2642.9829112566631</v>
      </c>
      <c r="G9" s="14">
        <f t="shared" si="6"/>
        <v>2819.1817720071072</v>
      </c>
      <c r="H9" s="13">
        <f t="shared" si="6"/>
        <v>2936.6476791740702</v>
      </c>
      <c r="I9" s="14">
        <f t="shared" si="6"/>
        <v>3132.4241911190079</v>
      </c>
      <c r="J9" s="13">
        <f t="shared" si="6"/>
        <v>3303.7286390708286</v>
      </c>
      <c r="K9" s="14">
        <f t="shared" si="6"/>
        <v>3523.9772150088838</v>
      </c>
      <c r="L9" s="13">
        <f t="shared" si="6"/>
        <v>3758.9090293428098</v>
      </c>
      <c r="M9" s="15">
        <f t="shared" si="6"/>
        <v>3915.5302388987602</v>
      </c>
    </row>
    <row r="10" spans="1:13" ht="32.25" customHeight="1" x14ac:dyDescent="0.25">
      <c r="A10" s="11">
        <v>8</v>
      </c>
      <c r="B10" s="12">
        <f t="shared" ref="B10:M10" si="7">B9*2</f>
        <v>4176.5655881586772</v>
      </c>
      <c r="C10" s="13">
        <f t="shared" si="7"/>
        <v>4404.9715187611055</v>
      </c>
      <c r="D10" s="14">
        <f t="shared" si="7"/>
        <v>4698.6362866785121</v>
      </c>
      <c r="E10" s="13">
        <f t="shared" si="7"/>
        <v>5011.8787057904128</v>
      </c>
      <c r="F10" s="14">
        <f t="shared" si="7"/>
        <v>5285.9658225133262</v>
      </c>
      <c r="G10" s="14">
        <f t="shared" si="7"/>
        <v>5638.3635440142143</v>
      </c>
      <c r="H10" s="13">
        <f t="shared" si="7"/>
        <v>5873.2953583481403</v>
      </c>
      <c r="I10" s="14">
        <f t="shared" si="7"/>
        <v>6264.8483822380158</v>
      </c>
      <c r="J10" s="13">
        <f t="shared" si="7"/>
        <v>6607.4572781416573</v>
      </c>
      <c r="K10" s="14">
        <f t="shared" si="7"/>
        <v>7047.9544300177677</v>
      </c>
      <c r="L10" s="13">
        <f t="shared" si="7"/>
        <v>7517.8180586856197</v>
      </c>
      <c r="M10" s="15">
        <f t="shared" si="7"/>
        <v>7831.0604777975204</v>
      </c>
    </row>
    <row r="11" spans="1:13" ht="32.25" customHeight="1" x14ac:dyDescent="0.25">
      <c r="A11" s="11">
        <v>9</v>
      </c>
      <c r="B11" s="12">
        <f t="shared" ref="B11:M11" si="8">B10*2</f>
        <v>8353.1311763173544</v>
      </c>
      <c r="C11" s="13">
        <f t="shared" si="8"/>
        <v>8809.9430375222109</v>
      </c>
      <c r="D11" s="14">
        <f t="shared" si="8"/>
        <v>9397.2725733570242</v>
      </c>
      <c r="E11" s="13">
        <f t="shared" si="8"/>
        <v>10023.757411580826</v>
      </c>
      <c r="F11" s="14">
        <f t="shared" si="8"/>
        <v>10571.931645026652</v>
      </c>
      <c r="G11" s="14">
        <f t="shared" si="8"/>
        <v>11276.727088028429</v>
      </c>
      <c r="H11" s="13">
        <f t="shared" si="8"/>
        <v>11746.590716696281</v>
      </c>
      <c r="I11" s="14">
        <f t="shared" si="8"/>
        <v>12529.696764476032</v>
      </c>
      <c r="J11" s="13">
        <f t="shared" si="8"/>
        <v>13214.914556283315</v>
      </c>
      <c r="K11" s="14">
        <f t="shared" si="8"/>
        <v>14095.908860035535</v>
      </c>
      <c r="L11" s="13">
        <f t="shared" si="8"/>
        <v>15035.636117371239</v>
      </c>
      <c r="M11" s="15">
        <f t="shared" si="8"/>
        <v>15662.120955595041</v>
      </c>
    </row>
    <row r="12" spans="1:13" ht="32.25" customHeight="1" x14ac:dyDescent="0.25">
      <c r="A12" s="18">
        <v>10</v>
      </c>
      <c r="B12" s="19">
        <f t="shared" ref="B12:M12" si="9">B11*2</f>
        <v>16706.262352634709</v>
      </c>
      <c r="C12" s="20">
        <f t="shared" si="9"/>
        <v>17619.886075044422</v>
      </c>
      <c r="D12" s="21">
        <f t="shared" si="9"/>
        <v>18794.545146714048</v>
      </c>
      <c r="E12" s="20">
        <f t="shared" si="9"/>
        <v>20047.514823161651</v>
      </c>
      <c r="F12" s="21">
        <f t="shared" si="9"/>
        <v>21143.863290053305</v>
      </c>
      <c r="G12" s="21">
        <f t="shared" si="9"/>
        <v>22553.454176056857</v>
      </c>
      <c r="H12" s="20">
        <f t="shared" si="9"/>
        <v>23493.181433392561</v>
      </c>
      <c r="I12" s="21">
        <f t="shared" si="9"/>
        <v>25059.393528952063</v>
      </c>
      <c r="J12" s="20">
        <f t="shared" si="9"/>
        <v>26429.829112566629</v>
      </c>
      <c r="K12" s="21">
        <f t="shared" si="9"/>
        <v>28191.817720071071</v>
      </c>
      <c r="L12" s="20">
        <f t="shared" si="9"/>
        <v>30071.272234742479</v>
      </c>
      <c r="M12" s="22">
        <f t="shared" si="9"/>
        <v>31324.241911190082</v>
      </c>
    </row>
    <row r="13" spans="1:13" x14ac:dyDescent="0.25">
      <c r="A13" s="59" t="s">
        <v>19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26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32.25" customHeight="1" x14ac:dyDescent="0.25">
      <c r="A2" s="11">
        <v>0</v>
      </c>
      <c r="B2" s="7">
        <f t="shared" ref="B2:M2" si="0">B3/2</f>
        <v>16.370073348422014</v>
      </c>
      <c r="C2" s="8">
        <f t="shared" si="0"/>
        <v>17.461411571650149</v>
      </c>
      <c r="D2" s="9">
        <f t="shared" si="0"/>
        <v>18.188970387135573</v>
      </c>
      <c r="E2" s="8">
        <f t="shared" si="0"/>
        <v>19.401568412944609</v>
      </c>
      <c r="F2" s="9">
        <f t="shared" si="0"/>
        <v>20.462591685527517</v>
      </c>
      <c r="G2" s="9">
        <f t="shared" si="0"/>
        <v>21.826764464562686</v>
      </c>
      <c r="H2" s="8">
        <f t="shared" si="0"/>
        <v>23.281882095533533</v>
      </c>
      <c r="I2" s="9">
        <f t="shared" si="0"/>
        <v>24.555110022633023</v>
      </c>
      <c r="J2" s="8">
        <f t="shared" si="0"/>
        <v>26.192117357475222</v>
      </c>
      <c r="K2" s="9">
        <f t="shared" si="0"/>
        <v>27.283455580703357</v>
      </c>
      <c r="L2" s="8">
        <f t="shared" si="0"/>
        <v>29.102352619416912</v>
      </c>
      <c r="M2" s="10">
        <f t="shared" si="0"/>
        <v>30.693887528291278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32.25" customHeight="1" x14ac:dyDescent="0.25">
      <c r="A3" s="11">
        <v>1</v>
      </c>
      <c r="B3" s="12">
        <f t="shared" ref="B3:M3" si="1">B4/2</f>
        <v>32.740146696844029</v>
      </c>
      <c r="C3" s="13">
        <f t="shared" si="1"/>
        <v>34.922823143300299</v>
      </c>
      <c r="D3" s="14">
        <f t="shared" si="1"/>
        <v>36.377940774271146</v>
      </c>
      <c r="E3" s="13">
        <f t="shared" si="1"/>
        <v>38.803136825889219</v>
      </c>
      <c r="F3" s="14">
        <f t="shared" si="1"/>
        <v>40.925183371055034</v>
      </c>
      <c r="G3" s="14">
        <f t="shared" si="1"/>
        <v>43.653528929125372</v>
      </c>
      <c r="H3" s="13">
        <f t="shared" si="1"/>
        <v>46.563764191067065</v>
      </c>
      <c r="I3" s="14">
        <f t="shared" si="1"/>
        <v>49.110220045266047</v>
      </c>
      <c r="J3" s="13">
        <f t="shared" si="1"/>
        <v>52.384234714950445</v>
      </c>
      <c r="K3" s="14">
        <f t="shared" si="1"/>
        <v>54.566911161406715</v>
      </c>
      <c r="L3" s="13">
        <f t="shared" si="1"/>
        <v>58.204705238833824</v>
      </c>
      <c r="M3" s="15">
        <f t="shared" si="1"/>
        <v>61.387775056582555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32.25" customHeight="1" x14ac:dyDescent="0.25">
      <c r="A4" s="11">
        <v>2</v>
      </c>
      <c r="B4" s="12">
        <f t="shared" ref="B4:M4" si="2">B5/2</f>
        <v>65.480293393688058</v>
      </c>
      <c r="C4" s="13">
        <f t="shared" si="2"/>
        <v>69.845646286600598</v>
      </c>
      <c r="D4" s="14">
        <f t="shared" si="2"/>
        <v>72.755881548542291</v>
      </c>
      <c r="E4" s="13">
        <f t="shared" si="2"/>
        <v>77.606273651778437</v>
      </c>
      <c r="F4" s="14">
        <f t="shared" si="2"/>
        <v>81.850366742110069</v>
      </c>
      <c r="G4" s="14">
        <f t="shared" si="2"/>
        <v>87.307057858250744</v>
      </c>
      <c r="H4" s="13">
        <f t="shared" si="2"/>
        <v>93.12752838213413</v>
      </c>
      <c r="I4" s="14">
        <f t="shared" si="2"/>
        <v>98.220440090532094</v>
      </c>
      <c r="J4" s="13">
        <f t="shared" si="2"/>
        <v>104.76846942990089</v>
      </c>
      <c r="K4" s="14">
        <f t="shared" si="2"/>
        <v>109.13382232281343</v>
      </c>
      <c r="L4" s="13">
        <f t="shared" si="2"/>
        <v>116.40941047766765</v>
      </c>
      <c r="M4" s="15">
        <f t="shared" si="2"/>
        <v>122.77555011316511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32.25" customHeight="1" x14ac:dyDescent="0.25">
      <c r="A5" s="11">
        <v>3</v>
      </c>
      <c r="B5" s="12">
        <f t="shared" ref="B5:M5" si="3">B6/2</f>
        <v>130.96058678737612</v>
      </c>
      <c r="C5" s="13">
        <f t="shared" si="3"/>
        <v>139.6912925732012</v>
      </c>
      <c r="D5" s="14">
        <f t="shared" si="3"/>
        <v>145.51176309708458</v>
      </c>
      <c r="E5" s="13">
        <f t="shared" si="3"/>
        <v>155.21254730355687</v>
      </c>
      <c r="F5" s="14">
        <f t="shared" si="3"/>
        <v>163.70073348422014</v>
      </c>
      <c r="G5" s="14">
        <f t="shared" si="3"/>
        <v>174.61411571650149</v>
      </c>
      <c r="H5" s="13">
        <f t="shared" si="3"/>
        <v>186.25505676426826</v>
      </c>
      <c r="I5" s="14">
        <f t="shared" si="3"/>
        <v>196.44088018106419</v>
      </c>
      <c r="J5" s="13">
        <f t="shared" si="3"/>
        <v>209.53693885980178</v>
      </c>
      <c r="K5" s="14">
        <f t="shared" si="3"/>
        <v>218.26764464562686</v>
      </c>
      <c r="L5" s="13">
        <f t="shared" si="3"/>
        <v>232.8188209553353</v>
      </c>
      <c r="M5" s="15">
        <f t="shared" si="3"/>
        <v>245.55110022633022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32.25" customHeight="1" x14ac:dyDescent="0.25">
      <c r="A6" s="11">
        <v>4</v>
      </c>
      <c r="B6" s="12">
        <f>G6*(3/2)/2</f>
        <v>261.92117357475223</v>
      </c>
      <c r="C6" s="13">
        <f>G6*(8/5)/2</f>
        <v>279.38258514640239</v>
      </c>
      <c r="D6" s="14">
        <f>G6*(5/3)/2</f>
        <v>291.02352619416916</v>
      </c>
      <c r="E6" s="13">
        <f>G6*(16/9)/2</f>
        <v>310.42509460711375</v>
      </c>
      <c r="F6" s="14">
        <f>G6*(15/8)/2</f>
        <v>327.40146696844027</v>
      </c>
      <c r="G6" s="29">
        <v>349.22823143300297</v>
      </c>
      <c r="H6" s="13">
        <f>G6*(16/15)</f>
        <v>372.51011352853652</v>
      </c>
      <c r="I6" s="14">
        <f>G6*(9/8)</f>
        <v>392.88176036212838</v>
      </c>
      <c r="J6" s="13">
        <f>G6*(6/5)</f>
        <v>419.07387771960356</v>
      </c>
      <c r="K6" s="14">
        <f>G6*(5/4)</f>
        <v>436.53528929125372</v>
      </c>
      <c r="L6" s="13">
        <f>G6*(4/3)</f>
        <v>465.6376419106706</v>
      </c>
      <c r="M6" s="15">
        <f>G6*(45/32)</f>
        <v>491.10220045266044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2.25" customHeight="1" x14ac:dyDescent="0.25">
      <c r="A7" s="11">
        <v>5</v>
      </c>
      <c r="B7" s="12">
        <f t="shared" ref="B7:M7" si="4">B6*2</f>
        <v>523.84234714950446</v>
      </c>
      <c r="C7" s="13">
        <f t="shared" si="4"/>
        <v>558.76517029280478</v>
      </c>
      <c r="D7" s="14">
        <f t="shared" si="4"/>
        <v>582.04705238833833</v>
      </c>
      <c r="E7" s="13">
        <f t="shared" si="4"/>
        <v>620.8501892142275</v>
      </c>
      <c r="F7" s="14">
        <f t="shared" si="4"/>
        <v>654.80293393688055</v>
      </c>
      <c r="G7" s="14">
        <f t="shared" si="4"/>
        <v>698.45646286600595</v>
      </c>
      <c r="H7" s="13">
        <f t="shared" si="4"/>
        <v>745.02022705707304</v>
      </c>
      <c r="I7" s="14">
        <f t="shared" si="4"/>
        <v>785.76352072425675</v>
      </c>
      <c r="J7" s="13">
        <f t="shared" si="4"/>
        <v>838.14775543920712</v>
      </c>
      <c r="K7" s="14">
        <f t="shared" si="4"/>
        <v>873.07057858250744</v>
      </c>
      <c r="L7" s="13">
        <f t="shared" si="4"/>
        <v>931.27528382134119</v>
      </c>
      <c r="M7" s="15">
        <f t="shared" si="4"/>
        <v>982.20440090532088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2.25" customHeight="1" x14ac:dyDescent="0.25">
      <c r="A8" s="11">
        <v>6</v>
      </c>
      <c r="B8" s="12">
        <f t="shared" ref="B8:M8" si="5">B7*2</f>
        <v>1047.6846942990089</v>
      </c>
      <c r="C8" s="13">
        <f t="shared" si="5"/>
        <v>1117.5303405856096</v>
      </c>
      <c r="D8" s="14">
        <f t="shared" si="5"/>
        <v>1164.0941047766767</v>
      </c>
      <c r="E8" s="13">
        <f t="shared" si="5"/>
        <v>1241.700378428455</v>
      </c>
      <c r="F8" s="14">
        <f t="shared" si="5"/>
        <v>1309.6058678737611</v>
      </c>
      <c r="G8" s="14">
        <f t="shared" si="5"/>
        <v>1396.9129257320119</v>
      </c>
      <c r="H8" s="13">
        <f t="shared" si="5"/>
        <v>1490.0404541141461</v>
      </c>
      <c r="I8" s="14">
        <f t="shared" si="5"/>
        <v>1571.5270414485135</v>
      </c>
      <c r="J8" s="13">
        <f t="shared" si="5"/>
        <v>1676.2955108784142</v>
      </c>
      <c r="K8" s="14">
        <f t="shared" si="5"/>
        <v>1746.1411571650149</v>
      </c>
      <c r="L8" s="13">
        <f t="shared" si="5"/>
        <v>1862.5505676426824</v>
      </c>
      <c r="M8" s="15">
        <f t="shared" si="5"/>
        <v>1964.4088018106418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2.25" customHeight="1" x14ac:dyDescent="0.25">
      <c r="A9" s="11">
        <v>7</v>
      </c>
      <c r="B9" s="12">
        <f t="shared" ref="B9:M9" si="6">B8*2</f>
        <v>2095.3693885980178</v>
      </c>
      <c r="C9" s="13">
        <f t="shared" si="6"/>
        <v>2235.0606811712191</v>
      </c>
      <c r="D9" s="14">
        <f t="shared" si="6"/>
        <v>2328.1882095533533</v>
      </c>
      <c r="E9" s="13">
        <f t="shared" si="6"/>
        <v>2483.40075685691</v>
      </c>
      <c r="F9" s="14">
        <f t="shared" si="6"/>
        <v>2619.2117357475222</v>
      </c>
      <c r="G9" s="14">
        <f t="shared" si="6"/>
        <v>2793.8258514640238</v>
      </c>
      <c r="H9" s="13">
        <f t="shared" si="6"/>
        <v>2980.0809082282922</v>
      </c>
      <c r="I9" s="14">
        <f t="shared" si="6"/>
        <v>3143.054082897027</v>
      </c>
      <c r="J9" s="13">
        <f t="shared" si="6"/>
        <v>3352.5910217568285</v>
      </c>
      <c r="K9" s="14">
        <f t="shared" si="6"/>
        <v>3492.2823143300297</v>
      </c>
      <c r="L9" s="13">
        <f t="shared" si="6"/>
        <v>3725.1011352853648</v>
      </c>
      <c r="M9" s="15">
        <f t="shared" si="6"/>
        <v>3928.8176036212835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2.25" customHeight="1" x14ac:dyDescent="0.25">
      <c r="A10" s="11">
        <v>8</v>
      </c>
      <c r="B10" s="12">
        <f t="shared" ref="B10:M10" si="7">B9*2</f>
        <v>4190.7387771960357</v>
      </c>
      <c r="C10" s="13">
        <f t="shared" si="7"/>
        <v>4470.1213623424383</v>
      </c>
      <c r="D10" s="14">
        <f t="shared" si="7"/>
        <v>4656.3764191067066</v>
      </c>
      <c r="E10" s="13">
        <f t="shared" si="7"/>
        <v>4966.80151371382</v>
      </c>
      <c r="F10" s="14">
        <f t="shared" si="7"/>
        <v>5238.4234714950444</v>
      </c>
      <c r="G10" s="14">
        <f t="shared" si="7"/>
        <v>5587.6517029280476</v>
      </c>
      <c r="H10" s="13">
        <f t="shared" si="7"/>
        <v>5960.1618164565843</v>
      </c>
      <c r="I10" s="14">
        <f t="shared" si="7"/>
        <v>6286.108165794054</v>
      </c>
      <c r="J10" s="13">
        <f t="shared" si="7"/>
        <v>6705.1820435136569</v>
      </c>
      <c r="K10" s="14">
        <f t="shared" si="7"/>
        <v>6984.5646286600595</v>
      </c>
      <c r="L10" s="13">
        <f t="shared" si="7"/>
        <v>7450.2022705707295</v>
      </c>
      <c r="M10" s="15">
        <f t="shared" si="7"/>
        <v>7857.635207242567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2.25" customHeight="1" x14ac:dyDescent="0.25">
      <c r="A11" s="11">
        <v>9</v>
      </c>
      <c r="B11" s="12">
        <f t="shared" ref="B11:M11" si="8">B10*2</f>
        <v>8381.4775543920714</v>
      </c>
      <c r="C11" s="13">
        <f t="shared" si="8"/>
        <v>8940.2427246848765</v>
      </c>
      <c r="D11" s="14">
        <f t="shared" si="8"/>
        <v>9312.7528382134133</v>
      </c>
      <c r="E11" s="13">
        <f t="shared" si="8"/>
        <v>9933.60302742764</v>
      </c>
      <c r="F11" s="14">
        <f t="shared" si="8"/>
        <v>10476.846942990089</v>
      </c>
      <c r="G11" s="14">
        <f t="shared" si="8"/>
        <v>11175.303405856095</v>
      </c>
      <c r="H11" s="13">
        <f t="shared" si="8"/>
        <v>11920.323632913169</v>
      </c>
      <c r="I11" s="14">
        <f t="shared" si="8"/>
        <v>12572.216331588108</v>
      </c>
      <c r="J11" s="13">
        <f t="shared" si="8"/>
        <v>13410.364087027314</v>
      </c>
      <c r="K11" s="14">
        <f t="shared" si="8"/>
        <v>13969.129257320119</v>
      </c>
      <c r="L11" s="13">
        <f t="shared" si="8"/>
        <v>14900.404541141459</v>
      </c>
      <c r="M11" s="15">
        <f t="shared" si="8"/>
        <v>15715.270414485134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2.25" customHeight="1" x14ac:dyDescent="0.25">
      <c r="A12" s="18">
        <v>10</v>
      </c>
      <c r="B12" s="19">
        <f t="shared" ref="B12:M12" si="9">B11*2</f>
        <v>16762.955108784143</v>
      </c>
      <c r="C12" s="20">
        <f t="shared" si="9"/>
        <v>17880.485449369753</v>
      </c>
      <c r="D12" s="21">
        <f t="shared" si="9"/>
        <v>18625.505676426827</v>
      </c>
      <c r="E12" s="20">
        <f t="shared" si="9"/>
        <v>19867.20605485528</v>
      </c>
      <c r="F12" s="21">
        <f t="shared" si="9"/>
        <v>20953.693885980178</v>
      </c>
      <c r="G12" s="21">
        <f t="shared" si="9"/>
        <v>22350.60681171219</v>
      </c>
      <c r="H12" s="20">
        <f t="shared" si="9"/>
        <v>23840.647265826337</v>
      </c>
      <c r="I12" s="21">
        <f t="shared" si="9"/>
        <v>25144.432663176216</v>
      </c>
      <c r="J12" s="20">
        <f t="shared" si="9"/>
        <v>26820.728174054628</v>
      </c>
      <c r="K12" s="21">
        <f t="shared" si="9"/>
        <v>27938.258514640238</v>
      </c>
      <c r="L12" s="20">
        <f t="shared" si="9"/>
        <v>29800.809082282918</v>
      </c>
      <c r="M12" s="22">
        <f t="shared" si="9"/>
        <v>31430.540828970268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59" t="s">
        <v>20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26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26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2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16.333143165906208</v>
      </c>
      <c r="C2" s="8">
        <f t="shared" si="0"/>
        <v>17.226361932791704</v>
      </c>
      <c r="D2" s="9">
        <f t="shared" si="0"/>
        <v>18.374786061644485</v>
      </c>
      <c r="E2" s="8">
        <f t="shared" si="0"/>
        <v>19.599771799087449</v>
      </c>
      <c r="F2" s="9">
        <f t="shared" si="0"/>
        <v>20.41642895738276</v>
      </c>
      <c r="G2" s="9">
        <f t="shared" si="0"/>
        <v>21.777524221208274</v>
      </c>
      <c r="H2" s="8">
        <f t="shared" si="0"/>
        <v>22.968482577055603</v>
      </c>
      <c r="I2" s="9">
        <f t="shared" si="0"/>
        <v>24.499714748859311</v>
      </c>
      <c r="J2" s="8">
        <f t="shared" si="0"/>
        <v>26.133029065449932</v>
      </c>
      <c r="K2" s="9">
        <f t="shared" si="0"/>
        <v>27.562179092466724</v>
      </c>
      <c r="L2" s="8">
        <f t="shared" si="0"/>
        <v>29.399657698631174</v>
      </c>
      <c r="M2" s="10">
        <f t="shared" si="0"/>
        <v>30.624643436074138</v>
      </c>
    </row>
    <row r="3" spans="1:13" ht="32.25" customHeight="1" x14ac:dyDescent="0.25">
      <c r="A3" s="11">
        <v>1</v>
      </c>
      <c r="B3" s="12">
        <f t="shared" ref="B3:M3" si="1">B4/2</f>
        <v>32.666286331812415</v>
      </c>
      <c r="C3" s="13">
        <f t="shared" si="1"/>
        <v>34.452723865583408</v>
      </c>
      <c r="D3" s="14">
        <f t="shared" si="1"/>
        <v>36.749572123288971</v>
      </c>
      <c r="E3" s="13">
        <f t="shared" si="1"/>
        <v>39.199543598174898</v>
      </c>
      <c r="F3" s="14">
        <f t="shared" si="1"/>
        <v>40.832857914765519</v>
      </c>
      <c r="G3" s="14">
        <f t="shared" si="1"/>
        <v>43.555048442416549</v>
      </c>
      <c r="H3" s="13">
        <f t="shared" si="1"/>
        <v>45.936965154111206</v>
      </c>
      <c r="I3" s="14">
        <f t="shared" si="1"/>
        <v>48.999429497718623</v>
      </c>
      <c r="J3" s="13">
        <f t="shared" si="1"/>
        <v>52.266058130899864</v>
      </c>
      <c r="K3" s="14">
        <f t="shared" si="1"/>
        <v>55.124358184933449</v>
      </c>
      <c r="L3" s="13">
        <f t="shared" si="1"/>
        <v>58.799315397262347</v>
      </c>
      <c r="M3" s="15">
        <f t="shared" si="1"/>
        <v>61.249286872148275</v>
      </c>
    </row>
    <row r="4" spans="1:13" ht="32.25" customHeight="1" x14ac:dyDescent="0.25">
      <c r="A4" s="11">
        <v>2</v>
      </c>
      <c r="B4" s="12">
        <f t="shared" ref="B4:M4" si="2">B5/2</f>
        <v>65.332572663624831</v>
      </c>
      <c r="C4" s="13">
        <f t="shared" si="2"/>
        <v>68.905447731166817</v>
      </c>
      <c r="D4" s="14">
        <f t="shared" si="2"/>
        <v>73.499144246577941</v>
      </c>
      <c r="E4" s="13">
        <f t="shared" si="2"/>
        <v>78.399087196349797</v>
      </c>
      <c r="F4" s="14">
        <f t="shared" si="2"/>
        <v>81.665715829531038</v>
      </c>
      <c r="G4" s="14">
        <f t="shared" si="2"/>
        <v>87.110096884833098</v>
      </c>
      <c r="H4" s="13">
        <f t="shared" si="2"/>
        <v>91.873930308222413</v>
      </c>
      <c r="I4" s="14">
        <f t="shared" si="2"/>
        <v>97.998858995437246</v>
      </c>
      <c r="J4" s="13">
        <f t="shared" si="2"/>
        <v>104.53211626179973</v>
      </c>
      <c r="K4" s="14">
        <f t="shared" si="2"/>
        <v>110.2487163698669</v>
      </c>
      <c r="L4" s="13">
        <f t="shared" si="2"/>
        <v>117.59863079452469</v>
      </c>
      <c r="M4" s="15">
        <f t="shared" si="2"/>
        <v>122.49857374429655</v>
      </c>
    </row>
    <row r="5" spans="1:13" ht="32.25" customHeight="1" x14ac:dyDescent="0.25">
      <c r="A5" s="11">
        <v>3</v>
      </c>
      <c r="B5" s="12">
        <f t="shared" ref="B5:M5" si="3">B6/2</f>
        <v>130.66514532724966</v>
      </c>
      <c r="C5" s="13">
        <f t="shared" si="3"/>
        <v>137.81089546233363</v>
      </c>
      <c r="D5" s="14">
        <f t="shared" si="3"/>
        <v>146.99828849315588</v>
      </c>
      <c r="E5" s="13">
        <f t="shared" si="3"/>
        <v>156.79817439269959</v>
      </c>
      <c r="F5" s="14">
        <f t="shared" si="3"/>
        <v>163.33143165906208</v>
      </c>
      <c r="G5" s="14">
        <f t="shared" si="3"/>
        <v>174.2201937696662</v>
      </c>
      <c r="H5" s="13">
        <f t="shared" si="3"/>
        <v>183.74786061644483</v>
      </c>
      <c r="I5" s="14">
        <f t="shared" si="3"/>
        <v>195.99771799087449</v>
      </c>
      <c r="J5" s="13">
        <f t="shared" si="3"/>
        <v>209.06423252359946</v>
      </c>
      <c r="K5" s="14">
        <f t="shared" si="3"/>
        <v>220.4974327397338</v>
      </c>
      <c r="L5" s="13">
        <f t="shared" si="3"/>
        <v>235.19726158904939</v>
      </c>
      <c r="M5" s="15">
        <f t="shared" si="3"/>
        <v>244.9971474885931</v>
      </c>
    </row>
    <row r="6" spans="1:13" ht="32.25" customHeight="1" x14ac:dyDescent="0.25">
      <c r="A6" s="11">
        <v>4</v>
      </c>
      <c r="B6" s="12">
        <f>I6*(4/3)/2</f>
        <v>261.33029065449932</v>
      </c>
      <c r="C6" s="13">
        <f>I6*(45/32)/2</f>
        <v>275.62179092466727</v>
      </c>
      <c r="D6" s="14">
        <f>I6*(3/2)/2</f>
        <v>293.99657698631177</v>
      </c>
      <c r="E6" s="13">
        <f>I6*(8/5)/2</f>
        <v>313.59634878539919</v>
      </c>
      <c r="F6" s="14">
        <f>I6*(5/3)/2</f>
        <v>326.66286331812415</v>
      </c>
      <c r="G6" s="14">
        <f>I6*(16/9)/2</f>
        <v>348.44038753933239</v>
      </c>
      <c r="H6" s="13">
        <f>I6*(15/8)/2</f>
        <v>367.49572123288965</v>
      </c>
      <c r="I6" s="29">
        <v>391.99543598174898</v>
      </c>
      <c r="J6" s="13">
        <f>I6*(16/15)</f>
        <v>418.12846504719892</v>
      </c>
      <c r="K6" s="14">
        <f>I6*(9/8)</f>
        <v>440.99486547946759</v>
      </c>
      <c r="L6" s="13">
        <f>I6*(6/5)</f>
        <v>470.39452317809878</v>
      </c>
      <c r="M6" s="15">
        <f>I6*(5/4)</f>
        <v>489.9942949771862</v>
      </c>
    </row>
    <row r="7" spans="1:13" ht="32.25" customHeight="1" x14ac:dyDescent="0.25">
      <c r="A7" s="11">
        <v>5</v>
      </c>
      <c r="B7" s="12">
        <f t="shared" ref="B7:M7" si="4">B6*2</f>
        <v>522.66058130899864</v>
      </c>
      <c r="C7" s="13">
        <f t="shared" si="4"/>
        <v>551.24358184933453</v>
      </c>
      <c r="D7" s="14">
        <f t="shared" si="4"/>
        <v>587.99315397262353</v>
      </c>
      <c r="E7" s="13">
        <f t="shared" si="4"/>
        <v>627.19269757079837</v>
      </c>
      <c r="F7" s="14">
        <f t="shared" si="4"/>
        <v>653.32572663624831</v>
      </c>
      <c r="G7" s="14">
        <f t="shared" si="4"/>
        <v>696.88077507866478</v>
      </c>
      <c r="H7" s="13">
        <f t="shared" si="4"/>
        <v>734.9914424657793</v>
      </c>
      <c r="I7" s="14">
        <f t="shared" si="4"/>
        <v>783.99087196349797</v>
      </c>
      <c r="J7" s="13">
        <f t="shared" si="4"/>
        <v>836.25693009439783</v>
      </c>
      <c r="K7" s="14">
        <f t="shared" si="4"/>
        <v>881.98973095893518</v>
      </c>
      <c r="L7" s="13">
        <f t="shared" si="4"/>
        <v>940.78904635619756</v>
      </c>
      <c r="M7" s="15">
        <f t="shared" si="4"/>
        <v>979.9885899543724</v>
      </c>
    </row>
    <row r="8" spans="1:13" ht="32.25" customHeight="1" x14ac:dyDescent="0.25">
      <c r="A8" s="11">
        <v>6</v>
      </c>
      <c r="B8" s="12">
        <f t="shared" ref="B8:M8" si="5">B7*2</f>
        <v>1045.3211626179973</v>
      </c>
      <c r="C8" s="13">
        <f t="shared" si="5"/>
        <v>1102.4871636986691</v>
      </c>
      <c r="D8" s="14">
        <f t="shared" si="5"/>
        <v>1175.9863079452471</v>
      </c>
      <c r="E8" s="13">
        <f t="shared" si="5"/>
        <v>1254.3853951415967</v>
      </c>
      <c r="F8" s="14">
        <f t="shared" si="5"/>
        <v>1306.6514532724966</v>
      </c>
      <c r="G8" s="14">
        <f t="shared" si="5"/>
        <v>1393.7615501573296</v>
      </c>
      <c r="H8" s="13">
        <f t="shared" si="5"/>
        <v>1469.9828849315586</v>
      </c>
      <c r="I8" s="14">
        <f t="shared" si="5"/>
        <v>1567.9817439269959</v>
      </c>
      <c r="J8" s="13">
        <f t="shared" si="5"/>
        <v>1672.5138601887957</v>
      </c>
      <c r="K8" s="14">
        <f t="shared" si="5"/>
        <v>1763.9794619178704</v>
      </c>
      <c r="L8" s="13">
        <f t="shared" si="5"/>
        <v>1881.5780927123951</v>
      </c>
      <c r="M8" s="15">
        <f t="shared" si="5"/>
        <v>1959.9771799087448</v>
      </c>
    </row>
    <row r="9" spans="1:13" ht="32.25" customHeight="1" x14ac:dyDescent="0.25">
      <c r="A9" s="11">
        <v>7</v>
      </c>
      <c r="B9" s="12">
        <f t="shared" ref="B9:M9" si="6">B8*2</f>
        <v>2090.6423252359946</v>
      </c>
      <c r="C9" s="13">
        <f t="shared" si="6"/>
        <v>2204.9743273973381</v>
      </c>
      <c r="D9" s="14">
        <f t="shared" si="6"/>
        <v>2351.9726158904941</v>
      </c>
      <c r="E9" s="13">
        <f t="shared" si="6"/>
        <v>2508.7707902831935</v>
      </c>
      <c r="F9" s="14">
        <f t="shared" si="6"/>
        <v>2613.3029065449932</v>
      </c>
      <c r="G9" s="14">
        <f t="shared" si="6"/>
        <v>2787.5231003146591</v>
      </c>
      <c r="H9" s="13">
        <f t="shared" si="6"/>
        <v>2939.9657698631172</v>
      </c>
      <c r="I9" s="14">
        <f t="shared" si="6"/>
        <v>3135.9634878539919</v>
      </c>
      <c r="J9" s="13">
        <f t="shared" si="6"/>
        <v>3345.0277203775913</v>
      </c>
      <c r="K9" s="14">
        <f t="shared" si="6"/>
        <v>3527.9589238357407</v>
      </c>
      <c r="L9" s="13">
        <f t="shared" si="6"/>
        <v>3763.1561854247902</v>
      </c>
      <c r="M9" s="15">
        <f t="shared" si="6"/>
        <v>3919.9543598174896</v>
      </c>
    </row>
    <row r="10" spans="1:13" ht="32.25" customHeight="1" x14ac:dyDescent="0.25">
      <c r="A10" s="11">
        <v>8</v>
      </c>
      <c r="B10" s="12">
        <f t="shared" ref="B10:M10" si="7">B9*2</f>
        <v>4181.2846504719892</v>
      </c>
      <c r="C10" s="13">
        <f t="shared" si="7"/>
        <v>4409.9486547946763</v>
      </c>
      <c r="D10" s="14">
        <f t="shared" si="7"/>
        <v>4703.9452317809883</v>
      </c>
      <c r="E10" s="13">
        <f t="shared" si="7"/>
        <v>5017.541580566387</v>
      </c>
      <c r="F10" s="14">
        <f t="shared" si="7"/>
        <v>5226.6058130899864</v>
      </c>
      <c r="G10" s="14">
        <f t="shared" si="7"/>
        <v>5575.0462006293183</v>
      </c>
      <c r="H10" s="13">
        <f t="shared" si="7"/>
        <v>5879.9315397262344</v>
      </c>
      <c r="I10" s="14">
        <f t="shared" si="7"/>
        <v>6271.9269757079837</v>
      </c>
      <c r="J10" s="13">
        <f t="shared" si="7"/>
        <v>6690.0554407551826</v>
      </c>
      <c r="K10" s="14">
        <f t="shared" si="7"/>
        <v>7055.9178476714815</v>
      </c>
      <c r="L10" s="13">
        <f t="shared" si="7"/>
        <v>7526.3123708495805</v>
      </c>
      <c r="M10" s="15">
        <f t="shared" si="7"/>
        <v>7839.9087196349792</v>
      </c>
    </row>
    <row r="11" spans="1:13" ht="32.25" customHeight="1" x14ac:dyDescent="0.25">
      <c r="A11" s="11">
        <v>9</v>
      </c>
      <c r="B11" s="12">
        <f t="shared" ref="B11:M11" si="8">B10*2</f>
        <v>8362.5693009439783</v>
      </c>
      <c r="C11" s="13">
        <f t="shared" si="8"/>
        <v>8819.8973095893525</v>
      </c>
      <c r="D11" s="14">
        <f t="shared" si="8"/>
        <v>9407.8904635619765</v>
      </c>
      <c r="E11" s="13">
        <f t="shared" si="8"/>
        <v>10035.083161132774</v>
      </c>
      <c r="F11" s="14">
        <f t="shared" si="8"/>
        <v>10453.211626179973</v>
      </c>
      <c r="G11" s="14">
        <f t="shared" si="8"/>
        <v>11150.092401258637</v>
      </c>
      <c r="H11" s="13">
        <f t="shared" si="8"/>
        <v>11759.863079452469</v>
      </c>
      <c r="I11" s="14">
        <f t="shared" si="8"/>
        <v>12543.853951415967</v>
      </c>
      <c r="J11" s="13">
        <f t="shared" si="8"/>
        <v>13380.110881510365</v>
      </c>
      <c r="K11" s="14">
        <f t="shared" si="8"/>
        <v>14111.835695342963</v>
      </c>
      <c r="L11" s="13">
        <f t="shared" si="8"/>
        <v>15052.624741699161</v>
      </c>
      <c r="M11" s="15">
        <f t="shared" si="8"/>
        <v>15679.817439269958</v>
      </c>
    </row>
    <row r="12" spans="1:13" ht="32.25" customHeight="1" x14ac:dyDescent="0.25">
      <c r="A12" s="18">
        <v>10</v>
      </c>
      <c r="B12" s="19">
        <f t="shared" ref="B12:M12" si="9">B11*2</f>
        <v>16725.138601887957</v>
      </c>
      <c r="C12" s="20">
        <f t="shared" si="9"/>
        <v>17639.794619178705</v>
      </c>
      <c r="D12" s="21">
        <f t="shared" si="9"/>
        <v>18815.780927123953</v>
      </c>
      <c r="E12" s="20">
        <f t="shared" si="9"/>
        <v>20070.166322265548</v>
      </c>
      <c r="F12" s="21">
        <f t="shared" si="9"/>
        <v>20906.423252359946</v>
      </c>
      <c r="G12" s="21">
        <f t="shared" si="9"/>
        <v>22300.184802517273</v>
      </c>
      <c r="H12" s="20">
        <f t="shared" si="9"/>
        <v>23519.726158904938</v>
      </c>
      <c r="I12" s="21">
        <f t="shared" si="9"/>
        <v>25087.707902831935</v>
      </c>
      <c r="J12" s="20">
        <f t="shared" si="9"/>
        <v>26760.221763020731</v>
      </c>
      <c r="K12" s="21">
        <f t="shared" si="9"/>
        <v>28223.671390685926</v>
      </c>
      <c r="L12" s="20">
        <f t="shared" si="9"/>
        <v>30105.249483398322</v>
      </c>
      <c r="M12" s="22">
        <f t="shared" si="9"/>
        <v>31359.634878539917</v>
      </c>
    </row>
    <row r="13" spans="1:13" x14ac:dyDescent="0.25">
      <c r="A13" s="59" t="s">
        <v>21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7.28515625" defaultRowHeight="15" customHeight="1" x14ac:dyDescent="0.25"/>
  <cols>
    <col min="1" max="1" width="4.28515625" customWidth="1"/>
    <col min="2" max="13" width="15.7109375" customWidth="1"/>
    <col min="14" max="26" width="8.7109375" customWidth="1"/>
  </cols>
  <sheetData>
    <row r="1" spans="1:13" ht="32.25" customHeight="1" x14ac:dyDescent="0.25">
      <c r="A1" s="1"/>
      <c r="B1" s="2" t="s">
        <v>0</v>
      </c>
      <c r="C1" s="3" t="s">
        <v>1</v>
      </c>
      <c r="D1" s="4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</row>
    <row r="2" spans="1:13" ht="32.25" customHeight="1" x14ac:dyDescent="0.25">
      <c r="A2" s="11">
        <v>0</v>
      </c>
      <c r="B2" s="7">
        <f t="shared" ref="B2:M2" si="0">B3/2</f>
        <v>16.222839749216604</v>
      </c>
      <c r="C2" s="8">
        <f t="shared" si="0"/>
        <v>17.304362399164376</v>
      </c>
      <c r="D2" s="9">
        <f t="shared" si="0"/>
        <v>18.250694717868676</v>
      </c>
      <c r="E2" s="8">
        <f t="shared" si="0"/>
        <v>19.467407699059923</v>
      </c>
      <c r="F2" s="9">
        <f t="shared" si="0"/>
        <v>20.765234878997251</v>
      </c>
      <c r="G2" s="9">
        <f t="shared" si="0"/>
        <v>21.630452998955469</v>
      </c>
      <c r="H2" s="8">
        <f t="shared" si="0"/>
        <v>23.072483198885834</v>
      </c>
      <c r="I2" s="9">
        <f t="shared" si="0"/>
        <v>24.334259623824902</v>
      </c>
      <c r="J2" s="8">
        <f t="shared" si="0"/>
        <v>25.956543598746563</v>
      </c>
      <c r="K2" s="9">
        <f t="shared" si="0"/>
        <v>27.686979838662999</v>
      </c>
      <c r="L2" s="8">
        <f t="shared" si="0"/>
        <v>29.201111548589886</v>
      </c>
      <c r="M2" s="10">
        <f t="shared" si="0"/>
        <v>31.147852318495875</v>
      </c>
    </row>
    <row r="3" spans="1:13" ht="32.25" customHeight="1" x14ac:dyDescent="0.25">
      <c r="A3" s="11">
        <v>1</v>
      </c>
      <c r="B3" s="12">
        <f t="shared" ref="B3:M3" si="1">B4/2</f>
        <v>32.445679498433208</v>
      </c>
      <c r="C3" s="13">
        <f t="shared" si="1"/>
        <v>34.608724798328751</v>
      </c>
      <c r="D3" s="14">
        <f t="shared" si="1"/>
        <v>36.501389435737352</v>
      </c>
      <c r="E3" s="13">
        <f t="shared" si="1"/>
        <v>38.934815398119845</v>
      </c>
      <c r="F3" s="14">
        <f t="shared" si="1"/>
        <v>41.530469757994503</v>
      </c>
      <c r="G3" s="14">
        <f t="shared" si="1"/>
        <v>43.260905997910939</v>
      </c>
      <c r="H3" s="13">
        <f t="shared" si="1"/>
        <v>46.144966397771668</v>
      </c>
      <c r="I3" s="14">
        <f t="shared" si="1"/>
        <v>48.668519247649805</v>
      </c>
      <c r="J3" s="13">
        <f t="shared" si="1"/>
        <v>51.913087197493127</v>
      </c>
      <c r="K3" s="14">
        <f t="shared" si="1"/>
        <v>55.373959677325999</v>
      </c>
      <c r="L3" s="13">
        <f t="shared" si="1"/>
        <v>58.402223097179771</v>
      </c>
      <c r="M3" s="15">
        <f t="shared" si="1"/>
        <v>62.295704636991751</v>
      </c>
    </row>
    <row r="4" spans="1:13" ht="32.25" customHeight="1" x14ac:dyDescent="0.25">
      <c r="A4" s="11">
        <v>2</v>
      </c>
      <c r="B4" s="12">
        <f t="shared" ref="B4:M4" si="2">B5/2</f>
        <v>64.891358996866416</v>
      </c>
      <c r="C4" s="13">
        <f t="shared" si="2"/>
        <v>69.217449596657502</v>
      </c>
      <c r="D4" s="14">
        <f t="shared" si="2"/>
        <v>73.002778871474703</v>
      </c>
      <c r="E4" s="13">
        <f t="shared" si="2"/>
        <v>77.86963079623969</v>
      </c>
      <c r="F4" s="14">
        <f t="shared" si="2"/>
        <v>83.060939515989006</v>
      </c>
      <c r="G4" s="14">
        <f t="shared" si="2"/>
        <v>86.521811995821878</v>
      </c>
      <c r="H4" s="13">
        <f t="shared" si="2"/>
        <v>92.289932795543336</v>
      </c>
      <c r="I4" s="14">
        <f t="shared" si="2"/>
        <v>97.337038495299609</v>
      </c>
      <c r="J4" s="13">
        <f t="shared" si="2"/>
        <v>103.82617439498625</v>
      </c>
      <c r="K4" s="14">
        <f t="shared" si="2"/>
        <v>110.747919354652</v>
      </c>
      <c r="L4" s="13">
        <f t="shared" si="2"/>
        <v>116.80444619435954</v>
      </c>
      <c r="M4" s="15">
        <f t="shared" si="2"/>
        <v>124.5914092739835</v>
      </c>
    </row>
    <row r="5" spans="1:13" ht="32.25" customHeight="1" x14ac:dyDescent="0.25">
      <c r="A5" s="11">
        <v>3</v>
      </c>
      <c r="B5" s="12">
        <f t="shared" ref="B5:M5" si="3">B6/2</f>
        <v>129.78271799373283</v>
      </c>
      <c r="C5" s="13">
        <f t="shared" si="3"/>
        <v>138.434899193315</v>
      </c>
      <c r="D5" s="14">
        <f t="shared" si="3"/>
        <v>146.00555774294941</v>
      </c>
      <c r="E5" s="13">
        <f t="shared" si="3"/>
        <v>155.73926159247938</v>
      </c>
      <c r="F5" s="14">
        <f t="shared" si="3"/>
        <v>166.12187903197801</v>
      </c>
      <c r="G5" s="14">
        <f t="shared" si="3"/>
        <v>173.04362399164376</v>
      </c>
      <c r="H5" s="13">
        <f t="shared" si="3"/>
        <v>184.57986559108667</v>
      </c>
      <c r="I5" s="14">
        <f t="shared" si="3"/>
        <v>194.67407699059922</v>
      </c>
      <c r="J5" s="13">
        <f t="shared" si="3"/>
        <v>207.65234878997251</v>
      </c>
      <c r="K5" s="14">
        <f t="shared" si="3"/>
        <v>221.495838709304</v>
      </c>
      <c r="L5" s="13">
        <f t="shared" si="3"/>
        <v>233.60889238871908</v>
      </c>
      <c r="M5" s="15">
        <f t="shared" si="3"/>
        <v>249.182818547967</v>
      </c>
    </row>
    <row r="6" spans="1:13" ht="32.25" customHeight="1" x14ac:dyDescent="0.25">
      <c r="A6" s="11">
        <v>4</v>
      </c>
      <c r="B6" s="12">
        <f>J6*(5/4)/2</f>
        <v>259.56543598746566</v>
      </c>
      <c r="C6" s="13">
        <f>J6*(4/3)/2</f>
        <v>276.86979838663001</v>
      </c>
      <c r="D6" s="14">
        <f>J6*(45/32)/2</f>
        <v>292.01111548589881</v>
      </c>
      <c r="E6" s="13">
        <f>J6*(3/2)/2</f>
        <v>311.47852318495876</v>
      </c>
      <c r="F6" s="14">
        <f>J6*(8/5)/2</f>
        <v>332.24375806395602</v>
      </c>
      <c r="G6" s="14">
        <f>J6*(5/3)/2</f>
        <v>346.08724798328751</v>
      </c>
      <c r="H6" s="13">
        <f>J6*(16/9)/2</f>
        <v>369.15973118217335</v>
      </c>
      <c r="I6" s="14">
        <f>J6*(15/8)/2</f>
        <v>389.34815398119844</v>
      </c>
      <c r="J6" s="29">
        <v>415.30469757994501</v>
      </c>
      <c r="K6" s="14">
        <f>J6*(16/15)</f>
        <v>442.99167741860799</v>
      </c>
      <c r="L6" s="13">
        <f>J6*(9/8)</f>
        <v>467.21778477743817</v>
      </c>
      <c r="M6" s="15">
        <f>J6*(6/5)</f>
        <v>498.36563709593401</v>
      </c>
    </row>
    <row r="7" spans="1:13" ht="32.25" customHeight="1" x14ac:dyDescent="0.25">
      <c r="A7" s="11">
        <v>5</v>
      </c>
      <c r="B7" s="12">
        <f t="shared" ref="B7:M7" si="4">B6*2</f>
        <v>519.13087197493132</v>
      </c>
      <c r="C7" s="13">
        <f t="shared" si="4"/>
        <v>553.73959677326002</v>
      </c>
      <c r="D7" s="14">
        <f t="shared" si="4"/>
        <v>584.02223097179763</v>
      </c>
      <c r="E7" s="13">
        <f t="shared" si="4"/>
        <v>622.95704636991752</v>
      </c>
      <c r="F7" s="14">
        <f t="shared" si="4"/>
        <v>664.48751612791204</v>
      </c>
      <c r="G7" s="14">
        <f t="shared" si="4"/>
        <v>692.17449596657502</v>
      </c>
      <c r="H7" s="13">
        <f t="shared" si="4"/>
        <v>738.31946236434669</v>
      </c>
      <c r="I7" s="14">
        <f t="shared" si="4"/>
        <v>778.69630796239687</v>
      </c>
      <c r="J7" s="13">
        <f t="shared" si="4"/>
        <v>830.60939515989003</v>
      </c>
      <c r="K7" s="14">
        <f t="shared" si="4"/>
        <v>885.98335483721598</v>
      </c>
      <c r="L7" s="13">
        <f t="shared" si="4"/>
        <v>934.43556955487634</v>
      </c>
      <c r="M7" s="15">
        <f t="shared" si="4"/>
        <v>996.73127419186801</v>
      </c>
    </row>
    <row r="8" spans="1:13" ht="32.25" customHeight="1" x14ac:dyDescent="0.25">
      <c r="A8" s="11">
        <v>6</v>
      </c>
      <c r="B8" s="12">
        <f t="shared" ref="B8:M8" si="5">B7*2</f>
        <v>1038.2617439498626</v>
      </c>
      <c r="C8" s="13">
        <f t="shared" si="5"/>
        <v>1107.47919354652</v>
      </c>
      <c r="D8" s="14">
        <f t="shared" si="5"/>
        <v>1168.0444619435953</v>
      </c>
      <c r="E8" s="13">
        <f t="shared" si="5"/>
        <v>1245.914092739835</v>
      </c>
      <c r="F8" s="14">
        <f t="shared" si="5"/>
        <v>1328.9750322558241</v>
      </c>
      <c r="G8" s="14">
        <f t="shared" si="5"/>
        <v>1384.34899193315</v>
      </c>
      <c r="H8" s="13">
        <f t="shared" si="5"/>
        <v>1476.6389247286934</v>
      </c>
      <c r="I8" s="14">
        <f t="shared" si="5"/>
        <v>1557.3926159247937</v>
      </c>
      <c r="J8" s="13">
        <f t="shared" si="5"/>
        <v>1661.2187903197801</v>
      </c>
      <c r="K8" s="14">
        <f t="shared" si="5"/>
        <v>1771.966709674432</v>
      </c>
      <c r="L8" s="13">
        <f t="shared" si="5"/>
        <v>1868.8711391097527</v>
      </c>
      <c r="M8" s="15">
        <f t="shared" si="5"/>
        <v>1993.462548383736</v>
      </c>
    </row>
    <row r="9" spans="1:13" ht="32.25" customHeight="1" x14ac:dyDescent="0.25">
      <c r="A9" s="11">
        <v>7</v>
      </c>
      <c r="B9" s="12">
        <f t="shared" ref="B9:M9" si="6">B8*2</f>
        <v>2076.5234878997253</v>
      </c>
      <c r="C9" s="13">
        <f t="shared" si="6"/>
        <v>2214.9583870930401</v>
      </c>
      <c r="D9" s="14">
        <f t="shared" si="6"/>
        <v>2336.0889238871905</v>
      </c>
      <c r="E9" s="13">
        <f t="shared" si="6"/>
        <v>2491.8281854796701</v>
      </c>
      <c r="F9" s="14">
        <f t="shared" si="6"/>
        <v>2657.9500645116482</v>
      </c>
      <c r="G9" s="14">
        <f t="shared" si="6"/>
        <v>2768.6979838663001</v>
      </c>
      <c r="H9" s="13">
        <f t="shared" si="6"/>
        <v>2953.2778494573868</v>
      </c>
      <c r="I9" s="14">
        <f t="shared" si="6"/>
        <v>3114.7852318495875</v>
      </c>
      <c r="J9" s="13">
        <f t="shared" si="6"/>
        <v>3322.4375806395601</v>
      </c>
      <c r="K9" s="14">
        <f t="shared" si="6"/>
        <v>3543.9334193488639</v>
      </c>
      <c r="L9" s="13">
        <f t="shared" si="6"/>
        <v>3737.7422782195054</v>
      </c>
      <c r="M9" s="15">
        <f t="shared" si="6"/>
        <v>3986.925096767472</v>
      </c>
    </row>
    <row r="10" spans="1:13" ht="32.25" customHeight="1" x14ac:dyDescent="0.25">
      <c r="A10" s="11">
        <v>8</v>
      </c>
      <c r="B10" s="12">
        <f t="shared" ref="B10:M10" si="7">B9*2</f>
        <v>4153.0469757994506</v>
      </c>
      <c r="C10" s="13">
        <f t="shared" si="7"/>
        <v>4429.9167741860801</v>
      </c>
      <c r="D10" s="14">
        <f t="shared" si="7"/>
        <v>4672.177847774381</v>
      </c>
      <c r="E10" s="13">
        <f t="shared" si="7"/>
        <v>4983.6563709593402</v>
      </c>
      <c r="F10" s="14">
        <f t="shared" si="7"/>
        <v>5315.9001290232964</v>
      </c>
      <c r="G10" s="14">
        <f t="shared" si="7"/>
        <v>5537.3959677326002</v>
      </c>
      <c r="H10" s="13">
        <f t="shared" si="7"/>
        <v>5906.5556989147735</v>
      </c>
      <c r="I10" s="14">
        <f t="shared" si="7"/>
        <v>6229.570463699175</v>
      </c>
      <c r="J10" s="13">
        <f t="shared" si="7"/>
        <v>6644.8751612791202</v>
      </c>
      <c r="K10" s="14">
        <f t="shared" si="7"/>
        <v>7087.8668386977279</v>
      </c>
      <c r="L10" s="13">
        <f t="shared" si="7"/>
        <v>7475.4845564390107</v>
      </c>
      <c r="M10" s="15">
        <f t="shared" si="7"/>
        <v>7973.8501935349441</v>
      </c>
    </row>
    <row r="11" spans="1:13" ht="32.25" customHeight="1" x14ac:dyDescent="0.25">
      <c r="A11" s="11">
        <v>9</v>
      </c>
      <c r="B11" s="12">
        <f t="shared" ref="B11:M11" si="8">B10*2</f>
        <v>8306.0939515989012</v>
      </c>
      <c r="C11" s="13">
        <f t="shared" si="8"/>
        <v>8859.8335483721603</v>
      </c>
      <c r="D11" s="14">
        <f t="shared" si="8"/>
        <v>9344.355695548762</v>
      </c>
      <c r="E11" s="13">
        <f t="shared" si="8"/>
        <v>9967.3127419186803</v>
      </c>
      <c r="F11" s="14">
        <f t="shared" si="8"/>
        <v>10631.800258046593</v>
      </c>
      <c r="G11" s="14">
        <f t="shared" si="8"/>
        <v>11074.7919354652</v>
      </c>
      <c r="H11" s="13">
        <f t="shared" si="8"/>
        <v>11813.111397829547</v>
      </c>
      <c r="I11" s="14">
        <f t="shared" si="8"/>
        <v>12459.14092739835</v>
      </c>
      <c r="J11" s="13">
        <f t="shared" si="8"/>
        <v>13289.75032255824</v>
      </c>
      <c r="K11" s="14">
        <f t="shared" si="8"/>
        <v>14175.733677395456</v>
      </c>
      <c r="L11" s="13">
        <f t="shared" si="8"/>
        <v>14950.969112878021</v>
      </c>
      <c r="M11" s="15">
        <f t="shared" si="8"/>
        <v>15947.700387069888</v>
      </c>
    </row>
    <row r="12" spans="1:13" ht="32.25" customHeight="1" x14ac:dyDescent="0.25">
      <c r="A12" s="18">
        <v>10</v>
      </c>
      <c r="B12" s="19">
        <f t="shared" ref="B12:M12" si="9">B11*2</f>
        <v>16612.187903197802</v>
      </c>
      <c r="C12" s="20">
        <f t="shared" si="9"/>
        <v>17719.667096744321</v>
      </c>
      <c r="D12" s="21">
        <f t="shared" si="9"/>
        <v>18688.711391097524</v>
      </c>
      <c r="E12" s="20">
        <f t="shared" si="9"/>
        <v>19934.625483837361</v>
      </c>
      <c r="F12" s="21">
        <f t="shared" si="9"/>
        <v>21263.600516093185</v>
      </c>
      <c r="G12" s="21">
        <f t="shared" si="9"/>
        <v>22149.583870930401</v>
      </c>
      <c r="H12" s="20">
        <f t="shared" si="9"/>
        <v>23626.222795659094</v>
      </c>
      <c r="I12" s="21">
        <f t="shared" si="9"/>
        <v>24918.2818547967</v>
      </c>
      <c r="J12" s="20">
        <f t="shared" si="9"/>
        <v>26579.500645116481</v>
      </c>
      <c r="K12" s="21">
        <f t="shared" si="9"/>
        <v>28351.467354790911</v>
      </c>
      <c r="L12" s="20">
        <f t="shared" si="9"/>
        <v>29901.938225756043</v>
      </c>
      <c r="M12" s="22">
        <f t="shared" si="9"/>
        <v>31895.400774139776</v>
      </c>
    </row>
    <row r="13" spans="1:13" x14ac:dyDescent="0.25">
      <c r="A13" s="59" t="s">
        <v>22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1:13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</row>
    <row r="15" spans="1:13" x14ac:dyDescent="0.25">
      <c r="A15" s="65" t="s">
        <v>13</v>
      </c>
      <c r="B15" s="66"/>
      <c r="C15" s="66"/>
      <c r="D15" s="66"/>
      <c r="E15" s="66"/>
      <c r="F15" s="67"/>
      <c r="G15" s="30"/>
      <c r="H15" s="30"/>
      <c r="I15" s="30"/>
      <c r="J15" s="30"/>
      <c r="K15" s="30"/>
      <c r="L15" s="30"/>
      <c r="M15" s="30"/>
    </row>
    <row r="16" spans="1:13" x14ac:dyDescent="0.25">
      <c r="A16" s="23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x14ac:dyDescent="0.25">
      <c r="A17" s="23"/>
      <c r="B17" s="68" t="s">
        <v>14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x14ac:dyDescent="0.25">
      <c r="A18" s="23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23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x14ac:dyDescent="0.25">
      <c r="A20" s="23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 x14ac:dyDescent="0.25">
      <c r="A21" s="23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x14ac:dyDescent="0.25">
      <c r="A22" s="23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 x14ac:dyDescent="0.25">
      <c r="A23" s="23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 x14ac:dyDescent="0.25">
      <c r="A24" s="23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x14ac:dyDescent="0.25">
      <c r="A25" s="23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x14ac:dyDescent="0.25">
      <c r="A26" s="23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3" x14ac:dyDescent="0.25">
      <c r="A27" s="23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3" x14ac:dyDescent="0.25">
      <c r="A28" s="23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x14ac:dyDescent="0.25">
      <c r="A29" s="23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 x14ac:dyDescent="0.25">
      <c r="A30" s="23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3" x14ac:dyDescent="0.25">
      <c r="A31" s="23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 x14ac:dyDescent="0.25">
      <c r="A32" s="23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1:13" x14ac:dyDescent="0.25">
      <c r="A33" s="23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 x14ac:dyDescent="0.25">
      <c r="A34" s="23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3" x14ac:dyDescent="0.25">
      <c r="A35" s="23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1:13" x14ac:dyDescent="0.25">
      <c r="A36" s="23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x14ac:dyDescent="0.25">
      <c r="A37" s="23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x14ac:dyDescent="0.25">
      <c r="A38" s="23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 spans="1:13" x14ac:dyDescent="0.25">
      <c r="A39" s="23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x14ac:dyDescent="0.25">
      <c r="A40" s="23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</row>
    <row r="41" spans="1:13" x14ac:dyDescent="0.25">
      <c r="A41" s="23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 spans="1:13" x14ac:dyDescent="0.25">
      <c r="A42" s="23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1:13" x14ac:dyDescent="0.25">
      <c r="A43" s="23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1:13" x14ac:dyDescent="0.25">
      <c r="A44" s="23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 x14ac:dyDescent="0.25">
      <c r="A45" s="23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6" spans="1:13" x14ac:dyDescent="0.25">
      <c r="A46" s="23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1:13" x14ac:dyDescent="0.25">
      <c r="A47" s="23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1:13" x14ac:dyDescent="0.25">
      <c r="A48" s="23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1:13" x14ac:dyDescent="0.25">
      <c r="A49" s="23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13" x14ac:dyDescent="0.25">
      <c r="A50" s="23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1:13" x14ac:dyDescent="0.25">
      <c r="A51" s="23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1:13" x14ac:dyDescent="0.25">
      <c r="A52" s="23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 spans="1:13" x14ac:dyDescent="0.25">
      <c r="A53" s="2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x14ac:dyDescent="0.25">
      <c r="A54" s="2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13" x14ac:dyDescent="0.25">
      <c r="A55" s="2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spans="1:13" x14ac:dyDescent="0.25">
      <c r="A56" s="2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spans="1:13" x14ac:dyDescent="0.25">
      <c r="A57" s="2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 x14ac:dyDescent="0.25">
      <c r="A58" s="2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</row>
    <row r="59" spans="1:13" x14ac:dyDescent="0.25">
      <c r="A59" s="2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1:13" x14ac:dyDescent="0.25">
      <c r="A60" s="2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1:13" x14ac:dyDescent="0.25">
      <c r="A61" s="2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 spans="1:13" x14ac:dyDescent="0.25">
      <c r="A62" s="2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3" x14ac:dyDescent="0.25">
      <c r="A63" s="2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x14ac:dyDescent="0.25">
      <c r="A64" s="2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x14ac:dyDescent="0.25">
      <c r="A65" s="2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x14ac:dyDescent="0.25">
      <c r="A66" s="2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1:13" x14ac:dyDescent="0.25">
      <c r="A67" s="2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x14ac:dyDescent="0.25">
      <c r="A68" s="2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x14ac:dyDescent="0.25">
      <c r="A69" s="2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13" x14ac:dyDescent="0.25">
      <c r="A70" s="2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 spans="1:13" x14ac:dyDescent="0.25">
      <c r="A71" s="2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13" x14ac:dyDescent="0.25">
      <c r="A72" s="2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1:13" x14ac:dyDescent="0.25">
      <c r="A73" s="2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1:13" x14ac:dyDescent="0.25">
      <c r="A74" s="23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1:13" x14ac:dyDescent="0.25">
      <c r="A75" s="2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1:13" x14ac:dyDescent="0.25">
      <c r="A76" s="2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1:13" x14ac:dyDescent="0.25">
      <c r="A77" s="23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 spans="1:13" x14ac:dyDescent="0.25">
      <c r="A78" s="2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1:13" x14ac:dyDescent="0.25">
      <c r="A79" s="2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 spans="1:13" x14ac:dyDescent="0.25">
      <c r="A80" s="23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1:13" x14ac:dyDescent="0.25">
      <c r="A81" s="23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2" spans="1:13" x14ac:dyDescent="0.25">
      <c r="A82" s="23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</row>
    <row r="83" spans="1:13" x14ac:dyDescent="0.25">
      <c r="A83" s="23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</row>
    <row r="84" spans="1:13" x14ac:dyDescent="0.25">
      <c r="A84" s="2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</row>
    <row r="85" spans="1:13" x14ac:dyDescent="0.25">
      <c r="A85" s="23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</row>
    <row r="86" spans="1:13" x14ac:dyDescent="0.25">
      <c r="A86" s="23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7" spans="1:13" x14ac:dyDescent="0.25">
      <c r="A87" s="23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x14ac:dyDescent="0.25">
      <c r="A88" s="23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</row>
    <row r="89" spans="1:13" x14ac:dyDescent="0.25">
      <c r="A89" s="2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 spans="1:13" x14ac:dyDescent="0.25">
      <c r="A90" s="23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 spans="1:13" x14ac:dyDescent="0.25">
      <c r="A91" s="23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 spans="1:13" x14ac:dyDescent="0.25">
      <c r="A92" s="23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</row>
    <row r="93" spans="1:13" x14ac:dyDescent="0.25">
      <c r="A93" s="23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 spans="1:13" x14ac:dyDescent="0.25">
      <c r="A94" s="2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1:13" x14ac:dyDescent="0.25">
      <c r="A95" s="2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</row>
    <row r="96" spans="1:13" x14ac:dyDescent="0.25">
      <c r="A96" s="2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x14ac:dyDescent="0.25">
      <c r="A97" s="2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</row>
    <row r="98" spans="1:13" x14ac:dyDescent="0.25">
      <c r="A98" s="2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</row>
    <row r="99" spans="1:13" x14ac:dyDescent="0.25">
      <c r="A99" s="2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</row>
    <row r="100" spans="1:13" x14ac:dyDescent="0.25">
      <c r="A100" s="2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</row>
    <row r="101" spans="1:13" x14ac:dyDescent="0.25">
      <c r="A101" s="2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</row>
    <row r="102" spans="1:13" x14ac:dyDescent="0.25">
      <c r="A102" s="2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1:13" x14ac:dyDescent="0.25">
      <c r="A103" s="2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</row>
    <row r="104" spans="1:13" x14ac:dyDescent="0.25">
      <c r="A104" s="2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</row>
    <row r="105" spans="1:13" x14ac:dyDescent="0.25">
      <c r="A105" s="2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1:13" x14ac:dyDescent="0.25">
      <c r="A106" s="23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x14ac:dyDescent="0.25">
      <c r="A107" s="23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</row>
    <row r="108" spans="1:13" x14ac:dyDescent="0.25">
      <c r="A108" s="23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x14ac:dyDescent="0.25">
      <c r="A109" s="2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x14ac:dyDescent="0.25">
      <c r="A110" s="23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</row>
    <row r="111" spans="1:13" x14ac:dyDescent="0.25">
      <c r="A111" s="23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2" spans="1:13" x14ac:dyDescent="0.25">
      <c r="A112" s="23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1:13" x14ac:dyDescent="0.25">
      <c r="A113" s="23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x14ac:dyDescent="0.25">
      <c r="A114" s="23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1:13" x14ac:dyDescent="0.25">
      <c r="A115" s="23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</row>
    <row r="116" spans="1:13" x14ac:dyDescent="0.25">
      <c r="A116" s="23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</row>
    <row r="117" spans="1:13" x14ac:dyDescent="0.25">
      <c r="A117" s="23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1:13" x14ac:dyDescent="0.25">
      <c r="A118" s="23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x14ac:dyDescent="0.25">
      <c r="A119" s="23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</row>
    <row r="120" spans="1:13" x14ac:dyDescent="0.25">
      <c r="A120" s="23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</row>
    <row r="121" spans="1:13" x14ac:dyDescent="0.25">
      <c r="A121" s="23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x14ac:dyDescent="0.25">
      <c r="A122" s="23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1:13" x14ac:dyDescent="0.25">
      <c r="A123" s="23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x14ac:dyDescent="0.25">
      <c r="A124" s="23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x14ac:dyDescent="0.25">
      <c r="A125" s="23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1:13" x14ac:dyDescent="0.25">
      <c r="A126" s="23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 spans="1:13" x14ac:dyDescent="0.25">
      <c r="A127" s="23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x14ac:dyDescent="0.25">
      <c r="A128" s="2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1:13" x14ac:dyDescent="0.25">
      <c r="A129" s="23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1:13" x14ac:dyDescent="0.25">
      <c r="A130" s="23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x14ac:dyDescent="0.25">
      <c r="A131" s="23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1:13" x14ac:dyDescent="0.25">
      <c r="A132" s="2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</row>
    <row r="133" spans="1:13" x14ac:dyDescent="0.25">
      <c r="A133" s="23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</row>
    <row r="134" spans="1:13" x14ac:dyDescent="0.25">
      <c r="A134" s="23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 spans="1:13" x14ac:dyDescent="0.25">
      <c r="A135" s="23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</row>
    <row r="136" spans="1:13" x14ac:dyDescent="0.25">
      <c r="A136" s="23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</row>
    <row r="137" spans="1:13" x14ac:dyDescent="0.25">
      <c r="A137" s="23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</row>
    <row r="138" spans="1:13" x14ac:dyDescent="0.25">
      <c r="A138" s="23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1:13" x14ac:dyDescent="0.25">
      <c r="A139" s="23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 spans="1:13" x14ac:dyDescent="0.25">
      <c r="A140" s="23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 spans="1:13" x14ac:dyDescent="0.25">
      <c r="A141" s="23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1:13" x14ac:dyDescent="0.25">
      <c r="A142" s="23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3" x14ac:dyDescent="0.25">
      <c r="A143" s="23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 spans="1:13" x14ac:dyDescent="0.25">
      <c r="A144" s="23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 spans="1:13" x14ac:dyDescent="0.25">
      <c r="A145" s="23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1:13" x14ac:dyDescent="0.25">
      <c r="A146" s="23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1:13" x14ac:dyDescent="0.25">
      <c r="A147" s="23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 spans="1:13" x14ac:dyDescent="0.25">
      <c r="A148" s="23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</row>
    <row r="149" spans="1:13" x14ac:dyDescent="0.25">
      <c r="A149" s="23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  <row r="150" spans="1:13" x14ac:dyDescent="0.25">
      <c r="A150" s="23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</row>
    <row r="151" spans="1:13" x14ac:dyDescent="0.25">
      <c r="A151" s="23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 spans="1:13" x14ac:dyDescent="0.25">
      <c r="A152" s="23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</row>
    <row r="153" spans="1:13" x14ac:dyDescent="0.25">
      <c r="A153" s="23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 spans="1:13" x14ac:dyDescent="0.25">
      <c r="A154" s="2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 spans="1:13" x14ac:dyDescent="0.25">
      <c r="A155" s="23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  <row r="156" spans="1:13" x14ac:dyDescent="0.25">
      <c r="A156" s="23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</row>
    <row r="157" spans="1:13" x14ac:dyDescent="0.25">
      <c r="A157" s="23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</row>
    <row r="158" spans="1:13" x14ac:dyDescent="0.25">
      <c r="A158" s="23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</row>
    <row r="159" spans="1:13" x14ac:dyDescent="0.25">
      <c r="A159" s="2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 spans="1:13" x14ac:dyDescent="0.25">
      <c r="A160" s="23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</row>
    <row r="161" spans="1:13" x14ac:dyDescent="0.25">
      <c r="A161" s="23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1:13" x14ac:dyDescent="0.25">
      <c r="A162" s="23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</row>
    <row r="163" spans="1:13" x14ac:dyDescent="0.25">
      <c r="A163" s="23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</row>
    <row r="164" spans="1:13" x14ac:dyDescent="0.25">
      <c r="A164" s="23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</row>
    <row r="165" spans="1:13" x14ac:dyDescent="0.25">
      <c r="A165" s="23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</row>
    <row r="166" spans="1:13" x14ac:dyDescent="0.25">
      <c r="A166" s="23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</row>
    <row r="167" spans="1:13" x14ac:dyDescent="0.25">
      <c r="A167" s="23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</row>
    <row r="168" spans="1:13" x14ac:dyDescent="0.25">
      <c r="A168" s="23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</row>
    <row r="169" spans="1:13" x14ac:dyDescent="0.25">
      <c r="A169" s="23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</row>
    <row r="170" spans="1:13" x14ac:dyDescent="0.25">
      <c r="A170" s="23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</row>
    <row r="171" spans="1:13" x14ac:dyDescent="0.25">
      <c r="A171" s="23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 spans="1:13" x14ac:dyDescent="0.25">
      <c r="A172" s="23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</row>
    <row r="173" spans="1:13" x14ac:dyDescent="0.25">
      <c r="A173" s="2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</row>
    <row r="174" spans="1:13" x14ac:dyDescent="0.25">
      <c r="A174" s="23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</row>
    <row r="175" spans="1:13" x14ac:dyDescent="0.25">
      <c r="A175" s="23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</row>
    <row r="176" spans="1:13" x14ac:dyDescent="0.25">
      <c r="A176" s="23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</row>
    <row r="177" spans="1:13" x14ac:dyDescent="0.25">
      <c r="A177" s="23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</row>
    <row r="178" spans="1:13" x14ac:dyDescent="0.25">
      <c r="A178" s="23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</row>
    <row r="179" spans="1:13" x14ac:dyDescent="0.25">
      <c r="A179" s="23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</row>
    <row r="180" spans="1:13" x14ac:dyDescent="0.25">
      <c r="A180" s="23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</row>
    <row r="181" spans="1:13" x14ac:dyDescent="0.25">
      <c r="A181" s="23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 spans="1:13" x14ac:dyDescent="0.25">
      <c r="A182" s="23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</row>
    <row r="183" spans="1:13" x14ac:dyDescent="0.25">
      <c r="A183" s="23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</row>
    <row r="184" spans="1:13" x14ac:dyDescent="0.25">
      <c r="A184" s="23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</row>
    <row r="185" spans="1:13" x14ac:dyDescent="0.25">
      <c r="A185" s="23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</row>
    <row r="186" spans="1:13" x14ac:dyDescent="0.25">
      <c r="A186" s="2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</row>
    <row r="187" spans="1:13" x14ac:dyDescent="0.25">
      <c r="A187" s="23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</row>
    <row r="188" spans="1:13" x14ac:dyDescent="0.25">
      <c r="A188" s="2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</row>
    <row r="189" spans="1:13" x14ac:dyDescent="0.25">
      <c r="A189" s="23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</row>
    <row r="190" spans="1:13" x14ac:dyDescent="0.25">
      <c r="A190" s="23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</row>
    <row r="191" spans="1:13" x14ac:dyDescent="0.25">
      <c r="A191" s="23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1:13" x14ac:dyDescent="0.25">
      <c r="A192" s="23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</row>
    <row r="193" spans="1:13" x14ac:dyDescent="0.25">
      <c r="A193" s="2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</row>
    <row r="194" spans="1:13" x14ac:dyDescent="0.25">
      <c r="A194" s="23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</row>
    <row r="195" spans="1:13" x14ac:dyDescent="0.25">
      <c r="A195" s="23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</row>
    <row r="196" spans="1:13" x14ac:dyDescent="0.25">
      <c r="A196" s="23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</row>
    <row r="197" spans="1:13" x14ac:dyDescent="0.25">
      <c r="A197" s="23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</row>
    <row r="198" spans="1:13" x14ac:dyDescent="0.25">
      <c r="A198" s="23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</row>
    <row r="199" spans="1:13" x14ac:dyDescent="0.25">
      <c r="A199" s="23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</row>
    <row r="200" spans="1:13" x14ac:dyDescent="0.25">
      <c r="A200" s="23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</row>
    <row r="201" spans="1:13" x14ac:dyDescent="0.25">
      <c r="A201" s="23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1:13" x14ac:dyDescent="0.25">
      <c r="A202" s="23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</row>
    <row r="203" spans="1:13" x14ac:dyDescent="0.25">
      <c r="A203" s="23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</row>
    <row r="204" spans="1:13" x14ac:dyDescent="0.25">
      <c r="A204" s="23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</row>
    <row r="205" spans="1:13" x14ac:dyDescent="0.25">
      <c r="A205" s="23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</row>
    <row r="206" spans="1:13" x14ac:dyDescent="0.25">
      <c r="A206" s="23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</row>
    <row r="207" spans="1:13" x14ac:dyDescent="0.25">
      <c r="A207" s="23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</row>
    <row r="208" spans="1:13" x14ac:dyDescent="0.25">
      <c r="A208" s="23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</row>
    <row r="209" spans="1:13" x14ac:dyDescent="0.25">
      <c r="A209" s="23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</row>
    <row r="210" spans="1:13" x14ac:dyDescent="0.25">
      <c r="A210" s="23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</row>
    <row r="211" spans="1:13" x14ac:dyDescent="0.25">
      <c r="A211" s="23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1:13" x14ac:dyDescent="0.25">
      <c r="A212" s="2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</row>
    <row r="213" spans="1:13" x14ac:dyDescent="0.25">
      <c r="A213" s="23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</row>
    <row r="214" spans="1:13" x14ac:dyDescent="0.25">
      <c r="A214" s="23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</row>
    <row r="215" spans="1:13" x14ac:dyDescent="0.25">
      <c r="A215" s="23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</row>
    <row r="216" spans="1:13" x14ac:dyDescent="0.25">
      <c r="A216" s="23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</row>
    <row r="217" spans="1:13" x14ac:dyDescent="0.25">
      <c r="A217" s="23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</row>
    <row r="218" spans="1:13" x14ac:dyDescent="0.25">
      <c r="A218" s="23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</row>
    <row r="219" spans="1:13" x14ac:dyDescent="0.25">
      <c r="A219" s="23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</row>
    <row r="220" spans="1:13" x14ac:dyDescent="0.25">
      <c r="A220" s="23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</row>
    <row r="221" spans="1:13" x14ac:dyDescent="0.25">
      <c r="A221" s="23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1:13" x14ac:dyDescent="0.25">
      <c r="A222" s="23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1:13" x14ac:dyDescent="0.25">
      <c r="A223" s="23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1:13" x14ac:dyDescent="0.25">
      <c r="A224" s="23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1:13" x14ac:dyDescent="0.25">
      <c r="A225" s="2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1:13" x14ac:dyDescent="0.25">
      <c r="A226" s="23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1:13" x14ac:dyDescent="0.25">
      <c r="A227" s="2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1:13" x14ac:dyDescent="0.25">
      <c r="A228" s="23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1:13" x14ac:dyDescent="0.25">
      <c r="A229" s="23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1:13" x14ac:dyDescent="0.25">
      <c r="A230" s="23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1:13" x14ac:dyDescent="0.25">
      <c r="A231" s="23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1:13" x14ac:dyDescent="0.25">
      <c r="A232" s="23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1:13" x14ac:dyDescent="0.25">
      <c r="A233" s="23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1:13" x14ac:dyDescent="0.25">
      <c r="A234" s="23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1:13" x14ac:dyDescent="0.25">
      <c r="A235" s="23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 x14ac:dyDescent="0.25">
      <c r="A236" s="23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1:13" x14ac:dyDescent="0.25">
      <c r="A237" s="23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1:13" x14ac:dyDescent="0.25">
      <c r="A238" s="23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1:13" x14ac:dyDescent="0.25">
      <c r="A239" s="23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1:13" x14ac:dyDescent="0.25">
      <c r="A240" s="23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1:13" x14ac:dyDescent="0.25">
      <c r="A241" s="23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1:13" x14ac:dyDescent="0.25">
      <c r="A242" s="23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1:13" x14ac:dyDescent="0.25">
      <c r="A243" s="23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1:13" x14ac:dyDescent="0.25">
      <c r="A244" s="23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1:13" x14ac:dyDescent="0.25">
      <c r="A245" s="23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1:13" x14ac:dyDescent="0.25">
      <c r="A246" s="23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1:13" x14ac:dyDescent="0.25">
      <c r="A247" s="23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1:13" x14ac:dyDescent="0.25">
      <c r="A248" s="23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 spans="1:13" x14ac:dyDescent="0.25">
      <c r="A249" s="23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 spans="1:13" x14ac:dyDescent="0.25">
      <c r="A250" s="23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 spans="1:13" x14ac:dyDescent="0.25">
      <c r="A251" s="23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 spans="1:13" x14ac:dyDescent="0.25">
      <c r="A252" s="23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 spans="1:13" x14ac:dyDescent="0.25">
      <c r="A253" s="23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 spans="1:13" x14ac:dyDescent="0.25">
      <c r="A254" s="23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 spans="1:13" x14ac:dyDescent="0.25">
      <c r="A255" s="23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 spans="1:13" x14ac:dyDescent="0.25">
      <c r="A256" s="23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 spans="1:13" x14ac:dyDescent="0.25">
      <c r="A257" s="23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 spans="1:13" x14ac:dyDescent="0.25">
      <c r="A258" s="23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 spans="1:13" x14ac:dyDescent="0.25">
      <c r="A259" s="23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 spans="1:13" x14ac:dyDescent="0.25">
      <c r="A260" s="23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 spans="1:13" x14ac:dyDescent="0.25">
      <c r="A261" s="23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 spans="1:13" x14ac:dyDescent="0.25">
      <c r="A262" s="23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 spans="1:13" x14ac:dyDescent="0.25">
      <c r="A263" s="23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 spans="1:13" x14ac:dyDescent="0.25">
      <c r="A264" s="23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 spans="1:13" x14ac:dyDescent="0.25">
      <c r="A265" s="23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 spans="1:13" x14ac:dyDescent="0.25">
      <c r="A266" s="23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 spans="1:13" x14ac:dyDescent="0.25">
      <c r="A267" s="23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 spans="1:13" x14ac:dyDescent="0.25">
      <c r="A268" s="23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 spans="1:13" x14ac:dyDescent="0.25">
      <c r="A269" s="23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1:13" x14ac:dyDescent="0.25">
      <c r="A270" s="23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1:13" x14ac:dyDescent="0.25">
      <c r="A271" s="23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1:13" x14ac:dyDescent="0.25">
      <c r="A272" s="2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1:13" x14ac:dyDescent="0.25">
      <c r="A273" s="23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1:13" x14ac:dyDescent="0.25">
      <c r="A274" s="23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1:13" x14ac:dyDescent="0.25">
      <c r="A275" s="23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1:13" x14ac:dyDescent="0.25">
      <c r="A276" s="23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1:13" x14ac:dyDescent="0.25">
      <c r="A277" s="23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1:13" x14ac:dyDescent="0.25">
      <c r="A278" s="23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1:13" x14ac:dyDescent="0.25">
      <c r="A279" s="23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1:13" x14ac:dyDescent="0.25">
      <c r="A280" s="23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1:13" x14ac:dyDescent="0.25">
      <c r="A281" s="23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1:13" x14ac:dyDescent="0.25">
      <c r="A282" s="23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1:13" x14ac:dyDescent="0.25">
      <c r="A283" s="23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1:13" x14ac:dyDescent="0.25">
      <c r="A284" s="23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1:13" x14ac:dyDescent="0.25">
      <c r="A285" s="23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1:13" x14ac:dyDescent="0.25">
      <c r="A286" s="2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1:13" x14ac:dyDescent="0.25">
      <c r="A287" s="23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1:13" x14ac:dyDescent="0.25">
      <c r="A288" s="23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1:13" x14ac:dyDescent="0.25">
      <c r="A289" s="23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1:13" x14ac:dyDescent="0.25">
      <c r="A290" s="23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1:13" x14ac:dyDescent="0.25">
      <c r="A291" s="23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1:13" x14ac:dyDescent="0.25">
      <c r="A292" s="23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1:13" x14ac:dyDescent="0.25">
      <c r="A293" s="23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1:13" x14ac:dyDescent="0.25">
      <c r="A294" s="23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1:13" x14ac:dyDescent="0.25">
      <c r="A295" s="23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1:13" x14ac:dyDescent="0.25">
      <c r="A296" s="23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1:13" x14ac:dyDescent="0.25">
      <c r="A297" s="23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 spans="1:13" x14ac:dyDescent="0.25">
      <c r="A298" s="23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 spans="1:13" x14ac:dyDescent="0.25">
      <c r="A299" s="2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 spans="1:13" x14ac:dyDescent="0.25">
      <c r="A300" s="23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 spans="1:13" x14ac:dyDescent="0.25">
      <c r="A301" s="23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 spans="1:13" x14ac:dyDescent="0.25">
      <c r="A302" s="23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 spans="1:13" x14ac:dyDescent="0.25">
      <c r="A303" s="23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 spans="1:13" x14ac:dyDescent="0.25">
      <c r="A304" s="23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 spans="1:13" x14ac:dyDescent="0.25">
      <c r="A305" s="23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 spans="1:13" x14ac:dyDescent="0.25">
      <c r="A306" s="23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 spans="1:13" x14ac:dyDescent="0.25">
      <c r="A307" s="23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 spans="1:13" x14ac:dyDescent="0.25">
      <c r="A308" s="23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 spans="1:13" x14ac:dyDescent="0.25">
      <c r="A309" s="23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 spans="1:13" x14ac:dyDescent="0.25">
      <c r="A310" s="23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 spans="1:13" x14ac:dyDescent="0.25">
      <c r="A311" s="23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 spans="1:13" x14ac:dyDescent="0.25">
      <c r="A312" s="23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 spans="1:13" x14ac:dyDescent="0.25">
      <c r="A313" s="23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 spans="1:13" x14ac:dyDescent="0.25">
      <c r="A314" s="23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 spans="1:13" x14ac:dyDescent="0.25">
      <c r="A315" s="23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 spans="1:13" x14ac:dyDescent="0.25">
      <c r="A316" s="23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 spans="1:13" x14ac:dyDescent="0.25">
      <c r="A317" s="23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 spans="1:13" x14ac:dyDescent="0.25">
      <c r="A318" s="23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 spans="1:13" x14ac:dyDescent="0.25">
      <c r="A319" s="23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 spans="1:13" x14ac:dyDescent="0.25">
      <c r="A320" s="23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pans="1:13" x14ac:dyDescent="0.25">
      <c r="A321" s="23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pans="1:13" x14ac:dyDescent="0.25">
      <c r="A322" s="23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pans="1:13" x14ac:dyDescent="0.25">
      <c r="A323" s="23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spans="1:13" x14ac:dyDescent="0.25">
      <c r="A324" s="23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 spans="1:13" x14ac:dyDescent="0.25">
      <c r="A325" s="23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 spans="1:13" x14ac:dyDescent="0.25">
      <c r="A326" s="2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 spans="1:13" x14ac:dyDescent="0.25">
      <c r="A327" s="23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 spans="1:13" x14ac:dyDescent="0.25">
      <c r="A328" s="23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 spans="1:13" x14ac:dyDescent="0.25">
      <c r="A329" s="23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 spans="1:13" x14ac:dyDescent="0.25">
      <c r="A330" s="23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 spans="1:13" x14ac:dyDescent="0.25">
      <c r="A331" s="23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 spans="1:13" x14ac:dyDescent="0.25">
      <c r="A332" s="23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 spans="1:13" x14ac:dyDescent="0.25">
      <c r="A333" s="23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 spans="1:13" x14ac:dyDescent="0.25">
      <c r="A334" s="23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 spans="1:13" x14ac:dyDescent="0.25">
      <c r="A335" s="23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 spans="1:13" x14ac:dyDescent="0.25">
      <c r="A336" s="23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 spans="1:13" x14ac:dyDescent="0.25">
      <c r="A337" s="23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 spans="1:13" x14ac:dyDescent="0.25">
      <c r="A338" s="23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 spans="1:13" x14ac:dyDescent="0.25">
      <c r="A339" s="23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1:13" x14ac:dyDescent="0.25">
      <c r="A340" s="23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1:13" x14ac:dyDescent="0.25">
      <c r="A341" s="23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 spans="1:13" x14ac:dyDescent="0.25">
      <c r="A342" s="23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 spans="1:13" x14ac:dyDescent="0.25">
      <c r="A343" s="23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 spans="1:13" x14ac:dyDescent="0.25">
      <c r="A344" s="23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 spans="1:13" x14ac:dyDescent="0.25">
      <c r="A345" s="23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 spans="1:13" x14ac:dyDescent="0.25">
      <c r="A346" s="23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 spans="1:13" x14ac:dyDescent="0.25">
      <c r="A347" s="23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 spans="1:13" x14ac:dyDescent="0.25">
      <c r="A348" s="23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 spans="1:13" x14ac:dyDescent="0.25">
      <c r="A349" s="23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 spans="1:13" x14ac:dyDescent="0.25">
      <c r="A350" s="23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 spans="1:13" x14ac:dyDescent="0.25">
      <c r="A351" s="23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 spans="1:13" x14ac:dyDescent="0.25">
      <c r="A352" s="23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 spans="1:13" x14ac:dyDescent="0.25">
      <c r="A353" s="23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 spans="1:13" x14ac:dyDescent="0.25">
      <c r="A354" s="23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 spans="1:13" x14ac:dyDescent="0.25">
      <c r="A355" s="23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pans="1:13" x14ac:dyDescent="0.25">
      <c r="A356" s="23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spans="1:13" x14ac:dyDescent="0.25">
      <c r="A357" s="23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 spans="1:13" x14ac:dyDescent="0.25">
      <c r="A358" s="23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 spans="1:13" x14ac:dyDescent="0.25">
      <c r="A359" s="23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 spans="1:13" x14ac:dyDescent="0.25">
      <c r="A360" s="23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 spans="1:13" x14ac:dyDescent="0.25">
      <c r="A361" s="23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 spans="1:13" x14ac:dyDescent="0.25">
      <c r="A362" s="23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 spans="1:13" x14ac:dyDescent="0.25">
      <c r="A363" s="23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 spans="1:13" x14ac:dyDescent="0.25">
      <c r="A364" s="23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 spans="1:13" x14ac:dyDescent="0.25">
      <c r="A365" s="23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 spans="1:13" x14ac:dyDescent="0.25">
      <c r="A366" s="23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 spans="1:13" x14ac:dyDescent="0.25">
      <c r="A367" s="23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 spans="1:13" x14ac:dyDescent="0.25">
      <c r="A368" s="23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 spans="1:13" x14ac:dyDescent="0.25">
      <c r="A369" s="23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 spans="1:13" x14ac:dyDescent="0.25">
      <c r="A370" s="23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 spans="1:13" x14ac:dyDescent="0.25">
      <c r="A371" s="23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 spans="1:13" x14ac:dyDescent="0.25">
      <c r="A372" s="23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 spans="1:13" x14ac:dyDescent="0.25">
      <c r="A373" s="23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 spans="1:13" x14ac:dyDescent="0.25">
      <c r="A374" s="23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 spans="1:13" x14ac:dyDescent="0.25">
      <c r="A375" s="23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 spans="1:13" x14ac:dyDescent="0.25">
      <c r="A376" s="23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 spans="1:13" x14ac:dyDescent="0.25">
      <c r="A377" s="23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 spans="1:13" x14ac:dyDescent="0.25">
      <c r="A378" s="23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 spans="1:13" x14ac:dyDescent="0.25">
      <c r="A379" s="23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 spans="1:13" x14ac:dyDescent="0.25">
      <c r="A380" s="23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 spans="1:13" x14ac:dyDescent="0.25">
      <c r="A381" s="23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 spans="1:13" x14ac:dyDescent="0.25">
      <c r="A382" s="23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 spans="1:13" x14ac:dyDescent="0.25">
      <c r="A383" s="23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 spans="1:13" x14ac:dyDescent="0.25">
      <c r="A384" s="23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 spans="1:13" x14ac:dyDescent="0.25">
      <c r="A385" s="23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 spans="1:13" x14ac:dyDescent="0.25">
      <c r="A386" s="23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 spans="1:13" x14ac:dyDescent="0.25">
      <c r="A387" s="23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 spans="1:13" x14ac:dyDescent="0.25">
      <c r="A388" s="23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 spans="1:13" x14ac:dyDescent="0.25">
      <c r="A389" s="23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 spans="1:13" x14ac:dyDescent="0.25">
      <c r="A390" s="23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 spans="1:13" x14ac:dyDescent="0.25">
      <c r="A391" s="23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 spans="1:13" x14ac:dyDescent="0.25">
      <c r="A392" s="23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 spans="1:13" x14ac:dyDescent="0.25">
      <c r="A393" s="23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 spans="1:13" x14ac:dyDescent="0.25">
      <c r="A394" s="23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 spans="1:13" x14ac:dyDescent="0.25">
      <c r="A395" s="23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 spans="1:13" x14ac:dyDescent="0.25">
      <c r="A396" s="23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 spans="1:13" x14ac:dyDescent="0.25">
      <c r="A397" s="23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 spans="1:13" x14ac:dyDescent="0.25">
      <c r="A398" s="23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1:13" x14ac:dyDescent="0.25">
      <c r="A399" s="23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1:13" x14ac:dyDescent="0.25">
      <c r="A400" s="23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spans="1:13" x14ac:dyDescent="0.25">
      <c r="A401" s="23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 spans="1:13" x14ac:dyDescent="0.25">
      <c r="A402" s="23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 spans="1:13" x14ac:dyDescent="0.25">
      <c r="A403" s="23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 spans="1:13" x14ac:dyDescent="0.25">
      <c r="A404" s="23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 spans="1:13" x14ac:dyDescent="0.25">
      <c r="A405" s="23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 spans="1:13" x14ac:dyDescent="0.25">
      <c r="A406" s="23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 spans="1:13" x14ac:dyDescent="0.25">
      <c r="A407" s="23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 spans="1:13" x14ac:dyDescent="0.25">
      <c r="A408" s="23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 spans="1:13" x14ac:dyDescent="0.25">
      <c r="A409" s="23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 spans="1:13" x14ac:dyDescent="0.25">
      <c r="A410" s="23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 spans="1:13" x14ac:dyDescent="0.25">
      <c r="A411" s="23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 spans="1:13" x14ac:dyDescent="0.25">
      <c r="A412" s="23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 spans="1:13" x14ac:dyDescent="0.25">
      <c r="A413" s="23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 spans="1:13" x14ac:dyDescent="0.25">
      <c r="A414" s="23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 spans="1:13" x14ac:dyDescent="0.25">
      <c r="A415" s="23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 spans="1:13" x14ac:dyDescent="0.25">
      <c r="A416" s="23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 spans="1:13" x14ac:dyDescent="0.25">
      <c r="A417" s="23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 spans="1:13" x14ac:dyDescent="0.25">
      <c r="A418" s="23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 spans="1:13" x14ac:dyDescent="0.25">
      <c r="A419" s="23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 spans="1:13" x14ac:dyDescent="0.25">
      <c r="A420" s="23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 spans="1:13" x14ac:dyDescent="0.25">
      <c r="A421" s="23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 spans="1:13" x14ac:dyDescent="0.25">
      <c r="A422" s="23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 spans="1:13" x14ac:dyDescent="0.25">
      <c r="A423" s="23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 spans="1:13" x14ac:dyDescent="0.25">
      <c r="A424" s="23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 spans="1:13" x14ac:dyDescent="0.25">
      <c r="A425" s="23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 spans="1:13" x14ac:dyDescent="0.25">
      <c r="A426" s="23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 spans="1:13" x14ac:dyDescent="0.25">
      <c r="A427" s="23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 spans="1:13" x14ac:dyDescent="0.25">
      <c r="A428" s="23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 spans="1:13" x14ac:dyDescent="0.25">
      <c r="A429" s="23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 spans="1:13" x14ac:dyDescent="0.25">
      <c r="A430" s="23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 spans="1:13" x14ac:dyDescent="0.25">
      <c r="A431" s="23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 spans="1:13" x14ac:dyDescent="0.25">
      <c r="A432" s="23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 spans="1:13" x14ac:dyDescent="0.25">
      <c r="A433" s="23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 spans="1:13" x14ac:dyDescent="0.25">
      <c r="A434" s="23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 spans="1:13" x14ac:dyDescent="0.25">
      <c r="A435" s="23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 spans="1:13" x14ac:dyDescent="0.25">
      <c r="A436" s="23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 spans="1:13" x14ac:dyDescent="0.25">
      <c r="A437" s="23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 spans="1:13" x14ac:dyDescent="0.25">
      <c r="A438" s="23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 spans="1:13" x14ac:dyDescent="0.25">
      <c r="A439" s="23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 spans="1:13" x14ac:dyDescent="0.25">
      <c r="A440" s="23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 spans="1:13" x14ac:dyDescent="0.25">
      <c r="A441" s="23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 spans="1:13" x14ac:dyDescent="0.25">
      <c r="A442" s="23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 spans="1:13" x14ac:dyDescent="0.25">
      <c r="A443" s="23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 spans="1:13" x14ac:dyDescent="0.25">
      <c r="A444" s="23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 spans="1:13" x14ac:dyDescent="0.25">
      <c r="A445" s="23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 spans="1:13" x14ac:dyDescent="0.25">
      <c r="A446" s="23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 spans="1:13" x14ac:dyDescent="0.25">
      <c r="A447" s="23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 spans="1:13" x14ac:dyDescent="0.25">
      <c r="A448" s="23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 spans="1:13" x14ac:dyDescent="0.25">
      <c r="A449" s="23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 spans="1:13" x14ac:dyDescent="0.25">
      <c r="A450" s="23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 spans="1:13" x14ac:dyDescent="0.25">
      <c r="A451" s="23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 spans="1:13" x14ac:dyDescent="0.25">
      <c r="A452" s="23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 spans="1:13" x14ac:dyDescent="0.25">
      <c r="A453" s="23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 spans="1:13" x14ac:dyDescent="0.25">
      <c r="A454" s="23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 spans="1:13" x14ac:dyDescent="0.25">
      <c r="A455" s="23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 spans="1:13" x14ac:dyDescent="0.25">
      <c r="A456" s="23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 spans="1:13" x14ac:dyDescent="0.25">
      <c r="A457" s="23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 spans="1:13" x14ac:dyDescent="0.25">
      <c r="A458" s="23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 spans="1:13" x14ac:dyDescent="0.25">
      <c r="A459" s="23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 spans="1:13" x14ac:dyDescent="0.25">
      <c r="A460" s="23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 spans="1:13" x14ac:dyDescent="0.25">
      <c r="A461" s="23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 spans="1:13" x14ac:dyDescent="0.25">
      <c r="A462" s="23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 spans="1:13" x14ac:dyDescent="0.25">
      <c r="A463" s="23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 spans="1:13" x14ac:dyDescent="0.25">
      <c r="A464" s="23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 spans="1:13" x14ac:dyDescent="0.25">
      <c r="A465" s="23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 spans="1:13" x14ac:dyDescent="0.25">
      <c r="A466" s="23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 spans="1:13" x14ac:dyDescent="0.25">
      <c r="A467" s="23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 spans="1:13" x14ac:dyDescent="0.25">
      <c r="A468" s="23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 spans="1:13" x14ac:dyDescent="0.25">
      <c r="A469" s="23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 spans="1:13" x14ac:dyDescent="0.25">
      <c r="A470" s="23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 spans="1:13" x14ac:dyDescent="0.25">
      <c r="A471" s="23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 spans="1:13" x14ac:dyDescent="0.25">
      <c r="A472" s="23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 spans="1:13" x14ac:dyDescent="0.25">
      <c r="A473" s="23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 spans="1:13" x14ac:dyDescent="0.25">
      <c r="A474" s="23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 spans="1:13" x14ac:dyDescent="0.25">
      <c r="A475" s="23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 spans="1:13" x14ac:dyDescent="0.25">
      <c r="A476" s="23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 spans="1:13" x14ac:dyDescent="0.25">
      <c r="A477" s="23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 spans="1:13" x14ac:dyDescent="0.25">
      <c r="A478" s="23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 spans="1:13" x14ac:dyDescent="0.25">
      <c r="A479" s="23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 spans="1:13" x14ac:dyDescent="0.25">
      <c r="A480" s="23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 spans="1:13" x14ac:dyDescent="0.25">
      <c r="A481" s="23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 spans="1:13" x14ac:dyDescent="0.25">
      <c r="A482" s="23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 spans="1:13" x14ac:dyDescent="0.25">
      <c r="A483" s="23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 spans="1:13" x14ac:dyDescent="0.25">
      <c r="A484" s="23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 spans="1:13" x14ac:dyDescent="0.25">
      <c r="A485" s="23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 spans="1:13" x14ac:dyDescent="0.25">
      <c r="A486" s="23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 spans="1:13" x14ac:dyDescent="0.25">
      <c r="A487" s="23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 spans="1:13" x14ac:dyDescent="0.25">
      <c r="A488" s="23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 spans="1:13" x14ac:dyDescent="0.25">
      <c r="A489" s="23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 spans="1:13" x14ac:dyDescent="0.25">
      <c r="A490" s="23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 spans="1:13" x14ac:dyDescent="0.25">
      <c r="A491" s="23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 spans="1:13" x14ac:dyDescent="0.25">
      <c r="A492" s="23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 spans="1:13" x14ac:dyDescent="0.25">
      <c r="A493" s="23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 spans="1:13" x14ac:dyDescent="0.25">
      <c r="A494" s="23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 spans="1:13" x14ac:dyDescent="0.25">
      <c r="A495" s="23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 spans="1:13" x14ac:dyDescent="0.25">
      <c r="A496" s="23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 spans="1:13" x14ac:dyDescent="0.25">
      <c r="A497" s="23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 spans="1:13" x14ac:dyDescent="0.25">
      <c r="A498" s="23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 spans="1:13" x14ac:dyDescent="0.25">
      <c r="A499" s="23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 spans="1:13" x14ac:dyDescent="0.25">
      <c r="A500" s="23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 spans="1:13" x14ac:dyDescent="0.25">
      <c r="A501" s="23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 spans="1:13" x14ac:dyDescent="0.25">
      <c r="A502" s="23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 spans="1:13" x14ac:dyDescent="0.25">
      <c r="A503" s="23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 spans="1:13" x14ac:dyDescent="0.25">
      <c r="A504" s="23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 spans="1:13" x14ac:dyDescent="0.25">
      <c r="A505" s="23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 spans="1:13" x14ac:dyDescent="0.25">
      <c r="A506" s="23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 spans="1:13" x14ac:dyDescent="0.25">
      <c r="A507" s="23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 spans="1:13" x14ac:dyDescent="0.25">
      <c r="A508" s="23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 spans="1:13" x14ac:dyDescent="0.25">
      <c r="A509" s="23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 spans="1:13" x14ac:dyDescent="0.25">
      <c r="A510" s="23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 spans="1:13" x14ac:dyDescent="0.25">
      <c r="A511" s="23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 spans="1:13" x14ac:dyDescent="0.25">
      <c r="A512" s="23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 spans="1:13" x14ac:dyDescent="0.25">
      <c r="A513" s="23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 spans="1:13" x14ac:dyDescent="0.25">
      <c r="A514" s="23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 spans="1:13" x14ac:dyDescent="0.25">
      <c r="A515" s="23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 spans="1:13" x14ac:dyDescent="0.25">
      <c r="A516" s="23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 spans="1:13" x14ac:dyDescent="0.25">
      <c r="A517" s="23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 spans="1:13" x14ac:dyDescent="0.25">
      <c r="A518" s="23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 spans="1:13" x14ac:dyDescent="0.25">
      <c r="A519" s="23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 spans="1:13" x14ac:dyDescent="0.25">
      <c r="A520" s="23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 spans="1:13" x14ac:dyDescent="0.25">
      <c r="A521" s="23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 spans="1:13" x14ac:dyDescent="0.25">
      <c r="A522" s="23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 spans="1:13" x14ac:dyDescent="0.25">
      <c r="A523" s="23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 spans="1:13" x14ac:dyDescent="0.25">
      <c r="A524" s="23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 spans="1:13" x14ac:dyDescent="0.25">
      <c r="A525" s="23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 spans="1:13" x14ac:dyDescent="0.25">
      <c r="A526" s="23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 spans="1:13" x14ac:dyDescent="0.25">
      <c r="A527" s="23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 spans="1:13" x14ac:dyDescent="0.25">
      <c r="A528" s="23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1:13" x14ac:dyDescent="0.25">
      <c r="A529" s="23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1:13" x14ac:dyDescent="0.25">
      <c r="A530" s="23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1:13" x14ac:dyDescent="0.25">
      <c r="A531" s="23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1:13" x14ac:dyDescent="0.25">
      <c r="A532" s="23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1:13" x14ac:dyDescent="0.25">
      <c r="A533" s="23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1:13" x14ac:dyDescent="0.25">
      <c r="A534" s="23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1:13" x14ac:dyDescent="0.25">
      <c r="A535" s="23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1:13" x14ac:dyDescent="0.25">
      <c r="A536" s="23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1:13" x14ac:dyDescent="0.25">
      <c r="A537" s="23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1:13" x14ac:dyDescent="0.25">
      <c r="A538" s="23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1:13" x14ac:dyDescent="0.25">
      <c r="A539" s="23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1:13" x14ac:dyDescent="0.25">
      <c r="A540" s="23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1:13" x14ac:dyDescent="0.25">
      <c r="A541" s="23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1:13" x14ac:dyDescent="0.25">
      <c r="A542" s="23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1:13" x14ac:dyDescent="0.25">
      <c r="A543" s="23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1:13" x14ac:dyDescent="0.25">
      <c r="A544" s="23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1:13" x14ac:dyDescent="0.25">
      <c r="A545" s="23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1:13" x14ac:dyDescent="0.25">
      <c r="A546" s="23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1:13" x14ac:dyDescent="0.25">
      <c r="A547" s="23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1:13" x14ac:dyDescent="0.25">
      <c r="A548" s="23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1:13" x14ac:dyDescent="0.25">
      <c r="A549" s="23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1:13" x14ac:dyDescent="0.25">
      <c r="A550" s="23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1:13" x14ac:dyDescent="0.25">
      <c r="A551" s="23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1:13" x14ac:dyDescent="0.25">
      <c r="A552" s="23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1:13" x14ac:dyDescent="0.25">
      <c r="A553" s="23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1:13" x14ac:dyDescent="0.25">
      <c r="A554" s="23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1:13" x14ac:dyDescent="0.25">
      <c r="A555" s="23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1:13" x14ac:dyDescent="0.25">
      <c r="A556" s="23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 spans="1:13" x14ac:dyDescent="0.25">
      <c r="A557" s="23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 spans="1:13" x14ac:dyDescent="0.25">
      <c r="A558" s="23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 spans="1:13" x14ac:dyDescent="0.25">
      <c r="A559" s="23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 spans="1:13" x14ac:dyDescent="0.25">
      <c r="A560" s="23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 spans="1:13" x14ac:dyDescent="0.25">
      <c r="A561" s="23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 spans="1:13" x14ac:dyDescent="0.25">
      <c r="A562" s="23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 spans="1:13" x14ac:dyDescent="0.25">
      <c r="A563" s="23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 spans="1:13" x14ac:dyDescent="0.25">
      <c r="A564" s="23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 spans="1:13" x14ac:dyDescent="0.25">
      <c r="A565" s="23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 spans="1:13" x14ac:dyDescent="0.25">
      <c r="A566" s="23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 spans="1:13" x14ac:dyDescent="0.25">
      <c r="A567" s="23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 spans="1:13" x14ac:dyDescent="0.25">
      <c r="A568" s="23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 spans="1:13" x14ac:dyDescent="0.25">
      <c r="A569" s="23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 spans="1:13" x14ac:dyDescent="0.25">
      <c r="A570" s="23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 spans="1:13" x14ac:dyDescent="0.25">
      <c r="A571" s="23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 spans="1:13" x14ac:dyDescent="0.25">
      <c r="A572" s="23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 spans="1:13" x14ac:dyDescent="0.25">
      <c r="A573" s="23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 spans="1:13" x14ac:dyDescent="0.25">
      <c r="A574" s="23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 spans="1:13" x14ac:dyDescent="0.25">
      <c r="A575" s="23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 spans="1:13" x14ac:dyDescent="0.25">
      <c r="A576" s="23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 spans="1:13" x14ac:dyDescent="0.25">
      <c r="A577" s="23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 spans="1:13" x14ac:dyDescent="0.25">
      <c r="A578" s="23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 spans="1:13" x14ac:dyDescent="0.25">
      <c r="A579" s="23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 spans="1:13" x14ac:dyDescent="0.25">
      <c r="A580" s="23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 spans="1:13" x14ac:dyDescent="0.25">
      <c r="A581" s="23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 spans="1:13" x14ac:dyDescent="0.25">
      <c r="A582" s="23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 spans="1:13" x14ac:dyDescent="0.25">
      <c r="A583" s="23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 spans="1:13" x14ac:dyDescent="0.25">
      <c r="A584" s="23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 spans="1:13" x14ac:dyDescent="0.25">
      <c r="A585" s="23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 spans="1:13" x14ac:dyDescent="0.25">
      <c r="A586" s="23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 spans="1:13" x14ac:dyDescent="0.25">
      <c r="A587" s="23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 spans="1:13" x14ac:dyDescent="0.25">
      <c r="A588" s="23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 spans="1:13" x14ac:dyDescent="0.25">
      <c r="A589" s="23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 spans="1:13" x14ac:dyDescent="0.25">
      <c r="A590" s="23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 spans="1:13" x14ac:dyDescent="0.25">
      <c r="A591" s="23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 spans="1:13" x14ac:dyDescent="0.25">
      <c r="A592" s="23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 spans="1:13" x14ac:dyDescent="0.25">
      <c r="A593" s="23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 spans="1:13" x14ac:dyDescent="0.25">
      <c r="A594" s="23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 spans="1:13" x14ac:dyDescent="0.25">
      <c r="A595" s="23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 spans="1:13" x14ac:dyDescent="0.25">
      <c r="A596" s="23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 spans="1:13" x14ac:dyDescent="0.25">
      <c r="A597" s="23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 spans="1:13" x14ac:dyDescent="0.25">
      <c r="A598" s="23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 spans="1:13" x14ac:dyDescent="0.25">
      <c r="A599" s="23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 spans="1:13" x14ac:dyDescent="0.25">
      <c r="A600" s="23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 spans="1:13" x14ac:dyDescent="0.25">
      <c r="A601" s="23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 spans="1:13" x14ac:dyDescent="0.25">
      <c r="A602" s="23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 spans="1:13" x14ac:dyDescent="0.25">
      <c r="A603" s="23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 spans="1:13" x14ac:dyDescent="0.25">
      <c r="A604" s="23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 spans="1:13" x14ac:dyDescent="0.25">
      <c r="A605" s="23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 spans="1:13" x14ac:dyDescent="0.25">
      <c r="A606" s="23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 spans="1:13" x14ac:dyDescent="0.25">
      <c r="A607" s="23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 spans="1:13" x14ac:dyDescent="0.25">
      <c r="A608" s="23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 spans="1:13" x14ac:dyDescent="0.25">
      <c r="A609" s="23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 spans="1:13" x14ac:dyDescent="0.25">
      <c r="A610" s="23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 spans="1:13" x14ac:dyDescent="0.25">
      <c r="A611" s="23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 spans="1:13" x14ac:dyDescent="0.25">
      <c r="A612" s="23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 spans="1:13" x14ac:dyDescent="0.25">
      <c r="A613" s="23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 spans="1:13" x14ac:dyDescent="0.25">
      <c r="A614" s="23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 spans="1:13" x14ac:dyDescent="0.25">
      <c r="A615" s="23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 spans="1:13" x14ac:dyDescent="0.25">
      <c r="A616" s="23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 spans="1:13" x14ac:dyDescent="0.25">
      <c r="A617" s="23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 spans="1:13" x14ac:dyDescent="0.25">
      <c r="A618" s="23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 spans="1:13" x14ac:dyDescent="0.25">
      <c r="A619" s="23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 spans="1:13" x14ac:dyDescent="0.25">
      <c r="A620" s="23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 spans="1:13" x14ac:dyDescent="0.25">
      <c r="A621" s="23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 spans="1:13" x14ac:dyDescent="0.25">
      <c r="A622" s="23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 spans="1:13" x14ac:dyDescent="0.25">
      <c r="A623" s="23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 spans="1:13" x14ac:dyDescent="0.25">
      <c r="A624" s="23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 spans="1:13" x14ac:dyDescent="0.25">
      <c r="A625" s="23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 spans="1:13" x14ac:dyDescent="0.25">
      <c r="A626" s="23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 spans="1:13" x14ac:dyDescent="0.25">
      <c r="A627" s="23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 spans="1:13" x14ac:dyDescent="0.25">
      <c r="A628" s="23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 spans="1:13" x14ac:dyDescent="0.25">
      <c r="A629" s="23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 spans="1:13" x14ac:dyDescent="0.25">
      <c r="A630" s="23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 spans="1:13" x14ac:dyDescent="0.25">
      <c r="A631" s="23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 spans="1:13" x14ac:dyDescent="0.25">
      <c r="A632" s="23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 spans="1:13" x14ac:dyDescent="0.25">
      <c r="A633" s="23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 spans="1:13" x14ac:dyDescent="0.25">
      <c r="A634" s="23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 spans="1:13" x14ac:dyDescent="0.25">
      <c r="A635" s="23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 spans="1:13" x14ac:dyDescent="0.25">
      <c r="A636" s="23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 spans="1:13" x14ac:dyDescent="0.25">
      <c r="A637" s="23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 spans="1:13" x14ac:dyDescent="0.25">
      <c r="A638" s="23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 spans="1:13" x14ac:dyDescent="0.25">
      <c r="A639" s="23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 spans="1:13" x14ac:dyDescent="0.25">
      <c r="A640" s="23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 spans="1:13" x14ac:dyDescent="0.25">
      <c r="A641" s="23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 spans="1:13" x14ac:dyDescent="0.25">
      <c r="A642" s="23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 spans="1:13" x14ac:dyDescent="0.25">
      <c r="A643" s="23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 spans="1:13" x14ac:dyDescent="0.25">
      <c r="A644" s="23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 spans="1:13" x14ac:dyDescent="0.25">
      <c r="A645" s="23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 spans="1:13" x14ac:dyDescent="0.25">
      <c r="A646" s="23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 spans="1:13" x14ac:dyDescent="0.25">
      <c r="A647" s="23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 spans="1:13" x14ac:dyDescent="0.25">
      <c r="A648" s="23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 spans="1:13" x14ac:dyDescent="0.25">
      <c r="A649" s="23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 spans="1:13" x14ac:dyDescent="0.25">
      <c r="A650" s="23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 spans="1:13" x14ac:dyDescent="0.25">
      <c r="A651" s="23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 spans="1:13" x14ac:dyDescent="0.25">
      <c r="A652" s="23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 spans="1:13" x14ac:dyDescent="0.25">
      <c r="A653" s="23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 spans="1:13" x14ac:dyDescent="0.25">
      <c r="A654" s="23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 spans="1:13" x14ac:dyDescent="0.25">
      <c r="A655" s="23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 spans="1:13" x14ac:dyDescent="0.25">
      <c r="A656" s="23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 spans="1:13" x14ac:dyDescent="0.25">
      <c r="A657" s="23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 spans="1:13" x14ac:dyDescent="0.25">
      <c r="A658" s="23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 spans="1:13" x14ac:dyDescent="0.25">
      <c r="A659" s="23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 spans="1:13" x14ac:dyDescent="0.25">
      <c r="A660" s="23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 spans="1:13" x14ac:dyDescent="0.25">
      <c r="A661" s="23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 spans="1:13" x14ac:dyDescent="0.25">
      <c r="A662" s="23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 spans="1:13" x14ac:dyDescent="0.25">
      <c r="A663" s="23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 spans="1:13" x14ac:dyDescent="0.25">
      <c r="A664" s="23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 spans="1:13" x14ac:dyDescent="0.25">
      <c r="A665" s="23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 spans="1:13" x14ac:dyDescent="0.25">
      <c r="A666" s="23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 spans="1:13" x14ac:dyDescent="0.25">
      <c r="A667" s="23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 spans="1:13" x14ac:dyDescent="0.25">
      <c r="A668" s="23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 spans="1:13" x14ac:dyDescent="0.25">
      <c r="A669" s="23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 spans="1:13" x14ac:dyDescent="0.25">
      <c r="A670" s="23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 spans="1:13" x14ac:dyDescent="0.25">
      <c r="A671" s="23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 spans="1:13" x14ac:dyDescent="0.25">
      <c r="A672" s="23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 spans="1:13" x14ac:dyDescent="0.25">
      <c r="A673" s="23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 spans="1:13" x14ac:dyDescent="0.25">
      <c r="A674" s="23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 spans="1:13" x14ac:dyDescent="0.25">
      <c r="A675" s="23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 spans="1:13" x14ac:dyDescent="0.25">
      <c r="A676" s="23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 spans="1:13" x14ac:dyDescent="0.25">
      <c r="A677" s="23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 spans="1:13" x14ac:dyDescent="0.25">
      <c r="A678" s="23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 spans="1:13" x14ac:dyDescent="0.25">
      <c r="A679" s="23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 spans="1:13" x14ac:dyDescent="0.25">
      <c r="A680" s="23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 spans="1:13" x14ac:dyDescent="0.25">
      <c r="A681" s="23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 spans="1:13" x14ac:dyDescent="0.25">
      <c r="A682" s="23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 spans="1:13" x14ac:dyDescent="0.25">
      <c r="A683" s="23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 spans="1:13" x14ac:dyDescent="0.25">
      <c r="A684" s="23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 spans="1:13" x14ac:dyDescent="0.25">
      <c r="A685" s="23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 spans="1:13" x14ac:dyDescent="0.25">
      <c r="A686" s="23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 spans="1:13" x14ac:dyDescent="0.25">
      <c r="A687" s="23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 spans="1:13" x14ac:dyDescent="0.25">
      <c r="A688" s="23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 spans="1:13" x14ac:dyDescent="0.25">
      <c r="A689" s="23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 spans="1:13" x14ac:dyDescent="0.25">
      <c r="A690" s="23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 spans="1:13" x14ac:dyDescent="0.25">
      <c r="A691" s="23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 spans="1:13" x14ac:dyDescent="0.25">
      <c r="A692" s="23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 spans="1:13" x14ac:dyDescent="0.25">
      <c r="A693" s="23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 spans="1:13" x14ac:dyDescent="0.25">
      <c r="A694" s="23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 spans="1:13" x14ac:dyDescent="0.25">
      <c r="A695" s="23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 spans="1:13" x14ac:dyDescent="0.25">
      <c r="A696" s="23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 spans="1:13" x14ac:dyDescent="0.25">
      <c r="A697" s="23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 spans="1:13" x14ac:dyDescent="0.25">
      <c r="A698" s="23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 spans="1:13" x14ac:dyDescent="0.25">
      <c r="A699" s="23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 spans="1:13" x14ac:dyDescent="0.25">
      <c r="A700" s="23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 spans="1:13" x14ac:dyDescent="0.25">
      <c r="A701" s="23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 spans="1:13" x14ac:dyDescent="0.25">
      <c r="A702" s="23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 spans="1:13" x14ac:dyDescent="0.25">
      <c r="A703" s="23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 spans="1:13" x14ac:dyDescent="0.25">
      <c r="A704" s="23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 spans="1:13" x14ac:dyDescent="0.25">
      <c r="A705" s="23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 spans="1:13" x14ac:dyDescent="0.25">
      <c r="A706" s="23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 spans="1:13" x14ac:dyDescent="0.25">
      <c r="A707" s="23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 spans="1:13" x14ac:dyDescent="0.25">
      <c r="A708" s="23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 spans="1:13" x14ac:dyDescent="0.25">
      <c r="A709" s="23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 spans="1:13" x14ac:dyDescent="0.25">
      <c r="A710" s="23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 spans="1:13" x14ac:dyDescent="0.25">
      <c r="A711" s="23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 spans="1:13" x14ac:dyDescent="0.25">
      <c r="A712" s="23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 spans="1:13" x14ac:dyDescent="0.25">
      <c r="A713" s="23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 spans="1:13" x14ac:dyDescent="0.25">
      <c r="A714" s="23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 spans="1:13" x14ac:dyDescent="0.25">
      <c r="A715" s="23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 spans="1:13" x14ac:dyDescent="0.25">
      <c r="A716" s="23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 spans="1:13" x14ac:dyDescent="0.25">
      <c r="A717" s="23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 spans="1:13" x14ac:dyDescent="0.25">
      <c r="A718" s="23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 spans="1:13" x14ac:dyDescent="0.25">
      <c r="A719" s="23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 spans="1:13" x14ac:dyDescent="0.25">
      <c r="A720" s="23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 spans="1:13" x14ac:dyDescent="0.25">
      <c r="A721" s="23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 spans="1:13" x14ac:dyDescent="0.25">
      <c r="A722" s="23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 spans="1:13" x14ac:dyDescent="0.25">
      <c r="A723" s="23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 spans="1:13" x14ac:dyDescent="0.25">
      <c r="A724" s="23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 spans="1:13" x14ac:dyDescent="0.25">
      <c r="A725" s="23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 spans="1:13" x14ac:dyDescent="0.25">
      <c r="A726" s="23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 spans="1:13" x14ac:dyDescent="0.25">
      <c r="A727" s="23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 spans="1:13" x14ac:dyDescent="0.25">
      <c r="A728" s="23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 spans="1:13" x14ac:dyDescent="0.25">
      <c r="A729" s="23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 spans="1:13" x14ac:dyDescent="0.25">
      <c r="A730" s="23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 spans="1:13" x14ac:dyDescent="0.25">
      <c r="A731" s="23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 spans="1:13" x14ac:dyDescent="0.25">
      <c r="A732" s="23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 spans="1:13" x14ac:dyDescent="0.25">
      <c r="A733" s="23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 spans="1:13" x14ac:dyDescent="0.25">
      <c r="A734" s="23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 spans="1:13" x14ac:dyDescent="0.25">
      <c r="A735" s="23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 spans="1:13" x14ac:dyDescent="0.25">
      <c r="A736" s="23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 spans="1:13" x14ac:dyDescent="0.25">
      <c r="A737" s="23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 spans="1:13" x14ac:dyDescent="0.25">
      <c r="A738" s="23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 spans="1:13" x14ac:dyDescent="0.25">
      <c r="A739" s="23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 spans="1:13" x14ac:dyDescent="0.25">
      <c r="A740" s="23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 spans="1:13" x14ac:dyDescent="0.25">
      <c r="A741" s="23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 spans="1:13" x14ac:dyDescent="0.25">
      <c r="A742" s="23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 spans="1:13" x14ac:dyDescent="0.25">
      <c r="A743" s="23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 spans="1:13" x14ac:dyDescent="0.25">
      <c r="A744" s="23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 spans="1:13" x14ac:dyDescent="0.25">
      <c r="A745" s="23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 spans="1:13" x14ac:dyDescent="0.25">
      <c r="A746" s="23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 spans="1:13" x14ac:dyDescent="0.25">
      <c r="A747" s="23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 spans="1:13" x14ac:dyDescent="0.25">
      <c r="A748" s="23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 spans="1:13" x14ac:dyDescent="0.25">
      <c r="A749" s="23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 spans="1:13" x14ac:dyDescent="0.25">
      <c r="A750" s="23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 spans="1:13" x14ac:dyDescent="0.25">
      <c r="A751" s="23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 spans="1:13" x14ac:dyDescent="0.25">
      <c r="A752" s="23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 spans="1:13" x14ac:dyDescent="0.25">
      <c r="A753" s="23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 spans="1:13" x14ac:dyDescent="0.25">
      <c r="A754" s="23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 spans="1:13" x14ac:dyDescent="0.25">
      <c r="A755" s="23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 spans="1:13" x14ac:dyDescent="0.25">
      <c r="A756" s="23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 spans="1:13" x14ac:dyDescent="0.25">
      <c r="A757" s="23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 spans="1:13" x14ac:dyDescent="0.25">
      <c r="A758" s="23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 spans="1:13" x14ac:dyDescent="0.25">
      <c r="A759" s="23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 spans="1:13" x14ac:dyDescent="0.25">
      <c r="A760" s="23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 spans="1:13" x14ac:dyDescent="0.25">
      <c r="A761" s="23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 spans="1:13" x14ac:dyDescent="0.25">
      <c r="A762" s="23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 spans="1:13" x14ac:dyDescent="0.25">
      <c r="A763" s="23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 spans="1:13" x14ac:dyDescent="0.25">
      <c r="A764" s="23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 spans="1:13" x14ac:dyDescent="0.25">
      <c r="A765" s="23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 spans="1:13" x14ac:dyDescent="0.25">
      <c r="A766" s="23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 spans="1:13" x14ac:dyDescent="0.25">
      <c r="A767" s="23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 spans="1:13" x14ac:dyDescent="0.25">
      <c r="A768" s="23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 spans="1:13" x14ac:dyDescent="0.25">
      <c r="A769" s="23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 spans="1:13" x14ac:dyDescent="0.25">
      <c r="A770" s="23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 spans="1:13" x14ac:dyDescent="0.25">
      <c r="A771" s="23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 spans="1:13" x14ac:dyDescent="0.25">
      <c r="A772" s="23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 spans="1:13" x14ac:dyDescent="0.25">
      <c r="A773" s="23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 spans="1:13" x14ac:dyDescent="0.25">
      <c r="A774" s="23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 spans="1:13" x14ac:dyDescent="0.25">
      <c r="A775" s="23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 spans="1:13" x14ac:dyDescent="0.25">
      <c r="A776" s="23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 spans="1:13" x14ac:dyDescent="0.25">
      <c r="A777" s="23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 spans="1:13" x14ac:dyDescent="0.25">
      <c r="A778" s="23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 spans="1:13" x14ac:dyDescent="0.25">
      <c r="A779" s="23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 spans="1:13" x14ac:dyDescent="0.25">
      <c r="A780" s="23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 spans="1:13" x14ac:dyDescent="0.25">
      <c r="A781" s="23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 spans="1:13" x14ac:dyDescent="0.25">
      <c r="A782" s="23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 spans="1:13" x14ac:dyDescent="0.25">
      <c r="A783" s="23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 spans="1:13" x14ac:dyDescent="0.25">
      <c r="A784" s="23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 spans="1:13" x14ac:dyDescent="0.25">
      <c r="A785" s="23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 spans="1:13" x14ac:dyDescent="0.25">
      <c r="A786" s="23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 spans="1:13" x14ac:dyDescent="0.25">
      <c r="A787" s="23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 spans="1:13" x14ac:dyDescent="0.25">
      <c r="A788" s="23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 spans="1:13" x14ac:dyDescent="0.25">
      <c r="A789" s="23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 spans="1:13" x14ac:dyDescent="0.25">
      <c r="A790" s="23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 spans="1:13" x14ac:dyDescent="0.25">
      <c r="A791" s="23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 spans="1:13" x14ac:dyDescent="0.25">
      <c r="A792" s="23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 spans="1:13" x14ac:dyDescent="0.25">
      <c r="A793" s="23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 spans="1:13" x14ac:dyDescent="0.25">
      <c r="A794" s="23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 spans="1:13" x14ac:dyDescent="0.25">
      <c r="A795" s="23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 spans="1:13" x14ac:dyDescent="0.25">
      <c r="A796" s="23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 spans="1:13" x14ac:dyDescent="0.25">
      <c r="A797" s="23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 spans="1:13" x14ac:dyDescent="0.25">
      <c r="A798" s="23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 spans="1:13" x14ac:dyDescent="0.25">
      <c r="A799" s="23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 spans="1:13" x14ac:dyDescent="0.25">
      <c r="A800" s="23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 spans="1:13" x14ac:dyDescent="0.25">
      <c r="A801" s="23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 spans="1:13" x14ac:dyDescent="0.25">
      <c r="A802" s="23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 spans="1:13" x14ac:dyDescent="0.25">
      <c r="A803" s="23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 spans="1:13" x14ac:dyDescent="0.25">
      <c r="A804" s="23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 spans="1:13" x14ac:dyDescent="0.25">
      <c r="A805" s="23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 spans="1:13" x14ac:dyDescent="0.25">
      <c r="A806" s="23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 spans="1:13" x14ac:dyDescent="0.25">
      <c r="A807" s="23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 spans="1:13" x14ac:dyDescent="0.25">
      <c r="A808" s="23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 spans="1:13" x14ac:dyDescent="0.25">
      <c r="A809" s="23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 spans="1:13" x14ac:dyDescent="0.25">
      <c r="A810" s="23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 spans="1:13" x14ac:dyDescent="0.25">
      <c r="A811" s="23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 spans="1:13" x14ac:dyDescent="0.25">
      <c r="A812" s="23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 spans="1:13" x14ac:dyDescent="0.25">
      <c r="A813" s="23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 spans="1:13" x14ac:dyDescent="0.25">
      <c r="A814" s="23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 spans="1:13" x14ac:dyDescent="0.25">
      <c r="A815" s="23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 spans="1:13" x14ac:dyDescent="0.25">
      <c r="A816" s="23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 spans="1:13" x14ac:dyDescent="0.25">
      <c r="A817" s="23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 spans="1:13" x14ac:dyDescent="0.25">
      <c r="A818" s="23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 spans="1:13" x14ac:dyDescent="0.25">
      <c r="A819" s="23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 spans="1:13" x14ac:dyDescent="0.25">
      <c r="A820" s="23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 spans="1:13" x14ac:dyDescent="0.25">
      <c r="A821" s="23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 spans="1:13" x14ac:dyDescent="0.25">
      <c r="A822" s="23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 spans="1:13" x14ac:dyDescent="0.25">
      <c r="A823" s="23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 spans="1:13" x14ac:dyDescent="0.25">
      <c r="A824" s="23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 spans="1:13" x14ac:dyDescent="0.25">
      <c r="A825" s="23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 spans="1:13" x14ac:dyDescent="0.25">
      <c r="A826" s="23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 spans="1:13" x14ac:dyDescent="0.25">
      <c r="A827" s="23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 spans="1:13" x14ac:dyDescent="0.25">
      <c r="A828" s="23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 spans="1:13" x14ac:dyDescent="0.25">
      <c r="A829" s="23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 spans="1:13" x14ac:dyDescent="0.25">
      <c r="A830" s="23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 spans="1:13" x14ac:dyDescent="0.25">
      <c r="A831" s="23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 spans="1:13" x14ac:dyDescent="0.25">
      <c r="A832" s="23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 spans="1:13" x14ac:dyDescent="0.25">
      <c r="A833" s="23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 spans="1:13" x14ac:dyDescent="0.25">
      <c r="A834" s="23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 spans="1:13" x14ac:dyDescent="0.25">
      <c r="A835" s="23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 spans="1:13" x14ac:dyDescent="0.25">
      <c r="A836" s="23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 spans="1:13" x14ac:dyDescent="0.25">
      <c r="A837" s="23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 spans="1:13" x14ac:dyDescent="0.25">
      <c r="A838" s="23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 spans="1:13" x14ac:dyDescent="0.25">
      <c r="A839" s="23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 spans="1:13" x14ac:dyDescent="0.25">
      <c r="A840" s="23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 spans="1:13" x14ac:dyDescent="0.25">
      <c r="A841" s="23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 spans="1:13" x14ac:dyDescent="0.25">
      <c r="A842" s="23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 spans="1:13" x14ac:dyDescent="0.25">
      <c r="A843" s="23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 spans="1:13" x14ac:dyDescent="0.25">
      <c r="A844" s="23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 spans="1:13" x14ac:dyDescent="0.25">
      <c r="A845" s="23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 spans="1:13" x14ac:dyDescent="0.25">
      <c r="A846" s="23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 spans="1:13" x14ac:dyDescent="0.25">
      <c r="A847" s="23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 spans="1:13" x14ac:dyDescent="0.25">
      <c r="A848" s="23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 spans="1:13" x14ac:dyDescent="0.25">
      <c r="A849" s="23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 spans="1:13" x14ac:dyDescent="0.25">
      <c r="A850" s="23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 spans="1:13" x14ac:dyDescent="0.25">
      <c r="A851" s="23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 spans="1:13" x14ac:dyDescent="0.25">
      <c r="A852" s="23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 spans="1:13" x14ac:dyDescent="0.25">
      <c r="A853" s="23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 spans="1:13" x14ac:dyDescent="0.25">
      <c r="A854" s="23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 spans="1:13" x14ac:dyDescent="0.25">
      <c r="A855" s="23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 spans="1:13" x14ac:dyDescent="0.25">
      <c r="A856" s="23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 spans="1:13" x14ac:dyDescent="0.25">
      <c r="A857" s="23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 spans="1:13" x14ac:dyDescent="0.25">
      <c r="A858" s="23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 spans="1:13" x14ac:dyDescent="0.25">
      <c r="A859" s="23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 spans="1:13" x14ac:dyDescent="0.25">
      <c r="A860" s="23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 spans="1:13" x14ac:dyDescent="0.25">
      <c r="A861" s="23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 spans="1:13" x14ac:dyDescent="0.25">
      <c r="A862" s="23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 spans="1:13" x14ac:dyDescent="0.25">
      <c r="A863" s="23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 spans="1:13" x14ac:dyDescent="0.25">
      <c r="A864" s="23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 spans="1:13" x14ac:dyDescent="0.25">
      <c r="A865" s="23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 spans="1:13" x14ac:dyDescent="0.25">
      <c r="A866" s="23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 spans="1:13" x14ac:dyDescent="0.25">
      <c r="A867" s="23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 spans="1:13" x14ac:dyDescent="0.25">
      <c r="A868" s="23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 spans="1:13" x14ac:dyDescent="0.25">
      <c r="A869" s="23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 spans="1:13" x14ac:dyDescent="0.25">
      <c r="A870" s="23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 spans="1:13" x14ac:dyDescent="0.25">
      <c r="A871" s="23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 spans="1:13" x14ac:dyDescent="0.25">
      <c r="A872" s="23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 spans="1:13" x14ac:dyDescent="0.25">
      <c r="A873" s="23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 spans="1:13" x14ac:dyDescent="0.25">
      <c r="A874" s="23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 spans="1:13" x14ac:dyDescent="0.25">
      <c r="A875" s="23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 spans="1:13" x14ac:dyDescent="0.25">
      <c r="A876" s="23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 spans="1:13" x14ac:dyDescent="0.25">
      <c r="A877" s="23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 spans="1:13" x14ac:dyDescent="0.25">
      <c r="A878" s="23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 spans="1:13" x14ac:dyDescent="0.25">
      <c r="A879" s="23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 spans="1:13" x14ac:dyDescent="0.25">
      <c r="A880" s="23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 spans="1:13" x14ac:dyDescent="0.25">
      <c r="A881" s="23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 spans="1:13" x14ac:dyDescent="0.25">
      <c r="A882" s="23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 spans="1:13" x14ac:dyDescent="0.25">
      <c r="A883" s="23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 spans="1:13" x14ac:dyDescent="0.25">
      <c r="A884" s="23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 spans="1:13" x14ac:dyDescent="0.25">
      <c r="A885" s="23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 spans="1:13" x14ac:dyDescent="0.25">
      <c r="A886" s="23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 spans="1:13" x14ac:dyDescent="0.25">
      <c r="A887" s="23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 spans="1:13" x14ac:dyDescent="0.25">
      <c r="A888" s="23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 spans="1:13" x14ac:dyDescent="0.25">
      <c r="A889" s="23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 spans="1:13" x14ac:dyDescent="0.25">
      <c r="A890" s="23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 spans="1:13" x14ac:dyDescent="0.25">
      <c r="A891" s="23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 spans="1:13" x14ac:dyDescent="0.25">
      <c r="A892" s="23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 spans="1:13" x14ac:dyDescent="0.25">
      <c r="A893" s="23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 spans="1:13" x14ac:dyDescent="0.25">
      <c r="A894" s="23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 spans="1:13" x14ac:dyDescent="0.25">
      <c r="A895" s="23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 spans="1:13" x14ac:dyDescent="0.25">
      <c r="A896" s="23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 spans="1:13" x14ac:dyDescent="0.25">
      <c r="A897" s="23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  <row r="898" spans="1:13" x14ac:dyDescent="0.25">
      <c r="A898" s="23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</row>
    <row r="899" spans="1:13" x14ac:dyDescent="0.25">
      <c r="A899" s="23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</row>
    <row r="900" spans="1:13" x14ac:dyDescent="0.25">
      <c r="A900" s="23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</row>
    <row r="901" spans="1:13" x14ac:dyDescent="0.25">
      <c r="A901" s="23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</row>
    <row r="902" spans="1:13" x14ac:dyDescent="0.25">
      <c r="A902" s="23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</row>
    <row r="903" spans="1:13" x14ac:dyDescent="0.25">
      <c r="A903" s="23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</row>
    <row r="904" spans="1:13" x14ac:dyDescent="0.25">
      <c r="A904" s="23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</row>
    <row r="905" spans="1:13" x14ac:dyDescent="0.25">
      <c r="A905" s="23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</row>
    <row r="906" spans="1:13" x14ac:dyDescent="0.25">
      <c r="A906" s="23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</row>
    <row r="907" spans="1:13" x14ac:dyDescent="0.25">
      <c r="A907" s="23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</row>
    <row r="908" spans="1:13" x14ac:dyDescent="0.25">
      <c r="A908" s="23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</row>
    <row r="909" spans="1:13" x14ac:dyDescent="0.25">
      <c r="A909" s="23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</row>
    <row r="910" spans="1:13" x14ac:dyDescent="0.25">
      <c r="A910" s="23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</row>
    <row r="911" spans="1:13" x14ac:dyDescent="0.25">
      <c r="A911" s="23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</row>
    <row r="912" spans="1:13" x14ac:dyDescent="0.25">
      <c r="A912" s="23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</row>
    <row r="913" spans="1:13" x14ac:dyDescent="0.25">
      <c r="A913" s="23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</row>
    <row r="914" spans="1:13" x14ac:dyDescent="0.25">
      <c r="A914" s="23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</row>
    <row r="915" spans="1:13" x14ac:dyDescent="0.25">
      <c r="A915" s="23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</row>
    <row r="916" spans="1:13" x14ac:dyDescent="0.25">
      <c r="A916" s="23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</row>
    <row r="917" spans="1:13" x14ac:dyDescent="0.25">
      <c r="A917" s="23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</row>
    <row r="918" spans="1:13" x14ac:dyDescent="0.25">
      <c r="A918" s="23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</row>
    <row r="919" spans="1:13" x14ac:dyDescent="0.25">
      <c r="A919" s="23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</row>
    <row r="920" spans="1:13" x14ac:dyDescent="0.25">
      <c r="A920" s="23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</row>
    <row r="921" spans="1:13" x14ac:dyDescent="0.25">
      <c r="A921" s="23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</row>
    <row r="922" spans="1:13" x14ac:dyDescent="0.25">
      <c r="A922" s="23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</row>
    <row r="923" spans="1:13" x14ac:dyDescent="0.25">
      <c r="A923" s="23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</row>
    <row r="924" spans="1:13" x14ac:dyDescent="0.25">
      <c r="A924" s="23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</row>
    <row r="925" spans="1:13" x14ac:dyDescent="0.25">
      <c r="A925" s="23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</row>
    <row r="926" spans="1:13" x14ac:dyDescent="0.25">
      <c r="A926" s="23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</row>
    <row r="927" spans="1:13" x14ac:dyDescent="0.25">
      <c r="A927" s="23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</row>
    <row r="928" spans="1:13" x14ac:dyDescent="0.25">
      <c r="A928" s="23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</row>
    <row r="929" spans="1:13" x14ac:dyDescent="0.25">
      <c r="A929" s="23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</row>
    <row r="930" spans="1:13" x14ac:dyDescent="0.25">
      <c r="A930" s="23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</row>
    <row r="931" spans="1:13" x14ac:dyDescent="0.25">
      <c r="A931" s="23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</row>
    <row r="932" spans="1:13" x14ac:dyDescent="0.25">
      <c r="A932" s="23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</row>
    <row r="933" spans="1:13" x14ac:dyDescent="0.25">
      <c r="A933" s="23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</row>
    <row r="934" spans="1:13" x14ac:dyDescent="0.25">
      <c r="A934" s="23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</row>
    <row r="935" spans="1:13" x14ac:dyDescent="0.25">
      <c r="A935" s="23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</row>
    <row r="936" spans="1:13" x14ac:dyDescent="0.25">
      <c r="A936" s="23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</row>
    <row r="937" spans="1:13" x14ac:dyDescent="0.25">
      <c r="A937" s="23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</row>
    <row r="938" spans="1:13" x14ac:dyDescent="0.25">
      <c r="A938" s="23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</row>
    <row r="939" spans="1:13" x14ac:dyDescent="0.25">
      <c r="A939" s="23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</row>
    <row r="940" spans="1:13" x14ac:dyDescent="0.25">
      <c r="A940" s="23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</row>
    <row r="941" spans="1:13" x14ac:dyDescent="0.25">
      <c r="A941" s="23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</row>
    <row r="942" spans="1:13" x14ac:dyDescent="0.25">
      <c r="A942" s="23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</row>
    <row r="943" spans="1:13" x14ac:dyDescent="0.25">
      <c r="A943" s="23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</row>
    <row r="944" spans="1:13" x14ac:dyDescent="0.25">
      <c r="A944" s="23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</row>
    <row r="945" spans="1:13" x14ac:dyDescent="0.25">
      <c r="A945" s="23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</row>
    <row r="946" spans="1:13" x14ac:dyDescent="0.25">
      <c r="A946" s="23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</row>
    <row r="947" spans="1:13" x14ac:dyDescent="0.25">
      <c r="A947" s="23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</row>
    <row r="948" spans="1:13" x14ac:dyDescent="0.25">
      <c r="A948" s="23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</row>
    <row r="949" spans="1:13" x14ac:dyDescent="0.25">
      <c r="A949" s="23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</row>
    <row r="950" spans="1:13" x14ac:dyDescent="0.25">
      <c r="A950" s="23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</row>
    <row r="951" spans="1:13" x14ac:dyDescent="0.25">
      <c r="A951" s="23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</row>
    <row r="952" spans="1:13" x14ac:dyDescent="0.25">
      <c r="A952" s="23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</row>
    <row r="953" spans="1:13" x14ac:dyDescent="0.25">
      <c r="A953" s="23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</row>
    <row r="954" spans="1:13" x14ac:dyDescent="0.25">
      <c r="A954" s="23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</row>
    <row r="955" spans="1:13" x14ac:dyDescent="0.25">
      <c r="A955" s="23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</row>
    <row r="956" spans="1:13" x14ac:dyDescent="0.25">
      <c r="A956" s="23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</row>
    <row r="957" spans="1:13" x14ac:dyDescent="0.25">
      <c r="A957" s="23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</row>
    <row r="958" spans="1:13" x14ac:dyDescent="0.25">
      <c r="A958" s="23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</row>
    <row r="959" spans="1:13" x14ac:dyDescent="0.25">
      <c r="A959" s="23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</row>
    <row r="960" spans="1:13" x14ac:dyDescent="0.25">
      <c r="A960" s="23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</row>
    <row r="961" spans="1:13" x14ac:dyDescent="0.25">
      <c r="A961" s="23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</row>
    <row r="962" spans="1:13" x14ac:dyDescent="0.25">
      <c r="A962" s="23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</row>
    <row r="963" spans="1:13" x14ac:dyDescent="0.25">
      <c r="A963" s="23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</row>
    <row r="964" spans="1:13" x14ac:dyDescent="0.25">
      <c r="A964" s="23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</row>
    <row r="965" spans="1:13" x14ac:dyDescent="0.25">
      <c r="A965" s="23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</row>
    <row r="966" spans="1:13" x14ac:dyDescent="0.25">
      <c r="A966" s="23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</row>
    <row r="967" spans="1:13" x14ac:dyDescent="0.25">
      <c r="A967" s="23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</row>
    <row r="968" spans="1:13" x14ac:dyDescent="0.25">
      <c r="A968" s="23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</row>
    <row r="969" spans="1:13" x14ac:dyDescent="0.25">
      <c r="A969" s="23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</row>
    <row r="970" spans="1:13" x14ac:dyDescent="0.25">
      <c r="A970" s="23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</row>
    <row r="971" spans="1:13" x14ac:dyDescent="0.25">
      <c r="A971" s="23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</row>
    <row r="972" spans="1:13" x14ac:dyDescent="0.25">
      <c r="A972" s="23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</row>
    <row r="973" spans="1:13" x14ac:dyDescent="0.25">
      <c r="A973" s="23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</row>
    <row r="974" spans="1:13" x14ac:dyDescent="0.25">
      <c r="A974" s="23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</row>
    <row r="975" spans="1:13" x14ac:dyDescent="0.25">
      <c r="A975" s="23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</row>
    <row r="976" spans="1:13" x14ac:dyDescent="0.25">
      <c r="A976" s="23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</row>
    <row r="977" spans="1:13" x14ac:dyDescent="0.25">
      <c r="A977" s="23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</row>
    <row r="978" spans="1:13" x14ac:dyDescent="0.25">
      <c r="A978" s="23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</row>
    <row r="979" spans="1:13" x14ac:dyDescent="0.25">
      <c r="A979" s="23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</row>
    <row r="980" spans="1:13" x14ac:dyDescent="0.25">
      <c r="A980" s="23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</row>
    <row r="981" spans="1:13" x14ac:dyDescent="0.25">
      <c r="A981" s="23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</row>
    <row r="982" spans="1:13" x14ac:dyDescent="0.25">
      <c r="A982" s="23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</row>
    <row r="983" spans="1:13" x14ac:dyDescent="0.25">
      <c r="A983" s="23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</row>
    <row r="984" spans="1:13" x14ac:dyDescent="0.25">
      <c r="A984" s="23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</row>
    <row r="985" spans="1:13" x14ac:dyDescent="0.25">
      <c r="A985" s="23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</row>
    <row r="986" spans="1:13" x14ac:dyDescent="0.25">
      <c r="A986" s="23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</row>
    <row r="987" spans="1:13" x14ac:dyDescent="0.25">
      <c r="A987" s="23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</row>
    <row r="988" spans="1:13" x14ac:dyDescent="0.25">
      <c r="A988" s="23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</row>
    <row r="989" spans="1:13" x14ac:dyDescent="0.25">
      <c r="A989" s="23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</row>
    <row r="990" spans="1:13" x14ac:dyDescent="0.25">
      <c r="A990" s="23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</row>
    <row r="991" spans="1:13" x14ac:dyDescent="0.25">
      <c r="A991" s="23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</row>
    <row r="992" spans="1:13" x14ac:dyDescent="0.25">
      <c r="A992" s="23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</row>
    <row r="993" spans="1:13" x14ac:dyDescent="0.25">
      <c r="A993" s="23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</row>
    <row r="994" spans="1:13" x14ac:dyDescent="0.25">
      <c r="A994" s="23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</row>
    <row r="995" spans="1:13" x14ac:dyDescent="0.25">
      <c r="A995" s="23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</row>
    <row r="996" spans="1:13" x14ac:dyDescent="0.25">
      <c r="A996" s="23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</row>
    <row r="997" spans="1:13" x14ac:dyDescent="0.25">
      <c r="A997" s="23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</row>
    <row r="998" spans="1:13" x14ac:dyDescent="0.25">
      <c r="A998" s="23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</row>
    <row r="999" spans="1:13" x14ac:dyDescent="0.25">
      <c r="A999" s="23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</row>
    <row r="1000" spans="1:13" x14ac:dyDescent="0.25">
      <c r="A1000" s="23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</row>
  </sheetData>
  <mergeCells count="3">
    <mergeCell ref="A13:M14"/>
    <mergeCell ref="A15:F15"/>
    <mergeCell ref="B17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РТС</vt:lpstr>
      <vt:lpstr>C</vt:lpstr>
      <vt:lpstr>C#</vt:lpstr>
      <vt:lpstr>D#</vt:lpstr>
      <vt:lpstr>E</vt:lpstr>
      <vt:lpstr>D</vt:lpstr>
      <vt:lpstr>F</vt:lpstr>
      <vt:lpstr>G</vt:lpstr>
      <vt:lpstr>G#</vt:lpstr>
      <vt:lpstr>A#</vt:lpstr>
      <vt:lpstr>B</vt:lpstr>
      <vt:lpstr>F#</vt:lpstr>
      <vt:lpstr>A</vt:lpstr>
      <vt:lpstr>Пифагоров строй от Ля</vt:lpstr>
      <vt:lpstr>G Ptolemy (384)</vt:lpstr>
      <vt:lpstr>натуральный звукоряд</vt:lpstr>
      <vt:lpstr>Нат. строй от любой частоты</vt:lpstr>
      <vt:lpstr>53 Шаговый строй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 Е.Ю.</dc:creator>
  <cp:lastModifiedBy>Максимов Е.Ю.</cp:lastModifiedBy>
  <dcterms:created xsi:type="dcterms:W3CDTF">2023-06-28T07:46:36Z</dcterms:created>
  <dcterms:modified xsi:type="dcterms:W3CDTF">2023-06-28T07:46:36Z</dcterms:modified>
</cp:coreProperties>
</file>