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565"/>
  </bookViews>
  <sheets>
    <sheet name="Лист1" sheetId="1" r:id="rId1"/>
    <sheet name="Лист2" sheetId="2" r:id="rId2"/>
    <sheet name="Лист3" sheetId="3" r:id="rId3"/>
  </sheets>
  <definedNames>
    <definedName name="solver_adj" localSheetId="0" hidden="1">Лист1!$D$11:$D$16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Лист1!$D$11:$D$16</definedName>
    <definedName name="solver_lhs2" localSheetId="0" hidden="1">Лист1!$D$11:$D$16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Лист1!$V$48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Лист1!$G$11:$G$16</definedName>
    <definedName name="solver_rhs2" localSheetId="0" hidden="1">Лист1!$F$11:$F$16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J15" i="1" l="1"/>
  <c r="O52" i="1" l="1"/>
  <c r="G59" i="1" s="1"/>
  <c r="O20" i="1" l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20" i="1"/>
  <c r="AI72" i="1"/>
  <c r="AI87" i="1" s="1"/>
  <c r="AI73" i="1"/>
  <c r="AI74" i="1"/>
  <c r="AI89" i="1" s="1"/>
  <c r="AI75" i="1"/>
  <c r="AI90" i="1" s="1"/>
  <c r="AI71" i="1"/>
  <c r="AJ64" i="1"/>
  <c r="AJ79" i="1" s="1"/>
  <c r="AK64" i="1"/>
  <c r="AL64" i="1"/>
  <c r="AL79" i="1" s="1"/>
  <c r="AR64" i="1"/>
  <c r="AR79" i="1" s="1"/>
  <c r="AJ65" i="1"/>
  <c r="AJ80" i="1" s="1"/>
  <c r="AK65" i="1"/>
  <c r="AK80" i="1" s="1"/>
  <c r="AL65" i="1"/>
  <c r="AL80" i="1" s="1"/>
  <c r="AR65" i="1"/>
  <c r="AR80" i="1" s="1"/>
  <c r="AJ66" i="1"/>
  <c r="AJ81" i="1" s="1"/>
  <c r="AK66" i="1"/>
  <c r="AL66" i="1"/>
  <c r="AL81" i="1" s="1"/>
  <c r="AR66" i="1"/>
  <c r="AR81" i="1" s="1"/>
  <c r="AJ67" i="1"/>
  <c r="AJ82" i="1" s="1"/>
  <c r="AK67" i="1"/>
  <c r="AK82" i="1" s="1"/>
  <c r="AL67" i="1"/>
  <c r="AL82" i="1" s="1"/>
  <c r="AR67" i="1"/>
  <c r="AR82" i="1" s="1"/>
  <c r="AJ68" i="1"/>
  <c r="AJ83" i="1" s="1"/>
  <c r="AK68" i="1"/>
  <c r="AK83" i="1" s="1"/>
  <c r="AL68" i="1"/>
  <c r="AL83" i="1" s="1"/>
  <c r="AR68" i="1"/>
  <c r="AR83" i="1" s="1"/>
  <c r="AI65" i="1"/>
  <c r="AI80" i="1" s="1"/>
  <c r="AI66" i="1"/>
  <c r="AI67" i="1"/>
  <c r="AI82" i="1" s="1"/>
  <c r="AI68" i="1"/>
  <c r="AI83" i="1" s="1"/>
  <c r="AI64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20" i="1"/>
  <c r="O86" i="1"/>
  <c r="P86" i="1"/>
  <c r="Q86" i="1"/>
  <c r="S86" i="1"/>
  <c r="T86" i="1"/>
  <c r="O74" i="1"/>
  <c r="O75" i="1"/>
  <c r="O76" i="1"/>
  <c r="O77" i="1"/>
  <c r="O73" i="1"/>
  <c r="P66" i="1"/>
  <c r="Q66" i="1"/>
  <c r="Q81" i="1" s="1"/>
  <c r="R66" i="1"/>
  <c r="S81" i="1" s="1"/>
  <c r="S66" i="1"/>
  <c r="T81" i="1" s="1"/>
  <c r="P67" i="1"/>
  <c r="Q67" i="1"/>
  <c r="Q82" i="1" s="1"/>
  <c r="R67" i="1"/>
  <c r="S82" i="1" s="1"/>
  <c r="S67" i="1"/>
  <c r="T82" i="1" s="1"/>
  <c r="P68" i="1"/>
  <c r="P83" i="1" s="1"/>
  <c r="Q68" i="1"/>
  <c r="Q83" i="1" s="1"/>
  <c r="R68" i="1"/>
  <c r="S83" i="1" s="1"/>
  <c r="S68" i="1"/>
  <c r="T83" i="1" s="1"/>
  <c r="P69" i="1"/>
  <c r="P84" i="1" s="1"/>
  <c r="Q69" i="1"/>
  <c r="Q84" i="1" s="1"/>
  <c r="R69" i="1"/>
  <c r="S84" i="1" s="1"/>
  <c r="S69" i="1"/>
  <c r="T84" i="1" s="1"/>
  <c r="P70" i="1"/>
  <c r="P85" i="1" s="1"/>
  <c r="Q70" i="1"/>
  <c r="Q85" i="1" s="1"/>
  <c r="R70" i="1"/>
  <c r="S85" i="1" s="1"/>
  <c r="S70" i="1"/>
  <c r="T85" i="1" s="1"/>
  <c r="O67" i="1"/>
  <c r="O68" i="1"/>
  <c r="O83" i="1" s="1"/>
  <c r="O69" i="1"/>
  <c r="O84" i="1" s="1"/>
  <c r="O70" i="1"/>
  <c r="O85" i="1" s="1"/>
  <c r="O66" i="1"/>
  <c r="O55" i="1"/>
  <c r="J59" i="1" s="1"/>
  <c r="O54" i="1"/>
  <c r="I59" i="1" s="1"/>
  <c r="O53" i="1"/>
  <c r="H59" i="1" s="1"/>
  <c r="O51" i="1"/>
  <c r="F59" i="1" s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G16" i="1"/>
  <c r="J12" i="1"/>
  <c r="J13" i="1"/>
  <c r="J11" i="1"/>
  <c r="M11" i="1"/>
  <c r="L11" i="1"/>
  <c r="K11" i="1"/>
  <c r="F51" i="1" l="1"/>
  <c r="O81" i="1" s="1"/>
  <c r="AB51" i="1"/>
  <c r="AI79" i="1" s="1"/>
  <c r="X67" i="1"/>
  <c r="V66" i="1" a="1"/>
  <c r="V66" i="1" s="1"/>
  <c r="N11" i="1"/>
  <c r="V67" i="1" l="1"/>
  <c r="V68" i="1"/>
  <c r="V70" i="1"/>
  <c r="V69" i="1"/>
  <c r="F21" i="1"/>
  <c r="F22" i="1"/>
  <c r="F23" i="1"/>
  <c r="F24" i="1"/>
  <c r="F25" i="1"/>
  <c r="F26" i="1"/>
  <c r="F27" i="1"/>
  <c r="F28" i="1"/>
  <c r="F29" i="1"/>
  <c r="F30" i="1"/>
  <c r="F31" i="1"/>
  <c r="F32" i="1"/>
  <c r="AN32" i="1" s="1"/>
  <c r="F33" i="1"/>
  <c r="AN33" i="1" s="1"/>
  <c r="F34" i="1"/>
  <c r="F35" i="1"/>
  <c r="AN35" i="1" s="1"/>
  <c r="F36" i="1"/>
  <c r="AN36" i="1" s="1"/>
  <c r="F37" i="1"/>
  <c r="AN37" i="1" s="1"/>
  <c r="F38" i="1"/>
  <c r="AN38" i="1" s="1"/>
  <c r="F39" i="1"/>
  <c r="AN39" i="1" s="1"/>
  <c r="F40" i="1"/>
  <c r="F41" i="1"/>
  <c r="F42" i="1"/>
  <c r="F43" i="1"/>
  <c r="AN43" i="1" s="1"/>
  <c r="F20" i="1"/>
  <c r="AC31" i="1" l="1"/>
  <c r="AN31" i="1"/>
  <c r="AC41" i="1"/>
  <c r="AN41" i="1"/>
  <c r="AC26" i="1"/>
  <c r="AN26" i="1"/>
  <c r="AC28" i="1"/>
  <c r="AN28" i="1"/>
  <c r="AC22" i="1"/>
  <c r="AN22" i="1"/>
  <c r="AC30" i="1"/>
  <c r="AN30" i="1"/>
  <c r="AC20" i="1"/>
  <c r="AE20" i="1" s="1"/>
  <c r="AN20" i="1"/>
  <c r="AC21" i="1"/>
  <c r="AN21" i="1"/>
  <c r="AC40" i="1"/>
  <c r="AN40" i="1"/>
  <c r="AC34" i="1"/>
  <c r="AN34" i="1"/>
  <c r="AC27" i="1"/>
  <c r="AN27" i="1"/>
  <c r="AC25" i="1"/>
  <c r="AN25" i="1"/>
  <c r="AC23" i="1"/>
  <c r="AN23" i="1"/>
  <c r="AC29" i="1"/>
  <c r="AN29" i="1"/>
  <c r="AC24" i="1"/>
  <c r="AN24" i="1"/>
  <c r="AC42" i="1"/>
  <c r="AN42" i="1"/>
  <c r="M32" i="1"/>
  <c r="AC32" i="1"/>
  <c r="M35" i="1"/>
  <c r="AC35" i="1"/>
  <c r="M33" i="1"/>
  <c r="AC33" i="1"/>
  <c r="M43" i="1"/>
  <c r="AC43" i="1"/>
  <c r="M39" i="1"/>
  <c r="AC39" i="1"/>
  <c r="M38" i="1"/>
  <c r="AC38" i="1"/>
  <c r="M37" i="1"/>
  <c r="AC37" i="1"/>
  <c r="M36" i="1"/>
  <c r="AC36" i="1"/>
  <c r="X66" i="1"/>
  <c r="G34" i="1"/>
  <c r="M34" i="1"/>
  <c r="G31" i="1"/>
  <c r="M31" i="1"/>
  <c r="G30" i="1"/>
  <c r="M30" i="1"/>
  <c r="G28" i="1"/>
  <c r="M28" i="1"/>
  <c r="G27" i="1"/>
  <c r="M27" i="1"/>
  <c r="G26" i="1"/>
  <c r="M26" i="1"/>
  <c r="M24" i="1"/>
  <c r="M22" i="1"/>
  <c r="G25" i="1"/>
  <c r="M25" i="1"/>
  <c r="G21" i="1"/>
  <c r="M21" i="1"/>
  <c r="G29" i="1"/>
  <c r="M29" i="1"/>
  <c r="P21" i="1"/>
  <c r="Q21" i="1" s="1"/>
  <c r="P41" i="1"/>
  <c r="Q41" i="1" s="1"/>
  <c r="P22" i="1"/>
  <c r="Q22" i="1" s="1"/>
  <c r="P42" i="1"/>
  <c r="Q42" i="1" s="1"/>
  <c r="P23" i="1"/>
  <c r="Q23" i="1" s="1"/>
  <c r="P43" i="1"/>
  <c r="Q43" i="1" s="1"/>
  <c r="P24" i="1"/>
  <c r="Q24" i="1" s="1"/>
  <c r="P20" i="1"/>
  <c r="Q20" i="1" s="1"/>
  <c r="P25" i="1"/>
  <c r="Q25" i="1" s="1"/>
  <c r="P31" i="1"/>
  <c r="Q31" i="1" s="1"/>
  <c r="P34" i="1"/>
  <c r="Q34" i="1" s="1"/>
  <c r="P36" i="1"/>
  <c r="Q36" i="1" s="1"/>
  <c r="P26" i="1"/>
  <c r="Q26" i="1" s="1"/>
  <c r="P27" i="1"/>
  <c r="Q27" i="1" s="1"/>
  <c r="P30" i="1"/>
  <c r="Q30" i="1" s="1"/>
  <c r="P32" i="1"/>
  <c r="Q32" i="1" s="1"/>
  <c r="P33" i="1"/>
  <c r="Q33" i="1" s="1"/>
  <c r="P35" i="1"/>
  <c r="Q35" i="1" s="1"/>
  <c r="P39" i="1"/>
  <c r="Q39" i="1" s="1"/>
  <c r="P40" i="1"/>
  <c r="Q40" i="1" s="1"/>
  <c r="P28" i="1"/>
  <c r="Q28" i="1" s="1"/>
  <c r="P29" i="1"/>
  <c r="Q29" i="1" s="1"/>
  <c r="M20" i="1"/>
  <c r="P38" i="1"/>
  <c r="Q38" i="1" s="1"/>
  <c r="P37" i="1"/>
  <c r="Q37" i="1" s="1"/>
  <c r="G20" i="1"/>
  <c r="X20" i="1" s="1"/>
  <c r="M23" i="1"/>
  <c r="G42" i="1"/>
  <c r="M42" i="1"/>
  <c r="G41" i="1"/>
  <c r="M41" i="1"/>
  <c r="G40" i="1"/>
  <c r="M40" i="1"/>
  <c r="G36" i="1"/>
  <c r="G35" i="1"/>
  <c r="G33" i="1"/>
  <c r="G32" i="1"/>
  <c r="G24" i="1"/>
  <c r="G23" i="1"/>
  <c r="AU20" i="1"/>
  <c r="AU21" i="1" s="1"/>
  <c r="AU22" i="1" s="1"/>
  <c r="AU23" i="1" s="1"/>
  <c r="AU24" i="1" s="1"/>
  <c r="AU25" i="1" s="1"/>
  <c r="AU26" i="1" s="1"/>
  <c r="AU27" i="1" s="1"/>
  <c r="AU28" i="1" s="1"/>
  <c r="AU29" i="1" s="1"/>
  <c r="AU30" i="1" s="1"/>
  <c r="AU31" i="1" s="1"/>
  <c r="AU32" i="1" s="1"/>
  <c r="AU33" i="1" s="1"/>
  <c r="AU34" i="1" s="1"/>
  <c r="AU35" i="1" s="1"/>
  <c r="AU36" i="1" s="1"/>
  <c r="AU37" i="1" s="1"/>
  <c r="AU38" i="1" s="1"/>
  <c r="AU39" i="1" s="1"/>
  <c r="AU40" i="1" s="1"/>
  <c r="AU41" i="1" s="1"/>
  <c r="AU42" i="1" s="1"/>
  <c r="AU43" i="1" s="1"/>
  <c r="G22" i="1"/>
  <c r="G43" i="1"/>
  <c r="G39" i="1"/>
  <c r="G38" i="1"/>
  <c r="G37" i="1"/>
  <c r="W20" i="1"/>
  <c r="AJ20" i="1"/>
  <c r="AO20" i="1" s="1"/>
  <c r="AV42" i="1" l="1"/>
  <c r="AK42" i="1"/>
  <c r="X42" i="1"/>
  <c r="AV38" i="1"/>
  <c r="AK38" i="1"/>
  <c r="X38" i="1"/>
  <c r="AK41" i="1"/>
  <c r="X41" i="1"/>
  <c r="AV41" i="1"/>
  <c r="AK30" i="1"/>
  <c r="AV30" i="1"/>
  <c r="X30" i="1"/>
  <c r="X24" i="1"/>
  <c r="AK24" i="1"/>
  <c r="AV24" i="1"/>
  <c r="AK34" i="1"/>
  <c r="X34" i="1"/>
  <c r="AV34" i="1"/>
  <c r="AK27" i="1"/>
  <c r="AV27" i="1"/>
  <c r="X27" i="1"/>
  <c r="X37" i="1"/>
  <c r="AK37" i="1"/>
  <c r="AV37" i="1"/>
  <c r="AK39" i="1"/>
  <c r="X39" i="1"/>
  <c r="AV39" i="1"/>
  <c r="X23" i="1"/>
  <c r="AV23" i="1"/>
  <c r="AK23" i="1"/>
  <c r="AK32" i="1"/>
  <c r="X32" i="1"/>
  <c r="AV32" i="1"/>
  <c r="AK33" i="1"/>
  <c r="AV33" i="1"/>
  <c r="X33" i="1"/>
  <c r="AK28" i="1"/>
  <c r="X28" i="1"/>
  <c r="AV28" i="1"/>
  <c r="AV22" i="1"/>
  <c r="AK22" i="1"/>
  <c r="X22" i="1"/>
  <c r="AV26" i="1"/>
  <c r="X26" i="1"/>
  <c r="AK26" i="1"/>
  <c r="AV29" i="1"/>
  <c r="AK29" i="1"/>
  <c r="X29" i="1"/>
  <c r="X36" i="1"/>
  <c r="AV36" i="1"/>
  <c r="AK36" i="1"/>
  <c r="AV43" i="1"/>
  <c r="X43" i="1"/>
  <c r="AK43" i="1"/>
  <c r="AV31" i="1"/>
  <c r="AK31" i="1"/>
  <c r="X31" i="1"/>
  <c r="AK21" i="1"/>
  <c r="X21" i="1"/>
  <c r="AV21" i="1"/>
  <c r="X35" i="1"/>
  <c r="AV35" i="1"/>
  <c r="AK35" i="1"/>
  <c r="AK25" i="1"/>
  <c r="AV25" i="1"/>
  <c r="X25" i="1"/>
  <c r="AK40" i="1"/>
  <c r="X40" i="1"/>
  <c r="AV40" i="1"/>
  <c r="AP20" i="1"/>
  <c r="AQ20" i="1" s="1"/>
  <c r="AH51" i="1"/>
  <c r="AL53" i="1"/>
  <c r="Y20" i="1"/>
  <c r="L20" i="1"/>
  <c r="L38" i="1"/>
  <c r="W21" i="1"/>
  <c r="AD20" i="1"/>
  <c r="L41" i="1"/>
  <c r="L30" i="1"/>
  <c r="L34" i="1"/>
  <c r="L27" i="1"/>
  <c r="L31" i="1"/>
  <c r="L26" i="1"/>
  <c r="J42" i="1"/>
  <c r="J30" i="1"/>
  <c r="J31" i="1"/>
  <c r="J26" i="1"/>
  <c r="J27" i="1"/>
  <c r="J28" i="1"/>
  <c r="J25" i="1"/>
  <c r="J29" i="1"/>
  <c r="L29" i="1"/>
  <c r="L25" i="1"/>
  <c r="J34" i="1"/>
  <c r="L40" i="1"/>
  <c r="M51" i="1"/>
  <c r="T53" i="1"/>
  <c r="X68" i="1" s="1"/>
  <c r="X69" i="1" s="1"/>
  <c r="L21" i="1"/>
  <c r="J40" i="1"/>
  <c r="L42" i="1"/>
  <c r="J21" i="1"/>
  <c r="L28" i="1"/>
  <c r="J41" i="1"/>
  <c r="K20" i="1"/>
  <c r="AJ21" i="1"/>
  <c r="AO21" i="1" s="1"/>
  <c r="AP21" i="1" s="1"/>
  <c r="AQ21" i="1" s="1"/>
  <c r="L33" i="1"/>
  <c r="L36" i="1"/>
  <c r="L37" i="1"/>
  <c r="L32" i="1"/>
  <c r="J33" i="1"/>
  <c r="J35" i="1"/>
  <c r="J20" i="1"/>
  <c r="L39" i="1"/>
  <c r="J36" i="1"/>
  <c r="J32" i="1"/>
  <c r="J39" i="1"/>
  <c r="L35" i="1"/>
  <c r="J22" i="1"/>
  <c r="J23" i="1"/>
  <c r="J24" i="1"/>
  <c r="J38" i="1"/>
  <c r="L23" i="1"/>
  <c r="L24" i="1"/>
  <c r="H20" i="1"/>
  <c r="J43" i="1"/>
  <c r="AK20" i="1"/>
  <c r="AL20" i="1" s="1"/>
  <c r="L22" i="1"/>
  <c r="Z20" i="1"/>
  <c r="L43" i="1"/>
  <c r="AV20" i="1"/>
  <c r="AW20" i="1" s="1"/>
  <c r="J37" i="1"/>
  <c r="N20" i="1" l="1"/>
  <c r="N21" i="1" s="1"/>
  <c r="Z21" i="1"/>
  <c r="AF20" i="1"/>
  <c r="AI86" i="1"/>
  <c r="Y21" i="1"/>
  <c r="W22" i="1"/>
  <c r="AD21" i="1"/>
  <c r="AE21" i="1" s="1"/>
  <c r="AF21" i="1" s="1"/>
  <c r="K21" i="1"/>
  <c r="AJ22" i="1"/>
  <c r="AO22" i="1" s="1"/>
  <c r="AP22" i="1" s="1"/>
  <c r="AQ22" i="1" s="1"/>
  <c r="I20" i="1"/>
  <c r="Y22" i="1" l="1"/>
  <c r="H21" i="1"/>
  <c r="I21" i="1" s="1"/>
  <c r="AL21" i="1"/>
  <c r="AW21" i="1"/>
  <c r="W23" i="1"/>
  <c r="Y23" i="1" s="1"/>
  <c r="AD22" i="1"/>
  <c r="AE22" i="1" s="1"/>
  <c r="AF22" i="1" s="1"/>
  <c r="Z22" i="1"/>
  <c r="N22" i="1"/>
  <c r="AJ23" i="1"/>
  <c r="AO23" i="1" s="1"/>
  <c r="AP23" i="1" s="1"/>
  <c r="AQ23" i="1" s="1"/>
  <c r="K22" i="1"/>
  <c r="AL22" i="1"/>
  <c r="H22" i="1" l="1"/>
  <c r="AW22" i="1"/>
  <c r="W24" i="1"/>
  <c r="Y24" i="1" s="1"/>
  <c r="AD23" i="1"/>
  <c r="Z23" i="1"/>
  <c r="N23" i="1"/>
  <c r="AJ24" i="1"/>
  <c r="AO24" i="1" s="1"/>
  <c r="AP24" i="1" s="1"/>
  <c r="AQ24" i="1" s="1"/>
  <c r="K23" i="1"/>
  <c r="AL23" i="1"/>
  <c r="H23" i="1" l="1"/>
  <c r="I22" i="1"/>
  <c r="AW23" i="1"/>
  <c r="AE23" i="1"/>
  <c r="AF23" i="1" s="1"/>
  <c r="W25" i="1"/>
  <c r="Y25" i="1" s="1"/>
  <c r="AD24" i="1"/>
  <c r="AE24" i="1" s="1"/>
  <c r="AF24" i="1" s="1"/>
  <c r="Z24" i="1"/>
  <c r="N24" i="1"/>
  <c r="AJ25" i="1"/>
  <c r="AO25" i="1" s="1"/>
  <c r="AP25" i="1" s="1"/>
  <c r="AQ25" i="1" s="1"/>
  <c r="K24" i="1"/>
  <c r="AL24" i="1"/>
  <c r="H24" i="1" l="1"/>
  <c r="I23" i="1"/>
  <c r="AW24" i="1"/>
  <c r="W26" i="1"/>
  <c r="Y26" i="1" s="1"/>
  <c r="AD25" i="1"/>
  <c r="AE25" i="1" s="1"/>
  <c r="AF25" i="1" s="1"/>
  <c r="Z25" i="1"/>
  <c r="N25" i="1"/>
  <c r="AJ26" i="1"/>
  <c r="AO26" i="1" s="1"/>
  <c r="AP26" i="1" s="1"/>
  <c r="AQ26" i="1" s="1"/>
  <c r="K25" i="1"/>
  <c r="AL25" i="1"/>
  <c r="H25" i="1" l="1"/>
  <c r="I24" i="1"/>
  <c r="AW25" i="1"/>
  <c r="W27" i="1"/>
  <c r="Y27" i="1" s="1"/>
  <c r="AD26" i="1"/>
  <c r="AE26" i="1" s="1"/>
  <c r="AF26" i="1" s="1"/>
  <c r="Z26" i="1"/>
  <c r="N26" i="1"/>
  <c r="AJ27" i="1"/>
  <c r="AO27" i="1" s="1"/>
  <c r="AP27" i="1" s="1"/>
  <c r="AQ27" i="1" s="1"/>
  <c r="K26" i="1"/>
  <c r="AL26" i="1"/>
  <c r="H26" i="1" l="1"/>
  <c r="I25" i="1"/>
  <c r="AW26" i="1"/>
  <c r="W28" i="1"/>
  <c r="Y28" i="1" s="1"/>
  <c r="AD27" i="1"/>
  <c r="AE27" i="1" s="1"/>
  <c r="AF27" i="1" s="1"/>
  <c r="Z27" i="1"/>
  <c r="N27" i="1"/>
  <c r="AJ28" i="1"/>
  <c r="AO28" i="1" s="1"/>
  <c r="AP28" i="1" s="1"/>
  <c r="AQ28" i="1" s="1"/>
  <c r="K27" i="1"/>
  <c r="AL27" i="1"/>
  <c r="H27" i="1" l="1"/>
  <c r="I26" i="1"/>
  <c r="AW27" i="1"/>
  <c r="W29" i="1"/>
  <c r="Y29" i="1" s="1"/>
  <c r="AD28" i="1"/>
  <c r="AE28" i="1" s="1"/>
  <c r="AF28" i="1" s="1"/>
  <c r="Z28" i="1"/>
  <c r="N28" i="1"/>
  <c r="AJ29" i="1"/>
  <c r="AO29" i="1" s="1"/>
  <c r="AP29" i="1" s="1"/>
  <c r="AQ29" i="1" s="1"/>
  <c r="K28" i="1"/>
  <c r="AL28" i="1"/>
  <c r="H28" i="1" l="1"/>
  <c r="I27" i="1"/>
  <c r="AW28" i="1"/>
  <c r="W30" i="1"/>
  <c r="Y30" i="1" s="1"/>
  <c r="AD29" i="1"/>
  <c r="AE29" i="1" s="1"/>
  <c r="AF29" i="1" s="1"/>
  <c r="Z29" i="1"/>
  <c r="N29" i="1"/>
  <c r="AJ30" i="1"/>
  <c r="AO30" i="1" s="1"/>
  <c r="AP30" i="1" s="1"/>
  <c r="AQ30" i="1" s="1"/>
  <c r="K29" i="1"/>
  <c r="AL29" i="1"/>
  <c r="H29" i="1" l="1"/>
  <c r="I28" i="1"/>
  <c r="AW29" i="1"/>
  <c r="W31" i="1"/>
  <c r="Y31" i="1" s="1"/>
  <c r="AD30" i="1"/>
  <c r="AE30" i="1" s="1"/>
  <c r="AF30" i="1" s="1"/>
  <c r="Z30" i="1"/>
  <c r="N30" i="1"/>
  <c r="AJ31" i="1"/>
  <c r="AO31" i="1" s="1"/>
  <c r="AP31" i="1" s="1"/>
  <c r="AQ31" i="1" s="1"/>
  <c r="K30" i="1"/>
  <c r="AL30" i="1"/>
  <c r="H30" i="1" l="1"/>
  <c r="I29" i="1"/>
  <c r="AW30" i="1"/>
  <c r="W32" i="1"/>
  <c r="Y32" i="1" s="1"/>
  <c r="AD31" i="1"/>
  <c r="AE31" i="1" s="1"/>
  <c r="AF31" i="1" s="1"/>
  <c r="Z31" i="1"/>
  <c r="N31" i="1"/>
  <c r="AJ32" i="1"/>
  <c r="AO32" i="1" s="1"/>
  <c r="AP32" i="1" s="1"/>
  <c r="AQ32" i="1" s="1"/>
  <c r="K31" i="1"/>
  <c r="AL31" i="1"/>
  <c r="H31" i="1" l="1"/>
  <c r="I30" i="1"/>
  <c r="AW31" i="1"/>
  <c r="W33" i="1"/>
  <c r="Y33" i="1" s="1"/>
  <c r="AD32" i="1"/>
  <c r="AE32" i="1" s="1"/>
  <c r="AF32" i="1" s="1"/>
  <c r="Z32" i="1"/>
  <c r="N32" i="1"/>
  <c r="AJ33" i="1"/>
  <c r="AO33" i="1" s="1"/>
  <c r="AP33" i="1" s="1"/>
  <c r="AQ33" i="1" s="1"/>
  <c r="K32" i="1"/>
  <c r="AL32" i="1"/>
  <c r="H32" i="1" l="1"/>
  <c r="I31" i="1"/>
  <c r="AW32" i="1"/>
  <c r="W34" i="1"/>
  <c r="Y34" i="1" s="1"/>
  <c r="AD33" i="1"/>
  <c r="AE33" i="1" s="1"/>
  <c r="AF33" i="1" s="1"/>
  <c r="Z33" i="1"/>
  <c r="N33" i="1"/>
  <c r="AJ34" i="1"/>
  <c r="AO34" i="1" s="1"/>
  <c r="AP34" i="1" s="1"/>
  <c r="AQ34" i="1" s="1"/>
  <c r="K33" i="1"/>
  <c r="AL33" i="1"/>
  <c r="H33" i="1" l="1"/>
  <c r="I32" i="1"/>
  <c r="AW33" i="1"/>
  <c r="W35" i="1"/>
  <c r="Y35" i="1" s="1"/>
  <c r="AD34" i="1"/>
  <c r="AE34" i="1" s="1"/>
  <c r="AF34" i="1" s="1"/>
  <c r="Z34" i="1"/>
  <c r="N34" i="1"/>
  <c r="AJ35" i="1"/>
  <c r="AO35" i="1" s="1"/>
  <c r="AP35" i="1" s="1"/>
  <c r="AQ35" i="1" s="1"/>
  <c r="K34" i="1"/>
  <c r="AL34" i="1"/>
  <c r="H34" i="1" l="1"/>
  <c r="I33" i="1"/>
  <c r="AW34" i="1"/>
  <c r="W36" i="1"/>
  <c r="Y36" i="1" s="1"/>
  <c r="AD35" i="1"/>
  <c r="AE35" i="1" s="1"/>
  <c r="AF35" i="1" s="1"/>
  <c r="Z35" i="1"/>
  <c r="N35" i="1"/>
  <c r="AJ36" i="1"/>
  <c r="AO36" i="1" s="1"/>
  <c r="AP36" i="1" s="1"/>
  <c r="AQ36" i="1" s="1"/>
  <c r="K35" i="1"/>
  <c r="AL35" i="1"/>
  <c r="H35" i="1" l="1"/>
  <c r="I34" i="1"/>
  <c r="AW35" i="1"/>
  <c r="W37" i="1"/>
  <c r="Y37" i="1" s="1"/>
  <c r="AD36" i="1"/>
  <c r="AE36" i="1" s="1"/>
  <c r="AF36" i="1" s="1"/>
  <c r="Z36" i="1"/>
  <c r="N36" i="1"/>
  <c r="AJ37" i="1"/>
  <c r="AO37" i="1" s="1"/>
  <c r="AP37" i="1" s="1"/>
  <c r="AQ37" i="1" s="1"/>
  <c r="K36" i="1"/>
  <c r="AL36" i="1"/>
  <c r="H36" i="1" l="1"/>
  <c r="I35" i="1"/>
  <c r="AW36" i="1"/>
  <c r="W38" i="1"/>
  <c r="Y38" i="1" s="1"/>
  <c r="AD37" i="1"/>
  <c r="AE37" i="1" s="1"/>
  <c r="AF37" i="1" s="1"/>
  <c r="Z37" i="1"/>
  <c r="N37" i="1"/>
  <c r="AJ38" i="1"/>
  <c r="AO38" i="1" s="1"/>
  <c r="AP38" i="1" s="1"/>
  <c r="AQ38" i="1" s="1"/>
  <c r="K37" i="1"/>
  <c r="AL37" i="1"/>
  <c r="H37" i="1" l="1"/>
  <c r="I36" i="1"/>
  <c r="AW37" i="1"/>
  <c r="W39" i="1"/>
  <c r="Y39" i="1" s="1"/>
  <c r="AD38" i="1"/>
  <c r="AE38" i="1" s="1"/>
  <c r="AF38" i="1" s="1"/>
  <c r="Z38" i="1"/>
  <c r="N38" i="1"/>
  <c r="AJ39" i="1"/>
  <c r="AO39" i="1" s="1"/>
  <c r="AP39" i="1" s="1"/>
  <c r="AQ39" i="1" s="1"/>
  <c r="K38" i="1"/>
  <c r="AL38" i="1"/>
  <c r="H38" i="1" l="1"/>
  <c r="I37" i="1"/>
  <c r="AW38" i="1"/>
  <c r="W40" i="1"/>
  <c r="Y40" i="1" s="1"/>
  <c r="AD39" i="1"/>
  <c r="AE39" i="1" s="1"/>
  <c r="AF39" i="1" s="1"/>
  <c r="Z39" i="1"/>
  <c r="N39" i="1"/>
  <c r="AJ40" i="1"/>
  <c r="AO40" i="1" s="1"/>
  <c r="AP40" i="1" s="1"/>
  <c r="AQ40" i="1" s="1"/>
  <c r="K39" i="1"/>
  <c r="AL39" i="1"/>
  <c r="H39" i="1" l="1"/>
  <c r="I38" i="1"/>
  <c r="AW39" i="1"/>
  <c r="W41" i="1"/>
  <c r="Y41" i="1" s="1"/>
  <c r="AD40" i="1"/>
  <c r="AE40" i="1" s="1"/>
  <c r="AF40" i="1" s="1"/>
  <c r="Z40" i="1"/>
  <c r="N40" i="1"/>
  <c r="AJ41" i="1"/>
  <c r="AO41" i="1" s="1"/>
  <c r="AP41" i="1" s="1"/>
  <c r="AQ41" i="1" s="1"/>
  <c r="K40" i="1"/>
  <c r="AL40" i="1"/>
  <c r="H40" i="1" l="1"/>
  <c r="I39" i="1"/>
  <c r="AW40" i="1"/>
  <c r="W42" i="1"/>
  <c r="Y42" i="1" s="1"/>
  <c r="AD41" i="1"/>
  <c r="AE41" i="1" s="1"/>
  <c r="AF41" i="1" s="1"/>
  <c r="Z41" i="1"/>
  <c r="N41" i="1"/>
  <c r="AJ42" i="1"/>
  <c r="AO42" i="1" s="1"/>
  <c r="AP42" i="1" s="1"/>
  <c r="AQ42" i="1" s="1"/>
  <c r="K41" i="1"/>
  <c r="AL41" i="1"/>
  <c r="H41" i="1" l="1"/>
  <c r="I40" i="1"/>
  <c r="AW41" i="1"/>
  <c r="W43" i="1"/>
  <c r="Y43" i="1" s="1"/>
  <c r="AD42" i="1"/>
  <c r="AE42" i="1" s="1"/>
  <c r="AF42" i="1" s="1"/>
  <c r="Z42" i="1"/>
  <c r="N42" i="1"/>
  <c r="AJ43" i="1"/>
  <c r="AO43" i="1" s="1"/>
  <c r="AP43" i="1" s="1"/>
  <c r="AQ43" i="1" s="1"/>
  <c r="AQ44" i="1" s="1"/>
  <c r="K42" i="1"/>
  <c r="AL42" i="1"/>
  <c r="H42" i="1" l="1"/>
  <c r="I41" i="1"/>
  <c r="AW43" i="1"/>
  <c r="AW42" i="1"/>
  <c r="AD43" i="1"/>
  <c r="Z43" i="1"/>
  <c r="Z44" i="1" s="1"/>
  <c r="N43" i="1"/>
  <c r="K43" i="1"/>
  <c r="AL43" i="1"/>
  <c r="AL44" i="1" s="1"/>
  <c r="H43" i="1" l="1"/>
  <c r="I43" i="1" s="1"/>
  <c r="I42" i="1"/>
  <c r="AV44" i="1"/>
  <c r="P46" i="1"/>
  <c r="O46" i="1"/>
  <c r="AE43" i="1"/>
  <c r="AF43" i="1" s="1"/>
  <c r="AF44" i="1" s="1"/>
  <c r="AD53" i="1"/>
  <c r="AK81" i="1" s="1"/>
  <c r="AH53" i="1"/>
  <c r="AD51" i="1"/>
  <c r="G52" i="1"/>
  <c r="P82" i="1" s="1"/>
  <c r="M52" i="1"/>
  <c r="I44" i="1" l="1"/>
  <c r="V48" i="1" s="1"/>
  <c r="Q48" i="1"/>
  <c r="AI88" i="1"/>
  <c r="AL52" i="1"/>
  <c r="AB53" i="1"/>
  <c r="AI81" i="1" s="1"/>
  <c r="AJ51" i="1" a="1"/>
  <c r="AK79" i="1"/>
  <c r="T52" i="1"/>
  <c r="G51" i="1"/>
  <c r="AJ52" i="1" l="1"/>
  <c r="AJ54" i="1"/>
  <c r="AJ53" i="1"/>
  <c r="AJ55" i="1"/>
  <c r="AJ51" i="1"/>
  <c r="F52" i="1"/>
  <c r="O82" i="1" s="1"/>
  <c r="P81" i="1"/>
  <c r="AL51" i="1" l="1"/>
  <c r="AL54" i="1" s="1"/>
  <c r="Q51" i="1" a="1"/>
  <c r="Q51" i="1" s="1"/>
  <c r="Q52" i="1" l="1"/>
  <c r="Q53" i="1"/>
  <c r="Q54" i="1"/>
  <c r="Q55" i="1"/>
  <c r="T51" i="1" l="1"/>
  <c r="T54" i="1" s="1"/>
</calcChain>
</file>

<file path=xl/sharedStrings.xml><?xml version="1.0" encoding="utf-8"?>
<sst xmlns="http://schemas.openxmlformats.org/spreadsheetml/2006/main" count="114" uniqueCount="68">
  <si>
    <t>Pзаб, атм</t>
  </si>
  <si>
    <t>I1</t>
  </si>
  <si>
    <t>IR</t>
  </si>
  <si>
    <t>WI</t>
  </si>
  <si>
    <t>days</t>
  </si>
  <si>
    <t>Рпласт (МБ)</t>
  </si>
  <si>
    <t>Рпласт (Дюпии)</t>
  </si>
  <si>
    <t>P1</t>
  </si>
  <si>
    <t>P2</t>
  </si>
  <si>
    <t>P3</t>
  </si>
  <si>
    <t>WI_I1</t>
  </si>
  <si>
    <t>fij_I1</t>
  </si>
  <si>
    <t>Tij_I1</t>
  </si>
  <si>
    <t>J</t>
  </si>
  <si>
    <t>tau</t>
  </si>
  <si>
    <t>alpha</t>
  </si>
  <si>
    <t>TdP</t>
  </si>
  <si>
    <t>Pпл_Д</t>
  </si>
  <si>
    <t>Pпл_МБ</t>
  </si>
  <si>
    <t>dWI</t>
  </si>
  <si>
    <t>dPпл</t>
  </si>
  <si>
    <t>Iout</t>
  </si>
  <si>
    <t>Pпл_факт</t>
  </si>
  <si>
    <t>Iout_2</t>
  </si>
  <si>
    <t>dPпл_м/ф</t>
  </si>
  <si>
    <t>exps</t>
  </si>
  <si>
    <t>A1</t>
  </si>
  <si>
    <t>U</t>
  </si>
  <si>
    <t>C_J</t>
  </si>
  <si>
    <t>D1</t>
  </si>
  <si>
    <t>C</t>
  </si>
  <si>
    <t>D</t>
  </si>
  <si>
    <t>c</t>
  </si>
  <si>
    <t>Name</t>
  </si>
  <si>
    <t>Value</t>
  </si>
  <si>
    <t>Type</t>
  </si>
  <si>
    <t>[0]</t>
  </si>
  <si>
    <t>double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</si>
  <si>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</si>
  <si>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</si>
  <si>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</si>
  <si>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</si>
  <si>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</si>
  <si>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</si>
  <si>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</si>
  <si>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</si>
  <si>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</si>
  <si>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</si>
  <si>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</si>
  <si>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</si>
  <si>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</si>
  <si>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</si>
  <si>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</si>
  <si>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</si>
  <si>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</si>
  <si>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</si>
  <si>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</si>
  <si>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</si>
  <si>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</si>
  <si>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</si>
  <si>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</si>
  <si>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Pt-Pjt</t>
  </si>
  <si>
    <t>A2</t>
  </si>
  <si>
    <t>dWI2</t>
  </si>
  <si>
    <t>D_2_1</t>
  </si>
  <si>
    <t>с_21</t>
  </si>
  <si>
    <t>мин</t>
  </si>
  <si>
    <t>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</si>
</sst>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2" borderId="10" applyNumberFormat="0" applyAlignment="0" applyProtection="0"/>
  </cellStyleXfs>
  <cellXfs count="26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2" applyFont="1" applyFill="1" applyBorder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1" xfId="1"/>
    <xf numFmtId="0" fontId="1" fillId="2" borderId="1" xfId="1" applyAlignment="1">
      <alignment horizontal="center"/>
    </xf>
    <xf numFmtId="0" fontId="1" fillId="2" borderId="0" xfId="1" applyBorder="1" applyAlignment="1">
      <alignment horizontal="center"/>
    </xf>
    <xf numFmtId="0" fontId="6" fillId="4" borderId="0" xfId="4"/>
    <xf numFmtId="0" fontId="6" fillId="4" borderId="5" xfId="4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6" fillId="4" borderId="0" xfId="4" applyBorder="1" applyAlignment="1">
      <alignment horizontal="center"/>
    </xf>
    <xf numFmtId="0" fontId="6" fillId="4" borderId="1" xfId="4" applyBorder="1" applyAlignment="1">
      <alignment horizontal="center" vertical="center" wrapText="1"/>
    </xf>
    <xf numFmtId="0" fontId="6" fillId="4" borderId="0" xfId="4" applyAlignment="1">
      <alignment vertical="center" wrapText="1"/>
    </xf>
    <xf numFmtId="0" fontId="5" fillId="3" borderId="0" xfId="3"/>
    <xf numFmtId="0" fontId="6" fillId="4" borderId="0" xfId="4" applyAlignment="1">
      <alignment horizontal="center" vertical="center" wrapText="1"/>
    </xf>
    <xf numFmtId="0" fontId="1" fillId="2" borderId="1" xfId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5" fillId="3" borderId="0" xfId="3" applyAlignment="1">
      <alignment vertical="center" wrapText="1"/>
    </xf>
    <xf numFmtId="0" fontId="7" fillId="2" borderId="10" xfId="5"/>
  </cellXfs>
  <cellStyles count="6">
    <cellStyle name="Вывод" xfId="1" builtinId="21"/>
    <cellStyle name="Вычисление" xfId="5" builtinId="22"/>
    <cellStyle name="Нейтральный" xfId="4" builtinId="28"/>
    <cellStyle name="Обычный" xfId="0" builtinId="0"/>
    <cellStyle name="Обычный_Лист1" xfId="2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738407699037615E-2"/>
          <c:y val="3.75116652085156E-2"/>
          <c:w val="0.67227537182852148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strRef>
              <c:f>Лист1!$G$19</c:f>
              <c:strCache>
                <c:ptCount val="1"/>
                <c:pt idx="0">
                  <c:v>Pпл_Д</c:v>
                </c:pt>
              </c:strCache>
            </c:strRef>
          </c:tx>
          <c:val>
            <c:numRef>
              <c:f>Лист1!$G$20:$G$43</c:f>
              <c:numCache>
                <c:formatCode>General</c:formatCode>
                <c:ptCount val="24"/>
                <c:pt idx="0">
                  <c:v>187.93211034197196</c:v>
                </c:pt>
                <c:pt idx="1">
                  <c:v>188.91453134590753</c:v>
                </c:pt>
                <c:pt idx="2">
                  <c:v>192.07159089909038</c:v>
                </c:pt>
                <c:pt idx="3">
                  <c:v>196.31438791329035</c:v>
                </c:pt>
                <c:pt idx="4">
                  <c:v>196.69909248861632</c:v>
                </c:pt>
                <c:pt idx="5">
                  <c:v>197.20580593478945</c:v>
                </c:pt>
                <c:pt idx="6">
                  <c:v>197.72651257006586</c:v>
                </c:pt>
                <c:pt idx="7">
                  <c:v>198.00183975609986</c:v>
                </c:pt>
                <c:pt idx="8">
                  <c:v>197.17427889576291</c:v>
                </c:pt>
                <c:pt idx="9">
                  <c:v>198.23877740757075</c:v>
                </c:pt>
                <c:pt idx="10">
                  <c:v>197.75173250904422</c:v>
                </c:pt>
                <c:pt idx="11">
                  <c:v>196.34969437035761</c:v>
                </c:pt>
                <c:pt idx="12">
                  <c:v>192.87157191603859</c:v>
                </c:pt>
                <c:pt idx="13">
                  <c:v>192.6809739463267</c:v>
                </c:pt>
                <c:pt idx="14">
                  <c:v>193.22327215345166</c:v>
                </c:pt>
                <c:pt idx="15">
                  <c:v>193.17862409281111</c:v>
                </c:pt>
                <c:pt idx="16">
                  <c:v>190.74028440936263</c:v>
                </c:pt>
                <c:pt idx="17">
                  <c:v>190.38756225591166</c:v>
                </c:pt>
                <c:pt idx="18">
                  <c:v>190.65240990574748</c:v>
                </c:pt>
                <c:pt idx="19">
                  <c:v>184.67106118467541</c:v>
                </c:pt>
                <c:pt idx="20">
                  <c:v>187.10160295909682</c:v>
                </c:pt>
                <c:pt idx="21">
                  <c:v>189.36530575091277</c:v>
                </c:pt>
                <c:pt idx="22">
                  <c:v>187.99617951363746</c:v>
                </c:pt>
                <c:pt idx="23">
                  <c:v>189.47446712786586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Лист1!$H$19</c:f>
              <c:strCache>
                <c:ptCount val="1"/>
                <c:pt idx="0">
                  <c:v>Pпл_МБ</c:v>
                </c:pt>
              </c:strCache>
            </c:strRef>
          </c:tx>
          <c:val>
            <c:numRef>
              <c:f>Лист1!$H$20:$H$43</c:f>
              <c:numCache>
                <c:formatCode>General</c:formatCode>
                <c:ptCount val="24"/>
                <c:pt idx="0">
                  <c:v>187.93211034197196</c:v>
                </c:pt>
                <c:pt idx="1">
                  <c:v>187.10014854238847</c:v>
                </c:pt>
                <c:pt idx="2">
                  <c:v>186.67303185869125</c:v>
                </c:pt>
                <c:pt idx="3">
                  <c:v>187.12806695151184</c:v>
                </c:pt>
                <c:pt idx="4">
                  <c:v>187.60263839734765</c:v>
                </c:pt>
                <c:pt idx="5">
                  <c:v>188.37350097014655</c:v>
                </c:pt>
                <c:pt idx="6">
                  <c:v>188.93582952472008</c:v>
                </c:pt>
                <c:pt idx="7">
                  <c:v>189.49693231362025</c:v>
                </c:pt>
                <c:pt idx="8">
                  <c:v>190.06471052631827</c:v>
                </c:pt>
                <c:pt idx="9">
                  <c:v>190.58328357035342</c:v>
                </c:pt>
                <c:pt idx="10">
                  <c:v>191.29057533955063</c:v>
                </c:pt>
                <c:pt idx="11">
                  <c:v>191.43441434183251</c:v>
                </c:pt>
                <c:pt idx="12">
                  <c:v>191.73396591553976</c:v>
                </c:pt>
                <c:pt idx="13">
                  <c:v>192.04688403761352</c:v>
                </c:pt>
                <c:pt idx="14">
                  <c:v>192.38113605837356</c:v>
                </c:pt>
                <c:pt idx="15">
                  <c:v>192.7341244589542</c:v>
                </c:pt>
                <c:pt idx="16">
                  <c:v>192.68383933595354</c:v>
                </c:pt>
                <c:pt idx="17">
                  <c:v>192.491357138251</c:v>
                </c:pt>
                <c:pt idx="18">
                  <c:v>192.17849473690086</c:v>
                </c:pt>
                <c:pt idx="19">
                  <c:v>191.8477879163201</c:v>
                </c:pt>
                <c:pt idx="20">
                  <c:v>191.92766208867789</c:v>
                </c:pt>
                <c:pt idx="21">
                  <c:v>192.13158073322015</c:v>
                </c:pt>
                <c:pt idx="22">
                  <c:v>192.52238913605018</c:v>
                </c:pt>
                <c:pt idx="23">
                  <c:v>192.77541241631997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Лист1!$E$19</c:f>
              <c:strCache>
                <c:ptCount val="1"/>
                <c:pt idx="0">
                  <c:v>Pпл_факт</c:v>
                </c:pt>
              </c:strCache>
            </c:strRef>
          </c:tx>
          <c:val>
            <c:numRef>
              <c:f>Лист1!$E$20:$E$43</c:f>
              <c:numCache>
                <c:formatCode>General</c:formatCode>
                <c:ptCount val="24"/>
                <c:pt idx="0">
                  <c:v>187.15492248535159</c:v>
                </c:pt>
                <c:pt idx="1">
                  <c:v>188.2955627441406</c:v>
                </c:pt>
                <c:pt idx="2">
                  <c:v>191.96589660644531</c:v>
                </c:pt>
                <c:pt idx="3">
                  <c:v>196.88993835449219</c:v>
                </c:pt>
                <c:pt idx="4">
                  <c:v>197.31733703613281</c:v>
                </c:pt>
                <c:pt idx="5">
                  <c:v>197.91517639160159</c:v>
                </c:pt>
                <c:pt idx="6">
                  <c:v>198.5121154785156</c:v>
                </c:pt>
                <c:pt idx="7">
                  <c:v>198.7353820800781</c:v>
                </c:pt>
                <c:pt idx="8">
                  <c:v>197.76643371582031</c:v>
                </c:pt>
                <c:pt idx="9">
                  <c:v>198.9980773925781</c:v>
                </c:pt>
                <c:pt idx="10">
                  <c:v>198.4328918457031</c:v>
                </c:pt>
                <c:pt idx="11">
                  <c:v>196.80659484863281</c:v>
                </c:pt>
                <c:pt idx="12">
                  <c:v>193.13331604003909</c:v>
                </c:pt>
                <c:pt idx="13">
                  <c:v>192.93592834472659</c:v>
                </c:pt>
                <c:pt idx="14">
                  <c:v>193.56025695800781</c:v>
                </c:pt>
                <c:pt idx="15">
                  <c:v>193.51025390625</c:v>
                </c:pt>
                <c:pt idx="16">
                  <c:v>190.68096923828119</c:v>
                </c:pt>
                <c:pt idx="17">
                  <c:v>190.2662048339844</c:v>
                </c:pt>
                <c:pt idx="18">
                  <c:v>190.58526611328119</c:v>
                </c:pt>
                <c:pt idx="19">
                  <c:v>183.8103332519531</c:v>
                </c:pt>
                <c:pt idx="20">
                  <c:v>186.65800476074219</c:v>
                </c:pt>
                <c:pt idx="21">
                  <c:v>189.28031921386719</c:v>
                </c:pt>
                <c:pt idx="22">
                  <c:v>187.6907958984375</c:v>
                </c:pt>
                <c:pt idx="23">
                  <c:v>189.40185546875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758784"/>
        <c:axId val="328590464"/>
      </c:lineChart>
      <c:catAx>
        <c:axId val="328758784"/>
        <c:scaling>
          <c:orientation val="minMax"/>
        </c:scaling>
        <c:delete val="0"/>
        <c:axPos val="b"/>
        <c:majorTickMark val="out"/>
        <c:minorTickMark val="none"/>
        <c:tickLblPos val="nextTo"/>
        <c:crossAx val="328590464"/>
        <c:crosses val="autoZero"/>
        <c:auto val="1"/>
        <c:lblAlgn val="ctr"/>
        <c:lblOffset val="100"/>
        <c:noMultiLvlLbl val="0"/>
      </c:catAx>
      <c:valAx>
        <c:axId val="328590464"/>
        <c:scaling>
          <c:orientation val="minMax"/>
          <c:min val="17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8758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Лист1!$W$20:$W$43</c:f>
              <c:numCache>
                <c:formatCode>General</c:formatCode>
                <c:ptCount val="24"/>
                <c:pt idx="0">
                  <c:v>62.00017895651871</c:v>
                </c:pt>
                <c:pt idx="1">
                  <c:v>62.00017978400551</c:v>
                </c:pt>
                <c:pt idx="2">
                  <c:v>62.000179487920406</c:v>
                </c:pt>
                <c:pt idx="3">
                  <c:v>62.000180104704867</c:v>
                </c:pt>
                <c:pt idx="4">
                  <c:v>62.00018049072392</c:v>
                </c:pt>
                <c:pt idx="5">
                  <c:v>62.00018112363724</c:v>
                </c:pt>
                <c:pt idx="6">
                  <c:v>62.000181070018712</c:v>
                </c:pt>
                <c:pt idx="7">
                  <c:v>63.069017765108811</c:v>
                </c:pt>
                <c:pt idx="8">
                  <c:v>63.714057980327489</c:v>
                </c:pt>
                <c:pt idx="9">
                  <c:v>64.103338222879486</c:v>
                </c:pt>
                <c:pt idx="10">
                  <c:v>64.338267334110924</c:v>
                </c:pt>
                <c:pt idx="11">
                  <c:v>64.480045947945456</c:v>
                </c:pt>
                <c:pt idx="12">
                  <c:v>60.29026003318296</c:v>
                </c:pt>
                <c:pt idx="13">
                  <c:v>57.761736971734024</c:v>
                </c:pt>
                <c:pt idx="14">
                  <c:v>56.235779940239659</c:v>
                </c:pt>
                <c:pt idx="15">
                  <c:v>55.314870162003892</c:v>
                </c:pt>
                <c:pt idx="16">
                  <c:v>54.759104247254086</c:v>
                </c:pt>
                <c:pt idx="17">
                  <c:v>54.423701138711365</c:v>
                </c:pt>
                <c:pt idx="18">
                  <c:v>54.22128554365267</c:v>
                </c:pt>
                <c:pt idx="19">
                  <c:v>51.961454653034309</c:v>
                </c:pt>
                <c:pt idx="20">
                  <c:v>50.59765356477056</c:v>
                </c:pt>
                <c:pt idx="21">
                  <c:v>49.77460324039582</c:v>
                </c:pt>
                <c:pt idx="22">
                  <c:v>49.277895618146879</c:v>
                </c:pt>
                <c:pt idx="23">
                  <c:v>48.978133201711572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Лист1!$X$20:$X$43</c:f>
              <c:numCache>
                <c:formatCode>General</c:formatCode>
                <c:ptCount val="24"/>
                <c:pt idx="0">
                  <c:v>73.526421681694927</c:v>
                </c:pt>
                <c:pt idx="1">
                  <c:v>71.683341807550818</c:v>
                </c:pt>
                <c:pt idx="2">
                  <c:v>67.756607534860422</c:v>
                </c:pt>
                <c:pt idx="3">
                  <c:v>61.34717969696635</c:v>
                </c:pt>
                <c:pt idx="4">
                  <c:v>55.288430876924679</c:v>
                </c:pt>
                <c:pt idx="5">
                  <c:v>55.410075058076309</c:v>
                </c:pt>
                <c:pt idx="6">
                  <c:v>57.933016214162379</c:v>
                </c:pt>
                <c:pt idx="7">
                  <c:v>57.343760834014461</c:v>
                </c:pt>
                <c:pt idx="8">
                  <c:v>59.335383863145246</c:v>
                </c:pt>
                <c:pt idx="9">
                  <c:v>57.767653809765633</c:v>
                </c:pt>
                <c:pt idx="10">
                  <c:v>58.882331127555915</c:v>
                </c:pt>
                <c:pt idx="11">
                  <c:v>63.078279345327225</c:v>
                </c:pt>
                <c:pt idx="12">
                  <c:v>48.49903272945415</c:v>
                </c:pt>
                <c:pt idx="13">
                  <c:v>48.368569864463844</c:v>
                </c:pt>
                <c:pt idx="14">
                  <c:v>50.632208568252466</c:v>
                </c:pt>
                <c:pt idx="15">
                  <c:v>49.822263093220521</c:v>
                </c:pt>
                <c:pt idx="16">
                  <c:v>50.4925288855936</c:v>
                </c:pt>
                <c:pt idx="17">
                  <c:v>51.643836829297136</c:v>
                </c:pt>
                <c:pt idx="18">
                  <c:v>54.381654489950449</c:v>
                </c:pt>
                <c:pt idx="19">
                  <c:v>50.340204345183956</c:v>
                </c:pt>
                <c:pt idx="20">
                  <c:v>51.797726126524893</c:v>
                </c:pt>
                <c:pt idx="21">
                  <c:v>47.518059284032674</c:v>
                </c:pt>
                <c:pt idx="22">
                  <c:v>47.240259883891532</c:v>
                </c:pt>
                <c:pt idx="23">
                  <c:v>47.339510377538801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760832"/>
        <c:axId val="328592192"/>
      </c:lineChart>
      <c:catAx>
        <c:axId val="328760832"/>
        <c:scaling>
          <c:orientation val="minMax"/>
        </c:scaling>
        <c:delete val="0"/>
        <c:axPos val="b"/>
        <c:majorTickMark val="out"/>
        <c:minorTickMark val="none"/>
        <c:tickLblPos val="nextTo"/>
        <c:crossAx val="328592192"/>
        <c:crosses val="autoZero"/>
        <c:auto val="1"/>
        <c:lblAlgn val="ctr"/>
        <c:lblOffset val="100"/>
        <c:noMultiLvlLbl val="0"/>
      </c:catAx>
      <c:valAx>
        <c:axId val="32859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8760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Лист1!$AJ$20:$AJ$43</c:f>
              <c:numCache>
                <c:formatCode>General</c:formatCode>
                <c:ptCount val="24"/>
                <c:pt idx="0">
                  <c:v>52.152499122258071</c:v>
                </c:pt>
                <c:pt idx="1">
                  <c:v>52.152500736798238</c:v>
                </c:pt>
                <c:pt idx="2">
                  <c:v>52.152499314353051</c:v>
                </c:pt>
                <c:pt idx="3">
                  <c:v>52.152500752221101</c:v>
                </c:pt>
                <c:pt idx="4">
                  <c:v>52.152500894573166</c:v>
                </c:pt>
                <c:pt idx="5">
                  <c:v>52.152501686363365</c:v>
                </c:pt>
                <c:pt idx="6">
                  <c:v>52.152500900058335</c:v>
                </c:pt>
                <c:pt idx="7">
                  <c:v>54.237947795917037</c:v>
                </c:pt>
                <c:pt idx="8">
                  <c:v>54.405384261220597</c:v>
                </c:pt>
                <c:pt idx="9">
                  <c:v>54.418828065815532</c:v>
                </c:pt>
                <c:pt idx="10">
                  <c:v>54.419906715412971</c:v>
                </c:pt>
                <c:pt idx="11">
                  <c:v>54.419992510398494</c:v>
                </c:pt>
                <c:pt idx="12">
                  <c:v>46.078207696793484</c:v>
                </c:pt>
                <c:pt idx="13">
                  <c:v>45.408466094312821</c:v>
                </c:pt>
                <c:pt idx="14">
                  <c:v>45.354692542004067</c:v>
                </c:pt>
                <c:pt idx="15">
                  <c:v>45.350376753232055</c:v>
                </c:pt>
                <c:pt idx="16">
                  <c:v>45.350031082815697</c:v>
                </c:pt>
                <c:pt idx="17">
                  <c:v>45.350003302836718</c:v>
                </c:pt>
                <c:pt idx="18">
                  <c:v>45.34999950051288</c:v>
                </c:pt>
                <c:pt idx="19">
                  <c:v>41.179104848952974</c:v>
                </c:pt>
                <c:pt idx="20">
                  <c:v>40.844233867486317</c:v>
                </c:pt>
                <c:pt idx="21">
                  <c:v>40.8173471189073</c:v>
                </c:pt>
                <c:pt idx="22">
                  <c:v>40.815190059232471</c:v>
                </c:pt>
                <c:pt idx="23">
                  <c:v>40.815015259411645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Лист1!$AK$20:$AK$43</c:f>
              <c:numCache>
                <c:formatCode>General</c:formatCode>
                <c:ptCount val="24"/>
                <c:pt idx="0">
                  <c:v>55.432924676458747</c:v>
                </c:pt>
                <c:pt idx="1">
                  <c:v>55.510107691581503</c:v>
                </c:pt>
                <c:pt idx="2">
                  <c:v>55.077862989050054</c:v>
                </c:pt>
                <c:pt idx="3">
                  <c:v>51.626896818833828</c:v>
                </c:pt>
                <c:pt idx="4">
                  <c:v>52.45615105035467</c:v>
                </c:pt>
                <c:pt idx="5">
                  <c:v>48.999737900181728</c:v>
                </c:pt>
                <c:pt idx="6">
                  <c:v>52.949208176250053</c:v>
                </c:pt>
                <c:pt idx="7">
                  <c:v>54.053191930494755</c:v>
                </c:pt>
                <c:pt idx="8">
                  <c:v>53.996965552187177</c:v>
                </c:pt>
                <c:pt idx="9">
                  <c:v>53.111897418816312</c:v>
                </c:pt>
                <c:pt idx="10">
                  <c:v>52.06867616667823</c:v>
                </c:pt>
                <c:pt idx="11">
                  <c:v>53.629334189298802</c:v>
                </c:pt>
                <c:pt idx="12">
                  <c:v>44.687912524061893</c:v>
                </c:pt>
                <c:pt idx="13">
                  <c:v>45.489119981768305</c:v>
                </c:pt>
                <c:pt idx="14">
                  <c:v>45.914124734426331</c:v>
                </c:pt>
                <c:pt idx="15">
                  <c:v>45.854675481977523</c:v>
                </c:pt>
                <c:pt idx="16">
                  <c:v>45.913388553239514</c:v>
                </c:pt>
                <c:pt idx="17">
                  <c:v>45.968882579872592</c:v>
                </c:pt>
                <c:pt idx="18">
                  <c:v>48.371331940903467</c:v>
                </c:pt>
                <c:pt idx="19">
                  <c:v>44.802519428413916</c:v>
                </c:pt>
                <c:pt idx="20">
                  <c:v>44.103064133203809</c:v>
                </c:pt>
                <c:pt idx="21">
                  <c:v>42.726030017188464</c:v>
                </c:pt>
                <c:pt idx="22">
                  <c:v>42.276409084500877</c:v>
                </c:pt>
                <c:pt idx="23">
                  <c:v>42.683334836922938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482240"/>
        <c:axId val="328593920"/>
      </c:lineChart>
      <c:catAx>
        <c:axId val="329482240"/>
        <c:scaling>
          <c:orientation val="minMax"/>
        </c:scaling>
        <c:delete val="0"/>
        <c:axPos val="b"/>
        <c:majorTickMark val="out"/>
        <c:minorTickMark val="none"/>
        <c:tickLblPos val="nextTo"/>
        <c:crossAx val="328593920"/>
        <c:crosses val="autoZero"/>
        <c:auto val="1"/>
        <c:lblAlgn val="ctr"/>
        <c:lblOffset val="100"/>
        <c:noMultiLvlLbl val="0"/>
      </c:catAx>
      <c:valAx>
        <c:axId val="3285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9482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Лист1!$AU$20:$AU$43</c:f>
              <c:numCache>
                <c:formatCode>General</c:formatCode>
                <c:ptCount val="24"/>
                <c:pt idx="0">
                  <c:v>70.947178805938066</c:v>
                </c:pt>
                <c:pt idx="1">
                  <c:v>70.947180535210066</c:v>
                </c:pt>
                <c:pt idx="2">
                  <c:v>70.947179349927765</c:v>
                </c:pt>
                <c:pt idx="3">
                  <c:v>70.947180685289638</c:v>
                </c:pt>
                <c:pt idx="4">
                  <c:v>70.947181082519563</c:v>
                </c:pt>
                <c:pt idx="5">
                  <c:v>70.947182027924867</c:v>
                </c:pt>
                <c:pt idx="6">
                  <c:v>70.947181378480153</c:v>
                </c:pt>
                <c:pt idx="7">
                  <c:v>73.180823373129599</c:v>
                </c:pt>
                <c:pt idx="8">
                  <c:v>73.797056602235813</c:v>
                </c:pt>
                <c:pt idx="9">
                  <c:v>73.967067995366904</c:v>
                </c:pt>
                <c:pt idx="10">
                  <c:v>74.013971122903811</c:v>
                </c:pt>
                <c:pt idx="11">
                  <c:v>74.026910212500582</c:v>
                </c:pt>
                <c:pt idx="12">
                  <c:v>65.095907100716644</c:v>
                </c:pt>
                <c:pt idx="13">
                  <c:v>62.631962007204891</c:v>
                </c:pt>
                <c:pt idx="14">
                  <c:v>61.952190380236104</c:v>
                </c:pt>
                <c:pt idx="15">
                  <c:v>61.76465202981062</c:v>
                </c:pt>
                <c:pt idx="16">
                  <c:v>61.712913566025975</c:v>
                </c:pt>
                <c:pt idx="17">
                  <c:v>61.698639577479604</c:v>
                </c:pt>
                <c:pt idx="18">
                  <c:v>61.694699888675885</c:v>
                </c:pt>
                <c:pt idx="19">
                  <c:v>57.226328174116844</c:v>
                </c:pt>
                <c:pt idx="20">
                  <c:v>55.993563788442273</c:v>
                </c:pt>
                <c:pt idx="21">
                  <c:v>55.653459562077742</c:v>
                </c:pt>
                <c:pt idx="22">
                  <c:v>55.559631021288041</c:v>
                </c:pt>
                <c:pt idx="23">
                  <c:v>55.533743235215553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Лист1!$AV$20:$AV$43</c:f>
              <c:numCache>
                <c:formatCode>General</c:formatCode>
                <c:ptCount val="24"/>
                <c:pt idx="0">
                  <c:v>93.420525684308814</c:v>
                </c:pt>
                <c:pt idx="1">
                  <c:v>99.620297176175157</c:v>
                </c:pt>
                <c:pt idx="2">
                  <c:v>86.131748595284009</c:v>
                </c:pt>
                <c:pt idx="3">
                  <c:v>57.102652267400657</c:v>
                </c:pt>
                <c:pt idx="4">
                  <c:v>61.470890484729239</c:v>
                </c:pt>
                <c:pt idx="5">
                  <c:v>51.743723492746639</c:v>
                </c:pt>
                <c:pt idx="6">
                  <c:v>54.464491979802332</c:v>
                </c:pt>
                <c:pt idx="7">
                  <c:v>62.270618345396265</c:v>
                </c:pt>
                <c:pt idx="8">
                  <c:v>60.04094008191062</c:v>
                </c:pt>
                <c:pt idx="9">
                  <c:v>64.662941811439296</c:v>
                </c:pt>
                <c:pt idx="10">
                  <c:v>56.271853093190707</c:v>
                </c:pt>
                <c:pt idx="11">
                  <c:v>75.354953761219406</c:v>
                </c:pt>
                <c:pt idx="12">
                  <c:v>58.943778702279353</c:v>
                </c:pt>
                <c:pt idx="13">
                  <c:v>57.683775518624472</c:v>
                </c:pt>
                <c:pt idx="14">
                  <c:v>54.054624918652991</c:v>
                </c:pt>
                <c:pt idx="15">
                  <c:v>54.098036037423562</c:v>
                </c:pt>
                <c:pt idx="16">
                  <c:v>71.147298530575426</c:v>
                </c:pt>
                <c:pt idx="17">
                  <c:v>76.209227962699146</c:v>
                </c:pt>
                <c:pt idx="18">
                  <c:v>76.375893528772096</c:v>
                </c:pt>
                <c:pt idx="19">
                  <c:v>68.239188203509315</c:v>
                </c:pt>
                <c:pt idx="20">
                  <c:v>49.380736844059555</c:v>
                </c:pt>
                <c:pt idx="21">
                  <c:v>49.568957455375873</c:v>
                </c:pt>
                <c:pt idx="22">
                  <c:v>42.057384061432266</c:v>
                </c:pt>
                <c:pt idx="23">
                  <c:v>47.625432837329853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482752"/>
        <c:axId val="328595648"/>
      </c:lineChart>
      <c:catAx>
        <c:axId val="329482752"/>
        <c:scaling>
          <c:orientation val="minMax"/>
        </c:scaling>
        <c:delete val="0"/>
        <c:axPos val="b"/>
        <c:majorTickMark val="out"/>
        <c:minorTickMark val="none"/>
        <c:tickLblPos val="nextTo"/>
        <c:crossAx val="328595648"/>
        <c:crosses val="autoZero"/>
        <c:auto val="1"/>
        <c:lblAlgn val="ctr"/>
        <c:lblOffset val="100"/>
        <c:noMultiLvlLbl val="0"/>
      </c:catAx>
      <c:valAx>
        <c:axId val="32859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9482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85725</xdr:colOff>
      <xdr:row>0</xdr:row>
      <xdr:rowOff>0</xdr:rowOff>
    </xdr:from>
    <xdr:to>
      <xdr:col>20</xdr:col>
      <xdr:colOff>419100</xdr:colOff>
      <xdr:row>14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38100</xdr:colOff>
      <xdr:row>0</xdr:row>
      <xdr:rowOff>0</xdr:rowOff>
    </xdr:from>
    <xdr:to>
      <xdr:col>32</xdr:col>
      <xdr:colOff>304800</xdr:colOff>
      <xdr:row>14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647700</xdr:colOff>
      <xdr:row>0</xdr:row>
      <xdr:rowOff>0</xdr:rowOff>
    </xdr:from>
    <xdr:to>
      <xdr:col>44</xdr:col>
      <xdr:colOff>209550</xdr:colOff>
      <xdr:row>14</xdr:row>
      <xdr:rowOff>104775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638175</xdr:colOff>
      <xdr:row>0</xdr:row>
      <xdr:rowOff>0</xdr:rowOff>
    </xdr:from>
    <xdr:to>
      <xdr:col>51</xdr:col>
      <xdr:colOff>361950</xdr:colOff>
      <xdr:row>14</xdr:row>
      <xdr:rowOff>28575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Y90"/>
  <sheetViews>
    <sheetView tabSelected="1" workbookViewId="0">
      <selection activeCell="H13" sqref="H13"/>
    </sheetView>
  </sheetViews>
  <sheetFormatPr defaultRowHeight="15" x14ac:dyDescent="0.25"/>
  <cols>
    <col min="1" max="1" width="15.42578125" customWidth="1"/>
    <col min="6" max="6" width="10" bestFit="1" customWidth="1"/>
    <col min="10" max="10" width="12" bestFit="1" customWidth="1"/>
    <col min="14" max="14" width="12.7109375" bestFit="1" customWidth="1"/>
    <col min="15" max="20" width="12.7109375" customWidth="1"/>
    <col min="22" max="22" width="11.5703125" bestFit="1" customWidth="1"/>
    <col min="23" max="25" width="11.5703125" customWidth="1"/>
    <col min="27" max="27" width="11.5703125" bestFit="1" customWidth="1"/>
    <col min="28" max="32" width="12.28515625" bestFit="1" customWidth="1"/>
    <col min="33" max="33" width="11.5703125" bestFit="1" customWidth="1"/>
    <col min="34" max="34" width="11.5703125" customWidth="1"/>
    <col min="35" max="35" width="12.7109375" bestFit="1" customWidth="1"/>
    <col min="36" max="36" width="11.5703125" customWidth="1"/>
    <col min="37" max="37" width="11.5703125" bestFit="1" customWidth="1"/>
    <col min="39" max="39" width="11.5703125" bestFit="1" customWidth="1"/>
    <col min="40" max="41" width="12.28515625" bestFit="1" customWidth="1"/>
    <col min="42" max="43" width="11.5703125" bestFit="1" customWidth="1"/>
    <col min="44" max="44" width="10.5703125" bestFit="1" customWidth="1"/>
    <col min="45" max="45" width="11.5703125" bestFit="1" customWidth="1"/>
    <col min="46" max="46" width="12.28515625" bestFit="1" customWidth="1"/>
    <col min="47" max="47" width="12.28515625" customWidth="1"/>
    <col min="48" max="48" width="11.5703125" bestFit="1" customWidth="1"/>
  </cols>
  <sheetData>
    <row r="10" spans="2:25" x14ac:dyDescent="0.25">
      <c r="B10" s="4"/>
      <c r="C10" s="4" t="s">
        <v>11</v>
      </c>
      <c r="D10" t="s">
        <v>12</v>
      </c>
      <c r="F10" t="s">
        <v>66</v>
      </c>
      <c r="G10" t="s">
        <v>67</v>
      </c>
      <c r="H10" s="4"/>
      <c r="I10" s="4" t="s">
        <v>14</v>
      </c>
      <c r="J10" t="s">
        <v>25</v>
      </c>
      <c r="Y10">
        <v>1</v>
      </c>
    </row>
    <row r="11" spans="2:25" x14ac:dyDescent="0.25">
      <c r="B11" s="5" t="s">
        <v>7</v>
      </c>
      <c r="C11" s="24">
        <v>0.26956599999999997</v>
      </c>
      <c r="D11" s="25">
        <v>2.9423917174601968</v>
      </c>
      <c r="F11" s="10">
        <v>0.1</v>
      </c>
      <c r="G11" s="10">
        <v>10</v>
      </c>
      <c r="H11" s="5"/>
      <c r="I11" s="2">
        <v>60.23</v>
      </c>
      <c r="J11">
        <f>EXP(-30.417/I11)</f>
        <v>0.60349705847337298</v>
      </c>
      <c r="K11">
        <f>C11</f>
        <v>0.26956599999999997</v>
      </c>
      <c r="L11">
        <f>C12</f>
        <v>0.22675000000000001</v>
      </c>
      <c r="M11">
        <f>C13</f>
        <v>0.30846600000000002</v>
      </c>
      <c r="N11">
        <f>K11+L11+M11</f>
        <v>0.804782</v>
      </c>
    </row>
    <row r="12" spans="2:25" x14ac:dyDescent="0.25">
      <c r="B12" s="5" t="s">
        <v>8</v>
      </c>
      <c r="C12" s="24">
        <v>0.22675000000000001</v>
      </c>
      <c r="D12" s="25">
        <v>1.4197039142265984</v>
      </c>
      <c r="F12" s="10">
        <v>0.1</v>
      </c>
      <c r="G12" s="10">
        <v>10</v>
      </c>
      <c r="H12" s="5"/>
      <c r="I12" s="2">
        <v>12.06</v>
      </c>
      <c r="J12">
        <f t="shared" ref="J12:J13" si="0">EXP(-30.417/I12)</f>
        <v>8.0287663217880265E-2</v>
      </c>
    </row>
    <row r="13" spans="2:25" x14ac:dyDescent="0.25">
      <c r="B13" s="5" t="s">
        <v>9</v>
      </c>
      <c r="C13" s="24">
        <v>0.30846600000000002</v>
      </c>
      <c r="D13" s="25">
        <v>5.1350401906112495</v>
      </c>
      <c r="F13" s="10">
        <v>0.1</v>
      </c>
      <c r="G13" s="10">
        <v>10</v>
      </c>
      <c r="H13" s="5"/>
      <c r="I13" s="2">
        <v>23.62</v>
      </c>
      <c r="J13">
        <f t="shared" si="0"/>
        <v>0.27588680994822518</v>
      </c>
    </row>
    <row r="14" spans="2:25" x14ac:dyDescent="0.25">
      <c r="B14" s="5"/>
      <c r="C14" s="2" t="s">
        <v>13</v>
      </c>
      <c r="D14" s="25">
        <v>7.3474689057099507</v>
      </c>
      <c r="F14" s="10">
        <v>0.1</v>
      </c>
      <c r="G14" s="10">
        <v>20</v>
      </c>
    </row>
    <row r="15" spans="2:25" x14ac:dyDescent="0.25">
      <c r="B15" s="5"/>
      <c r="C15" s="2" t="s">
        <v>14</v>
      </c>
      <c r="D15" s="25">
        <v>6</v>
      </c>
      <c r="F15" s="10">
        <v>1</v>
      </c>
      <c r="G15" s="10">
        <v>6</v>
      </c>
      <c r="J15">
        <f>EXP(-1/D15)</f>
        <v>0.84648172489061413</v>
      </c>
    </row>
    <row r="16" spans="2:25" x14ac:dyDescent="0.25">
      <c r="B16" s="5"/>
      <c r="C16" s="2" t="s">
        <v>15</v>
      </c>
      <c r="D16" s="25">
        <v>0.17331798801661408</v>
      </c>
      <c r="F16" s="10">
        <v>0</v>
      </c>
      <c r="G16" s="10">
        <f>1 -C11 -C12 -C13</f>
        <v>0.195218</v>
      </c>
    </row>
    <row r="18" spans="1:51" x14ac:dyDescent="0.25">
      <c r="A18" s="21" t="s">
        <v>1</v>
      </c>
      <c r="B18" s="21"/>
      <c r="C18" s="21"/>
      <c r="D18" s="21"/>
      <c r="E18" s="21"/>
      <c r="F18" s="21"/>
      <c r="G18" s="8"/>
      <c r="H18" s="8"/>
      <c r="I18" s="8"/>
      <c r="J18" s="8"/>
      <c r="K18" s="8"/>
      <c r="L18" s="8"/>
      <c r="M18" s="8"/>
      <c r="N18" s="10"/>
      <c r="O18" s="10"/>
      <c r="P18" s="10"/>
      <c r="Q18" s="10"/>
      <c r="R18" s="10"/>
      <c r="S18" s="10"/>
      <c r="T18" s="10"/>
      <c r="U18" s="22" t="s">
        <v>7</v>
      </c>
      <c r="V18" s="23"/>
      <c r="W18" s="23"/>
      <c r="X18" s="23"/>
      <c r="Y18" s="9"/>
      <c r="Z18" s="9"/>
      <c r="AA18" s="9"/>
      <c r="AB18" s="16"/>
      <c r="AC18" s="16"/>
      <c r="AD18" s="16"/>
      <c r="AE18" s="16"/>
      <c r="AF18" s="16"/>
      <c r="AH18" s="22" t="s">
        <v>8</v>
      </c>
      <c r="AI18" s="23"/>
      <c r="AJ18" s="23"/>
      <c r="AK18" s="23"/>
      <c r="AL18" s="9"/>
      <c r="AM18" s="9"/>
      <c r="AN18" s="9"/>
      <c r="AO18" s="9"/>
      <c r="AP18" s="9"/>
      <c r="AQ18" s="9"/>
      <c r="AS18" s="22" t="s">
        <v>9</v>
      </c>
      <c r="AT18" s="23"/>
      <c r="AU18" s="23"/>
      <c r="AV18" s="23"/>
      <c r="AW18" s="9"/>
    </row>
    <row r="19" spans="1:51" ht="30" x14ac:dyDescent="0.25">
      <c r="A19" s="7"/>
      <c r="B19" s="7" t="s">
        <v>3</v>
      </c>
      <c r="C19" s="7" t="s">
        <v>4</v>
      </c>
      <c r="D19" s="8" t="s">
        <v>0</v>
      </c>
      <c r="E19" s="8" t="s">
        <v>22</v>
      </c>
      <c r="F19" s="7" t="s">
        <v>2</v>
      </c>
      <c r="G19" s="7" t="s">
        <v>17</v>
      </c>
      <c r="H19" s="7" t="s">
        <v>18</v>
      </c>
      <c r="I19" s="7" t="s">
        <v>20</v>
      </c>
      <c r="J19" s="7" t="s">
        <v>21</v>
      </c>
      <c r="K19" s="7" t="s">
        <v>23</v>
      </c>
      <c r="L19" s="7" t="s">
        <v>24</v>
      </c>
      <c r="M19" s="7"/>
      <c r="N19" s="11" t="s">
        <v>27</v>
      </c>
      <c r="O19" s="11" t="s">
        <v>28</v>
      </c>
      <c r="P19" s="11" t="s">
        <v>26</v>
      </c>
      <c r="Q19" s="7"/>
      <c r="R19" s="7"/>
      <c r="S19" s="11"/>
      <c r="T19" s="11"/>
      <c r="U19" s="6" t="s">
        <v>5</v>
      </c>
      <c r="V19" s="6" t="s">
        <v>6</v>
      </c>
      <c r="W19" s="6" t="s">
        <v>10</v>
      </c>
      <c r="X19" s="6" t="s">
        <v>16</v>
      </c>
      <c r="Y19" s="6"/>
      <c r="Z19" s="6" t="s">
        <v>19</v>
      </c>
      <c r="AA19" s="6"/>
      <c r="AB19" s="17" t="s">
        <v>61</v>
      </c>
      <c r="AC19" s="17" t="s">
        <v>62</v>
      </c>
      <c r="AD19" s="6" t="s">
        <v>10</v>
      </c>
      <c r="AE19" s="6" t="s">
        <v>19</v>
      </c>
      <c r="AF19" s="6" t="s">
        <v>63</v>
      </c>
      <c r="AG19" s="4"/>
      <c r="AH19" s="6" t="s">
        <v>5</v>
      </c>
      <c r="AI19" s="6" t="s">
        <v>6</v>
      </c>
      <c r="AJ19" s="6" t="s">
        <v>10</v>
      </c>
      <c r="AK19" s="6" t="s">
        <v>16</v>
      </c>
      <c r="AL19" s="6" t="s">
        <v>19</v>
      </c>
      <c r="AM19" s="17" t="s">
        <v>61</v>
      </c>
      <c r="AN19" s="17" t="s">
        <v>62</v>
      </c>
      <c r="AO19" s="17" t="s">
        <v>10</v>
      </c>
      <c r="AP19" s="17" t="s">
        <v>19</v>
      </c>
      <c r="AQ19" s="17" t="s">
        <v>63</v>
      </c>
      <c r="AR19" s="4"/>
      <c r="AS19" s="6" t="s">
        <v>5</v>
      </c>
      <c r="AT19" s="6" t="s">
        <v>6</v>
      </c>
      <c r="AU19" s="6" t="s">
        <v>10</v>
      </c>
      <c r="AV19" s="6" t="s">
        <v>16</v>
      </c>
      <c r="AW19" s="6" t="s">
        <v>19</v>
      </c>
      <c r="AX19" s="4"/>
      <c r="AY19" s="4"/>
    </row>
    <row r="20" spans="1:51" x14ac:dyDescent="0.25">
      <c r="A20" s="1">
        <v>36861</v>
      </c>
      <c r="B20" s="2">
        <v>7129.9998800000003</v>
      </c>
      <c r="C20" s="2">
        <v>31</v>
      </c>
      <c r="D20" s="3">
        <v>213.80998229980469</v>
      </c>
      <c r="E20" s="3">
        <v>187.15492248535159</v>
      </c>
      <c r="F20">
        <f>B20/C20</f>
        <v>229.99999612903227</v>
      </c>
      <c r="G20">
        <f>D20-F20*(1-$D$16)/$D$14</f>
        <v>187.93211034197196</v>
      </c>
      <c r="H20">
        <f>G20</f>
        <v>187.93211034197196</v>
      </c>
      <c r="I20">
        <f>(G20-H20)*(G20-H20)</f>
        <v>0</v>
      </c>
      <c r="J20">
        <f>F20+$D$14*(G20-D20)</f>
        <v>39.86313657291285</v>
      </c>
      <c r="K20">
        <f t="shared" ref="K20:K43" si="1">F20*(1-$D$16)-W20-AJ20-AU20</f>
        <v>5.0370026714045508</v>
      </c>
      <c r="L20">
        <f>(E20-G20)/E20</f>
        <v>-4.1526444845777543E-3</v>
      </c>
      <c r="M20">
        <f>F20*(1-$D$16)</f>
        <v>190.13685955611939</v>
      </c>
      <c r="N20" s="10">
        <f>-(H20-G20)</f>
        <v>0</v>
      </c>
      <c r="O20" s="10">
        <f>D20-$D$20</f>
        <v>0</v>
      </c>
      <c r="P20" s="10">
        <f>(1-$D$16)*($F$20-F20)</f>
        <v>0</v>
      </c>
      <c r="Q20" s="10">
        <f>O20+P20/$D$14</f>
        <v>0</v>
      </c>
      <c r="R20" s="10"/>
      <c r="S20" s="10"/>
      <c r="T20" s="10"/>
      <c r="U20" s="2">
        <v>162.94</v>
      </c>
      <c r="V20" s="2">
        <v>162.94345188246501</v>
      </c>
      <c r="W20" s="2">
        <f>F20*$C$11</f>
        <v>62.00017895651871</v>
      </c>
      <c r="X20" s="2">
        <f>$D$11*(G20-V20)</f>
        <v>73.526421681694927</v>
      </c>
      <c r="Y20" s="2">
        <f>(W20-X20)</f>
        <v>-11.526242725176218</v>
      </c>
      <c r="Z20" s="2">
        <f t="shared" ref="Z20:Z43" si="2">(W20-X20)*(W20-X20)</f>
        <v>132.85427135967768</v>
      </c>
      <c r="AA20" s="2">
        <v>162.94345188246501</v>
      </c>
      <c r="AB20" s="18">
        <f>D20-V20</f>
        <v>50.866530417339675</v>
      </c>
      <c r="AC20" s="18">
        <f>-F20*(1-$D$16)</f>
        <v>-190.13685955611939</v>
      </c>
      <c r="AD20" s="18">
        <f>-W20</f>
        <v>-62.00017895651871</v>
      </c>
      <c r="AE20" s="18">
        <f>(AC20+$D$14*AB20+AD20*$D$14/$D$11)*$D$11/$D$14</f>
        <v>11.526242725176225</v>
      </c>
      <c r="AF20" s="18">
        <f>AE20*AE20</f>
        <v>132.85427135967785</v>
      </c>
      <c r="AG20" s="2"/>
      <c r="AH20" s="2">
        <v>148.88999999999999</v>
      </c>
      <c r="AI20" s="2">
        <v>148.88669804087499</v>
      </c>
      <c r="AJ20" s="5">
        <f>F20*$C$12</f>
        <v>52.152499122258071</v>
      </c>
      <c r="AK20" s="5">
        <f t="shared" ref="AK20" si="3">$D$12*(G20-AI20)</f>
        <v>55.432924676458747</v>
      </c>
      <c r="AL20" s="5">
        <f>(AJ20-AK20)*(AJ20-AK20)</f>
        <v>10.76119181665281</v>
      </c>
      <c r="AM20" s="20">
        <f>D20-AI20</f>
        <v>64.923284258929698</v>
      </c>
      <c r="AN20" s="20">
        <f>-F20*(1-$D$16)</f>
        <v>-190.13685955611939</v>
      </c>
      <c r="AO20" s="20">
        <f>-AJ20</f>
        <v>-52.152499122258071</v>
      </c>
      <c r="AP20" s="20">
        <f>AM20*$D$12+AN20/$D$14+AO20</f>
        <v>14.141469706757796</v>
      </c>
      <c r="AQ20" s="20">
        <f>AP20*AP20</f>
        <v>199.98116546714843</v>
      </c>
      <c r="AR20" s="5"/>
      <c r="AS20" s="2">
        <v>169.74</v>
      </c>
      <c r="AT20" s="2">
        <v>169.739355812978</v>
      </c>
      <c r="AU20" s="2">
        <f>$C$13*F20</f>
        <v>70.947178805938066</v>
      </c>
      <c r="AV20" s="2">
        <f t="shared" ref="AV20" si="4">$D$13*(G20-AT20)</f>
        <v>93.420525684308814</v>
      </c>
      <c r="AW20" s="2">
        <f>(AU20-AV20)*(AU20-AV20)</f>
        <v>505.05131991557624</v>
      </c>
      <c r="AX20" s="2"/>
      <c r="AY20" s="2"/>
    </row>
    <row r="21" spans="1:51" x14ac:dyDescent="0.25">
      <c r="A21" s="1">
        <v>36892</v>
      </c>
      <c r="B21" s="2">
        <v>7130.0001199999997</v>
      </c>
      <c r="C21" s="2">
        <v>31</v>
      </c>
      <c r="D21" s="3">
        <v>214.79240417480469</v>
      </c>
      <c r="E21" s="3">
        <v>188.2955627441406</v>
      </c>
      <c r="F21">
        <f t="shared" ref="F21:F43" si="5">B21/C21</f>
        <v>230.00000387096773</v>
      </c>
      <c r="G21">
        <f>D21-F21*(1-$D$16)/$D$14</f>
        <v>188.91453134590753</v>
      </c>
      <c r="H21">
        <f>H20+((1-$D$16)*F21-X21-AK21-AV21)/$D$15/$D$14</f>
        <v>187.10014854238847</v>
      </c>
      <c r="I21">
        <f t="shared" ref="I21:I42" si="6">(G21-H21)*(G21-H21)</f>
        <v>3.2919849577057079</v>
      </c>
      <c r="J21">
        <f t="shared" ref="J21:J43" si="7">F21+$D$14*(G21-D21)</f>
        <v>39.863137914729492</v>
      </c>
      <c r="K21">
        <f t="shared" si="1"/>
        <v>5.0370049002243604</v>
      </c>
      <c r="L21">
        <f t="shared" ref="L21:L43" si="8">(E21-G21)/E21</f>
        <v>-3.2872182049664285E-3</v>
      </c>
      <c r="M21">
        <f t="shared" ref="M21:M43" si="9">F21*(1-$D$16)</f>
        <v>190.13686595623815</v>
      </c>
      <c r="N21" s="10">
        <f t="shared" ref="N21:N43" si="10">-((1-$D$16)*F20-W21-AJ21-AU21-N20)</f>
        <v>-5.0369985001055966</v>
      </c>
      <c r="O21" s="10">
        <f t="shared" ref="O21:O43" si="11">D21-$D$20</f>
        <v>0.982421875</v>
      </c>
      <c r="P21" s="10">
        <f t="shared" ref="P21:P43" si="12">(1-$D$16)*($F$20-F21)</f>
        <v>-6.4001187847774215E-6</v>
      </c>
      <c r="Q21" s="10">
        <f t="shared" ref="Q21:Q43" si="13">O21+P21/$D$14</f>
        <v>0.98242100393557397</v>
      </c>
      <c r="R21" s="10"/>
      <c r="S21" s="10"/>
      <c r="T21" s="10"/>
      <c r="U21" s="2">
        <v>164.24</v>
      </c>
      <c r="V21" s="2">
        <v>164.55226123000801</v>
      </c>
      <c r="W21" s="2">
        <f>F21*$C$11*(1 - $J$11) + W20*$J$11</f>
        <v>62.00017978400551</v>
      </c>
      <c r="X21" s="2">
        <f>$D$11*(G21-V21)</f>
        <v>71.683341807550818</v>
      </c>
      <c r="Y21" s="2">
        <f t="shared" ref="Y21:Y43" si="14">(W21-X21)</f>
        <v>-9.6831620235453073</v>
      </c>
      <c r="Z21" s="2">
        <f t="shared" si="2"/>
        <v>93.763626774230048</v>
      </c>
      <c r="AA21" s="2">
        <v>164.55226123000801</v>
      </c>
      <c r="AB21" s="18">
        <f t="shared" ref="AB21:AB43" si="15">D21-V21</f>
        <v>50.240142944796673</v>
      </c>
      <c r="AC21" s="18">
        <f t="shared" ref="AC21:AC43" si="16">-F21*(1-$D$16)</f>
        <v>-190.13686595623815</v>
      </c>
      <c r="AD21" s="18">
        <f t="shared" ref="AD21:AD43" si="17">-W21</f>
        <v>-62.00017978400551</v>
      </c>
      <c r="AE21" s="18">
        <f t="shared" ref="AE21:AE43" si="18">(AC21+$D$14*AB21+AD21*$D$14/$D$11)*$D$11/$D$14</f>
        <v>9.6831620235453446</v>
      </c>
      <c r="AF21" s="18">
        <f t="shared" ref="AF21:AF43" si="19">AE21*AE21</f>
        <v>93.763626774230772</v>
      </c>
      <c r="AG21" s="2"/>
      <c r="AH21" s="2">
        <v>149.03</v>
      </c>
      <c r="AI21" s="2">
        <v>149.814753472983</v>
      </c>
      <c r="AJ21" s="5">
        <f t="shared" ref="AJ21:AJ43" si="20">F21*$C$12*(1-$J$12) +AJ20*$J$12</f>
        <v>52.152500736798238</v>
      </c>
      <c r="AK21" s="5">
        <f>$D$12*(G21-AI21)</f>
        <v>55.510107691581503</v>
      </c>
      <c r="AL21" s="5">
        <f>(AJ21-AK21)*(AJ21-AK21)</f>
        <v>11.273524462808947</v>
      </c>
      <c r="AM21" s="20">
        <f t="shared" ref="AM21:AM43" si="21">D21-AI21</f>
        <v>64.977650701821688</v>
      </c>
      <c r="AN21" s="20">
        <f t="shared" ref="AN21:AN43" si="22">-F21*(1-$D$16)</f>
        <v>-190.13686595623815</v>
      </c>
      <c r="AO21" s="20">
        <f t="shared" ref="AO21:AO43" si="23">-AJ21</f>
        <v>-52.152500736798238</v>
      </c>
      <c r="AP21" s="20">
        <f t="shared" ref="AP21:AP43" si="24">AM21*$D$12+AN21/$D$14+AO21</f>
        <v>14.218651472929544</v>
      </c>
      <c r="AQ21" s="20">
        <f t="shared" ref="AQ21:AQ43" si="25">AP21*AP21</f>
        <v>202.1700497086415</v>
      </c>
      <c r="AR21" s="5"/>
      <c r="AS21" s="2">
        <v>171.64</v>
      </c>
      <c r="AT21" s="2">
        <v>169.51443057195101</v>
      </c>
      <c r="AU21" s="2">
        <f t="shared" ref="AU21:AU43" si="26">$C$13*F21*(1-$J$13) +AU20*$J$13</f>
        <v>70.947180535210066</v>
      </c>
      <c r="AV21" s="2">
        <f>$D$13*(G21-AT21)</f>
        <v>99.620297176175157</v>
      </c>
      <c r="AW21" s="2">
        <f t="shared" ref="AW21:AW43" si="27">(AU21-AV21)*(AU21-AV21)</f>
        <v>822.1476179063892</v>
      </c>
      <c r="AX21" s="2"/>
      <c r="AY21" s="2"/>
    </row>
    <row r="22" spans="1:51" x14ac:dyDescent="0.25">
      <c r="A22" s="1">
        <v>36923</v>
      </c>
      <c r="B22" s="2">
        <v>6439.9998999999998</v>
      </c>
      <c r="C22" s="2">
        <v>28</v>
      </c>
      <c r="D22" s="3">
        <v>217.949462890625</v>
      </c>
      <c r="E22" s="3">
        <v>191.96589660644531</v>
      </c>
      <c r="F22">
        <f t="shared" si="5"/>
        <v>229.99999642857142</v>
      </c>
      <c r="G22">
        <f t="shared" ref="G22:G43" si="28">D22-F22*(1-$D$16)/$D$14</f>
        <v>192.07159089909038</v>
      </c>
      <c r="H22">
        <f t="shared" ref="H22:H43" si="29">H21+((1-$D$16)*F22-X22-AK22-AV22)/$D$15/$D$14</f>
        <v>186.67303185869125</v>
      </c>
      <c r="I22">
        <f t="shared" si="6"/>
        <v>29.144439712675233</v>
      </c>
      <c r="J22">
        <f t="shared" si="7"/>
        <v>39.863136624828371</v>
      </c>
      <c r="K22">
        <f t="shared" si="1"/>
        <v>5.0370016515418001</v>
      </c>
      <c r="L22">
        <f t="shared" si="8"/>
        <v>-5.5058890414142489E-4</v>
      </c>
      <c r="M22">
        <f t="shared" si="9"/>
        <v>190.13685980374302</v>
      </c>
      <c r="N22" s="10">
        <f t="shared" si="10"/>
        <v>-10.074006304142529</v>
      </c>
      <c r="O22" s="10">
        <f t="shared" si="11"/>
        <v>4.1394805908203125</v>
      </c>
      <c r="P22" s="10">
        <f t="shared" si="12"/>
        <v>-2.4762362933324957E-7</v>
      </c>
      <c r="Q22" s="10">
        <f t="shared" si="13"/>
        <v>4.139480557118417</v>
      </c>
      <c r="R22" s="10"/>
      <c r="S22" s="10"/>
      <c r="T22" s="10"/>
      <c r="U22" s="2">
        <v>168.07</v>
      </c>
      <c r="V22" s="2">
        <v>169.04385902614101</v>
      </c>
      <c r="W22" s="2">
        <f t="shared" ref="W22:W43" si="30">F22*$C$11*(1 - $J$11) + W21*$J$11</f>
        <v>62.000179487920406</v>
      </c>
      <c r="X22" s="2">
        <f t="shared" ref="X22:X43" si="31">$D$11*(G22-V22)</f>
        <v>67.756607534860422</v>
      </c>
      <c r="Y22" s="2">
        <f t="shared" si="14"/>
        <v>-5.756428046940016</v>
      </c>
      <c r="Z22" s="2">
        <f t="shared" si="2"/>
        <v>33.136463859597647</v>
      </c>
      <c r="AA22" s="2">
        <v>169.04385902614101</v>
      </c>
      <c r="AB22" s="18">
        <f t="shared" si="15"/>
        <v>48.905603864483993</v>
      </c>
      <c r="AC22" s="18">
        <f t="shared" si="16"/>
        <v>-190.13685980374302</v>
      </c>
      <c r="AD22" s="18">
        <f t="shared" si="17"/>
        <v>-62.000179487920406</v>
      </c>
      <c r="AE22" s="18">
        <f t="shared" si="18"/>
        <v>5.7564280469400302</v>
      </c>
      <c r="AF22" s="18">
        <f t="shared" si="19"/>
        <v>33.136463859597811</v>
      </c>
      <c r="AG22" s="2"/>
      <c r="AH22" s="2">
        <v>148.24</v>
      </c>
      <c r="AI22" s="2">
        <v>153.276274187539</v>
      </c>
      <c r="AJ22" s="5">
        <f t="shared" si="20"/>
        <v>52.152499314353051</v>
      </c>
      <c r="AK22" s="5">
        <f t="shared" ref="AK22:AK43" si="32">$D$12*(G22-AI22)</f>
        <v>55.077862989050054</v>
      </c>
      <c r="AL22" s="5">
        <f t="shared" ref="AL22:AL43" si="33">(AJ22-AK22)*(AJ22-AK22)</f>
        <v>8.5577526292367541</v>
      </c>
      <c r="AM22" s="20">
        <f t="shared" si="21"/>
        <v>64.673188703085998</v>
      </c>
      <c r="AN22" s="20">
        <f t="shared" si="22"/>
        <v>-190.13685980374302</v>
      </c>
      <c r="AO22" s="20">
        <f t="shared" si="23"/>
        <v>-52.152499314353051</v>
      </c>
      <c r="AP22" s="20">
        <f t="shared" si="24"/>
        <v>13.78640784139894</v>
      </c>
      <c r="AQ22" s="20">
        <f t="shared" si="25"/>
        <v>190.06504116938618</v>
      </c>
      <c r="AR22" s="5"/>
      <c r="AS22" s="2">
        <v>172.79</v>
      </c>
      <c r="AT22" s="2">
        <v>175.29825604715199</v>
      </c>
      <c r="AU22" s="2">
        <f t="shared" si="26"/>
        <v>70.947179349927765</v>
      </c>
      <c r="AV22" s="2">
        <f t="shared" ref="AV22:AV43" si="34">$D$13*(G22-AT22)</f>
        <v>86.131748595284009</v>
      </c>
      <c r="AW22" s="2">
        <f t="shared" si="27"/>
        <v>230.57114316701868</v>
      </c>
      <c r="AX22" s="2"/>
      <c r="AY22" s="2"/>
    </row>
    <row r="23" spans="1:51" x14ac:dyDescent="0.25">
      <c r="A23" s="1">
        <v>36951</v>
      </c>
      <c r="B23" s="2">
        <v>7130.0001199999997</v>
      </c>
      <c r="C23" s="2">
        <v>31</v>
      </c>
      <c r="D23" s="3">
        <v>222.1922607421875</v>
      </c>
      <c r="E23" s="3">
        <v>196.88993835449219</v>
      </c>
      <c r="F23">
        <f t="shared" si="5"/>
        <v>230.00000387096773</v>
      </c>
      <c r="G23">
        <f t="shared" si="28"/>
        <v>196.31438791329035</v>
      </c>
      <c r="H23">
        <f t="shared" si="29"/>
        <v>187.12806695151184</v>
      </c>
      <c r="I23">
        <f t="shared" si="6"/>
        <v>84.38849281281118</v>
      </c>
      <c r="J23">
        <f t="shared" si="7"/>
        <v>39.863137914729492</v>
      </c>
      <c r="K23">
        <f t="shared" si="1"/>
        <v>5.0370044140225474</v>
      </c>
      <c r="L23">
        <f t="shared" si="8"/>
        <v>2.9232090070828625E-3</v>
      </c>
      <c r="M23">
        <f t="shared" si="9"/>
        <v>190.13686595623815</v>
      </c>
      <c r="N23" s="10">
        <f t="shared" si="10"/>
        <v>-15.111004565669944</v>
      </c>
      <c r="O23" s="10">
        <f t="shared" si="11"/>
        <v>8.3822784423828125</v>
      </c>
      <c r="P23" s="10">
        <f t="shared" si="12"/>
        <v>-6.4001187847774215E-6</v>
      </c>
      <c r="Q23" s="10">
        <f t="shared" si="13"/>
        <v>8.3822775713183866</v>
      </c>
      <c r="R23" s="10"/>
      <c r="S23" s="10"/>
      <c r="T23" s="10"/>
      <c r="U23" s="2">
        <v>172.13</v>
      </c>
      <c r="V23" s="2">
        <v>175.46496146441501</v>
      </c>
      <c r="W23" s="2">
        <f t="shared" si="30"/>
        <v>62.000180104704867</v>
      </c>
      <c r="X23" s="2">
        <f t="shared" si="31"/>
        <v>61.34717969696635</v>
      </c>
      <c r="Y23" s="2">
        <f t="shared" si="14"/>
        <v>0.6530004077385172</v>
      </c>
      <c r="Z23" s="2">
        <f t="shared" si="2"/>
        <v>0.42640953250666969</v>
      </c>
      <c r="AA23" s="2">
        <v>175.46496146441501</v>
      </c>
      <c r="AB23" s="18">
        <f t="shared" si="15"/>
        <v>46.727299277772488</v>
      </c>
      <c r="AC23" s="18">
        <f t="shared" si="16"/>
        <v>-190.13686595623815</v>
      </c>
      <c r="AD23" s="18">
        <f t="shared" si="17"/>
        <v>-62.000180104704867</v>
      </c>
      <c r="AE23" s="18">
        <f t="shared" si="18"/>
        <v>-0.65300040773848755</v>
      </c>
      <c r="AF23" s="18">
        <f t="shared" si="19"/>
        <v>0.42640953250663099</v>
      </c>
      <c r="AG23" s="2"/>
      <c r="AH23" s="2">
        <v>152.44999999999999</v>
      </c>
      <c r="AI23" s="2">
        <v>159.949835909531</v>
      </c>
      <c r="AJ23" s="5">
        <f t="shared" si="20"/>
        <v>52.152500752221101</v>
      </c>
      <c r="AK23" s="5">
        <f t="shared" si="32"/>
        <v>51.626896818833828</v>
      </c>
      <c r="AL23" s="5">
        <f t="shared" si="33"/>
        <v>0.27625949479217343</v>
      </c>
      <c r="AM23" s="20">
        <f t="shared" si="21"/>
        <v>62.242424832656496</v>
      </c>
      <c r="AN23" s="20">
        <f t="shared" si="22"/>
        <v>-190.13686595623815</v>
      </c>
      <c r="AO23" s="20">
        <f t="shared" si="23"/>
        <v>-52.152500752221101</v>
      </c>
      <c r="AP23" s="20">
        <f t="shared" si="24"/>
        <v>10.335440584759013</v>
      </c>
      <c r="AQ23" s="20">
        <f t="shared" si="25"/>
        <v>106.82133208108372</v>
      </c>
      <c r="AR23" s="5"/>
      <c r="AS23" s="2">
        <v>176.07</v>
      </c>
      <c r="AT23" s="2">
        <v>185.19419213141401</v>
      </c>
      <c r="AU23" s="2">
        <f t="shared" si="26"/>
        <v>70.947180685289638</v>
      </c>
      <c r="AV23" s="2">
        <f t="shared" si="34"/>
        <v>57.102652267400657</v>
      </c>
      <c r="AW23" s="2">
        <f t="shared" si="27"/>
        <v>191.67096711373557</v>
      </c>
      <c r="AX23" s="2"/>
      <c r="AY23" s="2"/>
    </row>
    <row r="24" spans="1:51" x14ac:dyDescent="0.25">
      <c r="A24" s="1">
        <v>36982</v>
      </c>
      <c r="B24" s="2">
        <v>6900.0001199999997</v>
      </c>
      <c r="C24" s="2">
        <v>30</v>
      </c>
      <c r="D24" s="3">
        <v>222.57696533203119</v>
      </c>
      <c r="E24" s="3">
        <v>197.31733703613281</v>
      </c>
      <c r="F24">
        <f t="shared" si="5"/>
        <v>230.00000399999999</v>
      </c>
      <c r="G24">
        <f t="shared" si="28"/>
        <v>196.69909248861632</v>
      </c>
      <c r="H24">
        <f t="shared" si="29"/>
        <v>187.60263839734765</v>
      </c>
      <c r="I24">
        <f t="shared" si="6"/>
        <v>82.745477034558505</v>
      </c>
      <c r="J24">
        <f t="shared" si="7"/>
        <v>39.863137937093228</v>
      </c>
      <c r="K24">
        <f t="shared" si="1"/>
        <v>5.0370035950901695</v>
      </c>
      <c r="L24">
        <f t="shared" si="8"/>
        <v>3.133250006325008E-3</v>
      </c>
      <c r="M24">
        <f t="shared" si="9"/>
        <v>190.13686606290682</v>
      </c>
      <c r="N24" s="10">
        <f t="shared" si="10"/>
        <v>-20.148008054091449</v>
      </c>
      <c r="O24" s="10">
        <f t="shared" si="11"/>
        <v>8.7669830322265057</v>
      </c>
      <c r="P24" s="10">
        <f t="shared" si="12"/>
        <v>-6.5067874319735686E-6</v>
      </c>
      <c r="Q24" s="10">
        <f t="shared" si="13"/>
        <v>8.7669821466443398</v>
      </c>
      <c r="R24" s="10"/>
      <c r="S24" s="10"/>
      <c r="T24" s="10"/>
      <c r="U24" s="2">
        <v>172</v>
      </c>
      <c r="V24" s="2">
        <v>177.90878984167699</v>
      </c>
      <c r="W24" s="2">
        <f t="shared" si="30"/>
        <v>62.00018049072392</v>
      </c>
      <c r="X24" s="2">
        <f t="shared" si="31"/>
        <v>55.288430876924679</v>
      </c>
      <c r="Y24" s="2">
        <f t="shared" si="14"/>
        <v>6.7117496137992418</v>
      </c>
      <c r="Z24" s="2">
        <f t="shared" si="2"/>
        <v>45.047582878334275</v>
      </c>
      <c r="AA24" s="2">
        <v>177.90878984167699</v>
      </c>
      <c r="AB24" s="18">
        <f t="shared" si="15"/>
        <v>44.668175490354201</v>
      </c>
      <c r="AC24" s="18">
        <f t="shared" si="16"/>
        <v>-190.13686606290682</v>
      </c>
      <c r="AD24" s="18">
        <f t="shared" si="17"/>
        <v>-62.00018049072392</v>
      </c>
      <c r="AE24" s="18">
        <f t="shared" si="18"/>
        <v>-6.7117496137992649</v>
      </c>
      <c r="AF24" s="18">
        <f t="shared" si="19"/>
        <v>45.04758287833458</v>
      </c>
      <c r="AG24" s="2"/>
      <c r="AH24" s="2">
        <v>150.01</v>
      </c>
      <c r="AI24" s="2">
        <v>159.750436839575</v>
      </c>
      <c r="AJ24" s="5">
        <f t="shared" si="20"/>
        <v>52.152500894573166</v>
      </c>
      <c r="AK24" s="5">
        <f t="shared" si="32"/>
        <v>52.45615105035467</v>
      </c>
      <c r="AL24" s="5">
        <f t="shared" si="33"/>
        <v>9.2203417106131849E-2</v>
      </c>
      <c r="AM24" s="20">
        <f t="shared" si="21"/>
        <v>62.826528492456191</v>
      </c>
      <c r="AN24" s="20">
        <f t="shared" si="22"/>
        <v>-190.13686606290682</v>
      </c>
      <c r="AO24" s="20">
        <f t="shared" si="23"/>
        <v>-52.152500894573166</v>
      </c>
      <c r="AP24" s="20">
        <f t="shared" si="24"/>
        <v>11.164694680020908</v>
      </c>
      <c r="AQ24" s="20">
        <f t="shared" si="25"/>
        <v>124.65040729808716</v>
      </c>
      <c r="AR24" s="5"/>
      <c r="AS24" s="2">
        <v>181.49</v>
      </c>
      <c r="AT24" s="2">
        <v>184.72822406248</v>
      </c>
      <c r="AU24" s="2">
        <f t="shared" si="26"/>
        <v>70.947181082519563</v>
      </c>
      <c r="AV24" s="2">
        <f t="shared" si="34"/>
        <v>61.470890484729239</v>
      </c>
      <c r="AW24" s="2">
        <f t="shared" si="27"/>
        <v>89.800083493769307</v>
      </c>
      <c r="AX24" s="2"/>
      <c r="AY24" s="2"/>
    </row>
    <row r="25" spans="1:51" x14ac:dyDescent="0.25">
      <c r="A25" s="1">
        <v>37012</v>
      </c>
      <c r="B25" s="2">
        <v>7130.0002400000003</v>
      </c>
      <c r="C25" s="2">
        <v>31</v>
      </c>
      <c r="D25" s="3">
        <v>223.08367919921881</v>
      </c>
      <c r="E25" s="3">
        <v>197.91517639160159</v>
      </c>
      <c r="F25">
        <f t="shared" si="5"/>
        <v>230.00000774193549</v>
      </c>
      <c r="G25">
        <f t="shared" si="28"/>
        <v>197.20580593478945</v>
      </c>
      <c r="H25">
        <f t="shared" si="29"/>
        <v>188.37350097014655</v>
      </c>
      <c r="I25">
        <f t="shared" si="6"/>
        <v>78.009610988455648</v>
      </c>
      <c r="J25">
        <f t="shared" si="7"/>
        <v>39.863138585637955</v>
      </c>
      <c r="K25">
        <f t="shared" si="1"/>
        <v>5.0370043183721123</v>
      </c>
      <c r="L25">
        <f t="shared" si="8"/>
        <v>3.5842145597190286E-3</v>
      </c>
      <c r="M25">
        <f t="shared" si="9"/>
        <v>190.13686915629759</v>
      </c>
      <c r="N25" s="10">
        <f t="shared" si="10"/>
        <v>-25.185009279072787</v>
      </c>
      <c r="O25" s="10">
        <f t="shared" si="11"/>
        <v>9.2736968994141193</v>
      </c>
      <c r="P25" s="10">
        <f t="shared" si="12"/>
        <v>-9.6001782006618475E-6</v>
      </c>
      <c r="Q25" s="10">
        <f t="shared" si="13"/>
        <v>9.2736955928174769</v>
      </c>
      <c r="R25" s="10"/>
      <c r="S25" s="10"/>
      <c r="T25" s="10"/>
      <c r="U25" s="2">
        <v>171.93</v>
      </c>
      <c r="V25" s="2">
        <v>178.37416134808399</v>
      </c>
      <c r="W25" s="2">
        <f t="shared" si="30"/>
        <v>62.00018112363724</v>
      </c>
      <c r="X25" s="2">
        <f t="shared" si="31"/>
        <v>55.410075058076309</v>
      </c>
      <c r="Y25" s="2">
        <f t="shared" si="14"/>
        <v>6.5901060655609314</v>
      </c>
      <c r="Z25" s="2">
        <f t="shared" si="2"/>
        <v>43.429497955342981</v>
      </c>
      <c r="AA25" s="2">
        <v>178.37416134808399</v>
      </c>
      <c r="AB25" s="18">
        <f t="shared" si="15"/>
        <v>44.709517851134819</v>
      </c>
      <c r="AC25" s="18">
        <f t="shared" si="16"/>
        <v>-190.13686915629759</v>
      </c>
      <c r="AD25" s="18">
        <f t="shared" si="17"/>
        <v>-62.00018112363724</v>
      </c>
      <c r="AE25" s="18">
        <f t="shared" si="18"/>
        <v>-6.5901060655609509</v>
      </c>
      <c r="AF25" s="18">
        <f t="shared" si="19"/>
        <v>43.429497955343237</v>
      </c>
      <c r="AG25" s="2"/>
      <c r="AH25" s="2">
        <v>156.16999999999999</v>
      </c>
      <c r="AI25" s="2">
        <v>162.69175169491299</v>
      </c>
      <c r="AJ25" s="5">
        <f t="shared" si="20"/>
        <v>52.152501686363365</v>
      </c>
      <c r="AK25" s="5">
        <f t="shared" si="32"/>
        <v>48.999737900181728</v>
      </c>
      <c r="AL25" s="5">
        <f t="shared" si="33"/>
        <v>9.9399194914583724</v>
      </c>
      <c r="AM25" s="20">
        <f t="shared" si="21"/>
        <v>60.391927504305812</v>
      </c>
      <c r="AN25" s="20">
        <f t="shared" si="22"/>
        <v>-190.13686915629759</v>
      </c>
      <c r="AO25" s="20">
        <f t="shared" si="23"/>
        <v>-52.152501686363365</v>
      </c>
      <c r="AP25" s="20">
        <f t="shared" si="24"/>
        <v>7.7082809147591931</v>
      </c>
      <c r="AQ25" s="20">
        <f t="shared" si="25"/>
        <v>59.41759466084082</v>
      </c>
      <c r="AR25" s="5"/>
      <c r="AS25" s="2">
        <v>179.37</v>
      </c>
      <c r="AT25" s="2">
        <v>187.129210314885</v>
      </c>
      <c r="AU25" s="2">
        <f t="shared" si="26"/>
        <v>70.947182027924867</v>
      </c>
      <c r="AV25" s="2">
        <f t="shared" si="34"/>
        <v>51.743723492746639</v>
      </c>
      <c r="AW25" s="2">
        <f t="shared" si="27"/>
        <v>368.77281971230957</v>
      </c>
      <c r="AX25" s="2"/>
      <c r="AY25" s="2"/>
    </row>
    <row r="26" spans="1:51" x14ac:dyDescent="0.25">
      <c r="A26" s="1">
        <v>37043</v>
      </c>
      <c r="B26" s="2">
        <v>6900.0001099999999</v>
      </c>
      <c r="C26" s="2">
        <v>30</v>
      </c>
      <c r="D26" s="3">
        <v>223.60438537597659</v>
      </c>
      <c r="E26" s="3">
        <v>198.5121154785156</v>
      </c>
      <c r="F26">
        <f t="shared" si="5"/>
        <v>230.00000366666666</v>
      </c>
      <c r="G26">
        <f t="shared" si="28"/>
        <v>197.72651257006586</v>
      </c>
      <c r="H26">
        <f t="shared" si="29"/>
        <v>188.93582952472008</v>
      </c>
      <c r="I26">
        <f t="shared" si="6"/>
        <v>77.276108403729879</v>
      </c>
      <c r="J26">
        <f t="shared" si="7"/>
        <v>39.863137879320476</v>
      </c>
      <c r="K26">
        <f t="shared" si="1"/>
        <v>5.0370024387889742</v>
      </c>
      <c r="L26">
        <f t="shared" si="8"/>
        <v>3.9574557278583625E-3</v>
      </c>
      <c r="M26">
        <f t="shared" si="9"/>
        <v>190.13686578734615</v>
      </c>
      <c r="N26" s="10">
        <f t="shared" si="10"/>
        <v>-30.222015086813173</v>
      </c>
      <c r="O26" s="10">
        <f t="shared" si="11"/>
        <v>9.7944030761719034</v>
      </c>
      <c r="P26" s="10">
        <f t="shared" si="12"/>
        <v>-6.2312267620081637E-6</v>
      </c>
      <c r="Q26" s="10">
        <f t="shared" si="13"/>
        <v>9.7944022280938992</v>
      </c>
      <c r="R26" s="10"/>
      <c r="S26" s="10"/>
      <c r="T26" s="10"/>
      <c r="U26" s="2">
        <v>174.72</v>
      </c>
      <c r="V26" s="2">
        <v>178.03742227308501</v>
      </c>
      <c r="W26" s="2">
        <f t="shared" si="30"/>
        <v>62.000181070018712</v>
      </c>
      <c r="X26" s="2">
        <f t="shared" si="31"/>
        <v>57.933016214162379</v>
      </c>
      <c r="Y26" s="2">
        <f t="shared" si="14"/>
        <v>4.0671648558563334</v>
      </c>
      <c r="Z26" s="2">
        <f t="shared" si="2"/>
        <v>16.541829964712868</v>
      </c>
      <c r="AA26" s="2">
        <v>178.03742227308501</v>
      </c>
      <c r="AB26" s="18">
        <f t="shared" si="15"/>
        <v>45.566963102891577</v>
      </c>
      <c r="AC26" s="18">
        <f t="shared" si="16"/>
        <v>-190.13686578734615</v>
      </c>
      <c r="AD26" s="18">
        <f t="shared" si="17"/>
        <v>-62.000181070018712</v>
      </c>
      <c r="AE26" s="18">
        <f t="shared" si="18"/>
        <v>-4.0671648558563129</v>
      </c>
      <c r="AF26" s="18">
        <f t="shared" si="19"/>
        <v>16.541829964712704</v>
      </c>
      <c r="AG26" s="2"/>
      <c r="AH26" s="2">
        <v>150.12</v>
      </c>
      <c r="AI26" s="2">
        <v>160.430561177909</v>
      </c>
      <c r="AJ26" s="5">
        <f t="shared" si="20"/>
        <v>52.152500900058335</v>
      </c>
      <c r="AK26" s="5">
        <f t="shared" si="32"/>
        <v>52.949208176250053</v>
      </c>
      <c r="AL26" s="5">
        <f t="shared" si="33"/>
        <v>0.63474248393682642</v>
      </c>
      <c r="AM26" s="20">
        <f t="shared" si="21"/>
        <v>63.173824198067592</v>
      </c>
      <c r="AN26" s="20">
        <f t="shared" si="22"/>
        <v>-190.13686578734615</v>
      </c>
      <c r="AO26" s="20">
        <f t="shared" si="23"/>
        <v>-52.152500900058335</v>
      </c>
      <c r="AP26" s="20">
        <f t="shared" si="24"/>
        <v>11.657751784690497</v>
      </c>
      <c r="AQ26" s="20">
        <f t="shared" si="25"/>
        <v>135.90317667345445</v>
      </c>
      <c r="AR26" s="5"/>
      <c r="AS26" s="2">
        <v>180.25</v>
      </c>
      <c r="AT26" s="2">
        <v>187.120073290509</v>
      </c>
      <c r="AU26" s="2">
        <f t="shared" si="26"/>
        <v>70.947181378480153</v>
      </c>
      <c r="AV26" s="2">
        <f t="shared" si="34"/>
        <v>54.464491979802332</v>
      </c>
      <c r="AW26" s="2">
        <f t="shared" si="27"/>
        <v>271.67904981328621</v>
      </c>
      <c r="AX26" s="2"/>
      <c r="AY26" s="2"/>
    </row>
    <row r="27" spans="1:51" x14ac:dyDescent="0.25">
      <c r="A27" s="1">
        <v>37073</v>
      </c>
      <c r="B27" s="2">
        <v>7440</v>
      </c>
      <c r="C27" s="2">
        <v>31</v>
      </c>
      <c r="D27" s="3">
        <v>225.00483703613281</v>
      </c>
      <c r="E27" s="3">
        <v>198.7353820800781</v>
      </c>
      <c r="F27">
        <f t="shared" si="5"/>
        <v>240</v>
      </c>
      <c r="G27">
        <f t="shared" si="28"/>
        <v>198.00183975609986</v>
      </c>
      <c r="H27">
        <f t="shared" si="29"/>
        <v>189.49693231362025</v>
      </c>
      <c r="I27">
        <f t="shared" si="6"/>
        <v>72.333450605144989</v>
      </c>
      <c r="J27">
        <f t="shared" si="7"/>
        <v>41.596317123987461</v>
      </c>
      <c r="K27">
        <f t="shared" si="1"/>
        <v>7.9158939418571777</v>
      </c>
      <c r="L27">
        <f t="shared" si="8"/>
        <v>3.6910504626834349E-3</v>
      </c>
      <c r="M27">
        <f>F27*(1-$D$16)</f>
        <v>198.40368287601262</v>
      </c>
      <c r="N27" s="10">
        <f t="shared" si="10"/>
        <v>-29.871091940003879</v>
      </c>
      <c r="O27" s="10">
        <f t="shared" si="11"/>
        <v>11.194854736328125</v>
      </c>
      <c r="P27" s="10">
        <f t="shared" si="12"/>
        <v>-8.2668233198932519</v>
      </c>
      <c r="Q27" s="10">
        <f t="shared" si="13"/>
        <v>10.069729414127872</v>
      </c>
      <c r="R27" s="10"/>
      <c r="S27" s="10"/>
      <c r="T27" s="10"/>
      <c r="U27" s="2">
        <v>173.56</v>
      </c>
      <c r="V27" s="2">
        <v>178.51301354246701</v>
      </c>
      <c r="W27" s="2">
        <f t="shared" si="30"/>
        <v>63.069017765108811</v>
      </c>
      <c r="X27" s="2">
        <f t="shared" si="31"/>
        <v>57.343760834014461</v>
      </c>
      <c r="Y27" s="2">
        <f t="shared" si="14"/>
        <v>5.72525693109435</v>
      </c>
      <c r="Z27" s="2">
        <f t="shared" si="2"/>
        <v>32.778566927043897</v>
      </c>
      <c r="AA27" s="2">
        <v>178.51301354246701</v>
      </c>
      <c r="AB27" s="18">
        <f t="shared" si="15"/>
        <v>46.491823493665805</v>
      </c>
      <c r="AC27" s="18">
        <f t="shared" si="16"/>
        <v>-198.40368287601262</v>
      </c>
      <c r="AD27" s="18">
        <f t="shared" si="17"/>
        <v>-63.069017765108811</v>
      </c>
      <c r="AE27" s="18">
        <f t="shared" si="18"/>
        <v>-5.7252569310943802</v>
      </c>
      <c r="AF27" s="18">
        <f t="shared" si="19"/>
        <v>32.778566927044238</v>
      </c>
      <c r="AG27" s="2"/>
      <c r="AH27" s="2">
        <v>149.75</v>
      </c>
      <c r="AI27" s="2">
        <v>159.928272874416</v>
      </c>
      <c r="AJ27" s="5">
        <f t="shared" si="20"/>
        <v>54.237947795917037</v>
      </c>
      <c r="AK27" s="5">
        <f t="shared" si="32"/>
        <v>54.053191930494755</v>
      </c>
      <c r="AL27" s="5">
        <f t="shared" si="33"/>
        <v>3.4134729807936484E-2</v>
      </c>
      <c r="AM27" s="20">
        <f t="shared" si="21"/>
        <v>65.076564161716817</v>
      </c>
      <c r="AN27" s="20">
        <f t="shared" si="22"/>
        <v>-198.40368287601262</v>
      </c>
      <c r="AO27" s="20">
        <f t="shared" si="23"/>
        <v>-54.237947795917037</v>
      </c>
      <c r="AP27" s="20">
        <f t="shared" si="24"/>
        <v>11.148507788857728</v>
      </c>
      <c r="AQ27" s="20">
        <f t="shared" si="25"/>
        <v>124.28922591822143</v>
      </c>
      <c r="AR27" s="5"/>
      <c r="AS27" s="2">
        <v>180.95</v>
      </c>
      <c r="AT27" s="2">
        <v>185.87523197233801</v>
      </c>
      <c r="AU27" s="2">
        <f t="shared" si="26"/>
        <v>73.180823373129599</v>
      </c>
      <c r="AV27" s="2">
        <f t="shared" si="34"/>
        <v>62.270618345396265</v>
      </c>
      <c r="AW27" s="2">
        <f t="shared" si="27"/>
        <v>119.03257374717771</v>
      </c>
      <c r="AX27" s="2"/>
      <c r="AY27" s="2"/>
    </row>
    <row r="28" spans="1:51" x14ac:dyDescent="0.25">
      <c r="A28" s="1">
        <v>37104</v>
      </c>
      <c r="B28" s="2">
        <v>7440.0001199999997</v>
      </c>
      <c r="C28" s="2">
        <v>31</v>
      </c>
      <c r="D28" s="3">
        <v>224.1772766113281</v>
      </c>
      <c r="E28" s="3">
        <v>197.76643371582031</v>
      </c>
      <c r="F28">
        <f t="shared" si="5"/>
        <v>240.00000387096773</v>
      </c>
      <c r="G28">
        <f t="shared" si="28"/>
        <v>197.17427889576291</v>
      </c>
      <c r="H28">
        <f t="shared" si="29"/>
        <v>190.06471052631827</v>
      </c>
      <c r="I28">
        <f t="shared" si="6"/>
        <v>50.545962399807784</v>
      </c>
      <c r="J28">
        <f t="shared" si="7"/>
        <v>41.596317794895697</v>
      </c>
      <c r="K28">
        <f t="shared" si="1"/>
        <v>6.4871872322881359</v>
      </c>
      <c r="L28">
        <f t="shared" si="8"/>
        <v>2.9942129659287723E-3</v>
      </c>
      <c r="M28">
        <f t="shared" si="9"/>
        <v>198.40368607607203</v>
      </c>
      <c r="N28" s="10">
        <f t="shared" si="10"/>
        <v>-36.358275972232605</v>
      </c>
      <c r="O28" s="10">
        <f t="shared" si="11"/>
        <v>10.367294311523409</v>
      </c>
      <c r="P28" s="10">
        <f t="shared" si="12"/>
        <v>-8.2668265199526445</v>
      </c>
      <c r="Q28" s="10">
        <f t="shared" si="13"/>
        <v>9.2421685537909433</v>
      </c>
      <c r="R28" s="10"/>
      <c r="S28" s="10"/>
      <c r="T28" s="10"/>
      <c r="U28" s="2">
        <v>172.84</v>
      </c>
      <c r="V28" s="2">
        <v>177.00858052492799</v>
      </c>
      <c r="W28" s="2">
        <f t="shared" si="30"/>
        <v>63.714057980327489</v>
      </c>
      <c r="X28" s="2">
        <f t="shared" si="31"/>
        <v>59.335383863145246</v>
      </c>
      <c r="Y28" s="2">
        <f t="shared" si="14"/>
        <v>4.3786741171822428</v>
      </c>
      <c r="Z28" s="2">
        <f t="shared" si="2"/>
        <v>19.172787024481693</v>
      </c>
      <c r="AA28" s="2">
        <v>177.00858052492799</v>
      </c>
      <c r="AB28" s="18">
        <f t="shared" si="15"/>
        <v>47.168696086400104</v>
      </c>
      <c r="AC28" s="18">
        <f t="shared" si="16"/>
        <v>-198.40368607607203</v>
      </c>
      <c r="AD28" s="18">
        <f t="shared" si="17"/>
        <v>-63.714057980327489</v>
      </c>
      <c r="AE28" s="18">
        <f t="shared" si="18"/>
        <v>-4.3786741171822525</v>
      </c>
      <c r="AF28" s="18">
        <f t="shared" si="19"/>
        <v>19.172787024481778</v>
      </c>
      <c r="AG28" s="2"/>
      <c r="AH28" s="2">
        <v>149.71</v>
      </c>
      <c r="AI28" s="2">
        <v>159.14031631307699</v>
      </c>
      <c r="AJ28" s="5">
        <f t="shared" si="20"/>
        <v>54.405384261220597</v>
      </c>
      <c r="AK28" s="5">
        <f t="shared" si="32"/>
        <v>53.996965552187177</v>
      </c>
      <c r="AL28" s="5">
        <f t="shared" si="33"/>
        <v>0.16680584188852515</v>
      </c>
      <c r="AM28" s="20">
        <f t="shared" si="21"/>
        <v>65.036960298251103</v>
      </c>
      <c r="AN28" s="20">
        <f t="shared" si="22"/>
        <v>-198.40368607607203</v>
      </c>
      <c r="AO28" s="20">
        <f t="shared" si="23"/>
        <v>-54.405384261220597</v>
      </c>
      <c r="AP28" s="20">
        <f t="shared" si="24"/>
        <v>10.924845128041177</v>
      </c>
      <c r="AQ28" s="20">
        <f t="shared" si="25"/>
        <v>119.35224107168504</v>
      </c>
      <c r="AR28" s="5"/>
      <c r="AS28" s="2">
        <v>178.2</v>
      </c>
      <c r="AT28" s="2">
        <v>185.48187964410999</v>
      </c>
      <c r="AU28" s="2">
        <f t="shared" si="26"/>
        <v>73.797056602235813</v>
      </c>
      <c r="AV28" s="2">
        <f t="shared" si="34"/>
        <v>60.04094008191062</v>
      </c>
      <c r="AW28" s="2">
        <f t="shared" si="27"/>
        <v>189.23074172076369</v>
      </c>
      <c r="AX28" s="2"/>
      <c r="AY28" s="2"/>
    </row>
    <row r="29" spans="1:51" x14ac:dyDescent="0.25">
      <c r="A29" s="1">
        <v>37135</v>
      </c>
      <c r="B29" s="2">
        <v>7200.0002199999999</v>
      </c>
      <c r="C29" s="2">
        <v>30</v>
      </c>
      <c r="D29" s="3">
        <v>225.24177551269531</v>
      </c>
      <c r="E29" s="3">
        <v>198.9980773925781</v>
      </c>
      <c r="F29">
        <f t="shared" si="5"/>
        <v>240.00000733333334</v>
      </c>
      <c r="G29">
        <f t="shared" si="28"/>
        <v>198.23877740757075</v>
      </c>
      <c r="H29">
        <f t="shared" si="29"/>
        <v>190.58328357035342</v>
      </c>
      <c r="I29">
        <f t="shared" si="6"/>
        <v>58.606585891672601</v>
      </c>
      <c r="J29">
        <f t="shared" si="7"/>
        <v>41.5963183949859</v>
      </c>
      <c r="K29">
        <f t="shared" si="1"/>
        <v>5.9144546542854783</v>
      </c>
      <c r="L29">
        <f t="shared" si="8"/>
        <v>3.8156146780725861E-3</v>
      </c>
      <c r="M29">
        <f t="shared" si="9"/>
        <v>198.40368893834739</v>
      </c>
      <c r="N29" s="10">
        <f t="shared" si="10"/>
        <v>-42.272727764242703</v>
      </c>
      <c r="O29" s="10">
        <f t="shared" si="11"/>
        <v>11.431793212890625</v>
      </c>
      <c r="P29" s="10">
        <f t="shared" si="12"/>
        <v>-8.2668293822280141</v>
      </c>
      <c r="Q29" s="10">
        <f t="shared" si="13"/>
        <v>10.306667065598788</v>
      </c>
      <c r="R29" s="10"/>
      <c r="S29" s="10"/>
      <c r="T29" s="10"/>
      <c r="U29" s="2">
        <v>172.4</v>
      </c>
      <c r="V29" s="2">
        <v>178.60588710714899</v>
      </c>
      <c r="W29" s="2">
        <f t="shared" si="30"/>
        <v>64.103338222879486</v>
      </c>
      <c r="X29" s="2">
        <f t="shared" si="31"/>
        <v>57.767653809765633</v>
      </c>
      <c r="Y29" s="2">
        <f t="shared" si="14"/>
        <v>6.335684413113853</v>
      </c>
      <c r="Z29" s="2">
        <f t="shared" si="2"/>
        <v>40.140896982573828</v>
      </c>
      <c r="AA29" s="2">
        <v>178.60588710714899</v>
      </c>
      <c r="AB29" s="18">
        <f t="shared" si="15"/>
        <v>46.635888405546325</v>
      </c>
      <c r="AC29" s="18">
        <f t="shared" si="16"/>
        <v>-198.40368893834739</v>
      </c>
      <c r="AD29" s="18">
        <f t="shared" si="17"/>
        <v>-64.103338222879486</v>
      </c>
      <c r="AE29" s="18">
        <f t="shared" si="18"/>
        <v>-6.3356844131138397</v>
      </c>
      <c r="AF29" s="18">
        <f t="shared" si="19"/>
        <v>40.140896982573658</v>
      </c>
      <c r="AG29" s="2"/>
      <c r="AH29" s="2">
        <v>151.59</v>
      </c>
      <c r="AI29" s="2">
        <v>160.82823223220601</v>
      </c>
      <c r="AJ29" s="5">
        <f t="shared" si="20"/>
        <v>54.418828065815532</v>
      </c>
      <c r="AK29" s="5">
        <f t="shared" si="32"/>
        <v>53.111897418816312</v>
      </c>
      <c r="AL29" s="5">
        <f t="shared" si="33"/>
        <v>1.7080677160657995</v>
      </c>
      <c r="AM29" s="20">
        <f t="shared" si="21"/>
        <v>64.413543280489307</v>
      </c>
      <c r="AN29" s="20">
        <f t="shared" si="22"/>
        <v>-198.40368893834739</v>
      </c>
      <c r="AO29" s="20">
        <f t="shared" si="23"/>
        <v>-54.418828065815532</v>
      </c>
      <c r="AP29" s="20">
        <f t="shared" si="24"/>
        <v>10.026333353574998</v>
      </c>
      <c r="AQ29" s="20">
        <f t="shared" si="25"/>
        <v>100.52736051701046</v>
      </c>
      <c r="AR29" s="5"/>
      <c r="AS29" s="2">
        <v>181.87</v>
      </c>
      <c r="AT29" s="2">
        <v>185.64628749295099</v>
      </c>
      <c r="AU29" s="2">
        <f t="shared" si="26"/>
        <v>73.967067995366904</v>
      </c>
      <c r="AV29" s="2">
        <f t="shared" si="34"/>
        <v>64.662941811439296</v>
      </c>
      <c r="AW29" s="2">
        <f t="shared" si="27"/>
        <v>86.566764046447304</v>
      </c>
      <c r="AX29" s="2"/>
      <c r="AY29" s="2"/>
    </row>
    <row r="30" spans="1:51" x14ac:dyDescent="0.25">
      <c r="A30" s="1">
        <v>37165</v>
      </c>
      <c r="B30" s="2">
        <v>7440.0001199999997</v>
      </c>
      <c r="C30" s="2">
        <v>31</v>
      </c>
      <c r="D30" s="3">
        <v>224.7547302246094</v>
      </c>
      <c r="E30" s="3">
        <v>198.4328918457031</v>
      </c>
      <c r="F30">
        <f t="shared" si="5"/>
        <v>240.00000387096773</v>
      </c>
      <c r="G30">
        <f t="shared" si="28"/>
        <v>197.75173250904422</v>
      </c>
      <c r="H30">
        <f t="shared" si="29"/>
        <v>191.29057533955063</v>
      </c>
      <c r="I30">
        <f t="shared" si="6"/>
        <v>41.746551968898409</v>
      </c>
      <c r="J30">
        <f t="shared" si="7"/>
        <v>41.596317794895697</v>
      </c>
      <c r="K30">
        <f t="shared" si="1"/>
        <v>5.6315409036443356</v>
      </c>
      <c r="L30">
        <f t="shared" si="8"/>
        <v>3.4326936946951995E-3</v>
      </c>
      <c r="M30">
        <f t="shared" si="9"/>
        <v>198.40368607607203</v>
      </c>
      <c r="N30" s="10">
        <f t="shared" si="10"/>
        <v>-47.90427153016239</v>
      </c>
      <c r="O30" s="10">
        <f t="shared" si="11"/>
        <v>10.944747924804716</v>
      </c>
      <c r="P30" s="10">
        <f t="shared" si="12"/>
        <v>-8.2668265199526445</v>
      </c>
      <c r="Q30" s="10">
        <f t="shared" si="13"/>
        <v>9.8196221670722501</v>
      </c>
      <c r="R30" s="10"/>
      <c r="S30" s="10"/>
      <c r="T30" s="10"/>
      <c r="U30" s="2">
        <v>172.15</v>
      </c>
      <c r="V30" s="2">
        <v>177.74000844859799</v>
      </c>
      <c r="W30" s="2">
        <f t="shared" si="30"/>
        <v>64.338267334110924</v>
      </c>
      <c r="X30" s="2">
        <f t="shared" si="31"/>
        <v>58.882331127555915</v>
      </c>
      <c r="Y30" s="2">
        <f t="shared" si="14"/>
        <v>5.455936206555009</v>
      </c>
      <c r="Z30" s="2">
        <f t="shared" si="2"/>
        <v>29.76723988999786</v>
      </c>
      <c r="AA30" s="2">
        <v>177.74000844859799</v>
      </c>
      <c r="AB30" s="18">
        <f t="shared" si="15"/>
        <v>47.014721776011413</v>
      </c>
      <c r="AC30" s="18">
        <f t="shared" si="16"/>
        <v>-198.40368607607203</v>
      </c>
      <c r="AD30" s="18">
        <f t="shared" si="17"/>
        <v>-64.338267334110924</v>
      </c>
      <c r="AE30" s="18">
        <f t="shared" si="18"/>
        <v>-5.4559362065550125</v>
      </c>
      <c r="AF30" s="18">
        <f t="shared" si="19"/>
        <v>29.767239889997899</v>
      </c>
      <c r="AG30" s="2"/>
      <c r="AH30" s="2">
        <v>153.55000000000001</v>
      </c>
      <c r="AI30" s="2">
        <v>161.07600340461099</v>
      </c>
      <c r="AJ30" s="5">
        <f t="shared" si="20"/>
        <v>54.419906715412971</v>
      </c>
      <c r="AK30" s="5">
        <f t="shared" si="32"/>
        <v>52.06867616667823</v>
      </c>
      <c r="AL30" s="5">
        <f t="shared" si="33"/>
        <v>5.5282850933034684</v>
      </c>
      <c r="AM30" s="20">
        <f t="shared" si="21"/>
        <v>63.678726819998417</v>
      </c>
      <c r="AN30" s="20">
        <f t="shared" si="22"/>
        <v>-198.40368607607203</v>
      </c>
      <c r="AO30" s="20">
        <f t="shared" si="23"/>
        <v>-54.419906715412971</v>
      </c>
      <c r="AP30" s="20">
        <f t="shared" si="24"/>
        <v>8.9820332883398706</v>
      </c>
      <c r="AQ30" s="20">
        <f t="shared" si="25"/>
        <v>80.67692199284555</v>
      </c>
      <c r="AR30" s="5"/>
      <c r="AS30" s="2">
        <v>177.85</v>
      </c>
      <c r="AT30" s="2">
        <v>186.79332692614801</v>
      </c>
      <c r="AU30" s="2">
        <f t="shared" si="26"/>
        <v>74.013971122903811</v>
      </c>
      <c r="AV30" s="2">
        <f t="shared" si="34"/>
        <v>56.271853093190707</v>
      </c>
      <c r="AW30" s="2">
        <f t="shared" si="27"/>
        <v>314.78275218027079</v>
      </c>
      <c r="AX30" s="2"/>
      <c r="AY30" s="2"/>
    </row>
    <row r="31" spans="1:51" x14ac:dyDescent="0.25">
      <c r="A31" s="1">
        <v>37196</v>
      </c>
      <c r="B31" s="2">
        <v>7200</v>
      </c>
      <c r="C31" s="2">
        <v>30</v>
      </c>
      <c r="D31" s="3">
        <v>223.3526916503906</v>
      </c>
      <c r="E31" s="3">
        <v>196.80659484863281</v>
      </c>
      <c r="F31">
        <f t="shared" si="5"/>
        <v>240</v>
      </c>
      <c r="G31">
        <f t="shared" si="28"/>
        <v>196.34969437035761</v>
      </c>
      <c r="H31">
        <f t="shared" si="29"/>
        <v>191.43441434183251</v>
      </c>
      <c r="I31">
        <f t="shared" si="6"/>
        <v>24.159977758817739</v>
      </c>
      <c r="J31">
        <f t="shared" si="7"/>
        <v>41.596317123987262</v>
      </c>
      <c r="K31">
        <f t="shared" si="1"/>
        <v>5.4767342051680998</v>
      </c>
      <c r="L31">
        <f t="shared" si="8"/>
        <v>2.3215709749290232E-3</v>
      </c>
      <c r="M31">
        <f t="shared" si="9"/>
        <v>198.40368287601262</v>
      </c>
      <c r="N31" s="10">
        <f t="shared" si="10"/>
        <v>-53.3810089353899</v>
      </c>
      <c r="O31" s="10">
        <f t="shared" si="11"/>
        <v>9.5427093505859091</v>
      </c>
      <c r="P31" s="10">
        <f t="shared" si="12"/>
        <v>-8.2668233198932519</v>
      </c>
      <c r="Q31" s="10">
        <f t="shared" si="13"/>
        <v>8.4175840283856562</v>
      </c>
      <c r="R31" s="10"/>
      <c r="S31" s="10"/>
      <c r="T31" s="10"/>
      <c r="U31" s="2">
        <v>171.8</v>
      </c>
      <c r="V31" s="2">
        <v>174.911937129872</v>
      </c>
      <c r="W31" s="2">
        <f t="shared" si="30"/>
        <v>64.480045947945456</v>
      </c>
      <c r="X31" s="2">
        <f t="shared" si="31"/>
        <v>63.078279345327225</v>
      </c>
      <c r="Y31" s="2">
        <f t="shared" si="14"/>
        <v>1.4017666026182312</v>
      </c>
      <c r="Z31" s="2">
        <f t="shared" si="2"/>
        <v>1.964949608215858</v>
      </c>
      <c r="AA31" s="2">
        <v>174.911937129872</v>
      </c>
      <c r="AB31" s="18">
        <f t="shared" si="15"/>
        <v>48.440754520518595</v>
      </c>
      <c r="AC31" s="18">
        <f t="shared" si="16"/>
        <v>-198.40368287601262</v>
      </c>
      <c r="AD31" s="18">
        <f t="shared" si="17"/>
        <v>-64.480045947945456</v>
      </c>
      <c r="AE31" s="18">
        <f t="shared" si="18"/>
        <v>-1.4017666026181888</v>
      </c>
      <c r="AF31" s="18">
        <f t="shared" si="19"/>
        <v>1.9649496082157392</v>
      </c>
      <c r="AG31" s="2"/>
      <c r="AH31" s="2">
        <v>152.9</v>
      </c>
      <c r="AI31" s="2">
        <v>158.57468110745901</v>
      </c>
      <c r="AJ31" s="5">
        <f t="shared" si="20"/>
        <v>54.419992510398494</v>
      </c>
      <c r="AK31" s="5">
        <f t="shared" si="32"/>
        <v>53.629334189298802</v>
      </c>
      <c r="AL31" s="5">
        <f t="shared" si="33"/>
        <v>0.62514058072418266</v>
      </c>
      <c r="AM31" s="20">
        <f t="shared" si="21"/>
        <v>64.778010542931582</v>
      </c>
      <c r="AN31" s="20">
        <f t="shared" si="22"/>
        <v>-198.40368287601262</v>
      </c>
      <c r="AO31" s="20">
        <f t="shared" si="23"/>
        <v>-54.419992510398494</v>
      </c>
      <c r="AP31" s="20">
        <f t="shared" si="24"/>
        <v>10.542605333180354</v>
      </c>
      <c r="AQ31" s="20">
        <f t="shared" si="25"/>
        <v>111.14652721120285</v>
      </c>
      <c r="AR31" s="5"/>
      <c r="AS31" s="2">
        <v>174.69</v>
      </c>
      <c r="AT31" s="2">
        <v>181.67503731528799</v>
      </c>
      <c r="AU31" s="2">
        <f t="shared" si="26"/>
        <v>74.026910212500582</v>
      </c>
      <c r="AV31" s="2">
        <f t="shared" si="34"/>
        <v>75.354953761219406</v>
      </c>
      <c r="AW31" s="2">
        <f t="shared" si="27"/>
        <v>1.763699667293688</v>
      </c>
      <c r="AX31" s="2"/>
      <c r="AY31" s="2"/>
    </row>
    <row r="32" spans="1:51" x14ac:dyDescent="0.25">
      <c r="A32" s="1">
        <v>37226</v>
      </c>
      <c r="B32" s="2">
        <v>6199.9998800000003</v>
      </c>
      <c r="C32" s="2">
        <v>31</v>
      </c>
      <c r="D32" s="3">
        <v>215.37406921386719</v>
      </c>
      <c r="E32" s="3">
        <v>193.13331604003909</v>
      </c>
      <c r="F32">
        <f t="shared" si="5"/>
        <v>199.99999612903227</v>
      </c>
      <c r="G32">
        <f t="shared" si="28"/>
        <v>192.87157191603859</v>
      </c>
      <c r="H32">
        <f t="shared" si="29"/>
        <v>191.73396591553976</v>
      </c>
      <c r="I32">
        <f t="shared" si="6"/>
        <v>1.2941474123709547</v>
      </c>
      <c r="J32">
        <f t="shared" si="7"/>
        <v>34.663596932414464</v>
      </c>
      <c r="K32">
        <f t="shared" si="1"/>
        <v>-6.127975634075284</v>
      </c>
      <c r="L32">
        <f t="shared" si="8"/>
        <v>1.3552510222847192E-3</v>
      </c>
      <c r="M32">
        <f t="shared" si="9"/>
        <v>165.3363991966178</v>
      </c>
      <c r="N32" s="10">
        <f t="shared" si="10"/>
        <v>-80.320316980709435</v>
      </c>
      <c r="O32" s="10">
        <f t="shared" si="11"/>
        <v>1.5640869140625</v>
      </c>
      <c r="P32" s="10">
        <f t="shared" si="12"/>
        <v>24.800460359501578</v>
      </c>
      <c r="Q32" s="10">
        <f t="shared" si="13"/>
        <v>4.9394615740666215</v>
      </c>
      <c r="R32" s="10"/>
      <c r="S32" s="10"/>
      <c r="T32" s="10"/>
      <c r="U32" s="2">
        <v>170.91</v>
      </c>
      <c r="V32" s="2">
        <v>176.38871124128201</v>
      </c>
      <c r="W32" s="2">
        <f t="shared" si="30"/>
        <v>60.29026003318296</v>
      </c>
      <c r="X32" s="2">
        <f t="shared" si="31"/>
        <v>48.49903272945415</v>
      </c>
      <c r="Y32" s="2">
        <f t="shared" si="14"/>
        <v>11.79122730372881</v>
      </c>
      <c r="Z32" s="2">
        <f t="shared" si="2"/>
        <v>139.0330413281998</v>
      </c>
      <c r="AA32" s="2">
        <v>176.38871124128201</v>
      </c>
      <c r="AB32" s="18">
        <f t="shared" si="15"/>
        <v>38.985357972585177</v>
      </c>
      <c r="AC32" s="18">
        <f t="shared" si="16"/>
        <v>-165.3363991966178</v>
      </c>
      <c r="AD32" s="18">
        <f t="shared" si="17"/>
        <v>-60.29026003318296</v>
      </c>
      <c r="AE32" s="18">
        <f t="shared" si="18"/>
        <v>-11.791227303728819</v>
      </c>
      <c r="AF32" s="18">
        <f t="shared" si="19"/>
        <v>139.0330413282</v>
      </c>
      <c r="AG32" s="2"/>
      <c r="AH32" s="2">
        <v>155.69999999999999</v>
      </c>
      <c r="AI32" s="2">
        <v>161.39464769525401</v>
      </c>
      <c r="AJ32" s="5">
        <f t="shared" si="20"/>
        <v>46.078207696793484</v>
      </c>
      <c r="AK32" s="5">
        <f t="shared" si="32"/>
        <v>44.687912524061893</v>
      </c>
      <c r="AL32" s="5">
        <f t="shared" si="33"/>
        <v>1.9329206673207642</v>
      </c>
      <c r="AM32" s="20">
        <f t="shared" si="21"/>
        <v>53.979421518613179</v>
      </c>
      <c r="AN32" s="20">
        <f t="shared" si="22"/>
        <v>-165.3363991966178</v>
      </c>
      <c r="AO32" s="20">
        <f t="shared" si="23"/>
        <v>-46.078207696793484</v>
      </c>
      <c r="AP32" s="20">
        <f t="shared" si="24"/>
        <v>8.0540910230405274</v>
      </c>
      <c r="AQ32" s="20">
        <f t="shared" si="25"/>
        <v>64.868382207422002</v>
      </c>
      <c r="AR32" s="5"/>
      <c r="AS32" s="2">
        <v>178.68</v>
      </c>
      <c r="AT32" s="2">
        <v>181.392834357168</v>
      </c>
      <c r="AU32" s="2">
        <f t="shared" si="26"/>
        <v>65.095907100716644</v>
      </c>
      <c r="AV32" s="2">
        <f t="shared" si="34"/>
        <v>58.943778702279353</v>
      </c>
      <c r="AW32" s="2">
        <f t="shared" si="27"/>
        <v>37.84868383085859</v>
      </c>
      <c r="AX32" s="2"/>
      <c r="AY32" s="2"/>
    </row>
    <row r="33" spans="1:51" x14ac:dyDescent="0.25">
      <c r="A33" s="1">
        <v>37257</v>
      </c>
      <c r="B33" s="2">
        <v>6200</v>
      </c>
      <c r="C33" s="2">
        <v>31</v>
      </c>
      <c r="D33" s="3">
        <v>215.1834716796875</v>
      </c>
      <c r="E33" s="3">
        <v>192.93592834472659</v>
      </c>
      <c r="F33">
        <f t="shared" si="5"/>
        <v>200</v>
      </c>
      <c r="G33">
        <f t="shared" si="28"/>
        <v>192.6809739463267</v>
      </c>
      <c r="H33">
        <f t="shared" si="29"/>
        <v>192.04688403761352</v>
      </c>
      <c r="I33">
        <f t="shared" si="6"/>
        <v>0.40207001233188744</v>
      </c>
      <c r="J33">
        <f t="shared" si="7"/>
        <v>34.663597603322899</v>
      </c>
      <c r="K33">
        <f t="shared" si="1"/>
        <v>-0.46576267657454906</v>
      </c>
      <c r="L33">
        <f t="shared" si="8"/>
        <v>1.321445935898218E-3</v>
      </c>
      <c r="M33">
        <f t="shared" si="9"/>
        <v>165.33640239667719</v>
      </c>
      <c r="N33" s="10">
        <f t="shared" si="10"/>
        <v>-79.854551104075512</v>
      </c>
      <c r="O33" s="10">
        <f t="shared" si="11"/>
        <v>1.3734893798828125</v>
      </c>
      <c r="P33" s="10">
        <f t="shared" si="12"/>
        <v>24.800457159442185</v>
      </c>
      <c r="Q33" s="10">
        <f t="shared" si="13"/>
        <v>4.748863604354721</v>
      </c>
      <c r="R33" s="10"/>
      <c r="S33" s="10"/>
      <c r="T33" s="10"/>
      <c r="U33" s="2">
        <v>170.36</v>
      </c>
      <c r="V33" s="2">
        <v>176.24245232548199</v>
      </c>
      <c r="W33" s="2">
        <f t="shared" si="30"/>
        <v>57.761736971734024</v>
      </c>
      <c r="X33" s="2">
        <f t="shared" si="31"/>
        <v>48.368569864463844</v>
      </c>
      <c r="Y33" s="2">
        <f t="shared" si="14"/>
        <v>9.3931671072701803</v>
      </c>
      <c r="Z33" s="2">
        <f t="shared" si="2"/>
        <v>88.231588305102449</v>
      </c>
      <c r="AA33" s="2">
        <v>176.24245232548199</v>
      </c>
      <c r="AB33" s="18">
        <f t="shared" si="15"/>
        <v>38.941019354205508</v>
      </c>
      <c r="AC33" s="18">
        <f t="shared" si="16"/>
        <v>-165.33640239667719</v>
      </c>
      <c r="AD33" s="18">
        <f t="shared" si="17"/>
        <v>-57.761736971734024</v>
      </c>
      <c r="AE33" s="18">
        <f t="shared" si="18"/>
        <v>-9.3931671072702194</v>
      </c>
      <c r="AF33" s="18">
        <f t="shared" si="19"/>
        <v>88.231588305103188</v>
      </c>
      <c r="AG33" s="2"/>
      <c r="AH33" s="2">
        <v>154.05000000000001</v>
      </c>
      <c r="AI33" s="2">
        <v>160.63970144863899</v>
      </c>
      <c r="AJ33" s="5">
        <f t="shared" si="20"/>
        <v>45.408466094312821</v>
      </c>
      <c r="AK33" s="5">
        <f t="shared" si="32"/>
        <v>45.489119981768305</v>
      </c>
      <c r="AL33" s="5">
        <f t="shared" si="33"/>
        <v>6.5050495616817477E-3</v>
      </c>
      <c r="AM33" s="20">
        <f t="shared" si="21"/>
        <v>54.543770231048512</v>
      </c>
      <c r="AN33" s="20">
        <f t="shared" si="22"/>
        <v>-165.33640239667719</v>
      </c>
      <c r="AO33" s="20">
        <f t="shared" si="23"/>
        <v>-45.408466094312821</v>
      </c>
      <c r="AP33" s="20">
        <f t="shared" si="24"/>
        <v>9.5250402660221525</v>
      </c>
      <c r="AQ33" s="20">
        <f t="shared" si="25"/>
        <v>90.726392069343362</v>
      </c>
      <c r="AR33" s="5"/>
      <c r="AS33" s="2">
        <v>179.09</v>
      </c>
      <c r="AT33" s="2">
        <v>181.447609965244</v>
      </c>
      <c r="AU33" s="2">
        <f t="shared" si="26"/>
        <v>62.631962007204891</v>
      </c>
      <c r="AV33" s="2">
        <f t="shared" si="34"/>
        <v>57.683775518624472</v>
      </c>
      <c r="AW33" s="2">
        <f t="shared" si="27"/>
        <v>24.484549525769811</v>
      </c>
      <c r="AX33" s="2"/>
      <c r="AY33" s="2"/>
    </row>
    <row r="34" spans="1:51" x14ac:dyDescent="0.25">
      <c r="A34" s="1">
        <v>37288</v>
      </c>
      <c r="B34" s="2">
        <v>5599.9997899999998</v>
      </c>
      <c r="C34" s="2">
        <v>28</v>
      </c>
      <c r="D34" s="3">
        <v>215.72576904296881</v>
      </c>
      <c r="E34" s="3">
        <v>193.56025695800781</v>
      </c>
      <c r="F34">
        <f t="shared" si="5"/>
        <v>199.99999249999999</v>
      </c>
      <c r="G34">
        <f t="shared" si="28"/>
        <v>193.22327215345166</v>
      </c>
      <c r="H34">
        <f t="shared" si="29"/>
        <v>192.38113605837356</v>
      </c>
      <c r="I34">
        <f t="shared" si="6"/>
        <v>0.7091932026333968</v>
      </c>
      <c r="J34">
        <f t="shared" si="7"/>
        <v>34.663596303437856</v>
      </c>
      <c r="K34">
        <f t="shared" si="1"/>
        <v>1.793733334082269</v>
      </c>
      <c r="L34">
        <f t="shared" si="8"/>
        <v>1.7409813866348614E-3</v>
      </c>
      <c r="M34">
        <f t="shared" si="9"/>
        <v>165.33639619656211</v>
      </c>
      <c r="N34" s="10">
        <f t="shared" si="10"/>
        <v>-81.648290638272869</v>
      </c>
      <c r="O34" s="10">
        <f t="shared" si="11"/>
        <v>1.9157867431641193</v>
      </c>
      <c r="P34" s="10">
        <f t="shared" si="12"/>
        <v>24.800463359557284</v>
      </c>
      <c r="Q34" s="10">
        <f t="shared" si="13"/>
        <v>5.2911618114796939</v>
      </c>
      <c r="R34" s="10"/>
      <c r="S34" s="10"/>
      <c r="T34" s="10"/>
      <c r="U34" s="2">
        <v>172.05</v>
      </c>
      <c r="V34" s="2">
        <v>176.01543124369101</v>
      </c>
      <c r="W34" s="2">
        <f t="shared" si="30"/>
        <v>56.235779940239659</v>
      </c>
      <c r="X34" s="2">
        <f t="shared" si="31"/>
        <v>50.632208568252466</v>
      </c>
      <c r="Y34" s="2">
        <f t="shared" si="14"/>
        <v>5.6035713719871936</v>
      </c>
      <c r="Z34" s="2">
        <f t="shared" si="2"/>
        <v>31.40001212095444</v>
      </c>
      <c r="AA34" s="2">
        <v>176.01543124369101</v>
      </c>
      <c r="AB34" s="18">
        <f t="shared" si="15"/>
        <v>39.710337799277795</v>
      </c>
      <c r="AC34" s="18">
        <f t="shared" si="16"/>
        <v>-165.33639619656211</v>
      </c>
      <c r="AD34" s="18">
        <f t="shared" si="17"/>
        <v>-56.235779940239659</v>
      </c>
      <c r="AE34" s="18">
        <f t="shared" si="18"/>
        <v>-5.603571371987182</v>
      </c>
      <c r="AF34" s="18">
        <f t="shared" si="19"/>
        <v>31.400012120954308</v>
      </c>
      <c r="AG34" s="2"/>
      <c r="AH34" s="2">
        <v>153.91999999999999</v>
      </c>
      <c r="AI34" s="2">
        <v>160.882638113967</v>
      </c>
      <c r="AJ34" s="5">
        <f t="shared" si="20"/>
        <v>45.354692542004067</v>
      </c>
      <c r="AK34" s="5">
        <f t="shared" si="32"/>
        <v>45.914124734426331</v>
      </c>
      <c r="AL34" s="5">
        <f t="shared" si="33"/>
        <v>0.31296437791838105</v>
      </c>
      <c r="AM34" s="20">
        <f t="shared" si="21"/>
        <v>54.843130929001802</v>
      </c>
      <c r="AN34" s="20">
        <f t="shared" si="22"/>
        <v>-165.33639619656211</v>
      </c>
      <c r="AO34" s="20">
        <f t="shared" si="23"/>
        <v>-45.354692542004067</v>
      </c>
      <c r="AP34" s="20">
        <f t="shared" si="24"/>
        <v>10.003818216824463</v>
      </c>
      <c r="AQ34" s="20">
        <f t="shared" si="25"/>
        <v>100.07637891526898</v>
      </c>
      <c r="AR34" s="5"/>
      <c r="AS34" s="2">
        <v>177.72</v>
      </c>
      <c r="AT34" s="2">
        <v>182.69665056683101</v>
      </c>
      <c r="AU34" s="2">
        <f t="shared" si="26"/>
        <v>61.952190380236104</v>
      </c>
      <c r="AV34" s="2">
        <f t="shared" si="34"/>
        <v>54.054624918652991</v>
      </c>
      <c r="AW34" s="2">
        <f t="shared" si="27"/>
        <v>62.371540219990493</v>
      </c>
      <c r="AX34" s="2"/>
      <c r="AY34" s="2"/>
    </row>
    <row r="35" spans="1:51" x14ac:dyDescent="0.25">
      <c r="A35" s="1">
        <v>37316</v>
      </c>
      <c r="B35" s="2">
        <v>6200</v>
      </c>
      <c r="C35" s="2">
        <v>31</v>
      </c>
      <c r="D35" s="3">
        <v>215.6811218261719</v>
      </c>
      <c r="E35" s="3">
        <v>193.51025390625</v>
      </c>
      <c r="F35">
        <f t="shared" si="5"/>
        <v>200</v>
      </c>
      <c r="G35">
        <f t="shared" si="28"/>
        <v>193.17862409281111</v>
      </c>
      <c r="H35">
        <f t="shared" si="29"/>
        <v>192.7341244589542</v>
      </c>
      <c r="I35">
        <f t="shared" si="6"/>
        <v>0.19757992449892434</v>
      </c>
      <c r="J35">
        <f t="shared" si="7"/>
        <v>34.663597603322899</v>
      </c>
      <c r="K35">
        <f t="shared" si="1"/>
        <v>2.9065034516306127</v>
      </c>
      <c r="L35">
        <f t="shared" si="8"/>
        <v>1.7137583499815946E-3</v>
      </c>
      <c r="M35">
        <f t="shared" si="9"/>
        <v>165.33640239667719</v>
      </c>
      <c r="N35" s="10">
        <f t="shared" si="10"/>
        <v>-84.5547878897884</v>
      </c>
      <c r="O35" s="10">
        <f t="shared" si="11"/>
        <v>1.8711395263672159</v>
      </c>
      <c r="P35" s="10">
        <f t="shared" si="12"/>
        <v>24.800457159442185</v>
      </c>
      <c r="Q35" s="10">
        <f t="shared" si="13"/>
        <v>5.2465137508391244</v>
      </c>
      <c r="R35" s="10"/>
      <c r="S35" s="10"/>
      <c r="T35" s="10"/>
      <c r="U35" s="2">
        <v>172.6</v>
      </c>
      <c r="V35" s="2">
        <v>176.246050908359</v>
      </c>
      <c r="W35" s="2">
        <f t="shared" si="30"/>
        <v>55.314870162003892</v>
      </c>
      <c r="X35" s="2">
        <f t="shared" si="31"/>
        <v>49.822263093220521</v>
      </c>
      <c r="Y35" s="2">
        <f t="shared" si="14"/>
        <v>5.4926070687833715</v>
      </c>
      <c r="Z35" s="2">
        <f t="shared" si="2"/>
        <v>30.16873241204906</v>
      </c>
      <c r="AA35" s="2">
        <v>176.246050908359</v>
      </c>
      <c r="AB35" s="18">
        <f t="shared" si="15"/>
        <v>39.435070917812908</v>
      </c>
      <c r="AC35" s="18">
        <f t="shared" si="16"/>
        <v>-165.33640239667719</v>
      </c>
      <c r="AD35" s="18">
        <f t="shared" si="17"/>
        <v>-55.314870162003892</v>
      </c>
      <c r="AE35" s="18">
        <f t="shared" si="18"/>
        <v>-5.4926070687834097</v>
      </c>
      <c r="AF35" s="18">
        <f t="shared" si="19"/>
        <v>30.168732412049479</v>
      </c>
      <c r="AG35" s="2"/>
      <c r="AH35" s="2">
        <v>153.91</v>
      </c>
      <c r="AI35" s="2">
        <v>160.87986445534301</v>
      </c>
      <c r="AJ35" s="5">
        <f t="shared" si="20"/>
        <v>45.350376753232055</v>
      </c>
      <c r="AK35" s="5">
        <f t="shared" si="32"/>
        <v>45.854675481977523</v>
      </c>
      <c r="AL35" s="5">
        <f t="shared" si="33"/>
        <v>0.25431720781429501</v>
      </c>
      <c r="AM35" s="20">
        <f t="shared" si="21"/>
        <v>54.801257370828893</v>
      </c>
      <c r="AN35" s="20">
        <f t="shared" si="22"/>
        <v>-165.33640239667719</v>
      </c>
      <c r="AO35" s="20">
        <f t="shared" si="23"/>
        <v>-45.350376753232055</v>
      </c>
      <c r="AP35" s="20">
        <f t="shared" si="24"/>
        <v>9.9486851073121301</v>
      </c>
      <c r="AQ35" s="20">
        <f t="shared" si="25"/>
        <v>98.976335364454172</v>
      </c>
      <c r="AR35" s="5"/>
      <c r="AS35" s="2">
        <v>177.38</v>
      </c>
      <c r="AT35" s="2">
        <v>182.64354860570299</v>
      </c>
      <c r="AU35" s="2">
        <f t="shared" si="26"/>
        <v>61.76465202981062</v>
      </c>
      <c r="AV35" s="2">
        <f t="shared" si="34"/>
        <v>54.098036037423562</v>
      </c>
      <c r="AW35" s="2">
        <f t="shared" si="27"/>
        <v>58.777000774724996</v>
      </c>
      <c r="AX35" s="2"/>
      <c r="AY35" s="2"/>
    </row>
    <row r="36" spans="1:51" x14ac:dyDescent="0.25">
      <c r="A36" s="1">
        <v>37347</v>
      </c>
      <c r="B36" s="2">
        <v>6000.0001199999997</v>
      </c>
      <c r="C36" s="2">
        <v>30</v>
      </c>
      <c r="D36" s="3">
        <v>213.24278259277341</v>
      </c>
      <c r="E36" s="3">
        <v>190.68096923828119</v>
      </c>
      <c r="F36">
        <f t="shared" si="5"/>
        <v>200.00000399999999</v>
      </c>
      <c r="G36">
        <f t="shared" si="28"/>
        <v>190.74028440936263</v>
      </c>
      <c r="H36">
        <f t="shared" si="29"/>
        <v>192.68383933595354</v>
      </c>
      <c r="I36">
        <f t="shared" si="6"/>
        <v>3.777405752675782</v>
      </c>
      <c r="J36">
        <f t="shared" si="7"/>
        <v>34.663598296594643</v>
      </c>
      <c r="K36">
        <f t="shared" si="1"/>
        <v>3.5143568073094684</v>
      </c>
      <c r="L36">
        <f t="shared" si="8"/>
        <v>-3.110702201608521E-4</v>
      </c>
      <c r="M36">
        <f t="shared" si="9"/>
        <v>165.33640570340523</v>
      </c>
      <c r="N36" s="10">
        <f t="shared" si="10"/>
        <v>-88.069141390369822</v>
      </c>
      <c r="O36" s="10">
        <f t="shared" si="11"/>
        <v>-0.56719970703127842</v>
      </c>
      <c r="P36" s="10">
        <f t="shared" si="12"/>
        <v>24.800453852714146</v>
      </c>
      <c r="Q36" s="10">
        <f t="shared" si="13"/>
        <v>2.8081740673906763</v>
      </c>
      <c r="R36" s="10"/>
      <c r="S36" s="10"/>
      <c r="T36" s="10"/>
      <c r="U36" s="2">
        <v>169.51</v>
      </c>
      <c r="V36" s="2">
        <v>173.57991497725399</v>
      </c>
      <c r="W36" s="2">
        <f t="shared" si="30"/>
        <v>54.759104247254086</v>
      </c>
      <c r="X36" s="2">
        <f t="shared" si="31"/>
        <v>50.4925288855936</v>
      </c>
      <c r="Y36" s="2">
        <f t="shared" si="14"/>
        <v>4.266575361660486</v>
      </c>
      <c r="Z36" s="2">
        <f t="shared" si="2"/>
        <v>18.203665316728308</v>
      </c>
      <c r="AA36" s="2">
        <v>173.57991497725399</v>
      </c>
      <c r="AB36" s="18">
        <f t="shared" si="15"/>
        <v>39.662867615519417</v>
      </c>
      <c r="AC36" s="18">
        <f t="shared" si="16"/>
        <v>-165.33640570340523</v>
      </c>
      <c r="AD36" s="18">
        <f t="shared" si="17"/>
        <v>-54.759104247254086</v>
      </c>
      <c r="AE36" s="18">
        <f t="shared" si="18"/>
        <v>-4.2665753616604452</v>
      </c>
      <c r="AF36" s="18">
        <f t="shared" si="19"/>
        <v>18.203665316727957</v>
      </c>
      <c r="AG36" s="2"/>
      <c r="AH36" s="2">
        <v>154.19999999999999</v>
      </c>
      <c r="AI36" s="2">
        <v>158.40016891545599</v>
      </c>
      <c r="AJ36" s="5">
        <f t="shared" si="20"/>
        <v>45.350031082815697</v>
      </c>
      <c r="AK36" s="5">
        <f t="shared" si="32"/>
        <v>45.913388553239514</v>
      </c>
      <c r="AL36" s="5">
        <f t="shared" si="33"/>
        <v>0.317371639482322</v>
      </c>
      <c r="AM36" s="20">
        <f t="shared" si="21"/>
        <v>54.842613677317416</v>
      </c>
      <c r="AN36" s="20">
        <f t="shared" si="22"/>
        <v>-165.33640570340523</v>
      </c>
      <c r="AO36" s="20">
        <f t="shared" si="23"/>
        <v>-45.350031082815697</v>
      </c>
      <c r="AP36" s="20">
        <f t="shared" si="24"/>
        <v>10.007744037878247</v>
      </c>
      <c r="AQ36" s="20">
        <f t="shared" si="25"/>
        <v>100.1549407276876</v>
      </c>
      <c r="AR36" s="5"/>
      <c r="AS36" s="2">
        <v>175.07</v>
      </c>
      <c r="AT36" s="2">
        <v>176.88502799663601</v>
      </c>
      <c r="AU36" s="2">
        <f t="shared" si="26"/>
        <v>61.712913566025975</v>
      </c>
      <c r="AV36" s="2">
        <f t="shared" si="34"/>
        <v>71.147298530575426</v>
      </c>
      <c r="AW36" s="2">
        <f t="shared" si="27"/>
        <v>89.007619659316759</v>
      </c>
      <c r="AX36" s="2"/>
      <c r="AY36" s="2"/>
    </row>
    <row r="37" spans="1:51" x14ac:dyDescent="0.25">
      <c r="A37" s="1">
        <v>37377</v>
      </c>
      <c r="B37" s="2">
        <v>6200.0001199999997</v>
      </c>
      <c r="C37" s="2">
        <v>31</v>
      </c>
      <c r="D37" s="3">
        <v>212.89006042480469</v>
      </c>
      <c r="E37" s="3">
        <v>190.2662048339844</v>
      </c>
      <c r="F37">
        <f t="shared" si="5"/>
        <v>200.00000387096773</v>
      </c>
      <c r="G37">
        <f t="shared" si="28"/>
        <v>190.38756225591166</v>
      </c>
      <c r="H37">
        <f t="shared" si="29"/>
        <v>192.491357138251</v>
      </c>
      <c r="I37">
        <f t="shared" si="6"/>
        <v>4.4259529069572121</v>
      </c>
      <c r="J37">
        <f t="shared" si="7"/>
        <v>34.663598274231106</v>
      </c>
      <c r="K37">
        <f t="shared" si="1"/>
        <v>3.8640615777089025</v>
      </c>
      <c r="L37">
        <f t="shared" si="8"/>
        <v>-6.378296242001934E-4</v>
      </c>
      <c r="M37">
        <f t="shared" si="9"/>
        <v>165.3364055967366</v>
      </c>
      <c r="N37" s="10">
        <f t="shared" si="10"/>
        <v>-91.933203074747354</v>
      </c>
      <c r="O37" s="10">
        <f t="shared" si="11"/>
        <v>-0.919921875</v>
      </c>
      <c r="P37" s="10">
        <f t="shared" si="12"/>
        <v>24.800453959382793</v>
      </c>
      <c r="Q37" s="10">
        <f t="shared" si="13"/>
        <v>2.4554519139396951</v>
      </c>
      <c r="R37" s="10"/>
      <c r="S37" s="10"/>
      <c r="T37" s="10"/>
      <c r="U37" s="2">
        <v>167.7</v>
      </c>
      <c r="V37" s="2">
        <v>172.83590979480601</v>
      </c>
      <c r="W37" s="2">
        <f t="shared" si="30"/>
        <v>54.423701138711365</v>
      </c>
      <c r="X37" s="2">
        <f t="shared" si="31"/>
        <v>51.643836829297136</v>
      </c>
      <c r="Y37" s="2">
        <f t="shared" si="14"/>
        <v>2.7798643094142292</v>
      </c>
      <c r="Z37" s="2">
        <f t="shared" si="2"/>
        <v>7.72764557875505</v>
      </c>
      <c r="AA37" s="2">
        <v>172.83590979480601</v>
      </c>
      <c r="AB37" s="18">
        <f t="shared" si="15"/>
        <v>40.054150629998674</v>
      </c>
      <c r="AC37" s="18">
        <f t="shared" si="16"/>
        <v>-165.3364055967366</v>
      </c>
      <c r="AD37" s="18">
        <f t="shared" si="17"/>
        <v>-54.423701138711365</v>
      </c>
      <c r="AE37" s="18">
        <f t="shared" si="18"/>
        <v>-2.7798643094142266</v>
      </c>
      <c r="AF37" s="18">
        <f t="shared" si="19"/>
        <v>7.7276455787550349</v>
      </c>
      <c r="AG37" s="2"/>
      <c r="AH37" s="2">
        <v>154.22</v>
      </c>
      <c r="AI37" s="2">
        <v>158.008358311183</v>
      </c>
      <c r="AJ37" s="5">
        <f t="shared" si="20"/>
        <v>45.350003302836718</v>
      </c>
      <c r="AK37" s="5">
        <f t="shared" si="32"/>
        <v>45.968882579872592</v>
      </c>
      <c r="AL37" s="5">
        <f t="shared" si="33"/>
        <v>0.38301155954444494</v>
      </c>
      <c r="AM37" s="20">
        <f t="shared" si="21"/>
        <v>54.881702113621685</v>
      </c>
      <c r="AN37" s="20">
        <f t="shared" si="22"/>
        <v>-165.3364055967366</v>
      </c>
      <c r="AO37" s="20">
        <f t="shared" si="23"/>
        <v>-45.350003302836718</v>
      </c>
      <c r="AP37" s="20">
        <f t="shared" si="24"/>
        <v>10.063265838397136</v>
      </c>
      <c r="AQ37" s="20">
        <f t="shared" si="25"/>
        <v>101.26931933425081</v>
      </c>
      <c r="AR37" s="5"/>
      <c r="AS37" s="2">
        <v>175.88</v>
      </c>
      <c r="AT37" s="2">
        <v>175.54654346465901</v>
      </c>
      <c r="AU37" s="2">
        <f t="shared" si="26"/>
        <v>61.698639577479604</v>
      </c>
      <c r="AV37" s="2">
        <f t="shared" si="34"/>
        <v>76.209227962699146</v>
      </c>
      <c r="AW37" s="2">
        <f t="shared" si="27"/>
        <v>210.55717528526827</v>
      </c>
      <c r="AX37" s="2"/>
      <c r="AY37" s="2"/>
    </row>
    <row r="38" spans="1:51" x14ac:dyDescent="0.25">
      <c r="A38" s="1">
        <v>37408</v>
      </c>
      <c r="B38" s="2">
        <v>5999.9998900000001</v>
      </c>
      <c r="C38" s="2">
        <v>30</v>
      </c>
      <c r="D38" s="3">
        <v>213.1549072265625</v>
      </c>
      <c r="E38" s="3">
        <v>190.58526611328119</v>
      </c>
      <c r="F38">
        <f t="shared" si="5"/>
        <v>199.99999633333334</v>
      </c>
      <c r="G38">
        <f t="shared" si="28"/>
        <v>190.65240990574748</v>
      </c>
      <c r="H38">
        <f t="shared" si="29"/>
        <v>192.17849473690086</v>
      </c>
      <c r="I38">
        <f t="shared" si="6"/>
        <v>2.3289349118764511</v>
      </c>
      <c r="J38">
        <f t="shared" si="7"/>
        <v>34.66359696782348</v>
      </c>
      <c r="K38">
        <f t="shared" si="1"/>
        <v>4.0704144326684002</v>
      </c>
      <c r="L38">
        <f t="shared" si="8"/>
        <v>-3.5230316506404657E-4</v>
      </c>
      <c r="M38">
        <f t="shared" si="9"/>
        <v>165.33639936550983</v>
      </c>
      <c r="N38" s="10">
        <f t="shared" si="10"/>
        <v>-96.003623738642517</v>
      </c>
      <c r="O38" s="10">
        <f t="shared" si="11"/>
        <v>-0.6550750732421875</v>
      </c>
      <c r="P38" s="10">
        <f t="shared" si="12"/>
        <v>24.800460190609556</v>
      </c>
      <c r="Q38" s="10">
        <f t="shared" si="13"/>
        <v>2.7202995637755114</v>
      </c>
      <c r="R38" s="10"/>
      <c r="S38" s="10"/>
      <c r="T38" s="10"/>
      <c r="U38" s="2">
        <v>169</v>
      </c>
      <c r="V38" s="2">
        <v>172.170283896743</v>
      </c>
      <c r="W38" s="2">
        <f t="shared" si="30"/>
        <v>54.22128554365267</v>
      </c>
      <c r="X38" s="2">
        <f t="shared" si="31"/>
        <v>54.381654489950449</v>
      </c>
      <c r="Y38" s="2">
        <f t="shared" si="14"/>
        <v>-0.16036894629777976</v>
      </c>
      <c r="Z38" s="2">
        <f t="shared" si="2"/>
        <v>2.5718198936660167E-2</v>
      </c>
      <c r="AA38" s="2">
        <v>172.170283896743</v>
      </c>
      <c r="AB38" s="18">
        <f t="shared" si="15"/>
        <v>40.984623329819499</v>
      </c>
      <c r="AC38" s="18">
        <f t="shared" si="16"/>
        <v>-165.33639936550983</v>
      </c>
      <c r="AD38" s="18">
        <f t="shared" si="17"/>
        <v>-54.22128554365267</v>
      </c>
      <c r="AE38" s="18">
        <f t="shared" si="18"/>
        <v>0.16036894629778189</v>
      </c>
      <c r="AF38" s="18">
        <f t="shared" si="19"/>
        <v>2.5718198936660854E-2</v>
      </c>
      <c r="AG38" s="2"/>
      <c r="AH38" s="2">
        <v>150.47999999999999</v>
      </c>
      <c r="AI38" s="2">
        <v>156.58098736744</v>
      </c>
      <c r="AJ38" s="5">
        <f t="shared" si="20"/>
        <v>45.34999950051288</v>
      </c>
      <c r="AK38" s="5">
        <f t="shared" si="32"/>
        <v>48.371331940903467</v>
      </c>
      <c r="AL38" s="5">
        <f t="shared" si="33"/>
        <v>9.1284497153565418</v>
      </c>
      <c r="AM38" s="20">
        <f t="shared" si="21"/>
        <v>56.573919859122498</v>
      </c>
      <c r="AN38" s="20">
        <f t="shared" si="22"/>
        <v>-165.33639936550983</v>
      </c>
      <c r="AO38" s="20">
        <f t="shared" si="23"/>
        <v>-45.34999950051288</v>
      </c>
      <c r="AP38" s="20">
        <f t="shared" si="24"/>
        <v>12.465718645810199</v>
      </c>
      <c r="AQ38" s="20">
        <f t="shared" si="25"/>
        <v>155.39414135650006</v>
      </c>
      <c r="AR38" s="5"/>
      <c r="AS38" s="2">
        <v>176.11</v>
      </c>
      <c r="AT38" s="2">
        <v>175.77893458837499</v>
      </c>
      <c r="AU38" s="2">
        <f t="shared" si="26"/>
        <v>61.694699888675885</v>
      </c>
      <c r="AV38" s="2">
        <f t="shared" si="34"/>
        <v>76.375893528772096</v>
      </c>
      <c r="AW38" s="2">
        <f t="shared" si="27"/>
        <v>215.53744669800145</v>
      </c>
      <c r="AX38" s="2"/>
      <c r="AY38" s="2"/>
    </row>
    <row r="39" spans="1:51" x14ac:dyDescent="0.25">
      <c r="A39" s="1">
        <v>37438</v>
      </c>
      <c r="B39" s="2">
        <v>5580.0000499999996</v>
      </c>
      <c r="C39" s="2">
        <v>31</v>
      </c>
      <c r="D39" s="3">
        <v>204.9233093261719</v>
      </c>
      <c r="E39" s="3">
        <v>183.8103332519531</v>
      </c>
      <c r="F39">
        <f t="shared" si="5"/>
        <v>180.00000161290322</v>
      </c>
      <c r="G39">
        <f t="shared" si="28"/>
        <v>184.67106118467541</v>
      </c>
      <c r="H39">
        <f t="shared" si="29"/>
        <v>191.8477879163201</v>
      </c>
      <c r="I39">
        <f t="shared" si="6"/>
        <v>51.5054065807035</v>
      </c>
      <c r="J39">
        <f t="shared" si="7"/>
        <v>31.197238122535595</v>
      </c>
      <c r="K39">
        <f t="shared" si="1"/>
        <v>-1.56412418573656</v>
      </c>
      <c r="L39">
        <f t="shared" si="8"/>
        <v>-4.682696111227287E-3</v>
      </c>
      <c r="M39">
        <f t="shared" si="9"/>
        <v>148.80276349036757</v>
      </c>
      <c r="N39" s="10">
        <f t="shared" si="10"/>
        <v>-110.97313542804822</v>
      </c>
      <c r="O39" s="10">
        <f t="shared" si="11"/>
        <v>-8.8866729736327841</v>
      </c>
      <c r="P39" s="10">
        <f t="shared" si="12"/>
        <v>41.334096065751829</v>
      </c>
      <c r="Q39" s="10">
        <f t="shared" si="13"/>
        <v>-3.2610491572965499</v>
      </c>
      <c r="R39" s="10"/>
      <c r="S39" s="10"/>
      <c r="T39" s="10"/>
      <c r="U39" s="2">
        <v>165.98</v>
      </c>
      <c r="V39" s="2">
        <v>167.562460706206</v>
      </c>
      <c r="W39" s="2">
        <f t="shared" si="30"/>
        <v>51.961454653034309</v>
      </c>
      <c r="X39" s="2">
        <f t="shared" si="31"/>
        <v>50.340204345183956</v>
      </c>
      <c r="Y39" s="2">
        <f t="shared" si="14"/>
        <v>1.6212503078503531</v>
      </c>
      <c r="Z39" s="2">
        <f t="shared" si="2"/>
        <v>2.6284525607048645</v>
      </c>
      <c r="AA39" s="2">
        <v>167.562460706206</v>
      </c>
      <c r="AB39" s="18">
        <f t="shared" si="15"/>
        <v>37.360848619965907</v>
      </c>
      <c r="AC39" s="18">
        <f t="shared" si="16"/>
        <v>-148.80276349036757</v>
      </c>
      <c r="AD39" s="18">
        <f t="shared" si="17"/>
        <v>-51.961454653034309</v>
      </c>
      <c r="AE39" s="18">
        <f t="shared" si="18"/>
        <v>-1.6212503078503107</v>
      </c>
      <c r="AF39" s="18">
        <f t="shared" si="19"/>
        <v>2.6284525607047269</v>
      </c>
      <c r="AG39" s="2"/>
      <c r="AH39" s="2">
        <v>149.72999999999999</v>
      </c>
      <c r="AI39" s="2">
        <v>153.11341104406799</v>
      </c>
      <c r="AJ39" s="5">
        <f t="shared" si="20"/>
        <v>41.179104848952974</v>
      </c>
      <c r="AK39" s="5">
        <f t="shared" si="32"/>
        <v>44.802519428413916</v>
      </c>
      <c r="AL39" s="5">
        <f t="shared" si="33"/>
        <v>13.129133214650114</v>
      </c>
      <c r="AM39" s="20">
        <f t="shared" si="21"/>
        <v>51.809898282103916</v>
      </c>
      <c r="AN39" s="20">
        <f t="shared" si="22"/>
        <v>-148.80276349036757</v>
      </c>
      <c r="AO39" s="20">
        <f t="shared" si="23"/>
        <v>-41.179104848952974</v>
      </c>
      <c r="AP39" s="20">
        <f t="shared" si="24"/>
        <v>12.123362396335388</v>
      </c>
      <c r="AQ39" s="20">
        <f t="shared" si="25"/>
        <v>146.97591579287891</v>
      </c>
      <c r="AR39" s="5"/>
      <c r="AS39" s="2">
        <v>170.44</v>
      </c>
      <c r="AT39" s="2">
        <v>171.382131464461</v>
      </c>
      <c r="AU39" s="2">
        <f t="shared" si="26"/>
        <v>57.226328174116844</v>
      </c>
      <c r="AV39" s="2">
        <f t="shared" si="34"/>
        <v>68.239188203509315</v>
      </c>
      <c r="AW39" s="2">
        <f t="shared" si="27"/>
        <v>121.28308602699033</v>
      </c>
      <c r="AX39" s="2"/>
      <c r="AY39" s="2"/>
    </row>
    <row r="40" spans="1:51" x14ac:dyDescent="0.25">
      <c r="A40" s="1">
        <v>37469</v>
      </c>
      <c r="B40" s="2">
        <v>5580.0001099999999</v>
      </c>
      <c r="C40" s="2">
        <v>31</v>
      </c>
      <c r="D40" s="3">
        <v>207.3538513183594</v>
      </c>
      <c r="E40" s="3">
        <v>186.65800476074219</v>
      </c>
      <c r="F40">
        <f t="shared" si="5"/>
        <v>180.0000035483871</v>
      </c>
      <c r="G40">
        <f t="shared" si="28"/>
        <v>187.10160295909682</v>
      </c>
      <c r="H40">
        <f t="shared" si="29"/>
        <v>191.92766208867789</v>
      </c>
      <c r="I40">
        <f t="shared" si="6"/>
        <v>23.29084672221278</v>
      </c>
      <c r="J40">
        <f t="shared" si="7"/>
        <v>31.197238457989926</v>
      </c>
      <c r="K40">
        <f t="shared" si="1"/>
        <v>1.3673138696981155</v>
      </c>
      <c r="L40">
        <f t="shared" si="8"/>
        <v>-2.3765291980016542E-3</v>
      </c>
      <c r="M40">
        <f t="shared" si="9"/>
        <v>148.80276509039726</v>
      </c>
      <c r="N40" s="10">
        <f t="shared" si="10"/>
        <v>-112.34044769771666</v>
      </c>
      <c r="O40" s="10">
        <f t="shared" si="11"/>
        <v>-6.4561309814452841</v>
      </c>
      <c r="P40" s="10">
        <f t="shared" si="12"/>
        <v>41.334094465722117</v>
      </c>
      <c r="Q40" s="10">
        <f t="shared" si="13"/>
        <v>-0.83050738287515813</v>
      </c>
      <c r="R40" s="10"/>
      <c r="S40" s="10"/>
      <c r="T40" s="10"/>
      <c r="U40" s="2">
        <v>168.73</v>
      </c>
      <c r="V40" s="2">
        <v>169.49764974676401</v>
      </c>
      <c r="W40" s="2">
        <f t="shared" si="30"/>
        <v>50.59765356477056</v>
      </c>
      <c r="X40" s="2">
        <f t="shared" si="31"/>
        <v>51.797726126524893</v>
      </c>
      <c r="Y40" s="2">
        <f t="shared" si="14"/>
        <v>-1.2000725617543324</v>
      </c>
      <c r="Z40" s="2">
        <f t="shared" si="2"/>
        <v>1.4401741534756061</v>
      </c>
      <c r="AA40" s="2">
        <v>169.49764974676401</v>
      </c>
      <c r="AB40" s="18">
        <f t="shared" si="15"/>
        <v>37.856201571595392</v>
      </c>
      <c r="AC40" s="18">
        <f t="shared" si="16"/>
        <v>-148.80276509039726</v>
      </c>
      <c r="AD40" s="18">
        <f t="shared" si="17"/>
        <v>-50.59765356477056</v>
      </c>
      <c r="AE40" s="18">
        <f t="shared" si="18"/>
        <v>1.2000725617542973</v>
      </c>
      <c r="AF40" s="18">
        <f t="shared" si="19"/>
        <v>1.4401741534755217</v>
      </c>
      <c r="AG40" s="2"/>
      <c r="AH40" s="2">
        <v>150.47999999999999</v>
      </c>
      <c r="AI40" s="2">
        <v>156.036629698648</v>
      </c>
      <c r="AJ40" s="5">
        <f t="shared" si="20"/>
        <v>40.844233867486317</v>
      </c>
      <c r="AK40" s="5">
        <f t="shared" si="32"/>
        <v>44.103064133203809</v>
      </c>
      <c r="AL40" s="5">
        <f t="shared" si="33"/>
        <v>10.619974700756341</v>
      </c>
      <c r="AM40" s="20">
        <f t="shared" si="21"/>
        <v>51.317221619711404</v>
      </c>
      <c r="AN40" s="20">
        <f t="shared" si="22"/>
        <v>-148.80276509039726</v>
      </c>
      <c r="AO40" s="20">
        <f t="shared" si="23"/>
        <v>-40.844233867486317</v>
      </c>
      <c r="AP40" s="20">
        <f t="shared" si="24"/>
        <v>11.758778173989192</v>
      </c>
      <c r="AQ40" s="20">
        <f t="shared" si="25"/>
        <v>138.26886414508459</v>
      </c>
      <c r="AR40" s="5"/>
      <c r="AS40" s="2">
        <v>171.57</v>
      </c>
      <c r="AT40" s="2">
        <v>177.485176405251</v>
      </c>
      <c r="AU40" s="2">
        <f t="shared" si="26"/>
        <v>55.993563788442273</v>
      </c>
      <c r="AV40" s="2">
        <f t="shared" si="34"/>
        <v>49.380736844059555</v>
      </c>
      <c r="AW40" s="2">
        <f t="shared" si="27"/>
        <v>43.729480196354075</v>
      </c>
      <c r="AX40" s="2"/>
      <c r="AY40" s="2"/>
    </row>
    <row r="41" spans="1:51" x14ac:dyDescent="0.25">
      <c r="A41" s="1">
        <v>37500</v>
      </c>
      <c r="B41" s="2">
        <v>5400</v>
      </c>
      <c r="C41" s="2">
        <v>30</v>
      </c>
      <c r="D41" s="3">
        <v>209.6175537109375</v>
      </c>
      <c r="E41" s="3">
        <v>189.28031921386719</v>
      </c>
      <c r="F41">
        <f t="shared" si="5"/>
        <v>180</v>
      </c>
      <c r="G41">
        <f t="shared" si="28"/>
        <v>189.36530575091277</v>
      </c>
      <c r="H41">
        <f t="shared" si="29"/>
        <v>192.13158073322015</v>
      </c>
      <c r="I41">
        <f t="shared" si="6"/>
        <v>7.6522772777396932</v>
      </c>
      <c r="J41">
        <f t="shared" si="7"/>
        <v>31.197237842990489</v>
      </c>
      <c r="K41">
        <f t="shared" si="1"/>
        <v>2.5573522356286205</v>
      </c>
      <c r="L41">
        <f t="shared" si="8"/>
        <v>-4.489982761998316E-4</v>
      </c>
      <c r="M41">
        <f t="shared" si="9"/>
        <v>148.80276215700948</v>
      </c>
      <c r="N41" s="10">
        <f t="shared" si="10"/>
        <v>-114.89780286673306</v>
      </c>
      <c r="O41" s="10">
        <f t="shared" si="11"/>
        <v>-4.1924285888671875</v>
      </c>
      <c r="P41" s="10">
        <f t="shared" si="12"/>
        <v>41.334097399109908</v>
      </c>
      <c r="Q41" s="10">
        <f t="shared" si="13"/>
        <v>1.4331954089408026</v>
      </c>
      <c r="R41" s="10"/>
      <c r="S41" s="10"/>
      <c r="T41" s="10"/>
      <c r="U41" s="2">
        <v>170.4</v>
      </c>
      <c r="V41" s="2">
        <v>173.21583829487699</v>
      </c>
      <c r="W41" s="2">
        <f t="shared" si="30"/>
        <v>49.77460324039582</v>
      </c>
      <c r="X41" s="2">
        <f t="shared" si="31"/>
        <v>47.518059284032674</v>
      </c>
      <c r="Y41" s="2">
        <f t="shared" si="14"/>
        <v>2.2565439563631458</v>
      </c>
      <c r="Z41" s="2">
        <f t="shared" si="2"/>
        <v>5.0919906269990385</v>
      </c>
      <c r="AA41" s="2">
        <v>173.21583829487699</v>
      </c>
      <c r="AB41" s="18">
        <f t="shared" si="15"/>
        <v>36.401715416060512</v>
      </c>
      <c r="AC41" s="18">
        <f t="shared" si="16"/>
        <v>-148.80276215700948</v>
      </c>
      <c r="AD41" s="18">
        <f t="shared" si="17"/>
        <v>-49.77460324039582</v>
      </c>
      <c r="AE41" s="18">
        <f t="shared" si="18"/>
        <v>-2.256543956363152</v>
      </c>
      <c r="AF41" s="18">
        <f t="shared" si="19"/>
        <v>5.0919906269990669</v>
      </c>
      <c r="AG41" s="2"/>
      <c r="AH41" s="2">
        <v>153.35</v>
      </c>
      <c r="AI41" s="2">
        <v>159.27027706990501</v>
      </c>
      <c r="AJ41" s="5">
        <f t="shared" si="20"/>
        <v>40.8173471189073</v>
      </c>
      <c r="AK41" s="5">
        <f t="shared" si="32"/>
        <v>42.726030017188464</v>
      </c>
      <c r="AL41" s="5">
        <f t="shared" si="33"/>
        <v>3.6430704061909838</v>
      </c>
      <c r="AM41" s="20">
        <f t="shared" si="21"/>
        <v>50.347276641032494</v>
      </c>
      <c r="AN41" s="20">
        <f t="shared" si="22"/>
        <v>-148.80276215700948</v>
      </c>
      <c r="AO41" s="20">
        <f t="shared" si="23"/>
        <v>-40.8173471189073</v>
      </c>
      <c r="AP41" s="20">
        <f t="shared" si="24"/>
        <v>10.408630638991177</v>
      </c>
      <c r="AQ41" s="20">
        <f t="shared" si="25"/>
        <v>108.33959177894587</v>
      </c>
      <c r="AR41" s="5"/>
      <c r="AS41" s="2">
        <v>177.05</v>
      </c>
      <c r="AT41" s="2">
        <v>179.71222503189401</v>
      </c>
      <c r="AU41" s="2">
        <f t="shared" si="26"/>
        <v>55.653459562077742</v>
      </c>
      <c r="AV41" s="2">
        <f t="shared" si="34"/>
        <v>49.568957455375873</v>
      </c>
      <c r="AW41" s="2">
        <f t="shared" si="27"/>
        <v>37.021165886459485</v>
      </c>
      <c r="AX41" s="2"/>
      <c r="AY41" s="2"/>
    </row>
    <row r="42" spans="1:51" x14ac:dyDescent="0.25">
      <c r="A42" s="1">
        <v>37530</v>
      </c>
      <c r="B42" s="2">
        <v>5580.0002399999903</v>
      </c>
      <c r="C42" s="2">
        <v>31</v>
      </c>
      <c r="D42" s="3">
        <v>208.24842834472659</v>
      </c>
      <c r="E42" s="3">
        <v>187.6907958984375</v>
      </c>
      <c r="F42">
        <f t="shared" si="5"/>
        <v>180.00000774193518</v>
      </c>
      <c r="G42">
        <f t="shared" si="28"/>
        <v>187.99617951363746</v>
      </c>
      <c r="H42">
        <f t="shared" si="29"/>
        <v>192.52238913605018</v>
      </c>
      <c r="I42">
        <f t="shared" si="6"/>
        <v>20.486573546021514</v>
      </c>
      <c r="J42">
        <f t="shared" si="7"/>
        <v>31.197239184807074</v>
      </c>
      <c r="K42">
        <f t="shared" si="1"/>
        <v>3.1500518584606212</v>
      </c>
      <c r="L42">
        <f t="shared" si="8"/>
        <v>-1.6270569568323722E-3</v>
      </c>
      <c r="M42">
        <f t="shared" si="9"/>
        <v>148.80276855712802</v>
      </c>
      <c r="N42" s="10">
        <f t="shared" si="10"/>
        <v>-118.04784832507514</v>
      </c>
      <c r="O42" s="10">
        <f t="shared" si="11"/>
        <v>-5.5615539550780966</v>
      </c>
      <c r="P42" s="10">
        <f t="shared" si="12"/>
        <v>41.334090998991357</v>
      </c>
      <c r="Q42" s="10">
        <f t="shared" si="13"/>
        <v>6.4069171665498637E-2</v>
      </c>
      <c r="R42" s="10"/>
      <c r="S42" s="10"/>
      <c r="T42" s="10"/>
      <c r="U42" s="2">
        <v>169.81</v>
      </c>
      <c r="V42" s="2">
        <v>171.94112484380301</v>
      </c>
      <c r="W42" s="2">
        <f t="shared" si="30"/>
        <v>49.277895618146879</v>
      </c>
      <c r="X42" s="2">
        <f t="shared" si="31"/>
        <v>47.240259883891532</v>
      </c>
      <c r="Y42" s="2">
        <f t="shared" si="14"/>
        <v>2.0376357342553462</v>
      </c>
      <c r="Z42" s="2">
        <f t="shared" si="2"/>
        <v>4.1519593855143233</v>
      </c>
      <c r="AA42" s="2">
        <v>171.94112484380301</v>
      </c>
      <c r="AB42" s="18">
        <f t="shared" si="15"/>
        <v>36.307303500923581</v>
      </c>
      <c r="AC42" s="18">
        <f t="shared" si="16"/>
        <v>-148.80276855712802</v>
      </c>
      <c r="AD42" s="18">
        <f t="shared" si="17"/>
        <v>-49.277895618146879</v>
      </c>
      <c r="AE42" s="18">
        <f t="shared" si="18"/>
        <v>-2.037635734255312</v>
      </c>
      <c r="AF42" s="18">
        <f t="shared" si="19"/>
        <v>4.1519593855141848</v>
      </c>
      <c r="AG42" s="2"/>
      <c r="AH42" s="2">
        <v>153.57</v>
      </c>
      <c r="AI42" s="2">
        <v>158.21785132784001</v>
      </c>
      <c r="AJ42" s="5">
        <f t="shared" si="20"/>
        <v>40.815190059232471</v>
      </c>
      <c r="AK42" s="5">
        <f t="shared" si="32"/>
        <v>42.276409084500877</v>
      </c>
      <c r="AL42" s="5">
        <f t="shared" si="33"/>
        <v>2.1351610398063503</v>
      </c>
      <c r="AM42" s="20">
        <f t="shared" si="21"/>
        <v>50.030577016886582</v>
      </c>
      <c r="AN42" s="20">
        <f t="shared" si="22"/>
        <v>-148.80276855712802</v>
      </c>
      <c r="AO42" s="20">
        <f t="shared" si="23"/>
        <v>-40.815190059232471</v>
      </c>
      <c r="AP42" s="20">
        <f t="shared" si="24"/>
        <v>9.9611671315675849</v>
      </c>
      <c r="AQ42" s="20">
        <f t="shared" si="25"/>
        <v>99.224850623022391</v>
      </c>
      <c r="AR42" s="5"/>
      <c r="AS42" s="2">
        <v>172.8</v>
      </c>
      <c r="AT42" s="2">
        <v>179.805905922726</v>
      </c>
      <c r="AU42" s="2">
        <f t="shared" si="26"/>
        <v>55.559631021288041</v>
      </c>
      <c r="AV42" s="2">
        <f t="shared" si="34"/>
        <v>42.057384061432266</v>
      </c>
      <c r="AW42" s="2">
        <f t="shared" si="27"/>
        <v>182.31067296493453</v>
      </c>
      <c r="AX42" s="2"/>
      <c r="AY42" s="2"/>
    </row>
    <row r="43" spans="1:51" x14ac:dyDescent="0.25">
      <c r="A43" s="1">
        <v>37561</v>
      </c>
      <c r="B43" s="2">
        <v>5400</v>
      </c>
      <c r="C43" s="2">
        <v>30</v>
      </c>
      <c r="D43" s="3">
        <v>209.7267150878906</v>
      </c>
      <c r="E43" s="3">
        <v>189.40185546875</v>
      </c>
      <c r="F43">
        <f t="shared" si="5"/>
        <v>180</v>
      </c>
      <c r="G43">
        <f t="shared" si="28"/>
        <v>189.47446712786586</v>
      </c>
      <c r="H43">
        <f t="shared" si="29"/>
        <v>192.77541241631997</v>
      </c>
      <c r="I43">
        <f>(G43-H43)*(G43-H43)</f>
        <v>10.896239797367334</v>
      </c>
      <c r="J43">
        <f t="shared" si="7"/>
        <v>31.197237842990489</v>
      </c>
      <c r="K43">
        <f t="shared" si="1"/>
        <v>3.4758704606707127</v>
      </c>
      <c r="L43">
        <f t="shared" si="8"/>
        <v>-3.8337353631598788E-4</v>
      </c>
      <c r="M43">
        <f t="shared" si="9"/>
        <v>148.80276215700948</v>
      </c>
      <c r="N43" s="10">
        <f t="shared" si="10"/>
        <v>-121.52372518586438</v>
      </c>
      <c r="O43" s="10">
        <f t="shared" si="11"/>
        <v>-4.0832672119140909</v>
      </c>
      <c r="P43" s="10">
        <f t="shared" si="12"/>
        <v>41.334097399109908</v>
      </c>
      <c r="Q43" s="10">
        <f t="shared" si="13"/>
        <v>1.5423567858938991</v>
      </c>
      <c r="R43" s="10"/>
      <c r="S43" s="10"/>
      <c r="T43" s="10"/>
      <c r="U43" s="2">
        <v>171.05</v>
      </c>
      <c r="V43" s="2">
        <v>173.385681227394</v>
      </c>
      <c r="W43" s="2">
        <f t="shared" si="30"/>
        <v>48.978133201711572</v>
      </c>
      <c r="X43" s="2">
        <f t="shared" si="31"/>
        <v>47.339510377538801</v>
      </c>
      <c r="Y43" s="2">
        <f t="shared" si="14"/>
        <v>1.6386228241727707</v>
      </c>
      <c r="Z43" s="2">
        <f t="shared" si="2"/>
        <v>2.6850847598999472</v>
      </c>
      <c r="AA43" s="2">
        <v>173.385681227394</v>
      </c>
      <c r="AB43" s="18">
        <f t="shared" si="15"/>
        <v>36.341033860496594</v>
      </c>
      <c r="AC43" s="18">
        <f t="shared" si="16"/>
        <v>-148.80276215700948</v>
      </c>
      <c r="AD43" s="18">
        <f t="shared" si="17"/>
        <v>-48.978133201711572</v>
      </c>
      <c r="AE43" s="18">
        <f t="shared" si="18"/>
        <v>-1.6386228241727692</v>
      </c>
      <c r="AF43" s="18">
        <f t="shared" si="19"/>
        <v>2.6850847598999419</v>
      </c>
      <c r="AG43" s="2"/>
      <c r="AH43" s="2">
        <v>153.59</v>
      </c>
      <c r="AI43" s="2">
        <v>159.409511745831</v>
      </c>
      <c r="AJ43" s="5">
        <f t="shared" si="20"/>
        <v>40.815015259411645</v>
      </c>
      <c r="AK43" s="5">
        <f t="shared" si="32"/>
        <v>42.683334836922938</v>
      </c>
      <c r="AL43" s="5">
        <f t="shared" si="33"/>
        <v>3.4906180437119785</v>
      </c>
      <c r="AM43" s="20">
        <f t="shared" si="21"/>
        <v>50.317203342059599</v>
      </c>
      <c r="AN43" s="20">
        <f t="shared" si="22"/>
        <v>-148.80276215700948</v>
      </c>
      <c r="AO43" s="20">
        <f t="shared" si="23"/>
        <v>-40.815015259411645</v>
      </c>
      <c r="AP43" s="20">
        <f t="shared" si="24"/>
        <v>10.368267318221307</v>
      </c>
      <c r="AQ43" s="20">
        <f t="shared" si="25"/>
        <v>107.50096718209605</v>
      </c>
      <c r="AR43" s="5"/>
      <c r="AS43" s="2">
        <v>176.76</v>
      </c>
      <c r="AT43" s="2">
        <v>180.199869253363</v>
      </c>
      <c r="AU43" s="2">
        <f t="shared" si="26"/>
        <v>55.533743235215553</v>
      </c>
      <c r="AV43" s="2">
        <f t="shared" si="34"/>
        <v>47.625432837329853</v>
      </c>
      <c r="AW43" s="2">
        <f t="shared" si="27"/>
        <v>62.541373349307072</v>
      </c>
      <c r="AX43" s="2"/>
      <c r="AY43" s="2"/>
    </row>
    <row r="44" spans="1:51" x14ac:dyDescent="0.25">
      <c r="I44">
        <f>SUM(I20:I43)</f>
        <v>729.21527058166726</v>
      </c>
      <c r="Z44" s="2">
        <f>SUM(Z20:Z43)</f>
        <v>819.81218750403514</v>
      </c>
      <c r="AF44" s="18">
        <f>SUM(AF20:AF43)</f>
        <v>819.81218750403707</v>
      </c>
      <c r="AL44" s="5">
        <f>SUM(AL20:AL43)</f>
        <v>94.951525379896125</v>
      </c>
      <c r="AQ44" s="20">
        <f>SUM(AQ20:AQ43)</f>
        <v>2866.7771232665623</v>
      </c>
      <c r="AV44" s="2">
        <f>SUM(AW20:AW43)</f>
        <v>4336.5393269020133</v>
      </c>
    </row>
    <row r="45" spans="1:51" x14ac:dyDescent="0.25">
      <c r="T45" s="10"/>
    </row>
    <row r="46" spans="1:51" x14ac:dyDescent="0.25">
      <c r="O46">
        <f>SUMPRODUCT(N20:N43,N20:N43)</f>
        <v>130363.20754793062</v>
      </c>
      <c r="P46">
        <f>SUMPRODUCT(Q20:Q43,N20:N43)</f>
        <v>-5162.0492555632645</v>
      </c>
    </row>
    <row r="48" spans="1:51" x14ac:dyDescent="0.25">
      <c r="Q48">
        <f>-O46/P46</f>
        <v>25.254158008553496</v>
      </c>
      <c r="V48">
        <f>100*I44+Z44+AL44+AV44</f>
        <v>78172.830097952668</v>
      </c>
    </row>
    <row r="50" spans="6:44" x14ac:dyDescent="0.25">
      <c r="F50" t="s">
        <v>29</v>
      </c>
      <c r="M50" t="s">
        <v>30</v>
      </c>
      <c r="V50" s="19">
        <v>74808.256148605549</v>
      </c>
      <c r="AB50" t="s">
        <v>64</v>
      </c>
      <c r="AH50" t="s">
        <v>65</v>
      </c>
    </row>
    <row r="51" spans="6:44" x14ac:dyDescent="0.25">
      <c r="F51">
        <f>SUMPRODUCT(O20:O43,O20:O43)</f>
        <v>1120.4334231556854</v>
      </c>
      <c r="G51">
        <f>SUMPRODUCT(O20:O43,N20:N43)</f>
        <v>-114.42579277608138</v>
      </c>
      <c r="H51">
        <v>0</v>
      </c>
      <c r="I51">
        <v>0</v>
      </c>
      <c r="J51">
        <v>0</v>
      </c>
      <c r="M51">
        <f>SUMPRODUCT(P20:P43,O20:O43)</f>
        <v>-1534.6095011666312</v>
      </c>
      <c r="O51">
        <f>D14</f>
        <v>7.3474689057099507</v>
      </c>
      <c r="Q51">
        <f t="array" ref="Q51:Q55">MMULT(F51:J55,O51:O55)</f>
        <v>8213.2787720918768</v>
      </c>
      <c r="T51">
        <f>MMULT(F59:J59,Q51:Q55)</f>
        <v>63827.887275798501</v>
      </c>
      <c r="AB51">
        <f>SUMPRODUCT(AB20:AB43,AB20:AB43)</f>
        <v>44693.797065827232</v>
      </c>
      <c r="AC51">
        <v>0</v>
      </c>
      <c r="AD51">
        <f>SUMPRODUCT(AD20:AD43,AB20:AB43)</f>
        <v>-60465.775393037962</v>
      </c>
      <c r="AE51">
        <v>0</v>
      </c>
      <c r="AF51">
        <v>0</v>
      </c>
      <c r="AH51">
        <f>SUMPRODUCT(AB20:AB43,AC20:AC43)</f>
        <v>-183184.95598211561</v>
      </c>
      <c r="AJ51">
        <f t="array" ref="AJ51:AJ55">MMULT(AB51:AF55,O51:O55)</f>
        <v>177396.7331259663</v>
      </c>
      <c r="AL51">
        <f>MMULT(F59:J59,AJ51:AJ55)</f>
        <v>705405.86671738722</v>
      </c>
    </row>
    <row r="52" spans="6:44" x14ac:dyDescent="0.25">
      <c r="F52">
        <f>G51</f>
        <v>-114.42579277608138</v>
      </c>
      <c r="G52">
        <f>SUMPRODUCT(N20:N43,N20:N43)</f>
        <v>130363.20754793062</v>
      </c>
      <c r="H52">
        <v>0</v>
      </c>
      <c r="I52">
        <v>0</v>
      </c>
      <c r="J52">
        <v>0</v>
      </c>
      <c r="M52">
        <f>SUMPRODUCT(P20:P43,N20:N43)</f>
        <v>-37087.256440560814</v>
      </c>
      <c r="O52">
        <f>1/$D$15</f>
        <v>0.16666666666666666</v>
      </c>
      <c r="Q52">
        <v>20886.461303554966</v>
      </c>
      <c r="T52">
        <f>MMULT(F59:J59,M51:M55)</f>
        <v>-17456.704998989015</v>
      </c>
      <c r="AB52">
        <v>0</v>
      </c>
      <c r="AC52">
        <v>0</v>
      </c>
      <c r="AD52">
        <v>0</v>
      </c>
      <c r="AE52">
        <v>0</v>
      </c>
      <c r="AF52">
        <v>0</v>
      </c>
      <c r="AH52">
        <v>0</v>
      </c>
      <c r="AJ52">
        <v>0</v>
      </c>
      <c r="AL52">
        <f>MMULT(F59:J59,AH51:AH55)</f>
        <v>-726121.19271308696</v>
      </c>
    </row>
    <row r="53" spans="6:44" x14ac:dyDescent="0.25">
      <c r="F53">
        <v>0</v>
      </c>
      <c r="G53">
        <v>0</v>
      </c>
      <c r="H53">
        <v>0</v>
      </c>
      <c r="I53">
        <v>0</v>
      </c>
      <c r="J53">
        <v>0</v>
      </c>
      <c r="M53">
        <v>0</v>
      </c>
      <c r="O53">
        <f>D14/D11</f>
        <v>2.4971076631673341</v>
      </c>
      <c r="Q53">
        <v>0</v>
      </c>
      <c r="T53">
        <f>SUMPRODUCT(P20:P43,P20:P43)</f>
        <v>13189.678223331604</v>
      </c>
      <c r="AB53">
        <f>AD51</f>
        <v>-60465.775393037962</v>
      </c>
      <c r="AC53">
        <v>0</v>
      </c>
      <c r="AD53">
        <f>SUMPRODUCT(AD20:AD43,AD20:AD43)</f>
        <v>82010.438534025525</v>
      </c>
      <c r="AE53">
        <v>0</v>
      </c>
      <c r="AF53">
        <v>0</v>
      </c>
      <c r="AH53">
        <f>SUMPRODUCT(AD20:AD43,AC20:AC43)</f>
        <v>248217.00101355158</v>
      </c>
      <c r="AJ53">
        <v>-239481.51003695952</v>
      </c>
      <c r="AL53">
        <f>SUMPRODUCT(AC20:AC43,AC20:AC43)</f>
        <v>751948.4958739893</v>
      </c>
    </row>
    <row r="54" spans="6:44" x14ac:dyDescent="0.25">
      <c r="F54">
        <v>0</v>
      </c>
      <c r="G54">
        <v>0</v>
      </c>
      <c r="H54">
        <v>0</v>
      </c>
      <c r="I54">
        <v>0</v>
      </c>
      <c r="J54">
        <v>0</v>
      </c>
      <c r="M54">
        <v>0</v>
      </c>
      <c r="O54">
        <f>D14/D12</f>
        <v>5.1753529958481357</v>
      </c>
      <c r="Q54">
        <v>0</v>
      </c>
      <c r="T54">
        <f>(T51+2*T52+T53)/D14/D14</f>
        <v>779.91890442777549</v>
      </c>
      <c r="AB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J54">
        <v>0</v>
      </c>
      <c r="AL54">
        <f>(AL51+2*AL52+AL53)*D11*D11/D14/D14</f>
        <v>819.81218750409255</v>
      </c>
    </row>
    <row r="55" spans="6:44" x14ac:dyDescent="0.25">
      <c r="F55">
        <v>0</v>
      </c>
      <c r="G55">
        <v>0</v>
      </c>
      <c r="H55">
        <v>0</v>
      </c>
      <c r="I55">
        <v>0</v>
      </c>
      <c r="J55">
        <v>0</v>
      </c>
      <c r="M55">
        <v>0</v>
      </c>
      <c r="O55">
        <f>D14/D13</f>
        <v>1.4308493474196831</v>
      </c>
      <c r="Q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>
        <v>0</v>
      </c>
      <c r="AJ55">
        <v>0</v>
      </c>
    </row>
    <row r="59" spans="6:44" x14ac:dyDescent="0.25">
      <c r="F59">
        <f>O51</f>
        <v>7.3474689057099507</v>
      </c>
      <c r="G59">
        <f>O52</f>
        <v>0.16666666666666666</v>
      </c>
      <c r="H59">
        <f>O53</f>
        <v>2.4971076631673341</v>
      </c>
      <c r="I59">
        <f>O54</f>
        <v>5.1753529958481357</v>
      </c>
      <c r="J59">
        <f>O55</f>
        <v>1.4308493474196831</v>
      </c>
    </row>
    <row r="63" spans="6:44" x14ac:dyDescent="0.25">
      <c r="AA63" t="s">
        <v>31</v>
      </c>
    </row>
    <row r="64" spans="6:44" x14ac:dyDescent="0.25">
      <c r="AB64">
        <v>89387.594131652906</v>
      </c>
      <c r="AC64">
        <v>0</v>
      </c>
      <c r="AD64">
        <v>-120931.88649514101</v>
      </c>
      <c r="AE64">
        <v>0</v>
      </c>
      <c r="AF64">
        <v>0</v>
      </c>
      <c r="AI64">
        <f>AB64/2</f>
        <v>44693.797065826453</v>
      </c>
      <c r="AJ64">
        <f t="shared" ref="AJ64:AL68" si="35">AC64/2</f>
        <v>0</v>
      </c>
      <c r="AK64">
        <f t="shared" si="35"/>
        <v>-60465.943247570503</v>
      </c>
      <c r="AL64">
        <f t="shared" si="35"/>
        <v>0</v>
      </c>
      <c r="AR64">
        <f>AF64/2</f>
        <v>0</v>
      </c>
    </row>
    <row r="65" spans="6:44" x14ac:dyDescent="0.25">
      <c r="F65" t="s">
        <v>31</v>
      </c>
      <c r="AB65">
        <v>0</v>
      </c>
      <c r="AC65">
        <v>0</v>
      </c>
      <c r="AD65">
        <v>0</v>
      </c>
      <c r="AE65">
        <v>0</v>
      </c>
      <c r="AF65">
        <v>0</v>
      </c>
      <c r="AI65">
        <f t="shared" ref="AI65:AI68" si="36">AB65/2</f>
        <v>0</v>
      </c>
      <c r="AJ65">
        <f t="shared" si="35"/>
        <v>0</v>
      </c>
      <c r="AK65">
        <f t="shared" si="35"/>
        <v>0</v>
      </c>
      <c r="AL65">
        <f t="shared" si="35"/>
        <v>0</v>
      </c>
      <c r="AR65">
        <f>AF65/2</f>
        <v>0</v>
      </c>
    </row>
    <row r="66" spans="6:44" x14ac:dyDescent="0.25">
      <c r="G66">
        <v>2240.8668463112999</v>
      </c>
      <c r="H66">
        <v>-11563.7954701405</v>
      </c>
      <c r="I66">
        <v>0</v>
      </c>
      <c r="J66">
        <v>0</v>
      </c>
      <c r="K66">
        <v>0</v>
      </c>
      <c r="O66">
        <f>G66/2</f>
        <v>1120.43342315565</v>
      </c>
      <c r="P66">
        <f t="shared" ref="P66:Q70" si="37">H66/2</f>
        <v>-5781.8977350702498</v>
      </c>
      <c r="Q66">
        <f t="shared" si="37"/>
        <v>0</v>
      </c>
      <c r="R66">
        <f t="shared" ref="R66:S70" si="38">J66/2</f>
        <v>0</v>
      </c>
      <c r="S66">
        <f t="shared" si="38"/>
        <v>0</v>
      </c>
      <c r="V66">
        <f t="array" ref="V66:V70">MMULT(O66:S70,O51:O55)</f>
        <v>7268.7001150425895</v>
      </c>
      <c r="X66">
        <f>MMULT(F59:J59,V66:V70)</f>
        <v>279689.99739111436</v>
      </c>
      <c r="AB66">
        <v>-120931.88649514101</v>
      </c>
      <c r="AC66">
        <v>0</v>
      </c>
      <c r="AD66">
        <v>164021.79284923599</v>
      </c>
      <c r="AE66">
        <v>0</v>
      </c>
      <c r="AF66">
        <v>0</v>
      </c>
      <c r="AI66">
        <f t="shared" si="36"/>
        <v>-60465.943247570503</v>
      </c>
      <c r="AJ66">
        <f t="shared" si="35"/>
        <v>0</v>
      </c>
      <c r="AK66">
        <f t="shared" si="35"/>
        <v>82010.896424617997</v>
      </c>
      <c r="AL66">
        <f t="shared" si="35"/>
        <v>0</v>
      </c>
      <c r="AR66">
        <f>AF66/2</f>
        <v>0</v>
      </c>
    </row>
    <row r="67" spans="6:44" x14ac:dyDescent="0.25">
      <c r="G67">
        <v>-11563.7954701405</v>
      </c>
      <c r="H67">
        <v>16802196.116278499</v>
      </c>
      <c r="I67">
        <v>0</v>
      </c>
      <c r="J67">
        <v>0</v>
      </c>
      <c r="K67">
        <v>0</v>
      </c>
      <c r="O67">
        <f t="shared" ref="O67:O70" si="39">G67/2</f>
        <v>-5781.8977350702498</v>
      </c>
      <c r="P67">
        <f t="shared" si="37"/>
        <v>8401098.0581392497</v>
      </c>
      <c r="Q67">
        <f t="shared" si="37"/>
        <v>0</v>
      </c>
      <c r="R67">
        <f t="shared" si="38"/>
        <v>0</v>
      </c>
      <c r="S67">
        <f t="shared" si="38"/>
        <v>0</v>
      </c>
      <c r="V67">
        <v>1357700.6958654516</v>
      </c>
      <c r="X67">
        <f>MMULT(F59:J59,O73:O77)</f>
        <v>-71785.029958176849</v>
      </c>
      <c r="AB67">
        <v>0</v>
      </c>
      <c r="AC67">
        <v>0</v>
      </c>
      <c r="AD67">
        <v>0</v>
      </c>
      <c r="AE67">
        <v>0</v>
      </c>
      <c r="AF67">
        <v>0</v>
      </c>
      <c r="AI67">
        <f t="shared" si="36"/>
        <v>0</v>
      </c>
      <c r="AJ67">
        <f t="shared" si="35"/>
        <v>0</v>
      </c>
      <c r="AK67">
        <f t="shared" si="35"/>
        <v>0</v>
      </c>
      <c r="AL67">
        <f t="shared" si="35"/>
        <v>0</v>
      </c>
      <c r="AR67">
        <f>AF67/2</f>
        <v>0</v>
      </c>
    </row>
    <row r="68" spans="6:44" x14ac:dyDescent="0.25">
      <c r="G68">
        <v>0</v>
      </c>
      <c r="H68">
        <v>0</v>
      </c>
      <c r="I68">
        <v>0</v>
      </c>
      <c r="J68">
        <v>0</v>
      </c>
      <c r="K68">
        <v>0</v>
      </c>
      <c r="O68">
        <f t="shared" si="39"/>
        <v>0</v>
      </c>
      <c r="P68">
        <f t="shared" si="37"/>
        <v>0</v>
      </c>
      <c r="Q68">
        <f t="shared" si="37"/>
        <v>0</v>
      </c>
      <c r="R68">
        <f t="shared" si="38"/>
        <v>0</v>
      </c>
      <c r="S68">
        <f t="shared" si="38"/>
        <v>0</v>
      </c>
      <c r="V68">
        <v>0</v>
      </c>
      <c r="X68">
        <f>T53</f>
        <v>13189.678223331604</v>
      </c>
      <c r="AB68">
        <v>0</v>
      </c>
      <c r="AC68">
        <v>0</v>
      </c>
      <c r="AD68">
        <v>0</v>
      </c>
      <c r="AE68">
        <v>0</v>
      </c>
      <c r="AF68">
        <v>0</v>
      </c>
      <c r="AI68">
        <f t="shared" si="36"/>
        <v>0</v>
      </c>
      <c r="AJ68">
        <f t="shared" si="35"/>
        <v>0</v>
      </c>
      <c r="AK68">
        <f t="shared" si="35"/>
        <v>0</v>
      </c>
      <c r="AL68">
        <f t="shared" si="35"/>
        <v>0</v>
      </c>
      <c r="AR68">
        <f>AF68/2</f>
        <v>0</v>
      </c>
    </row>
    <row r="69" spans="6:44" x14ac:dyDescent="0.25">
      <c r="G69">
        <v>0</v>
      </c>
      <c r="H69">
        <v>0</v>
      </c>
      <c r="I69">
        <v>0</v>
      </c>
      <c r="J69">
        <v>0</v>
      </c>
      <c r="K69">
        <v>0</v>
      </c>
      <c r="O69">
        <f t="shared" si="39"/>
        <v>0</v>
      </c>
      <c r="P69">
        <f t="shared" si="37"/>
        <v>0</v>
      </c>
      <c r="Q69">
        <f t="shared" si="37"/>
        <v>0</v>
      </c>
      <c r="R69">
        <f t="shared" si="38"/>
        <v>0</v>
      </c>
      <c r="S69">
        <f t="shared" si="38"/>
        <v>0</v>
      </c>
      <c r="V69">
        <v>0</v>
      </c>
      <c r="X69">
        <f>(X66+2*X67+X68)/D14/D14</f>
        <v>2765.745815578749</v>
      </c>
    </row>
    <row r="70" spans="6:44" x14ac:dyDescent="0.25">
      <c r="G70">
        <v>0</v>
      </c>
      <c r="H70">
        <v>0</v>
      </c>
      <c r="I70">
        <v>0</v>
      </c>
      <c r="J70">
        <v>0</v>
      </c>
      <c r="K70">
        <v>0</v>
      </c>
      <c r="O70">
        <f t="shared" si="39"/>
        <v>0</v>
      </c>
      <c r="P70">
        <f t="shared" si="37"/>
        <v>0</v>
      </c>
      <c r="Q70">
        <f t="shared" si="37"/>
        <v>0</v>
      </c>
      <c r="R70">
        <f t="shared" si="38"/>
        <v>0</v>
      </c>
      <c r="S70">
        <f t="shared" si="38"/>
        <v>0</v>
      </c>
      <c r="V70">
        <v>0</v>
      </c>
      <c r="AA70" t="s">
        <v>32</v>
      </c>
    </row>
    <row r="71" spans="6:44" x14ac:dyDescent="0.25">
      <c r="AB71">
        <v>-443181.18290000001</v>
      </c>
      <c r="AI71">
        <f>AB71/2</f>
        <v>-221590.59145000001</v>
      </c>
    </row>
    <row r="72" spans="6:44" x14ac:dyDescent="0.25">
      <c r="F72" t="s">
        <v>32</v>
      </c>
      <c r="AB72">
        <v>0</v>
      </c>
      <c r="AI72">
        <f t="shared" ref="AI72:AI75" si="40">AB72/2</f>
        <v>0</v>
      </c>
    </row>
    <row r="73" spans="6:44" x14ac:dyDescent="0.25">
      <c r="G73">
        <v>-3712.6959999999999</v>
      </c>
      <c r="O73">
        <f>G73/2</f>
        <v>-1856.348</v>
      </c>
      <c r="AB73">
        <v>600515.52260000003</v>
      </c>
      <c r="AI73">
        <f t="shared" si="40"/>
        <v>300257.76130000001</v>
      </c>
    </row>
    <row r="74" spans="6:44" x14ac:dyDescent="0.25">
      <c r="G74">
        <v>-697746.84900000005</v>
      </c>
      <c r="O74">
        <f t="shared" ref="O74:O77" si="41">G74/2</f>
        <v>-348873.42450000002</v>
      </c>
      <c r="AB74">
        <v>0</v>
      </c>
      <c r="AI74">
        <f t="shared" si="40"/>
        <v>0</v>
      </c>
    </row>
    <row r="75" spans="6:44" x14ac:dyDescent="0.25">
      <c r="G75">
        <v>0</v>
      </c>
      <c r="O75">
        <f t="shared" si="41"/>
        <v>0</v>
      </c>
      <c r="AB75">
        <v>0</v>
      </c>
      <c r="AI75">
        <f t="shared" si="40"/>
        <v>0</v>
      </c>
    </row>
    <row r="76" spans="6:44" x14ac:dyDescent="0.25">
      <c r="G76">
        <v>0</v>
      </c>
      <c r="O76">
        <f t="shared" si="41"/>
        <v>0</v>
      </c>
    </row>
    <row r="77" spans="6:44" x14ac:dyDescent="0.25">
      <c r="G77">
        <v>0</v>
      </c>
      <c r="O77">
        <f t="shared" si="41"/>
        <v>0</v>
      </c>
    </row>
    <row r="79" spans="6:44" x14ac:dyDescent="0.25">
      <c r="AI79">
        <f>AI64-AB51</f>
        <v>-7.7852746471762657E-10</v>
      </c>
      <c r="AJ79">
        <f t="shared" ref="AJ79:AL79" si="42">AJ64-AC51</f>
        <v>0</v>
      </c>
      <c r="AK79">
        <f t="shared" si="42"/>
        <v>-0.1678545325412415</v>
      </c>
      <c r="AL79">
        <f t="shared" si="42"/>
        <v>0</v>
      </c>
      <c r="AR79">
        <f>AR64-AF51</f>
        <v>0</v>
      </c>
    </row>
    <row r="80" spans="6:44" x14ac:dyDescent="0.25">
      <c r="AI80">
        <f t="shared" ref="AI80:AI83" si="43">AI65-AB52</f>
        <v>0</v>
      </c>
      <c r="AJ80">
        <f t="shared" ref="AJ80:AJ83" si="44">AJ65-AC52</f>
        <v>0</v>
      </c>
      <c r="AK80">
        <f t="shared" ref="AK80:AK83" si="45">AK65-AD52</f>
        <v>0</v>
      </c>
      <c r="AL80">
        <f t="shared" ref="AL80:AL83" si="46">AL65-AE52</f>
        <v>0</v>
      </c>
      <c r="AR80">
        <f t="shared" ref="AR80:AR83" si="47">AR65-AF52</f>
        <v>0</v>
      </c>
    </row>
    <row r="81" spans="15:44" x14ac:dyDescent="0.25">
      <c r="O81">
        <f>O66-F51</f>
        <v>-3.5470293369144201E-11</v>
      </c>
      <c r="P81">
        <f t="shared" ref="P81:Q81" si="48">P66-G51</f>
        <v>-5667.4719422941689</v>
      </c>
      <c r="Q81">
        <f t="shared" si="48"/>
        <v>0</v>
      </c>
      <c r="S81">
        <f t="shared" ref="S81:T85" si="49">R66-I51</f>
        <v>0</v>
      </c>
      <c r="T81">
        <f t="shared" si="49"/>
        <v>0</v>
      </c>
      <c r="AI81">
        <f t="shared" si="43"/>
        <v>-0.1678545325412415</v>
      </c>
      <c r="AJ81">
        <f t="shared" si="44"/>
        <v>0</v>
      </c>
      <c r="AK81">
        <f t="shared" si="45"/>
        <v>0.45789059247181285</v>
      </c>
      <c r="AL81">
        <f t="shared" si="46"/>
        <v>0</v>
      </c>
      <c r="AR81">
        <f t="shared" si="47"/>
        <v>0</v>
      </c>
    </row>
    <row r="82" spans="15:44" x14ac:dyDescent="0.25">
      <c r="O82">
        <f t="shared" ref="O82:O86" si="50">O67-F52</f>
        <v>-5667.4719422941689</v>
      </c>
      <c r="P82">
        <f t="shared" ref="P82:P86" si="51">P67-G52</f>
        <v>8270734.8505913187</v>
      </c>
      <c r="Q82">
        <f t="shared" ref="Q82:Q86" si="52">Q67-H52</f>
        <v>0</v>
      </c>
      <c r="S82">
        <f t="shared" si="49"/>
        <v>0</v>
      </c>
      <c r="T82">
        <f t="shared" si="49"/>
        <v>0</v>
      </c>
      <c r="AI82">
        <f t="shared" si="43"/>
        <v>0</v>
      </c>
      <c r="AJ82">
        <f t="shared" si="44"/>
        <v>0</v>
      </c>
      <c r="AK82">
        <f t="shared" si="45"/>
        <v>0</v>
      </c>
      <c r="AL82">
        <f t="shared" si="46"/>
        <v>0</v>
      </c>
      <c r="AR82">
        <f t="shared" si="47"/>
        <v>0</v>
      </c>
    </row>
    <row r="83" spans="15:44" x14ac:dyDescent="0.25">
      <c r="O83">
        <f t="shared" si="50"/>
        <v>0</v>
      </c>
      <c r="P83">
        <f t="shared" si="51"/>
        <v>0</v>
      </c>
      <c r="Q83">
        <f t="shared" si="52"/>
        <v>0</v>
      </c>
      <c r="S83">
        <f t="shared" si="49"/>
        <v>0</v>
      </c>
      <c r="T83">
        <f t="shared" si="49"/>
        <v>0</v>
      </c>
      <c r="AI83">
        <f t="shared" si="43"/>
        <v>0</v>
      </c>
      <c r="AJ83">
        <f t="shared" si="44"/>
        <v>0</v>
      </c>
      <c r="AK83">
        <f t="shared" si="45"/>
        <v>0</v>
      </c>
      <c r="AL83">
        <f t="shared" si="46"/>
        <v>0</v>
      </c>
      <c r="AR83">
        <f t="shared" si="47"/>
        <v>0</v>
      </c>
    </row>
    <row r="84" spans="15:44" x14ac:dyDescent="0.25">
      <c r="O84">
        <f t="shared" si="50"/>
        <v>0</v>
      </c>
      <c r="P84">
        <f t="shared" si="51"/>
        <v>0</v>
      </c>
      <c r="Q84">
        <f t="shared" si="52"/>
        <v>0</v>
      </c>
      <c r="S84">
        <f t="shared" si="49"/>
        <v>0</v>
      </c>
      <c r="T84">
        <f t="shared" si="49"/>
        <v>0</v>
      </c>
    </row>
    <row r="85" spans="15:44" x14ac:dyDescent="0.25">
      <c r="O85">
        <f t="shared" si="50"/>
        <v>0</v>
      </c>
      <c r="P85">
        <f t="shared" si="51"/>
        <v>0</v>
      </c>
      <c r="Q85">
        <f t="shared" si="52"/>
        <v>0</v>
      </c>
      <c r="S85">
        <f t="shared" si="49"/>
        <v>0</v>
      </c>
      <c r="T85">
        <f t="shared" si="49"/>
        <v>0</v>
      </c>
    </row>
    <row r="86" spans="15:44" x14ac:dyDescent="0.25">
      <c r="O86">
        <f t="shared" si="50"/>
        <v>0</v>
      </c>
      <c r="P86">
        <f t="shared" si="51"/>
        <v>0</v>
      </c>
      <c r="Q86">
        <f t="shared" si="52"/>
        <v>0</v>
      </c>
      <c r="S86">
        <f t="shared" ref="S86" si="53">S71-I56</f>
        <v>0</v>
      </c>
      <c r="T86">
        <f t="shared" ref="T86" si="54">T71-J56</f>
        <v>0</v>
      </c>
      <c r="AI86">
        <f>AI71-AH51</f>
        <v>-38405.635467884393</v>
      </c>
    </row>
    <row r="87" spans="15:44" x14ac:dyDescent="0.25">
      <c r="AI87">
        <f t="shared" ref="AI87:AI90" si="55">AI72-AH52</f>
        <v>0</v>
      </c>
    </row>
    <row r="88" spans="15:44" x14ac:dyDescent="0.25">
      <c r="AI88">
        <f t="shared" si="55"/>
        <v>52040.760286448436</v>
      </c>
    </row>
    <row r="89" spans="15:44" x14ac:dyDescent="0.25">
      <c r="AI89">
        <f t="shared" si="55"/>
        <v>0</v>
      </c>
    </row>
    <row r="90" spans="15:44" x14ac:dyDescent="0.25">
      <c r="AI90">
        <f t="shared" si="55"/>
        <v>0</v>
      </c>
    </row>
  </sheetData>
  <mergeCells count="4">
    <mergeCell ref="A18:F18"/>
    <mergeCell ref="U18:X18"/>
    <mergeCell ref="AH18:AK18"/>
    <mergeCell ref="AS18:AV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" sqref="C2:C25"/>
    </sheetView>
  </sheetViews>
  <sheetFormatPr defaultRowHeight="15" x14ac:dyDescent="0.25"/>
  <sheetData>
    <row r="1" spans="1:4" ht="15.75" thickBot="1" x14ac:dyDescent="0.3">
      <c r="A1" s="12"/>
      <c r="B1" s="13" t="s">
        <v>33</v>
      </c>
      <c r="C1" s="13" t="s">
        <v>34</v>
      </c>
      <c r="D1" s="13" t="s">
        <v>35</v>
      </c>
    </row>
    <row r="2" spans="1:4" ht="15.75" thickBot="1" x14ac:dyDescent="0.3">
      <c r="A2" s="14"/>
      <c r="B2" s="15" t="s">
        <v>36</v>
      </c>
      <c r="C2" s="15">
        <v>0</v>
      </c>
      <c r="D2" s="15" t="s">
        <v>37</v>
      </c>
    </row>
    <row r="3" spans="1:4" ht="15.75" thickBot="1" x14ac:dyDescent="0.3">
      <c r="A3" s="14"/>
      <c r="B3" s="15" t="s">
        <v>38</v>
      </c>
      <c r="C3" s="15">
        <v>44.899434165168898</v>
      </c>
      <c r="D3" s="15" t="s">
        <v>37</v>
      </c>
    </row>
    <row r="4" spans="1:4" ht="15.75" thickBot="1" x14ac:dyDescent="0.3">
      <c r="A4" s="14"/>
      <c r="B4" s="15" t="s">
        <v>39</v>
      </c>
      <c r="C4" s="15">
        <v>89.798878975717599</v>
      </c>
      <c r="D4" s="15" t="s">
        <v>37</v>
      </c>
    </row>
    <row r="5" spans="1:4" ht="15.75" thickBot="1" x14ac:dyDescent="0.3">
      <c r="A5" s="14"/>
      <c r="B5" s="15" t="s">
        <v>40</v>
      </c>
      <c r="C5" s="15">
        <v>134.69831295415301</v>
      </c>
      <c r="D5" s="15" t="s">
        <v>37</v>
      </c>
    </row>
    <row r="6" spans="1:4" ht="15.75" thickBot="1" x14ac:dyDescent="0.3">
      <c r="A6" s="14"/>
      <c r="B6" s="15" t="s">
        <v>41</v>
      </c>
      <c r="C6" s="15">
        <v>179.59775344928701</v>
      </c>
      <c r="D6" s="15" t="s">
        <v>37</v>
      </c>
    </row>
    <row r="7" spans="1:4" ht="15.75" thickBot="1" x14ac:dyDescent="0.3">
      <c r="A7" s="14"/>
      <c r="B7" s="15" t="s">
        <v>42</v>
      </c>
      <c r="C7" s="15">
        <v>224.49719170341001</v>
      </c>
      <c r="D7" s="15" t="s">
        <v>37</v>
      </c>
    </row>
    <row r="8" spans="1:4" ht="15.75" thickBot="1" x14ac:dyDescent="0.3">
      <c r="A8" s="14"/>
      <c r="B8" s="15" t="s">
        <v>43</v>
      </c>
      <c r="C8" s="15">
        <v>269.39663518862102</v>
      </c>
      <c r="D8" s="15" t="s">
        <v>37</v>
      </c>
    </row>
    <row r="9" spans="1:4" ht="15.75" thickBot="1" x14ac:dyDescent="0.3">
      <c r="A9" s="14"/>
      <c r="B9" s="15" t="s">
        <v>44</v>
      </c>
      <c r="C9" s="15">
        <v>308.90845531277398</v>
      </c>
      <c r="D9" s="15" t="s">
        <v>37</v>
      </c>
    </row>
    <row r="10" spans="1:4" ht="15.75" thickBot="1" x14ac:dyDescent="0.3">
      <c r="A10" s="14"/>
      <c r="B10" s="15" t="s">
        <v>45</v>
      </c>
      <c r="C10" s="15">
        <v>356.99138066572101</v>
      </c>
      <c r="D10" s="15" t="s">
        <v>37</v>
      </c>
    </row>
    <row r="11" spans="1:4" ht="15.75" thickBot="1" x14ac:dyDescent="0.3">
      <c r="A11" s="14"/>
      <c r="B11" s="15" t="s">
        <v>46</v>
      </c>
      <c r="C11" s="15">
        <v>404.50148992323199</v>
      </c>
      <c r="D11" s="15" t="s">
        <v>37</v>
      </c>
    </row>
    <row r="12" spans="1:4" ht="15.75" thickBot="1" x14ac:dyDescent="0.3">
      <c r="A12" s="14"/>
      <c r="B12" s="15" t="s">
        <v>47</v>
      </c>
      <c r="C12" s="15">
        <v>451.72865576692402</v>
      </c>
      <c r="D12" s="15" t="s">
        <v>37</v>
      </c>
    </row>
    <row r="13" spans="1:4" ht="15.75" thickBot="1" x14ac:dyDescent="0.3">
      <c r="A13" s="14"/>
      <c r="B13" s="15" t="s">
        <v>48</v>
      </c>
      <c r="C13" s="15">
        <v>498.80099874263101</v>
      </c>
      <c r="D13" s="15" t="s">
        <v>37</v>
      </c>
    </row>
    <row r="14" spans="1:4" ht="15.75" thickBot="1" x14ac:dyDescent="0.3">
      <c r="A14" s="14"/>
      <c r="B14" s="15" t="s">
        <v>49</v>
      </c>
      <c r="C14" s="15">
        <v>567.33467880462194</v>
      </c>
      <c r="D14" s="15" t="s">
        <v>37</v>
      </c>
    </row>
    <row r="15" spans="1:4" ht="15.75" thickBot="1" x14ac:dyDescent="0.3">
      <c r="A15" s="14"/>
      <c r="B15" s="15" t="s">
        <v>50</v>
      </c>
      <c r="C15" s="15">
        <v>601.53128535775704</v>
      </c>
      <c r="D15" s="15" t="s">
        <v>37</v>
      </c>
    </row>
    <row r="16" spans="1:4" ht="15.75" thickBot="1" x14ac:dyDescent="0.3">
      <c r="A16" s="14"/>
      <c r="B16" s="15" t="s">
        <v>51</v>
      </c>
      <c r="C16" s="15">
        <v>637.98773358027904</v>
      </c>
      <c r="D16" s="15" t="s">
        <v>37</v>
      </c>
    </row>
    <row r="17" spans="1:4" ht="15.75" thickBot="1" x14ac:dyDescent="0.3">
      <c r="A17" s="14"/>
      <c r="B17" s="15" t="s">
        <v>52</v>
      </c>
      <c r="C17" s="15">
        <v>675.55708055398998</v>
      </c>
      <c r="D17" s="15" t="s">
        <v>37</v>
      </c>
    </row>
    <row r="18" spans="1:4" ht="15.75" thickBot="1" x14ac:dyDescent="0.3">
      <c r="A18" s="14"/>
      <c r="B18" s="15" t="s">
        <v>53</v>
      </c>
      <c r="C18" s="15">
        <v>713.73434763543605</v>
      </c>
      <c r="D18" s="15" t="s">
        <v>37</v>
      </c>
    </row>
    <row r="19" spans="1:4" ht="15.75" thickBot="1" x14ac:dyDescent="0.3">
      <c r="A19" s="14"/>
      <c r="B19" s="15" t="s">
        <v>54</v>
      </c>
      <c r="C19" s="15">
        <v>752.26135361347804</v>
      </c>
      <c r="D19" s="15" t="s">
        <v>37</v>
      </c>
    </row>
    <row r="20" spans="1:4" ht="15.75" thickBot="1" x14ac:dyDescent="0.3">
      <c r="A20" s="14"/>
      <c r="B20" s="15" t="s">
        <v>55</v>
      </c>
      <c r="C20" s="15">
        <v>790.99473477700599</v>
      </c>
      <c r="D20" s="15" t="s">
        <v>37</v>
      </c>
    </row>
    <row r="21" spans="1:4" ht="15.75" thickBot="1" x14ac:dyDescent="0.3">
      <c r="A21" s="14"/>
      <c r="B21" s="15" t="s">
        <v>56</v>
      </c>
      <c r="C21" s="15">
        <v>840.62660281267097</v>
      </c>
      <c r="D21" s="15" t="s">
        <v>37</v>
      </c>
    </row>
    <row r="22" spans="1:4" ht="15.75" thickBot="1" x14ac:dyDescent="0.3">
      <c r="A22" s="14"/>
      <c r="B22" s="15" t="s">
        <v>57</v>
      </c>
      <c r="C22" s="15">
        <v>873.190281234547</v>
      </c>
      <c r="D22" s="15" t="s">
        <v>37</v>
      </c>
    </row>
    <row r="23" spans="1:4" ht="15.75" thickBot="1" x14ac:dyDescent="0.3">
      <c r="A23" s="14"/>
      <c r="B23" s="15" t="s">
        <v>58</v>
      </c>
      <c r="C23" s="15">
        <v>906.94417608646302</v>
      </c>
      <c r="D23" s="15" t="s">
        <v>37</v>
      </c>
    </row>
    <row r="24" spans="1:4" ht="15.75" thickBot="1" x14ac:dyDescent="0.3">
      <c r="A24" s="14"/>
      <c r="B24" s="15" t="s">
        <v>59</v>
      </c>
      <c r="C24" s="15">
        <v>941.29083535424604</v>
      </c>
      <c r="D24" s="15" t="s">
        <v>37</v>
      </c>
    </row>
    <row r="25" spans="1:4" ht="15.75" thickBot="1" x14ac:dyDescent="0.3">
      <c r="A25" s="14"/>
      <c r="B25" s="15" t="s">
        <v>60</v>
      </c>
      <c r="C25" s="15">
        <v>975.96336102452403</v>
      </c>
      <c r="D25" s="1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ООО "Тюменский нефтяной научный центр"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Бекман Александр Дмитриевич</dc:creator>
  <cp:lastModifiedBy>Бекман Александр Дмитриевич</cp:lastModifiedBy>
  <dcterms:created xsi:type="dcterms:W3CDTF">2021-04-20T09:17:59Z</dcterms:created>
  <dcterms:modified xsi:type="dcterms:W3CDTF">2021-08-16T06:20:55Z</dcterms:modified>
</cp:coreProperties>
</file>