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ircraft Data" sheetId="1" r:id="rId3"/>
    <sheet state="visible" name="Sheet4" sheetId="2" r:id="rId4"/>
    <sheet state="visible" name="Class I Weight Estimation" sheetId="3" r:id="rId5"/>
    <sheet state="visible" name="Class 1 weight estimation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19">
      <text>
        <t xml:space="preserve">http://www.jet-engine.net/civtfspec.html
	-Paulien Uijterwaal</t>
      </text>
    </comment>
    <comment authorId="0" ref="V19">
      <text>
        <t xml:space="preserve">http://www.jet-engine.net/civtfspec.html
	-Paulien Uijterwaal</t>
      </text>
    </comment>
    <comment authorId="0" ref="I19">
      <text>
        <t xml:space="preserve">https://www.easa.europa.eu/sites/default/files/dfu/TCDS%20PW150%20series%20issue%2001_20141119_1.0.pdf
	-Paulien Uijterwaal</t>
      </text>
    </comment>
    <comment authorId="0" ref="E19">
      <text>
        <t xml:space="preserve">http://www.forecastinternational.com/samples/F641_CompleteSample.pdf
	-Paulien Uijterwaal</t>
      </text>
    </comment>
    <comment authorId="0" ref="F19">
      <text>
        <t xml:space="preserve">http://www.forecastinternational.com/samples/F641_CompleteSample.pdf
	-Paulien Uijterwaal</t>
      </text>
    </comment>
    <comment authorId="0" ref="G19">
      <text>
        <t xml:space="preserve">http://www.forecastinternational.com/samples/F641_CompleteSample.pdf
	-Paulien Uijterwaal</t>
      </text>
    </comment>
    <comment authorId="0" ref="D19">
      <text>
        <t xml:space="preserve">http://www.forecastinternational.com/samples/F641_CompleteSample.pdf
	-Paulien Uijterwaal</t>
      </text>
    </comment>
    <comment authorId="0" ref="C19">
      <text>
        <t xml:space="preserve">http://www.forecastinternational.com/samples/F641_CompleteSample.pdf
	-Paulien Uijterwaal</t>
      </text>
    </comment>
    <comment authorId="0" ref="H19">
      <text>
        <t xml:space="preserve">http://www.forecastinternational.com/samples/F641_CompleteSample.pdf
	-Paulien Uijterwaal</t>
      </text>
    </comment>
  </commentList>
</comments>
</file>

<file path=xl/sharedStrings.xml><?xml version="1.0" encoding="utf-8"?>
<sst xmlns="http://schemas.openxmlformats.org/spreadsheetml/2006/main" count="396" uniqueCount="193">
  <si>
    <t>Name</t>
  </si>
  <si>
    <t>ATR 42-300</t>
  </si>
  <si>
    <t>ATR 42-600</t>
  </si>
  <si>
    <t>ATR 72-200</t>
  </si>
  <si>
    <t>ATR 72-500</t>
  </si>
  <si>
    <t>ATR 72-600</t>
  </si>
  <si>
    <t>Bombardier Dash-8 / Q200</t>
  </si>
  <si>
    <t>Bombardier Dash-8 / Q300</t>
  </si>
  <si>
    <t>Bombardier Dash-8 / Q400</t>
  </si>
  <si>
    <t>Bombardier CRJ200 ER</t>
  </si>
  <si>
    <t>Bombardier CRJ700 ER</t>
  </si>
  <si>
    <t>Embraer ERJ135-ER</t>
  </si>
  <si>
    <t>Embraer ERJ135-LR</t>
  </si>
  <si>
    <t>Embraer ERJ140-LR</t>
  </si>
  <si>
    <t>Embraer ERJ145-EP</t>
  </si>
  <si>
    <t>https://www2.bombardier.com/Used_Aircraft/pdf/Q200_EN.pdf, https://eservices.aero.bombardier.com/wps/wcm/connect/eServices/f4e53b89-2dd2-4d01-be9f-241e3a6b9a9c/D8200-APM.pdf?MOD=AJPERES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&amp;CVID=lGQQNC4</t>
  </si>
  <si>
    <t>Embraer ERJ145-LR</t>
  </si>
  <si>
    <t>Embraer       E170 ER</t>
  </si>
  <si>
    <t>Embraer      E170 AR</t>
  </si>
  <si>
    <t>https://www2.bombardier.com/Used_Aircraft/pdf/Q300_EN.pdf, https://eservices.aero.bombardier.com/wps/wcm/connect/eServices/c7e8c53b-77f8-41b5-8418-c3334664bb56/D8300-APM.pdf?MOD=AJPERES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&amp;CVID=lGQQXVH</t>
  </si>
  <si>
    <t>MRJ70 STD</t>
  </si>
  <si>
    <t>BAe 146-100</t>
  </si>
  <si>
    <t>BAe 146-200</t>
  </si>
  <si>
    <t>BAe 146-300</t>
  </si>
  <si>
    <t>BAe Avro RJ70</t>
  </si>
  <si>
    <t>BAe Avro RJ85</t>
  </si>
  <si>
    <t>BAe Avro RJ100</t>
  </si>
  <si>
    <t>Ilyushin II-114</t>
  </si>
  <si>
    <t>Fokker 50</t>
  </si>
  <si>
    <t>Fokker 70</t>
  </si>
  <si>
    <t>Antonov An-140-100</t>
  </si>
  <si>
    <t>Antonov An-148-100A</t>
  </si>
  <si>
    <t>Sukhoi Superjet SSJ100/95B</t>
  </si>
  <si>
    <t>Fairchild Dornier 528JET</t>
  </si>
  <si>
    <t>Fairchield Dornier 728JET</t>
  </si>
  <si>
    <t>Saab 340B Plus</t>
  </si>
  <si>
    <t>Saab 2000</t>
  </si>
  <si>
    <t>Lockheed C-130J Hercules</t>
  </si>
  <si>
    <t>Passengers, max. [-]</t>
  </si>
  <si>
    <t>92 combat troopers</t>
  </si>
  <si>
    <t>Weight [N]</t>
  </si>
  <si>
    <t>T/W</t>
  </si>
  <si>
    <t>Actual Thrust</t>
  </si>
  <si>
    <t>Needed thrust</t>
  </si>
  <si>
    <t>Thrust difference</t>
  </si>
  <si>
    <t>Take-off field length [m]</t>
  </si>
  <si>
    <t>Max. fuel at max. payload [kg]</t>
  </si>
  <si>
    <t>Range, maximum payload [km]</t>
  </si>
  <si>
    <t>Fuel/range [kg/km]</t>
  </si>
  <si>
    <t>Fuel/range per passenger</t>
  </si>
  <si>
    <t>CO2 per passenger per kilometer</t>
  </si>
  <si>
    <t>MTOW [kg]</t>
  </si>
  <si>
    <t>OEW [kg]</t>
  </si>
  <si>
    <t>Propulsion type</t>
  </si>
  <si>
    <t>Turbofan</t>
  </si>
  <si>
    <t>Tubofan</t>
  </si>
  <si>
    <t>Turboprop</t>
  </si>
  <si>
    <t>Fairchild Dornier 728JET</t>
  </si>
  <si>
    <t>Xian Modern Ark 700 (MA700)</t>
  </si>
  <si>
    <t>Lockheed Martin C-130J Hercules</t>
  </si>
  <si>
    <t>PASSENGERS</t>
  </si>
  <si>
    <t>Passengers, typical [-]</t>
  </si>
  <si>
    <t>Passengers, min. [-]</t>
  </si>
  <si>
    <t>64 paratroopers</t>
  </si>
  <si>
    <t>WEIGHTS</t>
  </si>
  <si>
    <t>MLW [kg]</t>
  </si>
  <si>
    <t>MZFW [kg]</t>
  </si>
  <si>
    <t>Max. payload [kg]</t>
  </si>
  <si>
    <t>Max. usable fuel [kg]</t>
  </si>
  <si>
    <t>Max. fuel at max. payload [%]</t>
  </si>
  <si>
    <t>PROPULSION</t>
  </si>
  <si>
    <t>Turboprops</t>
  </si>
  <si>
    <t>Engine</t>
  </si>
  <si>
    <t>P&amp;WC PW120</t>
  </si>
  <si>
    <t>P&amp;WC PW127M</t>
  </si>
  <si>
    <t>P&amp;WC PW124B</t>
  </si>
  <si>
    <t>P&amp;WC PW127F</t>
  </si>
  <si>
    <t>P&amp;WC PW123C/D</t>
  </si>
  <si>
    <t>P&amp;WC PW123/B/E</t>
  </si>
  <si>
    <t>PW150A</t>
  </si>
  <si>
    <t xml:space="preserve">GE CF34-3B1 </t>
  </si>
  <si>
    <t xml:space="preserve">GE CF34-8C5B1 </t>
  </si>
  <si>
    <t>AE3007-A3</t>
  </si>
  <si>
    <t>AE3007-A1/3</t>
  </si>
  <si>
    <t>AE 3007-A1/3</t>
  </si>
  <si>
    <t>AE 3007-A1</t>
  </si>
  <si>
    <t xml:space="preserve">GE CF34-8E </t>
  </si>
  <si>
    <t>PW1215G</t>
  </si>
  <si>
    <t>Honneywell ALF 502R-5</t>
  </si>
  <si>
    <t>Honneywell LF507-1F</t>
  </si>
  <si>
    <t>Klimov TV7-117</t>
  </si>
  <si>
    <t>P&amp;WC PW127B</t>
  </si>
  <si>
    <t>R-R Tay 620</t>
  </si>
  <si>
    <t>TW3-117VMA</t>
  </si>
  <si>
    <t>Progress D-436-148</t>
  </si>
  <si>
    <t>PowerJet SaM146-1S17</t>
  </si>
  <si>
    <t>GE CF34-8D</t>
  </si>
  <si>
    <t>GE CF34-8D3</t>
  </si>
  <si>
    <t>CT7-9B</t>
  </si>
  <si>
    <t>R-R AE2100 A</t>
  </si>
  <si>
    <t>P&amp;WC PW150C</t>
  </si>
  <si>
    <t>R-R AE 2100D3</t>
  </si>
  <si>
    <t>Number of engines [-]</t>
  </si>
  <si>
    <t>dry engine weight [kg/engine]</t>
  </si>
  <si>
    <t>Truboprop average:</t>
  </si>
  <si>
    <t>turbofan average</t>
  </si>
  <si>
    <t>dry engine weight [kg]</t>
  </si>
  <si>
    <t>Take-off power [shp / engine]</t>
  </si>
  <si>
    <t>N/A</t>
  </si>
  <si>
    <t>Take-off thrust [kN / engine]</t>
  </si>
  <si>
    <t>Take-off power [shp]</t>
  </si>
  <si>
    <t>Take-off thrust [kN]</t>
  </si>
  <si>
    <t>PERFORMANCE</t>
  </si>
  <si>
    <t>Max. cruise speed [km/h]</t>
  </si>
  <si>
    <t>Landing field length [m]</t>
  </si>
  <si>
    <t>Ceiling [ft]</t>
  </si>
  <si>
    <t>Range, design [km]</t>
  </si>
  <si>
    <t>Rate of climb (MTOW) [ft/min]</t>
  </si>
  <si>
    <t>prop FF</t>
  </si>
  <si>
    <t>turbofan FF</t>
  </si>
  <si>
    <t>Fuel flow at cruise speed [kg/hr]</t>
  </si>
  <si>
    <t>DIMENSIONS</t>
  </si>
  <si>
    <t>Length [m]</t>
  </si>
  <si>
    <t>Height [m]</t>
  </si>
  <si>
    <t>Wingspan [m]</t>
  </si>
  <si>
    <t>Wing area [m2]</t>
  </si>
  <si>
    <t>Aspect ratio [-]</t>
  </si>
  <si>
    <t>Fuselage diameter [m]</t>
  </si>
  <si>
    <t>Cabin width [m]</t>
  </si>
  <si>
    <t>NOISE</t>
  </si>
  <si>
    <t>Takeoff [EPNdB]</t>
  </si>
  <si>
    <t>Flyover [EPNdB]</t>
  </si>
  <si>
    <t>Approach [EPNdB]</t>
  </si>
  <si>
    <t>Lateral [EPNdB]</t>
  </si>
  <si>
    <t>Margin to Stage IV [EPNdB]</t>
  </si>
  <si>
    <t>COSTS</t>
  </si>
  <si>
    <t>Purchase price [US$]</t>
  </si>
  <si>
    <t>Turnaround time [min]</t>
  </si>
  <si>
    <t>W/S</t>
  </si>
  <si>
    <t>Sources</t>
  </si>
  <si>
    <t>http://www.atraircraft.com/products_app/media/pdf/FAMILY_septembre2014.pdf</t>
  </si>
  <si>
    <t>https://www.airlines-inform.com/commercial-aircraft/ATR-72.html
http://www.atraircraft.com/products_app/media/pdf/FAMILY_septembre2014.pdf</t>
  </si>
  <si>
    <t>https://www.airlines-inform.com/commercial-aircraft/ATR-72.html</t>
  </si>
  <si>
    <t>https://commercialaircraft.bombardier.com/content/dam/Websites/bombardiercom/supporting-documents/BA/DDBC0275_Factsheet-Q400_EN_V8.pdf</t>
  </si>
  <si>
    <t>https://commercialaircraft.bombardier.com/content/dam/Websites/bombardiercom/supporting-documents/BA/DDBC0275_Factsheet-CRJ700_EN_V4.pdf, http://www2.bombardier.com/CRJ/en/specifications.jsp?langId=en&amp;crjId=700</t>
  </si>
  <si>
    <t>https://www.embraercommercialaviation.com/media-downloads/#51-apm</t>
  </si>
  <si>
    <t>https://www.embraercommercialaviation.com/wp-content/uploads/2017/02/Embraer_spec_140_web.pdf</t>
  </si>
  <si>
    <t>https://www.embraercommercialaviation.com/wp-content/uploads/2017/02/Embraer_spec_145_web.pdf</t>
  </si>
  <si>
    <t>https://www.embraercommercialaviation.com/wp-content/uploads/2017/02/Embraer_spec_170_Web.pdf, https://www.embraercommercialaviation.com/wp-content/uploads/2017/02/APM_E170.pdf</t>
  </si>
  <si>
    <t>http://www.mhi.co.jp/technology/review/pdf/e514/e514001.pdf
http://www.flythemrj.com/design/
https://www.flythemrj.com/media/pdf/MRJ_Brochure_e.pdf, https://www.airlines-inform.com/commercial-aircraft/MRJ.html
https://www.enri.go.jp/eiwac/2013/pdf/Viewgraph/ENS-006_Nakamura.pdf</t>
  </si>
  <si>
    <t>https://www.flightglobal.com/pdfarchive/view/2001/2001%20-%202962.html, https://www.airlines-inform.com/commercial-aircraft/BAe-146.html, https://www.flightglobal.com/pdfarchive/view/2001/2001%20-%202964.html, https://www.easa.europa.eu/sites/default/files/dfu/EASA-TCDS-A.182_Bae_146---AVRO_146_RJ-02-20102010.pdf</t>
  </si>
  <si>
    <t>https://www.flightglobal.com/pdfarchive/view/2001/2001%20-%202962.html, https://www.easa.europa.eu/sites/default/files/dfu/EASA-TCDS-A.182_Bae_146---AVRO_146_RJ-02-20102010.pdf</t>
  </si>
  <si>
    <t>https://www.forecastinternational.com/archive/disp_pdf.cfm?DACH_RECNO=1003, https://www.airlines-inform.com/commercial-aircraft/Il-114.html</t>
  </si>
  <si>
    <t>http://www.flyfokker.com/Fokker_50, https://www.flightglobal.com/pdfarchive/view/2001/2001%20-%202973.html</t>
  </si>
  <si>
    <t xml:space="preserve">http://www.flugzeuginfo.net/acdata_php/acdata_an140_en.php, http://www.airliners.net/aircraft-data/antonov-an-140/405, https://www.airlines-inform.com/commercial-aircraft/An-140.html, https://www.airlines-inform.com/commercial-aircraft/An-140.html, https://www.predictivemobility.com/manufacturer-701-antonov
</t>
  </si>
  <si>
    <t>http://www.deagel.com/Airliners/An-148-100_a000098001.aspx, https://www.airlines-inform.com/commercial-aircraft/An-148.html</t>
  </si>
  <si>
    <t>https://airinsight.com/wp-content/uploads/2011/10/RJ-Summary.pdf, http://www.superjetinternational.com/wp-content/uploads/SSJ100_Datasheet.pdf</t>
  </si>
  <si>
    <t>https://www.flightglobal.com/pdfarchive/view/2001/2001%20-%202972.html</t>
  </si>
  <si>
    <t>https://www.flightglobal.com/pdfarchive/view/2001/2001%20-%202979.html, https://www.airlines-inform.com/commercial-aircraft/SAAB-340.html</t>
  </si>
  <si>
    <t>https://www.flightglobal.com/pdfarchive/view/2001/2001%20-%202979.html, https://www.airlines-inform.com/commercial-aircraft/SAAB-2000.html</t>
  </si>
  <si>
    <t>http://www.maaircraft.com/Home/Article/pages/cid/1.html</t>
  </si>
  <si>
    <t>https://web.archive.org/web/20130801120805/http://www.af.mil/information/factsheets/factsheet.asp?id=92</t>
  </si>
  <si>
    <t>ff_cruise</t>
  </si>
  <si>
    <t>Vcruise [m/s]</t>
  </si>
  <si>
    <t>cj</t>
  </si>
  <si>
    <t>T/MTOW</t>
  </si>
  <si>
    <t>ln(W4/W5)</t>
  </si>
  <si>
    <t>eta_p/c_p</t>
  </si>
  <si>
    <t>OEW</t>
  </si>
  <si>
    <t>take-off length turboprop</t>
  </si>
  <si>
    <t>take-off length turbofan</t>
  </si>
  <si>
    <t>MTOW turboprop</t>
  </si>
  <si>
    <t>MTOW turbofan</t>
  </si>
  <si>
    <t>MTOW</t>
  </si>
  <si>
    <t>EW</t>
  </si>
  <si>
    <t>https://www.airlines-inform.com/</t>
  </si>
  <si>
    <t>Regional aircraft market growth projections</t>
  </si>
  <si>
    <t>https://blog.forecastinternational.com/wordpress/long-term-growth-projected-for-regional-aircraft-market/</t>
  </si>
  <si>
    <t>Global economic growth (GDP)</t>
  </si>
  <si>
    <t>http://www.worldbank.org/en/publication/global-economic-prospects</t>
  </si>
  <si>
    <t>Global expected total air passengers growth</t>
  </si>
  <si>
    <t>http://www.iata.org/pressroom/pr/Pages/2017-10-24-01.aspx</t>
  </si>
  <si>
    <t>Airbus growth report (2017-2036)</t>
  </si>
  <si>
    <t>http://www.airbus.com/content/dam/corporate-topics/publications/backgrounders/Airbus_Global_Market_Forecast_2017-2036_Growing_Horizons_full_book.pdf</t>
  </si>
  <si>
    <t>Boeing market outlook (2017-2036)</t>
  </si>
  <si>
    <t>http://www.boeing.com/resources/boeingdotcom/commercial/market/current-market-outlook-2017/assets/downloads/2017-cmo-6-19.pdf</t>
  </si>
  <si>
    <t>Rotterdam airport landing and passenger fees</t>
  </si>
  <si>
    <t>https://www.rotterdamthehagueairport.nl/content/uploads/2016/03/Summary-landing-fees-04-2016.pdf</t>
  </si>
  <si>
    <t>Schiphol landing &amp; passenger fees(link downloads file)</t>
  </si>
  <si>
    <t>https://www.schiphol.nl/en/download/b2b/.../2cZ8hdb9CYm6m6my4qmEgQ.pdf</t>
  </si>
  <si>
    <t xml:space="preserve">               -To compare difference in pricing between small and large airports</t>
  </si>
  <si>
    <t xml:space="preserve">               -Note: landing fees based on weight/noise pollution and time of landing</t>
  </si>
  <si>
    <t>https://www.icao.int/Meetings/EnvironmentalWorkshops/Documents/2015-Warsaw/3_2_Aircraft-Noise-Technology-and-International-Noise-Standards.pdf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</si>
</sst>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&quot;$&quot;#,##0"/>
  </numFmts>
  <fonts count="7">
    <font>
      <sz val="10.0"/>
      <color rgb="FF000000"/>
      <name val="Arial"/>
    </font>
    <font/>
    <font>
      <b/>
    </font>
    <font>
      <u/>
      <color rgb="FF0000FF"/>
    </font>
    <font>
      <sz val="11.0"/>
      <color rgb="FF006621"/>
      <name val="Arial"/>
    </font>
    <font>
      <u/>
      <color rgb="FF0000FF"/>
    </font>
    <font>
      <u/>
      <sz val="11.0"/>
      <color rgb="FF00662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0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0" fontId="1" numFmtId="2" xfId="0" applyFont="1" applyNumberFormat="1"/>
    <xf borderId="0" fillId="0" fontId="1" numFmtId="164" xfId="0" applyFont="1" applyNumberFormat="1"/>
    <xf borderId="2" fillId="4" fontId="2" numFmtId="0" xfId="0" applyAlignment="1" applyBorder="1" applyFill="1" applyFont="1">
      <alignment readingOrder="0"/>
    </xf>
    <xf borderId="2" fillId="4" fontId="1" numFmtId="0" xfId="0" applyAlignment="1" applyBorder="1" applyFont="1">
      <alignment readingOrder="0"/>
    </xf>
    <xf borderId="2" fillId="4" fontId="1" numFmtId="0" xfId="0" applyBorder="1" applyFont="1"/>
    <xf borderId="0" fillId="4" fontId="1" numFmtId="0" xfId="0" applyFont="1"/>
    <xf borderId="2" fillId="4" fontId="1" numFmtId="3" xfId="0" applyAlignment="1" applyBorder="1" applyFont="1" applyNumberFormat="1">
      <alignment readingOrder="0"/>
    </xf>
    <xf borderId="0" fillId="3" fontId="1" numFmtId="9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/>
    </xf>
    <xf borderId="0" fillId="3" fontId="1" numFmtId="0" xfId="0" applyAlignment="1" applyFon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1" fillId="0" fontId="1" numFmtId="0" xfId="0" applyBorder="1" applyFont="1"/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2" fontId="4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'Aircraft Data'!$B$7:$AI$7</c:f>
            </c:numRef>
          </c:xVal>
          <c:yVal>
            <c:numRef>
              <c:f>'Aircraft Data'!$B$9:$AI$9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595457"/>
        <c:axId val="2042384472"/>
      </c:scatterChart>
      <c:valAx>
        <c:axId val="1884595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Maximum take-off weight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2384472"/>
      </c:valAx>
      <c:valAx>
        <c:axId val="2042384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Empty weight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4595457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Wing loading vs MTOW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'Aircraft Data'!$B$51:$AI$51</c:f>
            </c:numRef>
          </c:xVal>
          <c:yVal>
            <c:numRef>
              <c:f>'Aircraft Data'!$B$7:$AK$7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07296"/>
        <c:axId val="1578807315"/>
      </c:scatterChart>
      <c:valAx>
        <c:axId val="378507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Wing Loading [-]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8807315"/>
      </c:valAx>
      <c:valAx>
        <c:axId val="1578807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Maximum take-off weight [kg]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850729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Trendlijn voor reeks 1</c:nam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'Aircraft Data'!$B$3:$AI$3</c:f>
            </c:numRef>
          </c:xVal>
          <c:yVal>
            <c:numRef>
              <c:f>'Aircraft Data'!$B$57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'Aircraft Data'!$B$3:$AI$3</c:f>
            </c:numRef>
          </c:xVal>
          <c:yVal>
            <c:numRef>
              <c:f>'Aircraft Data'!$B$58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'Aircraft Data'!$B$3:$AI$3</c:f>
            </c:numRef>
          </c:xVal>
          <c:yVal>
            <c:numRef>
              <c:f>'Aircraft Data'!$B$59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'Aircraft Data'!$B$3:$AI$3</c:f>
            </c:numRef>
          </c:xVal>
          <c:yVal>
            <c:numRef>
              <c:f>'Aircraft Data'!$B$60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'Aircraft Data'!$B$3:$AI$3</c:f>
            </c:numRef>
          </c:xVal>
          <c:yVal>
            <c:numRef>
              <c:f>'Aircraft Data'!$B$7:$AI$7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39180"/>
        <c:axId val="1536411331"/>
      </c:scatterChart>
      <c:valAx>
        <c:axId val="17450391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passengers [-]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6411331"/>
      </c:valAx>
      <c:valAx>
        <c:axId val="1536411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MTOW [kg]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503918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Turboprop (= blue)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'Aircraft Data'!$B$23:$AI$23</c:f>
            </c:numRef>
          </c:xVal>
          <c:yVal>
            <c:numRef>
              <c:f>'Aircraft Data'!$H$56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'Aircraft Data'!$B$23:$AI$23</c:f>
            </c:numRef>
          </c:xVal>
          <c:yVal>
            <c:numRef>
              <c:f>'Aircraft Data'!$B$33:$AI$33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96550"/>
        <c:axId val="1050633203"/>
      </c:scatterChart>
      <c:valAx>
        <c:axId val="9871965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Take-off power [shp]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0633203"/>
      </c:valAx>
      <c:valAx>
        <c:axId val="1050633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Fuel consuption [kg/hour]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719655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Turbofan (= red)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'Aircraft Data'!$B$24:$AI$24</c:f>
            </c:numRef>
          </c:xVal>
          <c:yVal>
            <c:numRef>
              <c:f>'Aircraft Data'!$B$33:$AI$33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57915"/>
        <c:axId val="2095729322"/>
      </c:scatterChart>
      <c:valAx>
        <c:axId val="12249579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Take-off thrust [kN]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5729322"/>
      </c:valAx>
      <c:valAx>
        <c:axId val="2095729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Fuel consumption [kg/hour]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4957915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Turboprop (= blue)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'Aircraft Data'!$B$93</c:f>
            </c:numRef>
          </c:xVal>
          <c:yVal>
            <c:numRef>
              <c:f>'Aircraft Data'!$B$76:$AI$76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13737"/>
        <c:axId val="1197275971"/>
      </c:scatterChart>
      <c:valAx>
        <c:axId val="11011137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OEW [kg]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7275971"/>
      </c:valAx>
      <c:valAx>
        <c:axId val="1197275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Take-off distance [m]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1113737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Turbofan (= red)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'Aircraft Data'!$H$103</c:f>
            </c:numRef>
          </c:xVal>
          <c:yVal>
            <c:numRef>
              <c:f>'Aircraft Data'!$B$77:$AI$77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31057"/>
        <c:axId val="802712100"/>
      </c:scatterChart>
      <c:valAx>
        <c:axId val="1408310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OEW [kg]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2712100"/>
      </c:valAx>
      <c:valAx>
        <c:axId val="802712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Take-off distance [m]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83105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Turboprop (= blue) / Turbofan (= red)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'Aircraft Data'!$B$75:$AI$75</c:f>
            </c:numRef>
          </c:xVal>
          <c:yVal>
            <c:numRef>
              <c:f>'Aircraft Data'!$B$76:$AI$76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'Aircraft Data'!$B$75:$AI$75</c:f>
            </c:numRef>
          </c:xVal>
          <c:yVal>
            <c:numRef>
              <c:f>'Aircraft Data'!$B$77:$AI$77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64828"/>
        <c:axId val="1712294091"/>
      </c:scatterChart>
      <c:valAx>
        <c:axId val="16313648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OEW [kg]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2294091"/>
      </c:valAx>
      <c:valAx>
        <c:axId val="1712294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Take-off distance [kg]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1364828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Turboprop (= blue) / Turbofan (= red)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Trendlijn voor reeks 1</c:nam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'Aircraft Data'!$B$117:$AI$117</c:f>
            </c:numRef>
          </c:xVal>
          <c:yVal>
            <c:numRef>
              <c:f>'Aircraft Data'!$B$118:$AI$118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>Trendlijn voor reeks 2</c:name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'Aircraft Data'!$B$117:$AI$117</c:f>
            </c:numRef>
          </c:xVal>
          <c:yVal>
            <c:numRef>
              <c:f>'Aircraft Data'!$B$119:$AI$119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02558"/>
        <c:axId val="78552596"/>
      </c:scatterChart>
      <c:valAx>
        <c:axId val="21324025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passengers [-]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552596"/>
      </c:valAx>
      <c:valAx>
        <c:axId val="78552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MTOW [kg]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2402558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'Aircraft Data'!$B$7:$AI$7</c:f>
            </c:numRef>
          </c:xVal>
          <c:yVal>
            <c:numRef>
              <c:f>'Aircraft Data'!$B$9:$AI$9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8014"/>
        <c:axId val="1095663204"/>
      </c:scatterChart>
      <c:valAx>
        <c:axId val="3200580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Maximum take-off weight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5663204"/>
      </c:valAx>
      <c:valAx>
        <c:axId val="1095663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Empty weight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005801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57150</xdr:colOff>
      <xdr:row>179</xdr:row>
      <xdr:rowOff>19050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419100</xdr:colOff>
      <xdr:row>70</xdr:row>
      <xdr:rowOff>76200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180975</xdr:colOff>
      <xdr:row>75</xdr:row>
      <xdr:rowOff>104775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78</xdr:row>
      <xdr:rowOff>9525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97</xdr:row>
      <xdr:rowOff>9525</xdr:rowOff>
    </xdr:from>
    <xdr:ext cx="571500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942975</xdr:colOff>
      <xdr:row>97</xdr:row>
      <xdr:rowOff>0</xdr:rowOff>
    </xdr:from>
    <xdr:ext cx="5715000" cy="3533775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942975</xdr:colOff>
      <xdr:row>96</xdr:row>
      <xdr:rowOff>190500</xdr:rowOff>
    </xdr:from>
    <xdr:ext cx="5715000" cy="3533775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571500</xdr:colOff>
      <xdr:row>126</xdr:row>
      <xdr:rowOff>28575</xdr:rowOff>
    </xdr:from>
    <xdr:ext cx="5715000" cy="3533775"/>
    <xdr:graphicFrame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9525</xdr:colOff>
      <xdr:row>160</xdr:row>
      <xdr:rowOff>152400</xdr:rowOff>
    </xdr:from>
    <xdr:ext cx="5715000" cy="3533775"/>
    <xdr:graphicFrame>
      <xdr:nvGraphicFramePr>
        <xdr:cNvPr id="9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942975</xdr:colOff>
      <xdr:row>62</xdr:row>
      <xdr:rowOff>123825</xdr:rowOff>
    </xdr:from>
    <xdr:ext cx="5715000" cy="3533775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boeing.com/resources/boeingdotcom/commercial/market/current-market-outlook-2017/assets/downloads/2017-cmo-6-19.pdf" TargetMode="External"/><Relationship Id="rId22" Type="http://schemas.openxmlformats.org/officeDocument/2006/relationships/hyperlink" Target="https://www.schiphol.nl/en/download/b2b/.../2cZ8hdb9CYm6m6my4qmEgQ.pdf" TargetMode="External"/><Relationship Id="rId21" Type="http://schemas.openxmlformats.org/officeDocument/2006/relationships/hyperlink" Target="https://www.rotterdamthehagueairport.nl/content/uploads/2016/03/Summary-landing-fees-04-2016.pdf" TargetMode="External"/><Relationship Id="rId24" Type="http://schemas.openxmlformats.org/officeDocument/2006/relationships/drawing" Target="../drawings/drawing1.xml"/><Relationship Id="rId23" Type="http://schemas.openxmlformats.org/officeDocument/2006/relationships/hyperlink" Target="https://www.icao.int/Meetings/EnvironmentalWorkshops/Documents/2015-Warsaw/3_2_Aircraft-Noise-Technology-and-International-Noise-Standards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atraircraft.com/products_app/media/pdf/FAMILY_septembre2014.pdf" TargetMode="External"/><Relationship Id="rId3" Type="http://schemas.openxmlformats.org/officeDocument/2006/relationships/hyperlink" Target="http://www.atraircraft.com/products_app/media/pdf/FAMILY_septembre2014.pdf" TargetMode="External"/><Relationship Id="rId4" Type="http://schemas.openxmlformats.org/officeDocument/2006/relationships/hyperlink" Target="https://www.airlines-inform.com/commercial-aircraft/ATR-72.html" TargetMode="External"/><Relationship Id="rId9" Type="http://schemas.openxmlformats.org/officeDocument/2006/relationships/hyperlink" Target="https://www.embraercommercialaviation.com/wp-content/uploads/2017/02/Embraer_spec_145_web.pdf" TargetMode="External"/><Relationship Id="rId25" Type="http://schemas.openxmlformats.org/officeDocument/2006/relationships/vmlDrawing" Target="../drawings/vmlDrawing1.vml"/><Relationship Id="rId5" Type="http://schemas.openxmlformats.org/officeDocument/2006/relationships/hyperlink" Target="https://commercialaircraft.bombardier.com/content/dam/Websites/bombardiercom/supporting-documents/BA/DDBC0275_Factsheet-Q400_EN_V8.pdf" TargetMode="External"/><Relationship Id="rId6" Type="http://schemas.openxmlformats.org/officeDocument/2006/relationships/hyperlink" Target="https://www.embraercommercialaviation.com/media-downloads/" TargetMode="External"/><Relationship Id="rId7" Type="http://schemas.openxmlformats.org/officeDocument/2006/relationships/hyperlink" Target="https://www.embraercommercialaviation.com/media-downloads/" TargetMode="External"/><Relationship Id="rId8" Type="http://schemas.openxmlformats.org/officeDocument/2006/relationships/hyperlink" Target="https://www.embraercommercialaviation.com/wp-content/uploads/2017/02/Embraer_spec_140_web.pdf" TargetMode="External"/><Relationship Id="rId11" Type="http://schemas.openxmlformats.org/officeDocument/2006/relationships/hyperlink" Target="https://www.flightglobal.com/pdfarchive/view/2001/2001%20-%202972.html" TargetMode="External"/><Relationship Id="rId10" Type="http://schemas.openxmlformats.org/officeDocument/2006/relationships/hyperlink" Target="https://www.embraercommercialaviation.com/wp-content/uploads/2017/02/Embraer_spec_145_web.pdf" TargetMode="External"/><Relationship Id="rId13" Type="http://schemas.openxmlformats.org/officeDocument/2006/relationships/hyperlink" Target="http://www.maaircraft.com/Home/Article/pages/cid/1.html" TargetMode="External"/><Relationship Id="rId12" Type="http://schemas.openxmlformats.org/officeDocument/2006/relationships/hyperlink" Target="https://www.flightglobal.com/pdfarchive/view/2001/2001%20-%202972.html" TargetMode="External"/><Relationship Id="rId15" Type="http://schemas.openxmlformats.org/officeDocument/2006/relationships/hyperlink" Target="https://www.flightglobal.com/pdfarchive/view/2001/2001%20-%202972.html" TargetMode="External"/><Relationship Id="rId14" Type="http://schemas.openxmlformats.org/officeDocument/2006/relationships/hyperlink" Target="https://web.archive.org/web/20130801120805/http://www.af.mil/information/factsheets/factsheet.asp?id=92" TargetMode="External"/><Relationship Id="rId17" Type="http://schemas.openxmlformats.org/officeDocument/2006/relationships/hyperlink" Target="http://www.worldbank.org/en/publication/global-economic-prospects" TargetMode="External"/><Relationship Id="rId16" Type="http://schemas.openxmlformats.org/officeDocument/2006/relationships/hyperlink" Target="https://www.airlines-inform.com/" TargetMode="External"/><Relationship Id="rId19" Type="http://schemas.openxmlformats.org/officeDocument/2006/relationships/hyperlink" Target="http://www.airbus.com/content/dam/corporate-topics/publications/backgrounders/Airbus_Global_Market_Forecast_2017-2036_Growing_Horizons_full_book.pdf" TargetMode="External"/><Relationship Id="rId18" Type="http://schemas.openxmlformats.org/officeDocument/2006/relationships/hyperlink" Target="http://www.iata.org/pressroom/pr/Pages/2017-10-24-01.aspx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9.86"/>
    <col customWidth="1" min="25" max="25" width="14.71"/>
    <col customWidth="1" min="36" max="37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2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57</v>
      </c>
      <c r="AH1" s="1" t="s">
        <v>35</v>
      </c>
      <c r="AI1" s="1" t="s">
        <v>36</v>
      </c>
      <c r="AJ1" s="1" t="s">
        <v>58</v>
      </c>
      <c r="AK1" s="1" t="s">
        <v>59</v>
      </c>
      <c r="AL1" s="1"/>
      <c r="AM1" s="1"/>
    </row>
    <row r="2">
      <c r="A2" s="8" t="s">
        <v>60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10"/>
      <c r="P2" s="10"/>
      <c r="Q2" s="9"/>
      <c r="R2" s="9"/>
      <c r="S2" s="10"/>
      <c r="T2" s="9"/>
      <c r="U2" s="9"/>
      <c r="V2" s="9"/>
      <c r="W2" s="9"/>
      <c r="X2" s="9"/>
      <c r="Y2" s="9"/>
      <c r="Z2" s="10"/>
      <c r="AA2" s="9"/>
      <c r="AB2" s="9"/>
      <c r="AC2" s="10"/>
      <c r="AD2" s="10"/>
      <c r="AE2" s="9"/>
      <c r="AF2" s="10"/>
      <c r="AG2" s="10"/>
      <c r="AH2" s="10"/>
      <c r="AI2" s="10"/>
      <c r="AJ2" s="10"/>
      <c r="AK2" s="10"/>
      <c r="AL2" s="10"/>
      <c r="AM2" s="11"/>
    </row>
    <row r="3">
      <c r="A3" s="3" t="s">
        <v>61</v>
      </c>
      <c r="B3" s="3">
        <v>48.0</v>
      </c>
      <c r="C3" s="3">
        <v>48.0</v>
      </c>
      <c r="D3" s="3">
        <v>66.0</v>
      </c>
      <c r="E3" s="3">
        <v>68.0</v>
      </c>
      <c r="F3" s="3">
        <v>70.0</v>
      </c>
      <c r="G3" s="3">
        <v>37.0</v>
      </c>
      <c r="H3" s="3">
        <v>50.0</v>
      </c>
      <c r="I3" s="3">
        <v>70.0</v>
      </c>
      <c r="J3" s="3">
        <v>50.0</v>
      </c>
      <c r="K3" s="3">
        <v>74.0</v>
      </c>
      <c r="L3" s="3">
        <v>37.0</v>
      </c>
      <c r="M3" s="3">
        <v>37.0</v>
      </c>
      <c r="N3" s="3">
        <v>44.0</v>
      </c>
      <c r="O3" s="3">
        <v>50.0</v>
      </c>
      <c r="P3" s="3">
        <v>50.0</v>
      </c>
      <c r="Q3" s="3">
        <v>72.0</v>
      </c>
      <c r="R3" s="3">
        <v>72.0</v>
      </c>
      <c r="S3" s="3">
        <v>76.0</v>
      </c>
      <c r="T3" s="3">
        <v>73.0</v>
      </c>
      <c r="U3" s="3">
        <v>88.0</v>
      </c>
      <c r="V3" s="3">
        <v>103.0</v>
      </c>
      <c r="W3" s="3">
        <v>82.0</v>
      </c>
      <c r="X3" s="3">
        <v>100.0</v>
      </c>
      <c r="Y3" s="3">
        <v>100.0</v>
      </c>
      <c r="Z3" s="3">
        <v>64.0</v>
      </c>
      <c r="AA3" s="3">
        <v>50.0</v>
      </c>
      <c r="AB3" s="3">
        <v>79.0</v>
      </c>
      <c r="AC3" s="3">
        <v>50.0</v>
      </c>
      <c r="AD3" s="3">
        <v>75.0</v>
      </c>
      <c r="AE3" s="3">
        <v>98.0</v>
      </c>
      <c r="AF3" s="3">
        <v>55.0</v>
      </c>
      <c r="AG3" s="3">
        <v>70.0</v>
      </c>
      <c r="AH3" s="3">
        <v>35.0</v>
      </c>
      <c r="AI3" s="3">
        <v>50.0</v>
      </c>
      <c r="AJ3" s="3">
        <v>76.0</v>
      </c>
      <c r="AK3" s="3"/>
      <c r="AL3" s="3"/>
      <c r="AM3" s="3"/>
    </row>
    <row r="4">
      <c r="A4" s="3" t="s">
        <v>62</v>
      </c>
      <c r="B4" s="3">
        <v>40.0</v>
      </c>
      <c r="C4" s="3">
        <v>40.0</v>
      </c>
      <c r="D4" s="3">
        <v>64.0</v>
      </c>
      <c r="E4" s="3">
        <v>62.0</v>
      </c>
      <c r="F4" s="3">
        <v>62.0</v>
      </c>
      <c r="G4" s="3">
        <v>37.0</v>
      </c>
      <c r="H4" s="3">
        <v>50.0</v>
      </c>
      <c r="I4" s="3">
        <v>70.0</v>
      </c>
      <c r="J4" s="3">
        <v>50.0</v>
      </c>
      <c r="K4" s="3">
        <v>66.0</v>
      </c>
      <c r="L4" s="3"/>
      <c r="M4" s="3"/>
      <c r="Q4" s="3">
        <v>66.0</v>
      </c>
      <c r="R4" s="3">
        <v>66.0</v>
      </c>
      <c r="S4" s="3">
        <v>69.0</v>
      </c>
      <c r="T4" s="3">
        <v>70.0</v>
      </c>
      <c r="U4" s="3">
        <v>85.0</v>
      </c>
      <c r="V4" s="3">
        <v>97.0</v>
      </c>
      <c r="W4" s="3"/>
      <c r="X4" s="3"/>
      <c r="Y4" s="3"/>
      <c r="AA4" s="3">
        <v>46.0</v>
      </c>
      <c r="AB4" s="3"/>
      <c r="AC4" s="3">
        <v>26.0</v>
      </c>
      <c r="AD4" s="3">
        <v>68.0</v>
      </c>
      <c r="AE4" s="3">
        <v>87.0</v>
      </c>
      <c r="AI4" s="3">
        <v>50.0</v>
      </c>
      <c r="AJ4" s="3">
        <v>68.0</v>
      </c>
      <c r="AK4" s="3" t="s">
        <v>63</v>
      </c>
      <c r="AL4" s="3"/>
      <c r="AM4" s="3"/>
    </row>
    <row r="5">
      <c r="A5" s="3" t="s">
        <v>38</v>
      </c>
      <c r="B5" s="3">
        <v>52.0</v>
      </c>
      <c r="C5" s="3">
        <v>52.0</v>
      </c>
      <c r="D5" s="3">
        <v>74.0</v>
      </c>
      <c r="E5" s="3">
        <v>74.0</v>
      </c>
      <c r="F5" s="3">
        <v>78.0</v>
      </c>
      <c r="G5" s="3">
        <v>39.0</v>
      </c>
      <c r="H5" s="3">
        <v>56.0</v>
      </c>
      <c r="I5" s="3">
        <v>86.0</v>
      </c>
      <c r="J5" s="3">
        <v>50.0</v>
      </c>
      <c r="K5" s="3">
        <v>78.0</v>
      </c>
      <c r="Q5" s="3">
        <v>78.0</v>
      </c>
      <c r="R5" s="3">
        <v>78.0</v>
      </c>
      <c r="S5" s="3">
        <v>78.0</v>
      </c>
      <c r="T5" s="3">
        <v>82.0</v>
      </c>
      <c r="U5" s="3">
        <v>100.0</v>
      </c>
      <c r="V5" s="3">
        <v>112.0</v>
      </c>
      <c r="W5" s="3"/>
      <c r="X5" s="3"/>
      <c r="Y5" s="3"/>
      <c r="Z5" s="3"/>
      <c r="AA5" s="3">
        <v>56.0</v>
      </c>
      <c r="AB5" s="3"/>
      <c r="AC5" s="3">
        <v>52.0</v>
      </c>
      <c r="AD5" s="3">
        <v>85.0</v>
      </c>
      <c r="AE5" s="3">
        <v>108.0</v>
      </c>
      <c r="AI5" s="3">
        <v>58.0</v>
      </c>
      <c r="AJ5" s="3">
        <v>86.0</v>
      </c>
      <c r="AK5" s="3" t="s">
        <v>39</v>
      </c>
      <c r="AL5" s="3"/>
      <c r="AM5" s="3"/>
    </row>
    <row r="6">
      <c r="A6" s="8" t="s">
        <v>64</v>
      </c>
      <c r="B6" s="9"/>
      <c r="C6" s="9"/>
      <c r="D6" s="9"/>
      <c r="E6" s="9"/>
      <c r="F6" s="9"/>
      <c r="G6" s="9"/>
      <c r="H6" s="12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1"/>
    </row>
    <row r="7">
      <c r="A7" s="3" t="s">
        <v>51</v>
      </c>
      <c r="B7" s="3">
        <v>16700.0</v>
      </c>
      <c r="C7" s="3">
        <v>18600.0</v>
      </c>
      <c r="D7" s="3">
        <v>21500.0</v>
      </c>
      <c r="E7" s="3">
        <v>22800.0</v>
      </c>
      <c r="F7" s="3">
        <v>22800.0</v>
      </c>
      <c r="G7" s="3">
        <v>16466.0</v>
      </c>
      <c r="H7" s="3">
        <v>19505.0</v>
      </c>
      <c r="I7" s="3">
        <v>30481.0</v>
      </c>
      <c r="J7" s="3">
        <v>23133.0</v>
      </c>
      <c r="K7" s="3">
        <v>34019.0</v>
      </c>
      <c r="L7" s="3">
        <v>19000.0</v>
      </c>
      <c r="M7" s="3">
        <v>20000.0</v>
      </c>
      <c r="N7" s="3">
        <v>21100.0</v>
      </c>
      <c r="O7" s="3">
        <v>20990.0</v>
      </c>
      <c r="P7" s="3">
        <v>22000.0</v>
      </c>
      <c r="Q7" s="3">
        <v>37200.0</v>
      </c>
      <c r="R7" s="3">
        <v>38600.0</v>
      </c>
      <c r="S7" s="3">
        <v>36850.0</v>
      </c>
      <c r="T7" s="3">
        <v>38102.0</v>
      </c>
      <c r="U7" s="3">
        <v>42184.0</v>
      </c>
      <c r="V7" s="3">
        <v>44225.0</v>
      </c>
      <c r="W7" s="3">
        <v>38101.0</v>
      </c>
      <c r="X7" s="3">
        <v>42184.0</v>
      </c>
      <c r="Y7" s="3">
        <v>44225.0</v>
      </c>
      <c r="Z7" s="3">
        <v>22700.0</v>
      </c>
      <c r="AA7" s="3">
        <v>19950.0</v>
      </c>
      <c r="AB7" s="3">
        <v>44450.0</v>
      </c>
      <c r="AC7" s="3">
        <v>21500.0</v>
      </c>
      <c r="AD7" s="3">
        <v>38550.0</v>
      </c>
      <c r="AE7" s="3">
        <v>45880.0</v>
      </c>
      <c r="AF7" s="3">
        <v>30990.0</v>
      </c>
      <c r="AG7" s="3">
        <v>35200.0</v>
      </c>
      <c r="AH7" s="3">
        <v>13155.0</v>
      </c>
      <c r="AI7" s="3">
        <v>23000.0</v>
      </c>
      <c r="AJ7" s="3">
        <v>27600.0</v>
      </c>
      <c r="AK7" s="3">
        <v>69750.0</v>
      </c>
      <c r="AL7" s="3">
        <v>55904.1058513019</v>
      </c>
      <c r="AM7" s="3"/>
    </row>
    <row r="8">
      <c r="A8" s="3" t="s">
        <v>65</v>
      </c>
      <c r="B8" s="3">
        <v>16400.0</v>
      </c>
      <c r="C8" s="3">
        <v>18300.0</v>
      </c>
      <c r="D8" s="3">
        <v>21350.0</v>
      </c>
      <c r="E8" s="3">
        <v>22350.0</v>
      </c>
      <c r="F8" s="3">
        <v>23350.0</v>
      </c>
      <c r="G8" s="3">
        <v>15649.0</v>
      </c>
      <c r="H8" s="3">
        <v>19050.0</v>
      </c>
      <c r="I8" s="3">
        <v>29029.0</v>
      </c>
      <c r="J8" s="3">
        <v>21319.0</v>
      </c>
      <c r="K8" s="3">
        <v>30391.0</v>
      </c>
      <c r="L8" s="3">
        <v>18500.0</v>
      </c>
      <c r="M8" s="3">
        <v>18500.0</v>
      </c>
      <c r="N8" s="3">
        <v>18700.0</v>
      </c>
      <c r="O8" s="3">
        <v>18700.0</v>
      </c>
      <c r="P8" s="3">
        <v>19300.0</v>
      </c>
      <c r="Q8" s="3">
        <v>32800.0</v>
      </c>
      <c r="R8" s="3">
        <v>33300.0</v>
      </c>
      <c r="S8" s="3">
        <v>36200.0</v>
      </c>
      <c r="T8" s="3">
        <v>35135.0</v>
      </c>
      <c r="U8" s="3">
        <v>36741.0</v>
      </c>
      <c r="V8" s="3">
        <v>38329.0</v>
      </c>
      <c r="W8" s="3">
        <v>37875.0</v>
      </c>
      <c r="X8" s="3">
        <v>38555.0</v>
      </c>
      <c r="Y8" s="3">
        <v>40142.0</v>
      </c>
      <c r="Z8" s="3">
        <v>22700.0</v>
      </c>
      <c r="AA8" s="3">
        <v>19500.0</v>
      </c>
      <c r="AB8" s="3">
        <v>39915.0</v>
      </c>
      <c r="AC8" s="3">
        <v>21100.0</v>
      </c>
      <c r="AD8" s="3">
        <v>30000.0</v>
      </c>
      <c r="AE8" s="3">
        <v>41000.0</v>
      </c>
      <c r="AF8" s="3">
        <v>29660.0</v>
      </c>
      <c r="AG8" s="3">
        <v>32420.0</v>
      </c>
      <c r="AH8" s="3">
        <v>12930.0</v>
      </c>
      <c r="AI8" s="3">
        <v>22000.0</v>
      </c>
      <c r="AJ8" s="3">
        <v>27400.0</v>
      </c>
      <c r="AK8" s="3">
        <v>73480.0</v>
      </c>
    </row>
    <row r="9">
      <c r="A9" s="3" t="s">
        <v>52</v>
      </c>
      <c r="B9" s="3">
        <v>10290.0</v>
      </c>
      <c r="C9" s="3">
        <v>11550.0</v>
      </c>
      <c r="D9" s="3">
        <v>12400.0</v>
      </c>
      <c r="E9" s="3">
        <v>12950.0</v>
      </c>
      <c r="F9" s="3">
        <v>13311.0</v>
      </c>
      <c r="G9" s="3">
        <v>10477.0</v>
      </c>
      <c r="H9" s="3">
        <v>11793.0</v>
      </c>
      <c r="I9" s="3">
        <v>17891.0</v>
      </c>
      <c r="J9" s="3">
        <v>14016.0</v>
      </c>
      <c r="K9" s="3">
        <v>20069.0</v>
      </c>
      <c r="L9" s="3">
        <v>11402.0</v>
      </c>
      <c r="M9" s="3">
        <v>11501.0</v>
      </c>
      <c r="N9" s="3">
        <v>11808.0</v>
      </c>
      <c r="O9" s="3">
        <v>11947.0</v>
      </c>
      <c r="P9" s="3">
        <v>12114.0</v>
      </c>
      <c r="Q9" s="3">
        <v>21137.0</v>
      </c>
      <c r="R9" s="3">
        <v>21157.0</v>
      </c>
      <c r="S9" s="3">
        <v>21700.0</v>
      </c>
      <c r="T9" s="3">
        <v>23300.0</v>
      </c>
      <c r="U9" s="3">
        <v>23800.0</v>
      </c>
      <c r="V9" s="3">
        <v>24800.0</v>
      </c>
      <c r="W9" s="3">
        <v>23820.0</v>
      </c>
      <c r="X9" s="3">
        <v>24600.0</v>
      </c>
      <c r="Y9" s="3">
        <v>25640.0</v>
      </c>
      <c r="Z9" s="3">
        <v>15000.0</v>
      </c>
      <c r="AA9" s="3">
        <v>12520.0</v>
      </c>
      <c r="AB9" s="3">
        <v>24727.0</v>
      </c>
      <c r="AC9" s="3">
        <v>12810.0</v>
      </c>
      <c r="AD9" s="3">
        <v>22490.0</v>
      </c>
      <c r="AE9" s="3">
        <v>24250.0</v>
      </c>
      <c r="AF9" s="3">
        <v>19033.0</v>
      </c>
      <c r="AG9" s="3">
        <v>21575.0</v>
      </c>
      <c r="AH9" s="3">
        <v>8140.0</v>
      </c>
      <c r="AI9" s="3">
        <v>14500.0</v>
      </c>
      <c r="AK9" s="3">
        <v>34400.0</v>
      </c>
      <c r="AL9">
        <f>0.546*AL7+1174</f>
        <v>31697.64179</v>
      </c>
    </row>
    <row r="10">
      <c r="A10" s="3" t="s">
        <v>66</v>
      </c>
      <c r="B10" s="3">
        <v>15200.0</v>
      </c>
      <c r="C10" s="3">
        <v>16700.0</v>
      </c>
      <c r="D10" s="3">
        <v>19700.0</v>
      </c>
      <c r="E10" s="3">
        <v>20800.0</v>
      </c>
      <c r="F10" s="3">
        <v>20800.0</v>
      </c>
      <c r="G10" s="3">
        <v>14696.0</v>
      </c>
      <c r="H10" s="3">
        <v>17920.0</v>
      </c>
      <c r="I10" s="3">
        <v>27578.0</v>
      </c>
      <c r="J10" s="3">
        <v>19958.0</v>
      </c>
      <c r="K10" s="3">
        <v>28259.0</v>
      </c>
      <c r="L10" s="3">
        <v>15600.0</v>
      </c>
      <c r="M10" s="3">
        <v>16000.0</v>
      </c>
      <c r="N10" s="3">
        <v>17100.0</v>
      </c>
      <c r="O10" s="3">
        <v>17100.0</v>
      </c>
      <c r="P10" s="3">
        <v>17900.0</v>
      </c>
      <c r="Q10" s="3">
        <v>30140.0</v>
      </c>
      <c r="R10" s="3">
        <v>30900.0</v>
      </c>
      <c r="S10" s="3">
        <v>34000.0</v>
      </c>
      <c r="T10" s="3">
        <v>31071.0</v>
      </c>
      <c r="U10" s="3">
        <v>34020.0</v>
      </c>
      <c r="V10" s="3">
        <v>36514.0</v>
      </c>
      <c r="W10" s="3">
        <v>32432.0</v>
      </c>
      <c r="X10" s="3">
        <v>35833.0</v>
      </c>
      <c r="Y10" s="3">
        <v>37421.0</v>
      </c>
      <c r="Z10" s="3">
        <v>21500.0</v>
      </c>
      <c r="AA10" s="3">
        <v>18600.0</v>
      </c>
      <c r="AB10" s="3">
        <v>36740.0</v>
      </c>
      <c r="AC10" s="3">
        <v>18447.0</v>
      </c>
      <c r="AD10" s="3">
        <v>28850.0</v>
      </c>
      <c r="AE10" s="3">
        <v>40000.0</v>
      </c>
      <c r="AF10" s="3">
        <v>26300.0</v>
      </c>
      <c r="AG10" s="3">
        <v>30300.0</v>
      </c>
      <c r="AH10" s="3">
        <v>12020.0</v>
      </c>
      <c r="AI10" s="3">
        <v>20000.0</v>
      </c>
      <c r="AJ10" s="3">
        <v>24400.0</v>
      </c>
      <c r="AK10" s="3">
        <v>53225.0</v>
      </c>
      <c r="AL10" s="3"/>
      <c r="AM10" s="3"/>
    </row>
    <row r="11">
      <c r="A11" s="3" t="s">
        <v>67</v>
      </c>
      <c r="B11" s="3">
        <v>4640.0</v>
      </c>
      <c r="C11" s="3">
        <v>5300.0</v>
      </c>
      <c r="D11" s="3">
        <v>7000.0</v>
      </c>
      <c r="E11" s="3">
        <v>7350.0</v>
      </c>
      <c r="F11" s="3">
        <v>7500.0</v>
      </c>
      <c r="G11" s="3">
        <v>4647.0</v>
      </c>
      <c r="H11" s="3">
        <v>6124.0</v>
      </c>
      <c r="I11" s="3">
        <v>8489.0</v>
      </c>
      <c r="J11" s="3">
        <v>5942.0</v>
      </c>
      <c r="K11" s="3">
        <v>8190.0</v>
      </c>
      <c r="L11" s="3">
        <v>4198.0</v>
      </c>
      <c r="M11" s="3">
        <v>4499.0</v>
      </c>
      <c r="N11" s="3">
        <v>5292.0</v>
      </c>
      <c r="O11" s="3">
        <v>5153.0</v>
      </c>
      <c r="P11" s="3">
        <v>5786.0</v>
      </c>
      <c r="Q11" s="3">
        <v>9003.0</v>
      </c>
      <c r="R11" s="3">
        <v>9743.0</v>
      </c>
      <c r="S11" s="3"/>
      <c r="T11" s="3">
        <v>6650.0</v>
      </c>
      <c r="U11" s="3">
        <v>8075.0</v>
      </c>
      <c r="V11" s="3">
        <v>9500.0</v>
      </c>
      <c r="W11" s="3">
        <v>8612.0</v>
      </c>
      <c r="X11" s="3">
        <v>11203.0</v>
      </c>
      <c r="Y11" s="3">
        <v>11801.0</v>
      </c>
      <c r="Z11" s="3">
        <v>6500.0</v>
      </c>
      <c r="AA11" s="3">
        <v>6080.0</v>
      </c>
      <c r="AB11" s="3">
        <v>10890.0</v>
      </c>
      <c r="AC11" s="3">
        <v>6000.0</v>
      </c>
      <c r="AD11" s="3">
        <v>9000.0</v>
      </c>
      <c r="AE11" s="3">
        <v>12245.0</v>
      </c>
      <c r="AF11" s="3">
        <v>7267.0</v>
      </c>
      <c r="AG11" s="3">
        <v>10140.0</v>
      </c>
      <c r="AH11" s="3">
        <v>3880.0</v>
      </c>
      <c r="AI11" s="3">
        <v>5500.0</v>
      </c>
      <c r="AJ11" s="3">
        <v>8600.0</v>
      </c>
      <c r="AK11" s="3">
        <v>15422.0</v>
      </c>
      <c r="AL11" s="3"/>
      <c r="AM11" s="3"/>
    </row>
    <row r="12">
      <c r="A12" s="3" t="s">
        <v>68</v>
      </c>
      <c r="B12" s="3">
        <v>4500.0</v>
      </c>
      <c r="C12" s="3">
        <v>4500.0</v>
      </c>
      <c r="D12" s="3">
        <v>5000.0</v>
      </c>
      <c r="E12" s="3">
        <v>5000.0</v>
      </c>
      <c r="F12" s="3">
        <v>5000.0</v>
      </c>
      <c r="G12" s="3">
        <v>2538.0</v>
      </c>
      <c r="H12" s="3">
        <v>2538.0</v>
      </c>
      <c r="I12" s="3">
        <v>8127.0</v>
      </c>
      <c r="J12" s="3">
        <v>6489.0</v>
      </c>
      <c r="K12" s="3">
        <v>8823.0</v>
      </c>
      <c r="L12" s="3">
        <v>4132.0</v>
      </c>
      <c r="M12" s="3">
        <v>5136.0</v>
      </c>
      <c r="N12" s="3">
        <v>5136.0</v>
      </c>
      <c r="O12" s="3">
        <v>4132.0</v>
      </c>
      <c r="P12" s="3">
        <v>5136.0</v>
      </c>
      <c r="Q12" s="3">
        <v>9335.0</v>
      </c>
      <c r="R12" s="3">
        <v>9335.0</v>
      </c>
      <c r="S12" s="3"/>
      <c r="T12" s="3">
        <v>9420.0</v>
      </c>
      <c r="U12" s="3">
        <v>9420.0</v>
      </c>
      <c r="V12" s="3">
        <v>9420.0</v>
      </c>
      <c r="W12" s="3">
        <v>9420.0</v>
      </c>
      <c r="X12" s="3">
        <v>9420.0</v>
      </c>
      <c r="Y12" s="3">
        <v>9420.0</v>
      </c>
      <c r="Z12" s="3">
        <v>7050.0</v>
      </c>
      <c r="AA12" s="3">
        <v>4120.0</v>
      </c>
      <c r="AB12" s="3">
        <v>10730.0</v>
      </c>
      <c r="AC12" s="3">
        <v>4440.0</v>
      </c>
      <c r="AD12" s="3">
        <v>12050.0</v>
      </c>
      <c r="AE12" s="3">
        <v>12700.0</v>
      </c>
      <c r="AF12" s="3">
        <v>10070.0</v>
      </c>
      <c r="AG12" s="3">
        <v>8725.0</v>
      </c>
      <c r="AH12" s="3">
        <v>2585.0</v>
      </c>
      <c r="AI12" s="3">
        <v>4255.0</v>
      </c>
      <c r="AJ12" s="3">
        <v>5500.0</v>
      </c>
      <c r="AK12" s="3">
        <v>19759.0</v>
      </c>
      <c r="AL12" s="3"/>
      <c r="AM12" s="3"/>
    </row>
    <row r="13">
      <c r="A13" s="5" t="s">
        <v>46</v>
      </c>
      <c r="B13" s="5">
        <f t="shared" ref="B13:AK13" si="1"> B7-B10</f>
        <v>1500</v>
      </c>
      <c r="C13" s="5">
        <f t="shared" si="1"/>
        <v>1900</v>
      </c>
      <c r="D13" s="5">
        <f t="shared" si="1"/>
        <v>1800</v>
      </c>
      <c r="E13" s="5">
        <f t="shared" si="1"/>
        <v>2000</v>
      </c>
      <c r="F13" s="5">
        <f t="shared" si="1"/>
        <v>2000</v>
      </c>
      <c r="G13" s="5">
        <f t="shared" si="1"/>
        <v>1770</v>
      </c>
      <c r="H13" s="5">
        <f t="shared" si="1"/>
        <v>1585</v>
      </c>
      <c r="I13" s="5">
        <f t="shared" si="1"/>
        <v>2903</v>
      </c>
      <c r="J13" s="5">
        <f t="shared" si="1"/>
        <v>3175</v>
      </c>
      <c r="K13" s="5">
        <f t="shared" si="1"/>
        <v>5760</v>
      </c>
      <c r="L13" s="5">
        <f t="shared" si="1"/>
        <v>3400</v>
      </c>
      <c r="M13" s="5">
        <f t="shared" si="1"/>
        <v>4000</v>
      </c>
      <c r="N13" s="5">
        <f t="shared" si="1"/>
        <v>4000</v>
      </c>
      <c r="O13" s="5">
        <f t="shared" si="1"/>
        <v>3890</v>
      </c>
      <c r="P13" s="5">
        <f t="shared" si="1"/>
        <v>4100</v>
      </c>
      <c r="Q13" s="5">
        <f t="shared" si="1"/>
        <v>7060</v>
      </c>
      <c r="R13" s="5">
        <f t="shared" si="1"/>
        <v>7700</v>
      </c>
      <c r="S13" s="5">
        <f t="shared" si="1"/>
        <v>2850</v>
      </c>
      <c r="T13" s="5">
        <f t="shared" si="1"/>
        <v>7031</v>
      </c>
      <c r="U13" s="5">
        <f t="shared" si="1"/>
        <v>8164</v>
      </c>
      <c r="V13" s="5">
        <f t="shared" si="1"/>
        <v>7711</v>
      </c>
      <c r="W13" s="5">
        <f t="shared" si="1"/>
        <v>5669</v>
      </c>
      <c r="X13" s="5">
        <f t="shared" si="1"/>
        <v>6351</v>
      </c>
      <c r="Y13" s="5">
        <f t="shared" si="1"/>
        <v>6804</v>
      </c>
      <c r="Z13" s="5">
        <f t="shared" si="1"/>
        <v>1200</v>
      </c>
      <c r="AA13" s="5">
        <f t="shared" si="1"/>
        <v>1350</v>
      </c>
      <c r="AB13" s="5">
        <f t="shared" si="1"/>
        <v>7710</v>
      </c>
      <c r="AC13" s="5">
        <f t="shared" si="1"/>
        <v>3053</v>
      </c>
      <c r="AD13" s="5">
        <f t="shared" si="1"/>
        <v>9700</v>
      </c>
      <c r="AE13" s="5">
        <f t="shared" si="1"/>
        <v>5880</v>
      </c>
      <c r="AF13" s="5">
        <f t="shared" si="1"/>
        <v>4690</v>
      </c>
      <c r="AG13" s="5">
        <f t="shared" si="1"/>
        <v>4900</v>
      </c>
      <c r="AH13" s="5">
        <f t="shared" si="1"/>
        <v>1135</v>
      </c>
      <c r="AI13" s="5">
        <f t="shared" si="1"/>
        <v>3000</v>
      </c>
      <c r="AJ13" s="5">
        <f t="shared" si="1"/>
        <v>3200</v>
      </c>
      <c r="AK13" s="5">
        <f t="shared" si="1"/>
        <v>16525</v>
      </c>
      <c r="AL13" s="5"/>
      <c r="AM13" s="5"/>
    </row>
    <row r="14">
      <c r="A14" s="5" t="s">
        <v>69</v>
      </c>
      <c r="B14" s="13">
        <f t="shared" ref="B14:R14" si="2"> B13 / B12</f>
        <v>0.3333333333</v>
      </c>
      <c r="C14" s="13">
        <f t="shared" si="2"/>
        <v>0.4222222222</v>
      </c>
      <c r="D14" s="13">
        <f t="shared" si="2"/>
        <v>0.36</v>
      </c>
      <c r="E14" s="13">
        <f t="shared" si="2"/>
        <v>0.4</v>
      </c>
      <c r="F14" s="13">
        <f t="shared" si="2"/>
        <v>0.4</v>
      </c>
      <c r="G14" s="13">
        <f t="shared" si="2"/>
        <v>0.6973995272</v>
      </c>
      <c r="H14" s="13">
        <f t="shared" si="2"/>
        <v>0.6245074862</v>
      </c>
      <c r="I14" s="13">
        <f t="shared" si="2"/>
        <v>0.3572043805</v>
      </c>
      <c r="J14" s="13">
        <f t="shared" si="2"/>
        <v>0.489289567</v>
      </c>
      <c r="K14" s="13">
        <f t="shared" si="2"/>
        <v>0.6528391704</v>
      </c>
      <c r="L14" s="13">
        <f t="shared" si="2"/>
        <v>0.8228460794</v>
      </c>
      <c r="M14" s="13">
        <f t="shared" si="2"/>
        <v>0.7788161994</v>
      </c>
      <c r="N14" s="13">
        <f t="shared" si="2"/>
        <v>0.7788161994</v>
      </c>
      <c r="O14" s="13">
        <f t="shared" si="2"/>
        <v>0.9414327202</v>
      </c>
      <c r="P14" s="13">
        <f t="shared" si="2"/>
        <v>0.7982866044</v>
      </c>
      <c r="Q14" s="13">
        <f t="shared" si="2"/>
        <v>0.756293519</v>
      </c>
      <c r="R14" s="13">
        <f t="shared" si="2"/>
        <v>0.8248527049</v>
      </c>
      <c r="S14" s="13"/>
      <c r="T14" s="13">
        <f t="shared" ref="T14:AK14" si="3"> T13 / T12</f>
        <v>0.7463906582</v>
      </c>
      <c r="U14" s="13">
        <f t="shared" si="3"/>
        <v>0.8666666667</v>
      </c>
      <c r="V14" s="13">
        <f t="shared" si="3"/>
        <v>0.8185774947</v>
      </c>
      <c r="W14" s="13">
        <f t="shared" si="3"/>
        <v>0.6018046709</v>
      </c>
      <c r="X14" s="13">
        <f t="shared" si="3"/>
        <v>0.6742038217</v>
      </c>
      <c r="Y14" s="13">
        <f t="shared" si="3"/>
        <v>0.7222929936</v>
      </c>
      <c r="Z14" s="13">
        <f t="shared" si="3"/>
        <v>0.170212766</v>
      </c>
      <c r="AA14" s="13">
        <f t="shared" si="3"/>
        <v>0.3276699029</v>
      </c>
      <c r="AB14" s="13">
        <f t="shared" si="3"/>
        <v>0.7185461323</v>
      </c>
      <c r="AC14" s="13">
        <f t="shared" si="3"/>
        <v>0.6876126126</v>
      </c>
      <c r="AD14" s="13">
        <f t="shared" si="3"/>
        <v>0.8049792531</v>
      </c>
      <c r="AE14" s="13">
        <f t="shared" si="3"/>
        <v>0.462992126</v>
      </c>
      <c r="AF14" s="13">
        <f t="shared" si="3"/>
        <v>0.4657398213</v>
      </c>
      <c r="AG14" s="13">
        <f t="shared" si="3"/>
        <v>0.5616045845</v>
      </c>
      <c r="AH14" s="13">
        <f t="shared" si="3"/>
        <v>0.4390715667</v>
      </c>
      <c r="AI14" s="13">
        <f t="shared" si="3"/>
        <v>0.705052879</v>
      </c>
      <c r="AJ14" s="13">
        <f t="shared" si="3"/>
        <v>0.5818181818</v>
      </c>
      <c r="AK14" s="13">
        <f t="shared" si="3"/>
        <v>0.8363277494</v>
      </c>
      <c r="AL14" s="13"/>
      <c r="AM14" s="13"/>
    </row>
    <row r="15">
      <c r="A15" s="8" t="s">
        <v>70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1"/>
    </row>
    <row r="16">
      <c r="A16" s="3" t="s">
        <v>53</v>
      </c>
      <c r="B16" s="3" t="s">
        <v>56</v>
      </c>
      <c r="C16" s="3" t="s">
        <v>56</v>
      </c>
      <c r="D16" s="3" t="s">
        <v>56</v>
      </c>
      <c r="E16" s="3" t="s">
        <v>56</v>
      </c>
      <c r="F16" s="3" t="s">
        <v>56</v>
      </c>
      <c r="G16" s="3" t="s">
        <v>56</v>
      </c>
      <c r="H16" s="3" t="s">
        <v>56</v>
      </c>
      <c r="I16" s="3" t="s">
        <v>56</v>
      </c>
      <c r="J16" s="3" t="s">
        <v>54</v>
      </c>
      <c r="K16" s="3" t="s">
        <v>54</v>
      </c>
      <c r="L16" s="3" t="s">
        <v>54</v>
      </c>
      <c r="M16" s="3" t="s">
        <v>55</v>
      </c>
      <c r="N16" s="3" t="s">
        <v>54</v>
      </c>
      <c r="O16" s="3" t="s">
        <v>54</v>
      </c>
      <c r="P16" s="3" t="s">
        <v>54</v>
      </c>
      <c r="Q16" s="3" t="s">
        <v>54</v>
      </c>
      <c r="R16" s="3" t="s">
        <v>54</v>
      </c>
      <c r="S16" s="3" t="s">
        <v>54</v>
      </c>
      <c r="T16" s="3" t="s">
        <v>54</v>
      </c>
      <c r="U16" s="3" t="s">
        <v>54</v>
      </c>
      <c r="V16" s="3" t="s">
        <v>54</v>
      </c>
      <c r="W16" s="3" t="s">
        <v>54</v>
      </c>
      <c r="X16" s="3" t="s">
        <v>54</v>
      </c>
      <c r="Y16" s="3" t="s">
        <v>54</v>
      </c>
      <c r="Z16" s="3" t="s">
        <v>56</v>
      </c>
      <c r="AA16" s="3" t="s">
        <v>56</v>
      </c>
      <c r="AB16" s="3" t="s">
        <v>54</v>
      </c>
      <c r="AC16" s="3" t="s">
        <v>56</v>
      </c>
      <c r="AD16" s="3" t="s">
        <v>54</v>
      </c>
      <c r="AE16" s="3" t="s">
        <v>54</v>
      </c>
      <c r="AF16" s="3" t="s">
        <v>54</v>
      </c>
      <c r="AG16" s="3" t="s">
        <v>54</v>
      </c>
      <c r="AH16" s="3" t="s">
        <v>56</v>
      </c>
      <c r="AI16" s="3" t="s">
        <v>56</v>
      </c>
      <c r="AJ16" s="3" t="s">
        <v>56</v>
      </c>
      <c r="AK16" s="3" t="s">
        <v>71</v>
      </c>
      <c r="AL16" s="3"/>
      <c r="AM16" s="3"/>
    </row>
    <row r="17">
      <c r="A17" s="14" t="s">
        <v>72</v>
      </c>
      <c r="B17" s="14" t="s">
        <v>73</v>
      </c>
      <c r="C17" s="14" t="s">
        <v>74</v>
      </c>
      <c r="D17" s="14" t="s">
        <v>75</v>
      </c>
      <c r="E17" s="14" t="s">
        <v>76</v>
      </c>
      <c r="F17" s="14" t="s">
        <v>74</v>
      </c>
      <c r="G17" s="14" t="s">
        <v>77</v>
      </c>
      <c r="H17" s="14" t="s">
        <v>78</v>
      </c>
      <c r="I17" s="14" t="s">
        <v>79</v>
      </c>
      <c r="J17" s="14" t="s">
        <v>80</v>
      </c>
      <c r="K17" s="14" t="s">
        <v>81</v>
      </c>
      <c r="L17" s="14" t="s">
        <v>82</v>
      </c>
      <c r="M17" s="14" t="s">
        <v>83</v>
      </c>
      <c r="N17" s="14" t="s">
        <v>84</v>
      </c>
      <c r="O17" s="14" t="s">
        <v>85</v>
      </c>
      <c r="P17" s="14" t="s">
        <v>85</v>
      </c>
      <c r="Q17" s="14" t="s">
        <v>86</v>
      </c>
      <c r="R17" s="14" t="s">
        <v>86</v>
      </c>
      <c r="S17" s="15" t="s">
        <v>87</v>
      </c>
      <c r="T17" s="14" t="s">
        <v>88</v>
      </c>
      <c r="U17" s="14" t="s">
        <v>88</v>
      </c>
      <c r="V17" s="14" t="s">
        <v>88</v>
      </c>
      <c r="W17" s="14" t="s">
        <v>89</v>
      </c>
      <c r="X17" s="14" t="s">
        <v>89</v>
      </c>
      <c r="Y17" s="14" t="s">
        <v>89</v>
      </c>
      <c r="Z17" s="14" t="s">
        <v>90</v>
      </c>
      <c r="AA17" s="14" t="s">
        <v>91</v>
      </c>
      <c r="AB17" s="14" t="s">
        <v>92</v>
      </c>
      <c r="AC17" s="14" t="s">
        <v>93</v>
      </c>
      <c r="AD17" s="14" t="s">
        <v>94</v>
      </c>
      <c r="AE17" s="14" t="s">
        <v>95</v>
      </c>
      <c r="AF17" s="14" t="s">
        <v>96</v>
      </c>
      <c r="AG17" s="14" t="s">
        <v>97</v>
      </c>
      <c r="AH17" s="14" t="s">
        <v>98</v>
      </c>
      <c r="AI17" s="14" t="s">
        <v>99</v>
      </c>
      <c r="AJ17" s="14" t="s">
        <v>100</v>
      </c>
      <c r="AK17" s="14" t="s">
        <v>101</v>
      </c>
      <c r="AL17" s="14"/>
      <c r="AM17" s="14"/>
    </row>
    <row r="18">
      <c r="A18" s="3" t="s">
        <v>102</v>
      </c>
      <c r="B18" s="3">
        <v>2.0</v>
      </c>
      <c r="C18" s="3">
        <v>2.0</v>
      </c>
      <c r="D18" s="3">
        <v>2.0</v>
      </c>
      <c r="E18" s="3">
        <v>2.0</v>
      </c>
      <c r="F18" s="3">
        <v>2.0</v>
      </c>
      <c r="G18" s="3">
        <v>2.0</v>
      </c>
      <c r="H18" s="3">
        <v>2.0</v>
      </c>
      <c r="I18" s="3">
        <v>2.0</v>
      </c>
      <c r="J18" s="3">
        <v>2.0</v>
      </c>
      <c r="K18" s="3">
        <v>2.0</v>
      </c>
      <c r="L18" s="3">
        <v>2.0</v>
      </c>
      <c r="M18" s="3">
        <v>2.0</v>
      </c>
      <c r="N18" s="3">
        <v>2.0</v>
      </c>
      <c r="O18" s="3">
        <v>2.0</v>
      </c>
      <c r="P18" s="3">
        <v>2.0</v>
      </c>
      <c r="Q18" s="3">
        <v>2.0</v>
      </c>
      <c r="R18" s="3">
        <v>2.0</v>
      </c>
      <c r="S18" s="3">
        <v>2.0</v>
      </c>
      <c r="T18" s="3">
        <v>4.0</v>
      </c>
      <c r="U18" s="3">
        <v>4.0</v>
      </c>
      <c r="V18" s="3">
        <v>4.0</v>
      </c>
      <c r="W18" s="3">
        <v>4.0</v>
      </c>
      <c r="X18" s="3">
        <v>4.0</v>
      </c>
      <c r="Y18" s="3">
        <v>4.0</v>
      </c>
      <c r="Z18" s="3">
        <v>2.0</v>
      </c>
      <c r="AA18" s="3">
        <v>2.0</v>
      </c>
      <c r="AB18" s="3">
        <v>2.0</v>
      </c>
      <c r="AC18" s="3">
        <v>2.0</v>
      </c>
      <c r="AD18" s="3">
        <v>2.0</v>
      </c>
      <c r="AE18" s="3">
        <v>2.0</v>
      </c>
      <c r="AF18" s="3">
        <v>2.0</v>
      </c>
      <c r="AG18" s="3">
        <v>2.0</v>
      </c>
      <c r="AH18" s="3">
        <v>2.0</v>
      </c>
      <c r="AI18" s="3">
        <v>2.0</v>
      </c>
      <c r="AJ18" s="3">
        <v>2.0</v>
      </c>
      <c r="AK18" s="3">
        <v>4.0</v>
      </c>
      <c r="AL18" s="3"/>
      <c r="AM18" s="3"/>
    </row>
    <row r="19">
      <c r="A19" s="3" t="s">
        <v>103</v>
      </c>
      <c r="B19" s="16">
        <v>434.1</v>
      </c>
      <c r="C19" s="16">
        <v>480.8</v>
      </c>
      <c r="D19" s="16">
        <v>480.8</v>
      </c>
      <c r="E19" s="16">
        <v>480.8</v>
      </c>
      <c r="F19" s="16">
        <v>480.8</v>
      </c>
      <c r="G19" s="16">
        <v>453.6</v>
      </c>
      <c r="H19" s="16">
        <v>453.6</v>
      </c>
      <c r="I19" s="16">
        <v>716.9</v>
      </c>
      <c r="J19" s="16">
        <v>760.0</v>
      </c>
      <c r="K19" s="16">
        <v>1100.0</v>
      </c>
      <c r="L19" s="16">
        <v>719.0</v>
      </c>
      <c r="M19" s="16">
        <v>719.0</v>
      </c>
      <c r="N19" s="16">
        <v>719.0</v>
      </c>
      <c r="O19" s="16">
        <v>749.0</v>
      </c>
      <c r="P19" s="16">
        <v>749.0</v>
      </c>
      <c r="Q19" s="16">
        <v>1200.0</v>
      </c>
      <c r="R19" s="16">
        <v>1200.0</v>
      </c>
      <c r="S19" s="16"/>
      <c r="T19" s="16"/>
      <c r="U19" s="16"/>
      <c r="V19" s="16">
        <v>605.0</v>
      </c>
      <c r="W19" s="16">
        <v>628.0</v>
      </c>
      <c r="X19" s="16">
        <v>628.0</v>
      </c>
      <c r="Y19" s="16">
        <v>628.0</v>
      </c>
      <c r="Z19" s="16"/>
      <c r="AA19" s="16">
        <f>F19</f>
        <v>480.8</v>
      </c>
      <c r="AB19" s="16"/>
      <c r="AC19" s="16"/>
      <c r="AD19" s="16"/>
      <c r="AE19" s="16"/>
      <c r="AF19" s="16">
        <v>1200.0</v>
      </c>
      <c r="AG19" s="16">
        <f>R19</f>
        <v>1200</v>
      </c>
      <c r="AH19" s="16"/>
      <c r="AI19" s="16"/>
      <c r="AJ19" s="16">
        <f>I19</f>
        <v>716.9</v>
      </c>
      <c r="AK19" s="16"/>
      <c r="AL19" s="16" t="s">
        <v>104</v>
      </c>
      <c r="AM19" s="16" t="s">
        <v>105</v>
      </c>
    </row>
    <row r="20">
      <c r="A20" s="3" t="s">
        <v>106</v>
      </c>
      <c r="B20" s="16">
        <f t="shared" ref="B20:R20" si="4">B18*B19</f>
        <v>868.2</v>
      </c>
      <c r="C20" s="16">
        <f t="shared" si="4"/>
        <v>961.6</v>
      </c>
      <c r="D20" s="16">
        <f t="shared" si="4"/>
        <v>961.6</v>
      </c>
      <c r="E20" s="16">
        <f t="shared" si="4"/>
        <v>961.6</v>
      </c>
      <c r="F20" s="16">
        <f t="shared" si="4"/>
        <v>961.6</v>
      </c>
      <c r="G20" s="16">
        <f t="shared" si="4"/>
        <v>907.2</v>
      </c>
      <c r="H20" s="16">
        <f t="shared" si="4"/>
        <v>907.2</v>
      </c>
      <c r="I20" s="16">
        <f t="shared" si="4"/>
        <v>1433.8</v>
      </c>
      <c r="J20" s="16">
        <f t="shared" si="4"/>
        <v>1520</v>
      </c>
      <c r="K20" s="16">
        <f t="shared" si="4"/>
        <v>2200</v>
      </c>
      <c r="L20" s="16">
        <f t="shared" si="4"/>
        <v>1438</v>
      </c>
      <c r="M20" s="16">
        <f t="shared" si="4"/>
        <v>1438</v>
      </c>
      <c r="N20" s="16">
        <f t="shared" si="4"/>
        <v>1438</v>
      </c>
      <c r="O20" s="16">
        <f t="shared" si="4"/>
        <v>1498</v>
      </c>
      <c r="P20" s="16">
        <f t="shared" si="4"/>
        <v>1498</v>
      </c>
      <c r="Q20" s="16">
        <f t="shared" si="4"/>
        <v>2400</v>
      </c>
      <c r="R20" s="16">
        <f t="shared" si="4"/>
        <v>2400</v>
      </c>
      <c r="S20" s="16"/>
      <c r="T20" s="16"/>
      <c r="U20" s="16"/>
      <c r="V20" s="16">
        <f t="shared" ref="V20:Y20" si="5">V18*V19</f>
        <v>2420</v>
      </c>
      <c r="W20" s="16">
        <f t="shared" si="5"/>
        <v>2512</v>
      </c>
      <c r="X20" s="16">
        <f t="shared" si="5"/>
        <v>2512</v>
      </c>
      <c r="Y20" s="16">
        <f t="shared" si="5"/>
        <v>2512</v>
      </c>
      <c r="Z20" s="16"/>
      <c r="AA20" s="16">
        <f>AA18*AA19</f>
        <v>961.6</v>
      </c>
      <c r="AB20" s="16"/>
      <c r="AC20" s="16"/>
      <c r="AD20" s="16"/>
      <c r="AE20" s="16"/>
      <c r="AF20" s="16">
        <f t="shared" ref="AF20:AG20" si="6">AF18*AF19</f>
        <v>2400</v>
      </c>
      <c r="AG20" s="16">
        <f t="shared" si="6"/>
        <v>2400</v>
      </c>
      <c r="AH20" s="16"/>
      <c r="AI20" s="16"/>
      <c r="AJ20" s="16">
        <f>AJ18*AJ19</f>
        <v>1433.8</v>
      </c>
      <c r="AK20" s="16"/>
      <c r="AL20" s="16">
        <f t="shared" ref="AL20:AL21" si="7">AVERAGE(AJ20,AA20,B20:H20)</f>
        <v>991.6</v>
      </c>
      <c r="AM20" s="16">
        <f>average(AF20,Y20,X20,W20,W20,V20,R20,Q20,P20,O20,N20,M20,L20,K20,J20)</f>
        <v>2046.533333</v>
      </c>
    </row>
    <row r="21">
      <c r="A21" s="3" t="s">
        <v>107</v>
      </c>
      <c r="B21" s="16">
        <v>1800.0</v>
      </c>
      <c r="C21" s="16">
        <v>2160.0</v>
      </c>
      <c r="D21" s="16">
        <v>2160.0</v>
      </c>
      <c r="E21" s="16">
        <v>2750.0</v>
      </c>
      <c r="F21" s="16">
        <v>2475.0</v>
      </c>
      <c r="G21" s="16">
        <v>2150.0</v>
      </c>
      <c r="H21" s="16">
        <v>2380.0</v>
      </c>
      <c r="I21" s="16">
        <v>5071.0</v>
      </c>
      <c r="J21" s="16" t="s">
        <v>108</v>
      </c>
      <c r="K21" s="16" t="s">
        <v>108</v>
      </c>
      <c r="L21" s="16" t="s">
        <v>108</v>
      </c>
      <c r="M21" s="16" t="s">
        <v>108</v>
      </c>
      <c r="N21" s="16" t="s">
        <v>108</v>
      </c>
      <c r="O21" s="16" t="s">
        <v>108</v>
      </c>
      <c r="P21" s="16" t="s">
        <v>108</v>
      </c>
      <c r="Q21" s="16" t="s">
        <v>108</v>
      </c>
      <c r="R21" s="16" t="s">
        <v>108</v>
      </c>
      <c r="S21" s="16" t="s">
        <v>108</v>
      </c>
      <c r="T21" s="16" t="s">
        <v>108</v>
      </c>
      <c r="U21" s="16" t="s">
        <v>108</v>
      </c>
      <c r="V21" s="16" t="s">
        <v>108</v>
      </c>
      <c r="W21" s="16" t="s">
        <v>108</v>
      </c>
      <c r="X21" s="16" t="s">
        <v>108</v>
      </c>
      <c r="Y21" s="16" t="s">
        <v>108</v>
      </c>
      <c r="Z21" s="16">
        <v>2500.0</v>
      </c>
      <c r="AA21" s="16">
        <v>2619.0</v>
      </c>
      <c r="AB21" s="16" t="s">
        <v>108</v>
      </c>
      <c r="AC21" s="16">
        <v>2800.0</v>
      </c>
      <c r="AD21" s="16" t="s">
        <v>108</v>
      </c>
      <c r="AE21" s="16" t="s">
        <v>108</v>
      </c>
      <c r="AF21" s="16" t="s">
        <v>108</v>
      </c>
      <c r="AG21" s="16" t="s">
        <v>108</v>
      </c>
      <c r="AH21" s="16">
        <v>1870.0</v>
      </c>
      <c r="AI21" s="16">
        <v>4155.0</v>
      </c>
      <c r="AJ21" s="16">
        <v>7000.0</v>
      </c>
      <c r="AK21" s="16">
        <v>4700.0</v>
      </c>
      <c r="AL21" s="16">
        <f t="shared" si="7"/>
        <v>2832.666667</v>
      </c>
      <c r="AM21" s="16"/>
    </row>
    <row r="22">
      <c r="A22" s="3" t="s">
        <v>109</v>
      </c>
      <c r="B22" s="16" t="s">
        <v>108</v>
      </c>
      <c r="C22" s="16" t="s">
        <v>108</v>
      </c>
      <c r="D22" s="16" t="s">
        <v>108</v>
      </c>
      <c r="E22" s="16" t="s">
        <v>108</v>
      </c>
      <c r="F22" s="16" t="s">
        <v>108</v>
      </c>
      <c r="G22" s="16" t="s">
        <v>108</v>
      </c>
      <c r="H22" s="16" t="s">
        <v>108</v>
      </c>
      <c r="I22" s="16" t="s">
        <v>108</v>
      </c>
      <c r="J22" s="16">
        <v>38.84</v>
      </c>
      <c r="K22" s="16">
        <v>61.3</v>
      </c>
      <c r="L22" s="16">
        <v>33.71</v>
      </c>
      <c r="M22" s="16">
        <v>33.71</v>
      </c>
      <c r="N22" s="16">
        <v>33.71</v>
      </c>
      <c r="O22" s="16">
        <v>33.71</v>
      </c>
      <c r="P22" s="16">
        <v>33.71</v>
      </c>
      <c r="Q22" s="16">
        <v>63.0</v>
      </c>
      <c r="R22" s="16">
        <v>63.0</v>
      </c>
      <c r="S22" s="16">
        <v>69.3</v>
      </c>
      <c r="T22" s="16">
        <v>31.0</v>
      </c>
      <c r="U22" s="16">
        <v>31.0</v>
      </c>
      <c r="V22" s="16">
        <v>31.0</v>
      </c>
      <c r="W22" s="16">
        <v>31.3</v>
      </c>
      <c r="X22" s="16">
        <v>31.1</v>
      </c>
      <c r="Y22" s="16">
        <v>31.1</v>
      </c>
      <c r="Z22" s="16" t="s">
        <v>108</v>
      </c>
      <c r="AA22" s="16" t="s">
        <v>108</v>
      </c>
      <c r="AB22" s="16">
        <v>61.6</v>
      </c>
      <c r="AC22" s="16" t="s">
        <v>108</v>
      </c>
      <c r="AD22" s="16">
        <v>63.0</v>
      </c>
      <c r="AE22" s="16">
        <v>68.5</v>
      </c>
      <c r="AF22" s="16">
        <v>52.5</v>
      </c>
      <c r="AG22" s="16">
        <v>56.0</v>
      </c>
      <c r="AH22" s="16" t="s">
        <v>108</v>
      </c>
      <c r="AI22" s="16" t="s">
        <v>108</v>
      </c>
      <c r="AJ22" s="16" t="s">
        <v>108</v>
      </c>
      <c r="AK22" s="16" t="s">
        <v>108</v>
      </c>
      <c r="AL22" s="16"/>
      <c r="AM22" s="16"/>
    </row>
    <row r="23">
      <c r="A23" s="5" t="s">
        <v>110</v>
      </c>
      <c r="B23" s="17">
        <f t="shared" ref="B23:AI23" si="8">IFERROR(B18 * B21)</f>
        <v>3600</v>
      </c>
      <c r="C23" s="17">
        <f t="shared" si="8"/>
        <v>4320</v>
      </c>
      <c r="D23" s="17">
        <f t="shared" si="8"/>
        <v>4320</v>
      </c>
      <c r="E23" s="17">
        <f t="shared" si="8"/>
        <v>5500</v>
      </c>
      <c r="F23" s="17">
        <f t="shared" si="8"/>
        <v>4950</v>
      </c>
      <c r="G23" s="17">
        <f t="shared" si="8"/>
        <v>4300</v>
      </c>
      <c r="H23" s="17">
        <f t="shared" si="8"/>
        <v>4760</v>
      </c>
      <c r="I23" s="17">
        <f t="shared" si="8"/>
        <v>10142</v>
      </c>
      <c r="J23" s="17" t="str">
        <f t="shared" si="8"/>
        <v/>
      </c>
      <c r="K23" s="17" t="str">
        <f t="shared" si="8"/>
        <v/>
      </c>
      <c r="L23" s="17" t="str">
        <f t="shared" si="8"/>
        <v/>
      </c>
      <c r="M23" s="17" t="str">
        <f t="shared" si="8"/>
        <v/>
      </c>
      <c r="N23" s="17" t="str">
        <f t="shared" si="8"/>
        <v/>
      </c>
      <c r="O23" s="17" t="str">
        <f t="shared" si="8"/>
        <v/>
      </c>
      <c r="P23" s="17" t="str">
        <f t="shared" si="8"/>
        <v/>
      </c>
      <c r="Q23" s="17" t="str">
        <f t="shared" si="8"/>
        <v/>
      </c>
      <c r="R23" s="17" t="str">
        <f t="shared" si="8"/>
        <v/>
      </c>
      <c r="S23" s="17" t="str">
        <f t="shared" si="8"/>
        <v/>
      </c>
      <c r="T23" s="17" t="str">
        <f t="shared" si="8"/>
        <v/>
      </c>
      <c r="U23" s="17" t="str">
        <f t="shared" si="8"/>
        <v/>
      </c>
      <c r="V23" s="17" t="str">
        <f t="shared" si="8"/>
        <v/>
      </c>
      <c r="W23" s="17" t="str">
        <f t="shared" si="8"/>
        <v/>
      </c>
      <c r="X23" s="17" t="str">
        <f t="shared" si="8"/>
        <v/>
      </c>
      <c r="Y23" s="17" t="str">
        <f t="shared" si="8"/>
        <v/>
      </c>
      <c r="Z23" s="17">
        <f t="shared" si="8"/>
        <v>5000</v>
      </c>
      <c r="AA23" s="17">
        <f t="shared" si="8"/>
        <v>5238</v>
      </c>
      <c r="AB23" s="17" t="str">
        <f t="shared" si="8"/>
        <v/>
      </c>
      <c r="AC23" s="17">
        <f t="shared" si="8"/>
        <v>5600</v>
      </c>
      <c r="AD23" s="17" t="str">
        <f t="shared" si="8"/>
        <v/>
      </c>
      <c r="AE23" s="17" t="str">
        <f t="shared" si="8"/>
        <v/>
      </c>
      <c r="AF23" s="17" t="str">
        <f t="shared" si="8"/>
        <v/>
      </c>
      <c r="AG23" s="17" t="str">
        <f t="shared" si="8"/>
        <v/>
      </c>
      <c r="AH23" s="17">
        <f t="shared" si="8"/>
        <v>3740</v>
      </c>
      <c r="AI23" s="17">
        <f t="shared" si="8"/>
        <v>8310</v>
      </c>
      <c r="AJ23" s="17"/>
      <c r="AK23" s="17">
        <f>IFERROR(AK18 * AK21)</f>
        <v>18800</v>
      </c>
      <c r="AL23" s="16"/>
      <c r="AM23" s="16"/>
    </row>
    <row r="24">
      <c r="A24" s="5" t="s">
        <v>111</v>
      </c>
      <c r="B24" s="17" t="str">
        <f t="shared" ref="B24:AI24" si="9">IFERROR(B18 * B22)</f>
        <v/>
      </c>
      <c r="C24" s="17" t="str">
        <f t="shared" si="9"/>
        <v/>
      </c>
      <c r="D24" s="17" t="str">
        <f t="shared" si="9"/>
        <v/>
      </c>
      <c r="E24" s="17" t="str">
        <f t="shared" si="9"/>
        <v/>
      </c>
      <c r="F24" s="17" t="str">
        <f t="shared" si="9"/>
        <v/>
      </c>
      <c r="G24" s="17" t="str">
        <f t="shared" si="9"/>
        <v/>
      </c>
      <c r="H24" s="17" t="str">
        <f t="shared" si="9"/>
        <v/>
      </c>
      <c r="I24" s="17" t="str">
        <f t="shared" si="9"/>
        <v/>
      </c>
      <c r="J24" s="17">
        <f t="shared" si="9"/>
        <v>77.68</v>
      </c>
      <c r="K24" s="17">
        <f t="shared" si="9"/>
        <v>122.6</v>
      </c>
      <c r="L24" s="17">
        <f t="shared" si="9"/>
        <v>67.42</v>
      </c>
      <c r="M24" s="17">
        <f t="shared" si="9"/>
        <v>67.42</v>
      </c>
      <c r="N24" s="17">
        <f t="shared" si="9"/>
        <v>67.42</v>
      </c>
      <c r="O24" s="17">
        <f t="shared" si="9"/>
        <v>67.42</v>
      </c>
      <c r="P24" s="17">
        <f t="shared" si="9"/>
        <v>67.42</v>
      </c>
      <c r="Q24" s="17">
        <f t="shared" si="9"/>
        <v>126</v>
      </c>
      <c r="R24" s="17">
        <f t="shared" si="9"/>
        <v>126</v>
      </c>
      <c r="S24" s="17">
        <f t="shared" si="9"/>
        <v>138.6</v>
      </c>
      <c r="T24" s="17">
        <f t="shared" si="9"/>
        <v>124</v>
      </c>
      <c r="U24" s="17">
        <f t="shared" si="9"/>
        <v>124</v>
      </c>
      <c r="V24" s="17">
        <f t="shared" si="9"/>
        <v>124</v>
      </c>
      <c r="W24" s="17">
        <f t="shared" si="9"/>
        <v>125.2</v>
      </c>
      <c r="X24" s="17">
        <f t="shared" si="9"/>
        <v>124.4</v>
      </c>
      <c r="Y24" s="17">
        <f t="shared" si="9"/>
        <v>124.4</v>
      </c>
      <c r="Z24" s="17" t="str">
        <f t="shared" si="9"/>
        <v/>
      </c>
      <c r="AA24" s="17" t="str">
        <f t="shared" si="9"/>
        <v/>
      </c>
      <c r="AB24" s="17">
        <f t="shared" si="9"/>
        <v>123.2</v>
      </c>
      <c r="AC24" s="17" t="str">
        <f t="shared" si="9"/>
        <v/>
      </c>
      <c r="AD24" s="17">
        <f t="shared" si="9"/>
        <v>126</v>
      </c>
      <c r="AE24" s="17">
        <f t="shared" si="9"/>
        <v>137</v>
      </c>
      <c r="AF24" s="17">
        <f t="shared" si="9"/>
        <v>105</v>
      </c>
      <c r="AG24" s="17">
        <f t="shared" si="9"/>
        <v>112</v>
      </c>
      <c r="AH24" s="17" t="str">
        <f t="shared" si="9"/>
        <v/>
      </c>
      <c r="AI24" s="17" t="str">
        <f t="shared" si="9"/>
        <v/>
      </c>
      <c r="AJ24" s="17"/>
      <c r="AK24" s="17" t="str">
        <f>IFERROR(AK18 * AK22)</f>
        <v/>
      </c>
      <c r="AL24" s="16"/>
      <c r="AM24" s="16"/>
    </row>
    <row r="25">
      <c r="A25" s="8" t="s">
        <v>112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0"/>
      <c r="AD25" s="10"/>
      <c r="AE25" s="10"/>
      <c r="AF25" s="10"/>
      <c r="AG25" s="10"/>
      <c r="AH25" s="10"/>
      <c r="AI25" s="10"/>
      <c r="AJ25" s="10"/>
      <c r="AK25" s="10"/>
      <c r="AL25" s="16"/>
      <c r="AM25" s="16"/>
    </row>
    <row r="26">
      <c r="A26" s="3" t="s">
        <v>113</v>
      </c>
      <c r="B26" s="3">
        <v>493.0</v>
      </c>
      <c r="C26" s="3">
        <v>556.0</v>
      </c>
      <c r="D26" s="3">
        <v>460.0</v>
      </c>
      <c r="E26" s="3">
        <v>510.0</v>
      </c>
      <c r="F26" s="3">
        <v>510.0</v>
      </c>
      <c r="G26" s="3">
        <v>535.0</v>
      </c>
      <c r="H26" s="3">
        <v>532.0</v>
      </c>
      <c r="I26" s="3">
        <v>667.0</v>
      </c>
      <c r="J26" s="3">
        <v>860.0</v>
      </c>
      <c r="K26" s="3">
        <f>876</f>
        <v>876</v>
      </c>
      <c r="L26" s="3">
        <v>833.0</v>
      </c>
      <c r="M26" s="3">
        <v>833.0</v>
      </c>
      <c r="N26" s="3">
        <v>833.0</v>
      </c>
      <c r="O26" s="3">
        <v>833.0</v>
      </c>
      <c r="P26" s="3">
        <v>833.0</v>
      </c>
      <c r="Q26" s="3">
        <v>797.0</v>
      </c>
      <c r="R26" s="3">
        <v>797.0</v>
      </c>
      <c r="S26" s="3">
        <v>829.0</v>
      </c>
      <c r="T26" s="3">
        <v>798.0</v>
      </c>
      <c r="U26" s="3">
        <v>789.0</v>
      </c>
      <c r="V26" s="3">
        <v>789.0</v>
      </c>
      <c r="W26" s="3">
        <v>789.0</v>
      </c>
      <c r="X26" s="3">
        <v>789.0</v>
      </c>
      <c r="Y26" s="3">
        <v>791.0</v>
      </c>
      <c r="Z26" s="3">
        <v>500.0</v>
      </c>
      <c r="AA26" s="3">
        <v>522.0</v>
      </c>
      <c r="AB26" s="3">
        <v>856.0</v>
      </c>
      <c r="AC26" s="3">
        <v>575.0</v>
      </c>
      <c r="AD26" s="3">
        <v>870.0</v>
      </c>
      <c r="AE26" s="3">
        <v>870.0</v>
      </c>
      <c r="AF26" s="3">
        <v>863.0</v>
      </c>
      <c r="AG26" s="3">
        <v>863.0</v>
      </c>
      <c r="AH26" s="3">
        <v>528.0</v>
      </c>
      <c r="AI26" s="3">
        <v>685.0</v>
      </c>
      <c r="AJ26" s="3">
        <v>637.0</v>
      </c>
      <c r="AK26" s="3">
        <v>592.0</v>
      </c>
      <c r="AL26" s="16"/>
      <c r="AM26" s="16"/>
    </row>
    <row r="27">
      <c r="A27" s="3" t="s">
        <v>45</v>
      </c>
      <c r="B27" s="3">
        <v>1090.0</v>
      </c>
      <c r="C27" s="3">
        <v>1165.0</v>
      </c>
      <c r="D27" s="3">
        <v>1409.0</v>
      </c>
      <c r="E27" s="3">
        <v>1220.0</v>
      </c>
      <c r="F27" s="3">
        <v>1333.0</v>
      </c>
      <c r="G27" s="3">
        <v>1000.0</v>
      </c>
      <c r="H27" s="3">
        <v>1180.0</v>
      </c>
      <c r="I27" s="3">
        <v>1425.0</v>
      </c>
      <c r="J27" s="3">
        <v>1768.0</v>
      </c>
      <c r="K27" s="3">
        <v>1516.0</v>
      </c>
      <c r="L27" s="3">
        <v>1640.0</v>
      </c>
      <c r="M27" s="3">
        <v>1760.0</v>
      </c>
      <c r="N27" s="3">
        <v>1850.0</v>
      </c>
      <c r="O27" s="3">
        <v>2030.0</v>
      </c>
      <c r="P27" s="3">
        <v>2270.0</v>
      </c>
      <c r="Q27" s="3">
        <v>1582.0</v>
      </c>
      <c r="R27" s="3">
        <v>1644.0</v>
      </c>
      <c r="S27" s="3">
        <v>1450.0</v>
      </c>
      <c r="T27" s="3">
        <v>1231.0</v>
      </c>
      <c r="U27" s="3">
        <v>1554.0</v>
      </c>
      <c r="V27" s="3">
        <v>1585.0</v>
      </c>
      <c r="W27" s="3">
        <v>1195.0</v>
      </c>
      <c r="X27" s="3">
        <v>1390.0</v>
      </c>
      <c r="Y27" s="3">
        <v>1535.0</v>
      </c>
      <c r="Z27" s="3">
        <v>1550.0</v>
      </c>
      <c r="AA27" s="3">
        <v>1126.0</v>
      </c>
      <c r="AB27" s="3">
        <v>1583.0</v>
      </c>
      <c r="AC27" s="3">
        <v>1750.0</v>
      </c>
      <c r="AD27" s="3">
        <v>1560.0</v>
      </c>
      <c r="AE27" s="3">
        <v>1731.0</v>
      </c>
      <c r="AF27" s="3">
        <v>1463.0</v>
      </c>
      <c r="AG27" s="3">
        <v>1676.0</v>
      </c>
      <c r="AH27" s="3">
        <v>1290.0</v>
      </c>
      <c r="AI27" s="3">
        <v>1340.0</v>
      </c>
      <c r="AJ27" s="3">
        <v>1309.0</v>
      </c>
      <c r="AK27" s="3">
        <v>930.0</v>
      </c>
      <c r="AL27" s="16"/>
      <c r="AM27" s="16"/>
    </row>
    <row r="28">
      <c r="A28" s="3" t="s">
        <v>114</v>
      </c>
      <c r="B28" s="3">
        <v>1033.0</v>
      </c>
      <c r="C28" s="3">
        <v>1126.0</v>
      </c>
      <c r="D28" s="3">
        <v>1207.0</v>
      </c>
      <c r="E28" s="3">
        <v>1050.0</v>
      </c>
      <c r="F28" s="3">
        <v>1067.0</v>
      </c>
      <c r="G28" s="3">
        <v>780.0</v>
      </c>
      <c r="H28" s="3">
        <v>1040.0</v>
      </c>
      <c r="I28" s="3">
        <v>1289.0</v>
      </c>
      <c r="J28" s="3">
        <v>1479.0</v>
      </c>
      <c r="K28" s="3">
        <v>1536.0</v>
      </c>
      <c r="L28" s="3">
        <v>1360.0</v>
      </c>
      <c r="M28" s="3">
        <v>1360.0</v>
      </c>
      <c r="N28" s="3">
        <v>1380.0</v>
      </c>
      <c r="O28" s="3">
        <v>1400.0</v>
      </c>
      <c r="P28" s="3">
        <v>1400.0</v>
      </c>
      <c r="Q28" s="3">
        <v>1228.0</v>
      </c>
      <c r="R28" s="3">
        <v>1241.0</v>
      </c>
      <c r="S28" s="3">
        <v>1430.0</v>
      </c>
      <c r="T28" s="3">
        <v>1180.0</v>
      </c>
      <c r="U28" s="3">
        <v>1189.0</v>
      </c>
      <c r="V28" s="3">
        <v>1265.0</v>
      </c>
      <c r="W28" s="3">
        <v>1180.0</v>
      </c>
      <c r="X28" s="3">
        <v>1190.0</v>
      </c>
      <c r="Y28" s="3">
        <v>1270.0</v>
      </c>
      <c r="Z28" s="3">
        <v>1300.0</v>
      </c>
      <c r="AA28" s="3">
        <v>1116.0</v>
      </c>
      <c r="AB28" s="3">
        <v>1275.0</v>
      </c>
      <c r="AC28" s="3">
        <v>1360.0</v>
      </c>
      <c r="AF28" s="3">
        <v>1420.0</v>
      </c>
      <c r="AG28" s="3">
        <v>1707.0</v>
      </c>
      <c r="AH28" s="3">
        <v>1035.0</v>
      </c>
      <c r="AI28" s="3">
        <v>1240.0</v>
      </c>
      <c r="AJ28" s="3">
        <v>1221.0</v>
      </c>
      <c r="AK28" s="3">
        <v>778.0</v>
      </c>
      <c r="AL28" s="16"/>
      <c r="AM28" s="16"/>
    </row>
    <row r="29">
      <c r="A29" s="3" t="s">
        <v>115</v>
      </c>
      <c r="B29" s="3">
        <v>25000.0</v>
      </c>
      <c r="C29" s="3">
        <v>25000.0</v>
      </c>
      <c r="D29" s="3">
        <v>25000.0</v>
      </c>
      <c r="E29" s="3">
        <v>25000.0</v>
      </c>
      <c r="F29" s="3">
        <v>25000.0</v>
      </c>
      <c r="G29" s="3">
        <v>25000.0</v>
      </c>
      <c r="H29" s="3">
        <v>25000.0</v>
      </c>
      <c r="I29" s="3">
        <v>27000.0</v>
      </c>
      <c r="J29" s="3">
        <v>41000.0</v>
      </c>
      <c r="K29" s="3">
        <v>41000.0</v>
      </c>
      <c r="L29" s="3">
        <v>37000.0</v>
      </c>
      <c r="M29" s="3">
        <v>37000.0</v>
      </c>
      <c r="N29" s="3">
        <v>37000.0</v>
      </c>
      <c r="O29" s="3">
        <v>37000.0</v>
      </c>
      <c r="P29" s="3">
        <v>37000.0</v>
      </c>
      <c r="Q29" s="3">
        <v>41000.0</v>
      </c>
      <c r="R29" s="3">
        <v>41000.0</v>
      </c>
      <c r="S29" s="3">
        <v>39000.0</v>
      </c>
      <c r="T29" s="3">
        <v>31000.0</v>
      </c>
      <c r="U29" s="3">
        <v>31000.0</v>
      </c>
      <c r="V29" s="3">
        <v>31000.0</v>
      </c>
      <c r="W29" s="3">
        <v>35000.0</v>
      </c>
      <c r="X29" s="3">
        <v>35000.0</v>
      </c>
      <c r="Y29" s="3">
        <v>35000.0</v>
      </c>
      <c r="Z29" s="3">
        <v>26500.0</v>
      </c>
      <c r="AA29" s="3">
        <v>25000.0</v>
      </c>
      <c r="AB29" s="3">
        <v>35000.0</v>
      </c>
      <c r="AC29" s="3">
        <v>25000.0</v>
      </c>
      <c r="AD29" s="3">
        <v>40000.0</v>
      </c>
      <c r="AE29" s="3">
        <v>41000.0</v>
      </c>
      <c r="AF29" s="3">
        <v>41000.0</v>
      </c>
      <c r="AG29" s="3">
        <v>41000.0</v>
      </c>
      <c r="AH29" s="3">
        <v>25000.0</v>
      </c>
      <c r="AI29" s="3">
        <v>31000.0</v>
      </c>
      <c r="AJ29" s="3">
        <v>25000.0</v>
      </c>
      <c r="AK29" s="3">
        <v>28000.0</v>
      </c>
      <c r="AL29" s="16"/>
      <c r="AM29" s="16"/>
    </row>
    <row r="30">
      <c r="A30" s="3" t="s">
        <v>116</v>
      </c>
      <c r="B30" s="3">
        <v>845.0</v>
      </c>
      <c r="C30" s="3">
        <v>1325.0</v>
      </c>
      <c r="D30" s="3">
        <v>1195.0</v>
      </c>
      <c r="E30" s="3">
        <v>1455.0</v>
      </c>
      <c r="F30" s="3">
        <v>1530.0</v>
      </c>
      <c r="G30" s="3">
        <v>2084.0</v>
      </c>
      <c r="H30" s="3">
        <v>1711.0</v>
      </c>
      <c r="I30" s="3">
        <v>2040.0</v>
      </c>
      <c r="J30" s="3">
        <v>2491.0</v>
      </c>
      <c r="K30" s="3">
        <v>2593.0</v>
      </c>
      <c r="L30" s="3">
        <v>2409.0</v>
      </c>
      <c r="M30" s="3">
        <v>3243.0</v>
      </c>
      <c r="N30" s="3">
        <v>3058.0</v>
      </c>
      <c r="O30" s="3">
        <v>2224.0</v>
      </c>
      <c r="P30" s="3">
        <v>2873.0</v>
      </c>
      <c r="Q30" s="3">
        <v>3889.0</v>
      </c>
      <c r="R30" s="3">
        <v>3982.0</v>
      </c>
      <c r="T30" s="3">
        <v>1850.0</v>
      </c>
      <c r="U30" s="3">
        <v>2310.0</v>
      </c>
      <c r="V30" s="3">
        <v>2170.0</v>
      </c>
      <c r="W30" s="3">
        <v>3870.0</v>
      </c>
      <c r="X30" s="3">
        <v>3650.0</v>
      </c>
      <c r="Y30" s="3">
        <v>3340.0</v>
      </c>
      <c r="Z30" s="3">
        <v>1000.0</v>
      </c>
      <c r="AA30" s="3">
        <v>3030.0</v>
      </c>
      <c r="AB30" s="3">
        <v>3469.0</v>
      </c>
      <c r="AC30" s="3">
        <v>3270.0</v>
      </c>
      <c r="AE30" s="3">
        <v>3048.0</v>
      </c>
      <c r="AG30" s="3">
        <v>2650.0</v>
      </c>
      <c r="AH30" s="3">
        <v>1551.0</v>
      </c>
      <c r="AI30" s="3">
        <v>2110.0</v>
      </c>
      <c r="AJ30" s="3">
        <v>1500.0</v>
      </c>
      <c r="AK30" s="3">
        <v>5244.0</v>
      </c>
      <c r="AL30" s="16"/>
      <c r="AM30" s="16"/>
    </row>
    <row r="31">
      <c r="A31" s="3" t="s">
        <v>47</v>
      </c>
      <c r="B31" s="3"/>
      <c r="C31" s="3"/>
      <c r="D31" s="3"/>
      <c r="E31" s="3"/>
      <c r="F31" s="3">
        <v>907.0</v>
      </c>
      <c r="G31" s="3">
        <v>1260.0</v>
      </c>
      <c r="H31" s="3">
        <v>705.0</v>
      </c>
      <c r="I31" s="3">
        <v>1408.0</v>
      </c>
      <c r="J31" s="3">
        <v>1620.0</v>
      </c>
      <c r="K31" s="3">
        <v>2270.0</v>
      </c>
      <c r="L31" s="3">
        <v>2040.0</v>
      </c>
      <c r="M31" s="3">
        <v>2315.0</v>
      </c>
      <c r="N31" s="3">
        <v>2205.0</v>
      </c>
      <c r="O31" s="3">
        <v>2075.0</v>
      </c>
      <c r="P31" s="3">
        <v>2150.0</v>
      </c>
      <c r="Q31" s="3">
        <v>2760.0</v>
      </c>
      <c r="R31" s="3"/>
      <c r="S31" s="3">
        <v>1880.0</v>
      </c>
      <c r="T31" s="3"/>
      <c r="U31" s="3"/>
      <c r="V31" s="3"/>
      <c r="W31" s="3"/>
      <c r="X31" s="3"/>
      <c r="Y31" s="3"/>
      <c r="Z31" s="3"/>
      <c r="AA31" s="3"/>
      <c r="AB31" s="3"/>
      <c r="AC31" s="3">
        <v>1750.0</v>
      </c>
      <c r="AD31" s="3">
        <v>2100.0</v>
      </c>
      <c r="AE31" s="3"/>
      <c r="AG31" s="3"/>
      <c r="AH31" s="3"/>
      <c r="AI31" s="3"/>
      <c r="AJ31" s="3"/>
      <c r="AK31" s="3">
        <v>1990.0</v>
      </c>
      <c r="AL31" s="16"/>
      <c r="AM31" s="16"/>
    </row>
    <row r="32">
      <c r="A32" s="3" t="s">
        <v>117</v>
      </c>
      <c r="B32" s="3">
        <v>1320.0</v>
      </c>
      <c r="C32" s="3">
        <v>1851.0</v>
      </c>
      <c r="D32" s="3">
        <v>1390.0</v>
      </c>
      <c r="E32" s="3">
        <v>1374.0</v>
      </c>
      <c r="F32" s="3">
        <v>1355.0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1339.0</v>
      </c>
      <c r="AK32" s="3">
        <v>640.0</v>
      </c>
      <c r="AL32" s="16" t="s">
        <v>118</v>
      </c>
      <c r="AM32" s="16" t="s">
        <v>119</v>
      </c>
    </row>
    <row r="33">
      <c r="A33" s="3" t="s">
        <v>120</v>
      </c>
      <c r="B33" s="3">
        <v>568.0</v>
      </c>
      <c r="C33" s="3">
        <v>811.0</v>
      </c>
      <c r="D33" s="3">
        <v>720.0</v>
      </c>
      <c r="E33" s="3">
        <v>762.0</v>
      </c>
      <c r="F33" s="3">
        <v>618.0</v>
      </c>
      <c r="G33" s="3"/>
      <c r="H33" s="3">
        <v>900.0</v>
      </c>
      <c r="I33" s="3"/>
      <c r="J33" s="3">
        <v>990.0</v>
      </c>
      <c r="K33" s="3">
        <v>1350.0</v>
      </c>
      <c r="L33" s="3"/>
      <c r="M33" s="3"/>
      <c r="N33" s="3"/>
      <c r="O33" s="3">
        <v>1120.0</v>
      </c>
      <c r="P33" s="3">
        <v>1120.0</v>
      </c>
      <c r="Q33" s="3"/>
      <c r="R33" s="3"/>
      <c r="S33" s="3"/>
      <c r="T33" s="3">
        <v>1594.0</v>
      </c>
      <c r="U33" s="3">
        <v>1672.0</v>
      </c>
      <c r="V33" s="3">
        <v>1724.0</v>
      </c>
      <c r="W33" s="3"/>
      <c r="X33" s="3"/>
      <c r="Y33" s="3"/>
      <c r="Z33" s="3">
        <v>590.0</v>
      </c>
      <c r="AA33" s="3"/>
      <c r="AB33" s="3"/>
      <c r="AC33" s="3">
        <v>550.0</v>
      </c>
      <c r="AD33" s="3">
        <v>1550.0</v>
      </c>
      <c r="AH33" s="3">
        <v>400.0</v>
      </c>
      <c r="AI33" s="3">
        <v>820.0</v>
      </c>
      <c r="AJ33" s="3">
        <v>980.0</v>
      </c>
      <c r="AK33" s="3"/>
      <c r="AL33" s="16">
        <f>AVERAGE(AJ33,AA33,B33:H33)</f>
        <v>765.5714286</v>
      </c>
      <c r="AM33" s="16">
        <f>average(AF33,Y33,X33,W33,W33,V33,R33,Q33,P33,O33,N33,M33,L33,K33,J33)</f>
        <v>1260.8</v>
      </c>
    </row>
    <row r="34">
      <c r="A34" s="8" t="s">
        <v>121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10"/>
      <c r="V34" s="10"/>
      <c r="W34" s="9"/>
      <c r="X34" s="9"/>
      <c r="Y34" s="9"/>
      <c r="Z34" s="9"/>
      <c r="AA34" s="9"/>
      <c r="AB34" s="9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1"/>
    </row>
    <row r="35">
      <c r="A35" s="3" t="s">
        <v>122</v>
      </c>
      <c r="B35" s="3">
        <v>22.67</v>
      </c>
      <c r="C35" s="3">
        <v>22.67</v>
      </c>
      <c r="D35" s="3">
        <v>27.17</v>
      </c>
      <c r="E35" s="3">
        <v>27.17</v>
      </c>
      <c r="F35" s="3">
        <v>27.17</v>
      </c>
      <c r="G35" s="3">
        <v>22.25</v>
      </c>
      <c r="H35" s="3">
        <v>25.7</v>
      </c>
      <c r="I35" s="3">
        <v>32.8</v>
      </c>
      <c r="J35" s="3">
        <v>26.77</v>
      </c>
      <c r="K35" s="3">
        <v>32.3</v>
      </c>
      <c r="L35" s="3">
        <v>26.33</v>
      </c>
      <c r="M35" s="3">
        <v>26.33</v>
      </c>
      <c r="N35" s="3">
        <v>28.45</v>
      </c>
      <c r="O35" s="3">
        <v>29.87</v>
      </c>
      <c r="P35" s="3">
        <v>29.87</v>
      </c>
      <c r="Q35" s="3">
        <v>29.9</v>
      </c>
      <c r="R35" s="3">
        <v>29.9</v>
      </c>
      <c r="S35" s="3">
        <v>33.4</v>
      </c>
      <c r="T35" s="3">
        <v>26.16</v>
      </c>
      <c r="U35" s="3">
        <v>28.55</v>
      </c>
      <c r="V35" s="3">
        <v>30.99</v>
      </c>
      <c r="W35" s="3">
        <v>26.19</v>
      </c>
      <c r="X35" s="3">
        <v>28.55</v>
      </c>
      <c r="Y35" s="3">
        <v>31.0</v>
      </c>
      <c r="Z35" s="3">
        <v>26.88</v>
      </c>
      <c r="AA35" s="3">
        <v>25.25</v>
      </c>
      <c r="AB35" s="3">
        <v>30.91</v>
      </c>
      <c r="AC35" s="3">
        <v>22.46</v>
      </c>
      <c r="AD35" s="3">
        <v>29.13</v>
      </c>
      <c r="AE35" s="3">
        <v>29.94</v>
      </c>
      <c r="AF35" s="3">
        <v>23.8</v>
      </c>
      <c r="AG35" s="3">
        <v>27.04</v>
      </c>
      <c r="AH35" s="3">
        <v>19.73</v>
      </c>
      <c r="AI35" s="3">
        <v>27.28</v>
      </c>
      <c r="AJ35" s="3">
        <v>30.5</v>
      </c>
      <c r="AK35" s="3">
        <v>29.3</v>
      </c>
      <c r="AL35" s="3">
        <f>0.8*AVERAGE(B35:AK35)</f>
        <v>22.09733333</v>
      </c>
      <c r="AM35" s="3"/>
    </row>
    <row r="36">
      <c r="A36" s="3" t="s">
        <v>123</v>
      </c>
      <c r="B36" s="3">
        <v>7.59</v>
      </c>
      <c r="C36" s="3">
        <v>7.59</v>
      </c>
      <c r="D36" s="3">
        <v>7.59</v>
      </c>
      <c r="E36" s="3">
        <v>7.59</v>
      </c>
      <c r="F36" s="3">
        <v>7.59</v>
      </c>
      <c r="G36" s="3">
        <v>7.49</v>
      </c>
      <c r="H36" s="3">
        <v>7.49</v>
      </c>
      <c r="I36" s="3">
        <v>8.2</v>
      </c>
      <c r="J36" s="3">
        <v>6.22</v>
      </c>
      <c r="K36" s="3">
        <v>7.6</v>
      </c>
      <c r="L36" s="3">
        <v>6.76</v>
      </c>
      <c r="M36" s="3">
        <v>6.76</v>
      </c>
      <c r="N36" s="3">
        <v>6.76</v>
      </c>
      <c r="O36" s="3">
        <v>6.75</v>
      </c>
      <c r="P36" s="3">
        <v>6.75</v>
      </c>
      <c r="Q36" s="3">
        <v>9.85</v>
      </c>
      <c r="R36" s="3">
        <v>9.85</v>
      </c>
      <c r="S36" s="3">
        <v>10.0</v>
      </c>
      <c r="T36" s="3">
        <v>8.61</v>
      </c>
      <c r="U36" s="3">
        <v>8.61</v>
      </c>
      <c r="V36" s="3">
        <v>8.59</v>
      </c>
      <c r="W36" s="3">
        <v>8.61</v>
      </c>
      <c r="X36" s="3">
        <v>8.61</v>
      </c>
      <c r="Y36" s="3">
        <v>8.61</v>
      </c>
      <c r="Z36" s="3">
        <v>9.19</v>
      </c>
      <c r="AA36" s="3">
        <v>8.32</v>
      </c>
      <c r="AB36" s="3">
        <v>8.51</v>
      </c>
      <c r="AC36" s="3">
        <v>8.03</v>
      </c>
      <c r="AD36" s="3">
        <v>8.19</v>
      </c>
      <c r="AE36" s="3">
        <v>10.28</v>
      </c>
      <c r="AF36" s="3">
        <v>9.05</v>
      </c>
      <c r="AG36" s="3">
        <v>9.05</v>
      </c>
      <c r="AH36" s="3">
        <v>6.97</v>
      </c>
      <c r="AI36" s="3">
        <v>8.09</v>
      </c>
      <c r="AJ36" s="3">
        <v>8.2</v>
      </c>
      <c r="AK36" s="3">
        <v>11.9</v>
      </c>
      <c r="AL36" s="3"/>
      <c r="AM36" s="3"/>
    </row>
    <row r="37">
      <c r="A37" s="3" t="s">
        <v>124</v>
      </c>
      <c r="B37" s="3">
        <v>24.57</v>
      </c>
      <c r="C37" s="3">
        <v>24.57</v>
      </c>
      <c r="D37" s="3">
        <v>27.05</v>
      </c>
      <c r="E37" s="3">
        <v>27.05</v>
      </c>
      <c r="F37" s="3">
        <v>27.05</v>
      </c>
      <c r="G37" s="3">
        <v>25.89</v>
      </c>
      <c r="H37" s="3">
        <v>27.4</v>
      </c>
      <c r="I37" s="3">
        <v>28.4</v>
      </c>
      <c r="J37" s="3">
        <v>21.21</v>
      </c>
      <c r="K37" s="3">
        <v>23.2</v>
      </c>
      <c r="L37" s="3">
        <v>20.04</v>
      </c>
      <c r="M37" s="3">
        <v>20.04</v>
      </c>
      <c r="N37" s="3">
        <v>20.04</v>
      </c>
      <c r="O37" s="3">
        <v>21.0</v>
      </c>
      <c r="P37" s="3">
        <v>21.0</v>
      </c>
      <c r="Q37" s="3">
        <v>26.0</v>
      </c>
      <c r="R37" s="3">
        <v>26.0</v>
      </c>
      <c r="S37" s="3">
        <v>29.2</v>
      </c>
      <c r="T37" s="3">
        <v>26.34</v>
      </c>
      <c r="U37" s="3">
        <v>26.34</v>
      </c>
      <c r="V37" s="3">
        <v>26.34</v>
      </c>
      <c r="W37" s="3">
        <v>26.34</v>
      </c>
      <c r="X37" s="3">
        <v>26.34</v>
      </c>
      <c r="Y37" s="3">
        <v>26.34</v>
      </c>
      <c r="Z37" s="3">
        <v>30.0</v>
      </c>
      <c r="AA37" s="3">
        <v>29.0</v>
      </c>
      <c r="AB37" s="3">
        <v>28.08</v>
      </c>
      <c r="AC37" s="3">
        <v>25.5</v>
      </c>
      <c r="AD37" s="3">
        <v>28.91</v>
      </c>
      <c r="AE37" s="3">
        <v>27.8</v>
      </c>
      <c r="AF37" s="3">
        <v>27.12</v>
      </c>
      <c r="AG37" s="3">
        <v>27.12</v>
      </c>
      <c r="AH37" s="3">
        <v>21.44</v>
      </c>
      <c r="AI37" s="3">
        <v>24.76</v>
      </c>
      <c r="AJ37" s="3">
        <v>27.9</v>
      </c>
      <c r="AK37" s="3">
        <v>39.7</v>
      </c>
      <c r="AL37" s="3"/>
      <c r="AM37" s="3"/>
    </row>
    <row r="38">
      <c r="A38" s="3" t="s">
        <v>125</v>
      </c>
      <c r="B38" s="3">
        <v>54.5</v>
      </c>
      <c r="C38" s="3">
        <v>54.5</v>
      </c>
      <c r="D38" s="3">
        <v>61.0</v>
      </c>
      <c r="E38" s="3">
        <v>61.0</v>
      </c>
      <c r="F38" s="3">
        <v>61.0</v>
      </c>
      <c r="G38" s="3">
        <v>54.4</v>
      </c>
      <c r="H38" s="3">
        <v>56.2</v>
      </c>
      <c r="I38" s="3">
        <v>64.0</v>
      </c>
      <c r="J38" s="3">
        <v>48.35</v>
      </c>
      <c r="K38" s="3">
        <v>70.6</v>
      </c>
      <c r="L38" s="3">
        <v>51.18</v>
      </c>
      <c r="M38" s="3">
        <v>51.18</v>
      </c>
      <c r="N38" s="3">
        <v>51.18</v>
      </c>
      <c r="O38" s="3">
        <v>51.18</v>
      </c>
      <c r="P38" s="3">
        <v>51.18</v>
      </c>
      <c r="Q38" s="3">
        <v>72.72</v>
      </c>
      <c r="R38" s="3">
        <v>72.72</v>
      </c>
      <c r="T38" s="3">
        <v>77.3</v>
      </c>
      <c r="U38" s="3">
        <v>77.3</v>
      </c>
      <c r="V38" s="3">
        <v>77.3</v>
      </c>
      <c r="W38" s="3">
        <v>77.3</v>
      </c>
      <c r="X38" s="3">
        <v>77.3</v>
      </c>
      <c r="Y38" s="3">
        <v>77.3</v>
      </c>
      <c r="Z38" s="3">
        <v>81.9</v>
      </c>
      <c r="AA38" s="3">
        <v>70.0</v>
      </c>
      <c r="AB38" s="3">
        <v>93.5</v>
      </c>
      <c r="AC38" s="3">
        <v>51.0</v>
      </c>
      <c r="AD38" s="3">
        <v>87.32</v>
      </c>
      <c r="AE38" s="3">
        <v>84.0</v>
      </c>
      <c r="AF38" s="3">
        <v>75.0</v>
      </c>
      <c r="AG38" s="3">
        <v>75.0</v>
      </c>
      <c r="AH38" s="3">
        <v>41.81</v>
      </c>
      <c r="AI38" s="3">
        <v>55.74</v>
      </c>
      <c r="AJ38" s="3"/>
      <c r="AK38" s="3">
        <v>162.1</v>
      </c>
      <c r="AL38" s="3"/>
      <c r="AM38" s="3"/>
    </row>
    <row r="39">
      <c r="A39" s="3" t="s">
        <v>126</v>
      </c>
      <c r="B39" s="18">
        <f t="shared" ref="B39:M39" si="10">B37^2/B38</f>
        <v>11.07678716</v>
      </c>
      <c r="C39" s="18">
        <f t="shared" si="10"/>
        <v>11.07678716</v>
      </c>
      <c r="D39" s="18">
        <f t="shared" si="10"/>
        <v>11.99512295</v>
      </c>
      <c r="E39" s="18">
        <f t="shared" si="10"/>
        <v>11.99512295</v>
      </c>
      <c r="F39" s="18">
        <f t="shared" si="10"/>
        <v>11.99512295</v>
      </c>
      <c r="G39" s="18">
        <f t="shared" si="10"/>
        <v>12.32154596</v>
      </c>
      <c r="H39" s="18">
        <f t="shared" si="10"/>
        <v>13.35871886</v>
      </c>
      <c r="I39" s="18">
        <f t="shared" si="10"/>
        <v>12.6025</v>
      </c>
      <c r="J39" s="18">
        <f t="shared" si="10"/>
        <v>9.304324716</v>
      </c>
      <c r="K39" s="18">
        <f t="shared" si="10"/>
        <v>7.623796034</v>
      </c>
      <c r="L39" s="18">
        <f t="shared" si="10"/>
        <v>7.846846424</v>
      </c>
      <c r="M39" s="18">
        <f t="shared" si="10"/>
        <v>7.846846424</v>
      </c>
      <c r="N39" s="18">
        <v>7.8</v>
      </c>
      <c r="O39" s="18">
        <v>7.8</v>
      </c>
      <c r="P39" s="18">
        <v>7.8</v>
      </c>
      <c r="Q39" s="18">
        <v>8.6</v>
      </c>
      <c r="R39" s="18">
        <v>8.6</v>
      </c>
      <c r="S39" s="19"/>
      <c r="T39" s="18">
        <v>8.98</v>
      </c>
      <c r="U39" s="18">
        <v>8.98</v>
      </c>
      <c r="V39" s="18">
        <v>8.98</v>
      </c>
      <c r="W39" s="18">
        <v>8.98</v>
      </c>
      <c r="X39" s="18">
        <v>8.98</v>
      </c>
      <c r="Y39" s="18">
        <v>8.98</v>
      </c>
      <c r="Z39" s="18">
        <v>11.1</v>
      </c>
      <c r="AA39" s="18">
        <f t="shared" ref="AA39:AI39" si="11"> AA37^2/AA38</f>
        <v>12.01428571</v>
      </c>
      <c r="AB39" s="18">
        <f t="shared" si="11"/>
        <v>8.433009626</v>
      </c>
      <c r="AC39" s="18">
        <f t="shared" si="11"/>
        <v>12.75</v>
      </c>
      <c r="AD39" s="18">
        <f t="shared" si="11"/>
        <v>9.571554054</v>
      </c>
      <c r="AE39" s="18">
        <f t="shared" si="11"/>
        <v>9.20047619</v>
      </c>
      <c r="AF39" s="18">
        <f t="shared" si="11"/>
        <v>9.806592</v>
      </c>
      <c r="AG39" s="18">
        <f t="shared" si="11"/>
        <v>9.806592</v>
      </c>
      <c r="AH39" s="18">
        <f t="shared" si="11"/>
        <v>10.99434585</v>
      </c>
      <c r="AI39" s="18">
        <f t="shared" si="11"/>
        <v>10.99852171</v>
      </c>
      <c r="AJ39" s="18"/>
      <c r="AK39" s="18">
        <f> AK37^2/AK38</f>
        <v>9.722948797</v>
      </c>
      <c r="AL39" s="18"/>
      <c r="AM39" s="18"/>
    </row>
    <row r="40">
      <c r="A40" s="3" t="s">
        <v>127</v>
      </c>
      <c r="B40" s="3">
        <v>2.8</v>
      </c>
      <c r="C40" s="3">
        <v>2.8</v>
      </c>
      <c r="D40" s="3">
        <v>2.8</v>
      </c>
      <c r="E40" s="3">
        <v>2.8</v>
      </c>
      <c r="F40" s="3">
        <v>2.8</v>
      </c>
      <c r="G40" s="3">
        <v>2.69</v>
      </c>
      <c r="H40" s="3">
        <v>2.69</v>
      </c>
      <c r="I40" s="3">
        <v>2.69</v>
      </c>
      <c r="J40" s="3">
        <v>2.69</v>
      </c>
      <c r="K40" s="3">
        <v>2.69</v>
      </c>
      <c r="L40" s="3">
        <v>2.28</v>
      </c>
      <c r="M40" s="3">
        <v>2.28</v>
      </c>
      <c r="N40" s="3">
        <v>2.28</v>
      </c>
      <c r="O40" s="3">
        <v>2.28</v>
      </c>
      <c r="P40" s="3">
        <v>2.28</v>
      </c>
      <c r="Q40" s="3">
        <v>3.01</v>
      </c>
      <c r="R40" s="3">
        <v>3.01</v>
      </c>
      <c r="S40" s="20"/>
      <c r="T40" s="3">
        <v>3.5</v>
      </c>
      <c r="U40" s="3">
        <v>3.5</v>
      </c>
      <c r="V40" s="3">
        <v>3.5</v>
      </c>
      <c r="W40" s="3">
        <v>3.5</v>
      </c>
      <c r="X40" s="3">
        <v>3.5</v>
      </c>
      <c r="Y40" s="3">
        <v>3.5</v>
      </c>
      <c r="Z40" s="3">
        <v>2.86</v>
      </c>
      <c r="AA40" s="3">
        <v>2.7</v>
      </c>
      <c r="AB40" s="3"/>
      <c r="AC40" s="20"/>
      <c r="AD40" s="20"/>
      <c r="AE40" s="20"/>
      <c r="AF40" s="20"/>
      <c r="AG40" s="20"/>
      <c r="AH40" s="20"/>
      <c r="AI40" s="20"/>
      <c r="AJ40" s="3">
        <v>3.0</v>
      </c>
      <c r="AK40" s="20"/>
      <c r="AL40" s="20">
        <f>AVERAGE(B40:AK40)</f>
        <v>2.862692308</v>
      </c>
      <c r="AM40" s="20"/>
    </row>
    <row r="41">
      <c r="A41" s="3" t="s">
        <v>128</v>
      </c>
      <c r="B41" s="3">
        <v>2.57</v>
      </c>
      <c r="C41" s="3">
        <v>2.57</v>
      </c>
      <c r="D41" s="3">
        <v>2.57</v>
      </c>
      <c r="E41" s="3">
        <v>2.57</v>
      </c>
      <c r="F41" s="3">
        <v>2.57</v>
      </c>
      <c r="G41" s="3">
        <v>2.52</v>
      </c>
      <c r="H41" s="3">
        <v>2.51</v>
      </c>
      <c r="I41" s="3">
        <v>2.51</v>
      </c>
      <c r="J41" s="3">
        <v>2.53</v>
      </c>
      <c r="K41" s="3">
        <v>2.55</v>
      </c>
      <c r="L41" s="3">
        <v>2.1</v>
      </c>
      <c r="M41" s="3">
        <v>2.1</v>
      </c>
      <c r="N41" s="3">
        <v>2.1</v>
      </c>
      <c r="O41" s="3">
        <v>2.1</v>
      </c>
      <c r="P41" s="3">
        <v>2.1</v>
      </c>
      <c r="Q41" s="3">
        <v>2.74</v>
      </c>
      <c r="R41" s="3">
        <v>2.74</v>
      </c>
      <c r="S41" s="3">
        <v>2.76</v>
      </c>
      <c r="T41" s="3">
        <v>3.42</v>
      </c>
      <c r="U41" s="3">
        <v>3.42</v>
      </c>
      <c r="V41" s="3">
        <v>3.42</v>
      </c>
      <c r="W41" s="3">
        <v>3.42</v>
      </c>
      <c r="X41" s="3">
        <v>3.42</v>
      </c>
      <c r="Y41" s="3">
        <v>3.42</v>
      </c>
      <c r="Z41" s="3">
        <v>2.28</v>
      </c>
      <c r="AA41" s="3">
        <v>2.5</v>
      </c>
      <c r="AB41" s="3">
        <v>3.1</v>
      </c>
      <c r="AC41" s="3">
        <v>2.6</v>
      </c>
      <c r="AD41" s="3">
        <v>2.11</v>
      </c>
      <c r="AE41" s="3">
        <v>3.34</v>
      </c>
      <c r="AF41" s="3">
        <v>3.25</v>
      </c>
      <c r="AG41" s="3">
        <v>3.25</v>
      </c>
      <c r="AH41" s="3">
        <v>2.16</v>
      </c>
      <c r="AI41" s="3">
        <v>2.16</v>
      </c>
      <c r="AJ41" s="3">
        <v>2.62</v>
      </c>
      <c r="AK41" s="3">
        <v>3.05</v>
      </c>
      <c r="AL41" s="3"/>
      <c r="AM41" s="3"/>
    </row>
    <row r="42">
      <c r="A42" s="8" t="s">
        <v>129</v>
      </c>
      <c r="B42" s="9"/>
      <c r="C42" s="9"/>
      <c r="D42" s="9"/>
      <c r="E42" s="10"/>
      <c r="F42" s="10"/>
      <c r="G42" s="10"/>
      <c r="H42" s="10"/>
      <c r="I42" s="9"/>
      <c r="J42" s="10"/>
      <c r="K42" s="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1"/>
    </row>
    <row r="43">
      <c r="A43" s="3" t="s">
        <v>130</v>
      </c>
      <c r="G43" s="3">
        <v>80.5</v>
      </c>
      <c r="H43" s="3">
        <v>79.5</v>
      </c>
      <c r="J43" s="3">
        <v>77.7</v>
      </c>
      <c r="L43" s="3">
        <v>78.8</v>
      </c>
      <c r="M43" s="3">
        <v>78.8</v>
      </c>
      <c r="N43" s="3">
        <v>79.9</v>
      </c>
      <c r="O43" s="3">
        <v>80.1</v>
      </c>
      <c r="P43" s="3">
        <v>80.1</v>
      </c>
    </row>
    <row r="44">
      <c r="A44" s="3" t="s">
        <v>131</v>
      </c>
      <c r="B44" s="3">
        <v>83.3</v>
      </c>
      <c r="C44" s="3"/>
      <c r="D44" s="3">
        <v>86.9</v>
      </c>
      <c r="I44" s="3">
        <v>78.6</v>
      </c>
      <c r="K44" s="3">
        <v>82.0</v>
      </c>
      <c r="AE44" s="3">
        <v>80.6</v>
      </c>
      <c r="AH44" s="3">
        <v>78.5</v>
      </c>
      <c r="AI44" s="3">
        <v>78.8</v>
      </c>
      <c r="AJ44" s="3"/>
      <c r="AK44" s="3"/>
      <c r="AL44" s="3"/>
      <c r="AM44" s="3"/>
    </row>
    <row r="45">
      <c r="A45" s="3" t="s">
        <v>132</v>
      </c>
      <c r="B45" s="3">
        <v>96.7</v>
      </c>
      <c r="C45" s="3"/>
      <c r="D45" s="3">
        <v>94.1</v>
      </c>
      <c r="G45" s="3">
        <v>94.7</v>
      </c>
      <c r="H45" s="3">
        <v>93.3</v>
      </c>
      <c r="I45" s="3">
        <v>93.1</v>
      </c>
      <c r="J45" s="3">
        <v>92.1</v>
      </c>
      <c r="K45" s="3">
        <v>92.6</v>
      </c>
      <c r="L45" s="3">
        <v>92.3</v>
      </c>
      <c r="M45" s="3">
        <v>92.3</v>
      </c>
      <c r="N45" s="3">
        <v>92.4</v>
      </c>
      <c r="O45" s="3">
        <v>92.5</v>
      </c>
      <c r="P45" s="3">
        <v>92.5</v>
      </c>
      <c r="AE45" s="3">
        <v>91.7</v>
      </c>
      <c r="AH45" s="3">
        <v>91.6</v>
      </c>
      <c r="AI45" s="3">
        <v>87.9</v>
      </c>
      <c r="AJ45" s="3"/>
      <c r="AK45" s="3"/>
      <c r="AL45" s="3"/>
      <c r="AM45" s="3"/>
    </row>
    <row r="46">
      <c r="A46" s="3" t="s">
        <v>133</v>
      </c>
      <c r="B46" s="3">
        <v>83.7</v>
      </c>
      <c r="D46" s="3">
        <v>84.7</v>
      </c>
      <c r="G46" s="3">
        <v>85.6</v>
      </c>
      <c r="H46" s="3">
        <v>87.0</v>
      </c>
      <c r="I46" s="3">
        <v>84.0</v>
      </c>
      <c r="J46" s="3">
        <v>82.5</v>
      </c>
      <c r="L46" s="3">
        <v>84.6</v>
      </c>
      <c r="M46" s="3">
        <v>84.6</v>
      </c>
      <c r="N46" s="3">
        <v>84.5</v>
      </c>
      <c r="O46" s="3">
        <v>85.0</v>
      </c>
      <c r="P46" s="3">
        <v>85.0</v>
      </c>
      <c r="AE46" s="3">
        <v>89.7</v>
      </c>
      <c r="AH46" s="3">
        <v>85.9</v>
      </c>
      <c r="AI46" s="3">
        <v>87.4</v>
      </c>
      <c r="AJ46" s="3"/>
      <c r="AK46" s="3"/>
      <c r="AL46" s="3"/>
      <c r="AM46" s="3"/>
    </row>
    <row r="47">
      <c r="A47" s="4" t="s">
        <v>134</v>
      </c>
      <c r="B47" s="21"/>
      <c r="C47" s="21"/>
      <c r="D47" s="21"/>
      <c r="E47" s="21"/>
      <c r="F47" s="21"/>
      <c r="G47" s="21"/>
      <c r="H47" s="21"/>
      <c r="I47" s="4">
        <v>15.3</v>
      </c>
      <c r="J47" s="4">
        <v>18.7</v>
      </c>
      <c r="K47" s="4">
        <v>6.8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4">
        <v>8.4</v>
      </c>
      <c r="AB47" s="4"/>
      <c r="AC47" s="21"/>
      <c r="AD47" s="21"/>
      <c r="AE47" s="4">
        <v>13.2</v>
      </c>
      <c r="AF47" s="21"/>
      <c r="AG47" s="21"/>
      <c r="AH47" s="21"/>
      <c r="AI47" s="21"/>
      <c r="AJ47" s="3">
        <v>15.0</v>
      </c>
    </row>
    <row r="48">
      <c r="A48" s="8" t="s">
        <v>135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1"/>
    </row>
    <row r="49">
      <c r="A49" s="3" t="s">
        <v>136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3">
        <v>1.5E7</v>
      </c>
      <c r="P49" s="23">
        <v>1.5E7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3"/>
      <c r="AD49" s="22"/>
      <c r="AE49" s="22"/>
      <c r="AF49" s="22"/>
      <c r="AG49" s="22"/>
      <c r="AH49" s="22"/>
      <c r="AJ49" s="23"/>
      <c r="AK49" s="23">
        <v>4.85E7</v>
      </c>
      <c r="AL49" s="22"/>
      <c r="AM49" s="22"/>
    </row>
    <row r="50">
      <c r="A50" s="3" t="s">
        <v>137</v>
      </c>
      <c r="Q50" s="3">
        <v>15.0</v>
      </c>
      <c r="R50" s="3">
        <v>15.0</v>
      </c>
      <c r="AC50" s="3"/>
    </row>
    <row r="51">
      <c r="A51" s="3" t="s">
        <v>138</v>
      </c>
      <c r="B51">
        <f t="shared" ref="B51:AI51" si="12">B7*9.81/B38</f>
        <v>3006</v>
      </c>
      <c r="C51">
        <f t="shared" si="12"/>
        <v>3348</v>
      </c>
      <c r="D51">
        <f t="shared" si="12"/>
        <v>3457.622951</v>
      </c>
      <c r="E51">
        <f t="shared" si="12"/>
        <v>3666.688525</v>
      </c>
      <c r="F51">
        <f t="shared" si="12"/>
        <v>3666.688525</v>
      </c>
      <c r="G51">
        <f t="shared" si="12"/>
        <v>2969.328309</v>
      </c>
      <c r="H51">
        <f t="shared" si="12"/>
        <v>3404.698399</v>
      </c>
      <c r="I51">
        <f t="shared" si="12"/>
        <v>4672.165781</v>
      </c>
      <c r="J51">
        <f t="shared" si="12"/>
        <v>4693.582834</v>
      </c>
      <c r="K51">
        <f t="shared" si="12"/>
        <v>4727.002691</v>
      </c>
      <c r="L51">
        <f t="shared" si="12"/>
        <v>3641.852286</v>
      </c>
      <c r="M51">
        <f t="shared" si="12"/>
        <v>3833.528722</v>
      </c>
      <c r="N51">
        <f t="shared" si="12"/>
        <v>4044.372802</v>
      </c>
      <c r="O51">
        <f t="shared" si="12"/>
        <v>4023.288394</v>
      </c>
      <c r="P51">
        <f t="shared" si="12"/>
        <v>4216.881594</v>
      </c>
      <c r="Q51">
        <f t="shared" si="12"/>
        <v>5018.316832</v>
      </c>
      <c r="R51">
        <f t="shared" si="12"/>
        <v>5207.178218</v>
      </c>
      <c r="S51" t="str">
        <f t="shared" si="12"/>
        <v>#DIV/0!</v>
      </c>
      <c r="T51">
        <f t="shared" si="12"/>
        <v>4835.454334</v>
      </c>
      <c r="U51">
        <f t="shared" si="12"/>
        <v>5353.493402</v>
      </c>
      <c r="V51">
        <f t="shared" si="12"/>
        <v>5612.512937</v>
      </c>
      <c r="W51">
        <f t="shared" si="12"/>
        <v>4835.327426</v>
      </c>
      <c r="X51">
        <f t="shared" si="12"/>
        <v>5353.493402</v>
      </c>
      <c r="Y51">
        <f t="shared" si="12"/>
        <v>5612.512937</v>
      </c>
      <c r="Z51">
        <f t="shared" si="12"/>
        <v>2719.010989</v>
      </c>
      <c r="AA51">
        <f t="shared" si="12"/>
        <v>2795.85</v>
      </c>
      <c r="AB51">
        <f t="shared" si="12"/>
        <v>4663.684492</v>
      </c>
      <c r="AC51">
        <f t="shared" si="12"/>
        <v>4135.588235</v>
      </c>
      <c r="AD51">
        <f t="shared" si="12"/>
        <v>4330.915025</v>
      </c>
      <c r="AE51">
        <f t="shared" si="12"/>
        <v>5358.128571</v>
      </c>
      <c r="AF51">
        <f t="shared" si="12"/>
        <v>4053.492</v>
      </c>
      <c r="AG51">
        <f t="shared" si="12"/>
        <v>4604.16</v>
      </c>
      <c r="AH51">
        <f t="shared" si="12"/>
        <v>3086.595312</v>
      </c>
      <c r="AI51">
        <f t="shared" si="12"/>
        <v>4047.900969</v>
      </c>
    </row>
    <row r="52">
      <c r="A52" s="4" t="s">
        <v>41</v>
      </c>
      <c r="B52" s="4">
        <f t="shared" ref="B52:AI52" si="13">B24*1000/(B7*9.81)</f>
        <v>0</v>
      </c>
      <c r="C52" s="4">
        <f t="shared" si="13"/>
        <v>0</v>
      </c>
      <c r="D52" s="4">
        <f t="shared" si="13"/>
        <v>0</v>
      </c>
      <c r="E52" s="4">
        <f t="shared" si="13"/>
        <v>0</v>
      </c>
      <c r="F52" s="4">
        <f t="shared" si="13"/>
        <v>0</v>
      </c>
      <c r="G52" s="4">
        <f t="shared" si="13"/>
        <v>0</v>
      </c>
      <c r="H52" s="4">
        <f t="shared" si="13"/>
        <v>0</v>
      </c>
      <c r="I52" s="4">
        <f t="shared" si="13"/>
        <v>0</v>
      </c>
      <c r="J52" s="4">
        <f t="shared" si="13"/>
        <v>0.342301066</v>
      </c>
      <c r="K52" s="4">
        <f t="shared" si="13"/>
        <v>0.3673668121</v>
      </c>
      <c r="L52" s="4">
        <f t="shared" si="13"/>
        <v>0.3617146843</v>
      </c>
      <c r="M52" s="4">
        <f t="shared" si="13"/>
        <v>0.3436289501</v>
      </c>
      <c r="N52" s="4">
        <f t="shared" si="13"/>
        <v>0.3257146446</v>
      </c>
      <c r="O52" s="4">
        <f t="shared" si="13"/>
        <v>0.3274215818</v>
      </c>
      <c r="P52" s="4">
        <f t="shared" si="13"/>
        <v>0.3123899546</v>
      </c>
      <c r="Q52" s="4">
        <f t="shared" si="13"/>
        <v>0.3452698037</v>
      </c>
      <c r="R52" s="4">
        <f t="shared" si="13"/>
        <v>0.3327470647</v>
      </c>
      <c r="S52" s="4">
        <f t="shared" si="13"/>
        <v>0.3834040805</v>
      </c>
      <c r="T52" s="4">
        <f t="shared" si="13"/>
        <v>0.3317453965</v>
      </c>
      <c r="U52" s="4">
        <f t="shared" si="13"/>
        <v>0.2996435402</v>
      </c>
      <c r="V52" s="4">
        <f t="shared" si="13"/>
        <v>0.2858148807</v>
      </c>
      <c r="W52" s="4">
        <f t="shared" si="13"/>
        <v>0.3349646271</v>
      </c>
      <c r="X52" s="4">
        <f t="shared" si="13"/>
        <v>0.3006101322</v>
      </c>
      <c r="Y52" s="4">
        <f t="shared" si="13"/>
        <v>0.2867368642</v>
      </c>
      <c r="Z52" s="4">
        <f t="shared" si="13"/>
        <v>0</v>
      </c>
      <c r="AA52" s="4">
        <f t="shared" si="13"/>
        <v>0</v>
      </c>
      <c r="AB52" s="4">
        <f t="shared" si="13"/>
        <v>0.2825334907</v>
      </c>
      <c r="AC52" s="4">
        <f t="shared" si="13"/>
        <v>0</v>
      </c>
      <c r="AD52" s="4">
        <f t="shared" si="13"/>
        <v>0.3331786432</v>
      </c>
      <c r="AE52" s="4">
        <f t="shared" si="13"/>
        <v>0.304388437</v>
      </c>
      <c r="AF52" s="4">
        <f t="shared" si="13"/>
        <v>0.345381217</v>
      </c>
      <c r="AG52" s="4">
        <f t="shared" si="13"/>
        <v>0.324344361</v>
      </c>
      <c r="AH52" s="4">
        <f t="shared" si="13"/>
        <v>0</v>
      </c>
      <c r="AI52" s="4">
        <f t="shared" si="13"/>
        <v>0</v>
      </c>
      <c r="AJ52" s="21"/>
      <c r="AK52" s="21"/>
      <c r="AL52" s="21"/>
    </row>
    <row r="53">
      <c r="A53" s="1" t="s">
        <v>139</v>
      </c>
      <c r="B53" s="24" t="s">
        <v>140</v>
      </c>
      <c r="C53" s="24" t="s">
        <v>140</v>
      </c>
      <c r="D53" s="1" t="s">
        <v>141</v>
      </c>
      <c r="E53" s="1" t="s">
        <v>141</v>
      </c>
      <c r="F53" s="24" t="s">
        <v>142</v>
      </c>
      <c r="G53" s="1"/>
      <c r="H53" s="1"/>
      <c r="I53" s="24" t="s">
        <v>143</v>
      </c>
      <c r="J53" s="3">
        <v>89.6</v>
      </c>
      <c r="K53" s="1" t="s">
        <v>144</v>
      </c>
      <c r="L53" s="24" t="s">
        <v>145</v>
      </c>
      <c r="M53" s="24" t="s">
        <v>145</v>
      </c>
      <c r="N53" s="24" t="s">
        <v>146</v>
      </c>
      <c r="O53" s="24" t="s">
        <v>147</v>
      </c>
      <c r="P53" s="24" t="s">
        <v>147</v>
      </c>
      <c r="Q53" s="1" t="s">
        <v>148</v>
      </c>
      <c r="R53" s="1" t="s">
        <v>148</v>
      </c>
      <c r="S53" s="1" t="s">
        <v>149</v>
      </c>
      <c r="T53" s="1" t="s">
        <v>150</v>
      </c>
      <c r="U53" s="1" t="s">
        <v>150</v>
      </c>
      <c r="V53" s="1" t="s">
        <v>150</v>
      </c>
      <c r="W53" s="1" t="s">
        <v>151</v>
      </c>
      <c r="X53" s="1" t="s">
        <v>151</v>
      </c>
      <c r="Y53" s="1" t="s">
        <v>151</v>
      </c>
      <c r="Z53" s="1" t="s">
        <v>152</v>
      </c>
      <c r="AA53" s="1" t="s">
        <v>153</v>
      </c>
      <c r="AB53" s="1"/>
      <c r="AC53" s="1" t="s">
        <v>154</v>
      </c>
      <c r="AD53" s="1" t="s">
        <v>155</v>
      </c>
      <c r="AE53" s="1" t="s">
        <v>156</v>
      </c>
      <c r="AF53" s="24" t="s">
        <v>157</v>
      </c>
      <c r="AG53" s="24" t="s">
        <v>157</v>
      </c>
      <c r="AH53" s="1" t="s">
        <v>158</v>
      </c>
      <c r="AI53" s="1" t="s">
        <v>159</v>
      </c>
      <c r="AJ53" s="24" t="s">
        <v>160</v>
      </c>
      <c r="AK53" s="24" t="s">
        <v>161</v>
      </c>
      <c r="AL53" s="1"/>
      <c r="AM53" s="1"/>
    </row>
    <row r="54">
      <c r="A54" s="3" t="s">
        <v>162</v>
      </c>
      <c r="B54" s="25">
        <f t="shared" ref="B54:AI54" si="14">(1/((B7-B13)/B7))/1.08</f>
        <v>1.017300195</v>
      </c>
      <c r="C54" s="25">
        <f t="shared" si="14"/>
        <v>1.031270792</v>
      </c>
      <c r="D54" s="25">
        <f t="shared" si="14"/>
        <v>1.010528295</v>
      </c>
      <c r="E54" s="25">
        <f t="shared" si="14"/>
        <v>1.014957265</v>
      </c>
      <c r="F54" s="25">
        <f t="shared" si="14"/>
        <v>1.014957265</v>
      </c>
      <c r="G54" s="25">
        <f t="shared" si="14"/>
        <v>1.037445311</v>
      </c>
      <c r="H54" s="25">
        <f t="shared" si="14"/>
        <v>1.007822834</v>
      </c>
      <c r="I54" s="25">
        <f t="shared" si="14"/>
        <v>1.02339358</v>
      </c>
      <c r="J54" s="25">
        <f t="shared" si="14"/>
        <v>1.073225997</v>
      </c>
      <c r="K54" s="25">
        <f t="shared" si="14"/>
        <v>1.11465636</v>
      </c>
      <c r="L54" s="25">
        <f t="shared" si="14"/>
        <v>1.127730294</v>
      </c>
      <c r="M54" s="25">
        <f t="shared" si="14"/>
        <v>1.157407407</v>
      </c>
      <c r="N54" s="25">
        <f t="shared" si="14"/>
        <v>1.142516786</v>
      </c>
      <c r="O54" s="25">
        <f t="shared" si="14"/>
        <v>1.136560537</v>
      </c>
      <c r="P54" s="25">
        <f t="shared" si="14"/>
        <v>1.138009518</v>
      </c>
      <c r="Q54" s="25">
        <f t="shared" si="14"/>
        <v>1.142815011</v>
      </c>
      <c r="R54" s="25">
        <f t="shared" si="14"/>
        <v>1.156658276</v>
      </c>
      <c r="S54" s="25">
        <f t="shared" si="14"/>
        <v>1.003540305</v>
      </c>
      <c r="T54" s="25">
        <f t="shared" si="14"/>
        <v>1.135452017</v>
      </c>
      <c r="U54" s="25">
        <f t="shared" si="14"/>
        <v>1.148126374</v>
      </c>
      <c r="V54" s="25">
        <f t="shared" si="14"/>
        <v>1.12146229</v>
      </c>
      <c r="W54" s="25">
        <f t="shared" si="14"/>
        <v>1.087774535</v>
      </c>
      <c r="X54" s="25">
        <f t="shared" si="14"/>
        <v>1.09003598</v>
      </c>
      <c r="Y54" s="25">
        <f t="shared" si="14"/>
        <v>1.094280593</v>
      </c>
      <c r="Z54" s="25">
        <f t="shared" si="14"/>
        <v>0.9776055125</v>
      </c>
      <c r="AA54" s="25">
        <f t="shared" si="14"/>
        <v>0.993130227</v>
      </c>
      <c r="AB54" s="25">
        <f t="shared" si="14"/>
        <v>1.120234279</v>
      </c>
      <c r="AC54" s="25">
        <f t="shared" si="14"/>
        <v>1.079167746</v>
      </c>
      <c r="AD54" s="25">
        <f t="shared" si="14"/>
        <v>1.237242442</v>
      </c>
      <c r="AE54" s="25">
        <f t="shared" si="14"/>
        <v>1.062037037</v>
      </c>
      <c r="AF54" s="25">
        <f t="shared" si="14"/>
        <v>1.091043515</v>
      </c>
      <c r="AG54" s="25">
        <f t="shared" si="14"/>
        <v>1.075663122</v>
      </c>
      <c r="AH54" s="25">
        <f t="shared" si="14"/>
        <v>1.013357367</v>
      </c>
      <c r="AI54" s="25">
        <f t="shared" si="14"/>
        <v>1.064814815</v>
      </c>
      <c r="AJ54" s="25"/>
      <c r="AK54" s="25"/>
    </row>
    <row r="55">
      <c r="A55" s="3" t="s">
        <v>163</v>
      </c>
      <c r="B55" s="6">
        <f t="shared" ref="B55:AI55" si="15">B26/3.6</f>
        <v>136.9444444</v>
      </c>
      <c r="C55" s="6">
        <f t="shared" si="15"/>
        <v>154.4444444</v>
      </c>
      <c r="D55" s="6">
        <f t="shared" si="15"/>
        <v>127.7777778</v>
      </c>
      <c r="E55" s="6">
        <f t="shared" si="15"/>
        <v>141.6666667</v>
      </c>
      <c r="F55" s="6">
        <f t="shared" si="15"/>
        <v>141.6666667</v>
      </c>
      <c r="G55" s="6">
        <f t="shared" si="15"/>
        <v>148.6111111</v>
      </c>
      <c r="H55" s="6">
        <f t="shared" si="15"/>
        <v>147.7777778</v>
      </c>
      <c r="I55" s="6">
        <f t="shared" si="15"/>
        <v>185.2777778</v>
      </c>
      <c r="J55" s="6">
        <f t="shared" si="15"/>
        <v>238.8888889</v>
      </c>
      <c r="K55" s="6">
        <f t="shared" si="15"/>
        <v>243.3333333</v>
      </c>
      <c r="L55" s="6">
        <f t="shared" si="15"/>
        <v>231.3888889</v>
      </c>
      <c r="M55" s="6">
        <f t="shared" si="15"/>
        <v>231.3888889</v>
      </c>
      <c r="N55" s="6">
        <f t="shared" si="15"/>
        <v>231.3888889</v>
      </c>
      <c r="O55" s="6">
        <f t="shared" si="15"/>
        <v>231.3888889</v>
      </c>
      <c r="P55" s="6">
        <f t="shared" si="15"/>
        <v>231.3888889</v>
      </c>
      <c r="Q55" s="6">
        <f t="shared" si="15"/>
        <v>221.3888889</v>
      </c>
      <c r="R55" s="6">
        <f t="shared" si="15"/>
        <v>221.3888889</v>
      </c>
      <c r="S55" s="6">
        <f t="shared" si="15"/>
        <v>230.2777778</v>
      </c>
      <c r="T55" s="6">
        <f t="shared" si="15"/>
        <v>221.6666667</v>
      </c>
      <c r="U55" s="6">
        <f t="shared" si="15"/>
        <v>219.1666667</v>
      </c>
      <c r="V55" s="6">
        <f t="shared" si="15"/>
        <v>219.1666667</v>
      </c>
      <c r="W55" s="6">
        <f t="shared" si="15"/>
        <v>219.1666667</v>
      </c>
      <c r="X55" s="6">
        <f t="shared" si="15"/>
        <v>219.1666667</v>
      </c>
      <c r="Y55" s="6">
        <f t="shared" si="15"/>
        <v>219.7222222</v>
      </c>
      <c r="Z55" s="6">
        <f t="shared" si="15"/>
        <v>138.8888889</v>
      </c>
      <c r="AA55" s="6">
        <f t="shared" si="15"/>
        <v>145</v>
      </c>
      <c r="AB55" s="6">
        <f t="shared" si="15"/>
        <v>237.7777778</v>
      </c>
      <c r="AC55" s="6">
        <f t="shared" si="15"/>
        <v>159.7222222</v>
      </c>
      <c r="AD55" s="6">
        <f t="shared" si="15"/>
        <v>241.6666667</v>
      </c>
      <c r="AE55" s="6">
        <f t="shared" si="15"/>
        <v>241.6666667</v>
      </c>
      <c r="AF55" s="6">
        <f t="shared" si="15"/>
        <v>239.7222222</v>
      </c>
      <c r="AG55" s="6">
        <f t="shared" si="15"/>
        <v>239.7222222</v>
      </c>
      <c r="AH55" s="6">
        <f t="shared" si="15"/>
        <v>146.6666667</v>
      </c>
      <c r="AI55" s="6">
        <f t="shared" si="15"/>
        <v>190.2777778</v>
      </c>
    </row>
    <row r="56">
      <c r="A56" s="3" t="s">
        <v>164</v>
      </c>
      <c r="B56" t="str">
        <f t="shared" ref="B56:AH56" si="16">(B55/(9.80665*B31*1000))*14*LN(B54)</f>
        <v>#DIV/0!</v>
      </c>
      <c r="C56" t="str">
        <f t="shared" si="16"/>
        <v>#DIV/0!</v>
      </c>
      <c r="D56" t="str">
        <f t="shared" si="16"/>
        <v>#DIV/0!</v>
      </c>
      <c r="E56" t="str">
        <f t="shared" si="16"/>
        <v>#DIV/0!</v>
      </c>
      <c r="F56">
        <f t="shared" si="16"/>
        <v>0.000003310488385</v>
      </c>
      <c r="G56">
        <f t="shared" si="16"/>
        <v>0.000006189826596</v>
      </c>
      <c r="H56">
        <f t="shared" si="16"/>
        <v>0.000002331837559</v>
      </c>
      <c r="I56">
        <f t="shared" si="16"/>
        <v>0.000004344038903</v>
      </c>
      <c r="J56">
        <f t="shared" si="16"/>
        <v>0.00001487707761</v>
      </c>
      <c r="K56">
        <f t="shared" si="16"/>
        <v>0.00001661106863</v>
      </c>
      <c r="L56">
        <f t="shared" si="16"/>
        <v>0.00001946478172</v>
      </c>
      <c r="M56">
        <f t="shared" si="16"/>
        <v>0.00002085903825</v>
      </c>
      <c r="N56">
        <f t="shared" si="16"/>
        <v>0.00001995973728</v>
      </c>
      <c r="O56">
        <f t="shared" si="16"/>
        <v>0.00002037812496</v>
      </c>
      <c r="P56">
        <f t="shared" si="16"/>
        <v>0.00001986301148</v>
      </c>
      <c r="Q56">
        <f t="shared" si="16"/>
        <v>0.00001528683434</v>
      </c>
      <c r="R56" t="str">
        <f t="shared" si="16"/>
        <v>#DIV/0!</v>
      </c>
      <c r="S56">
        <f t="shared" si="16"/>
        <v>0.0000006179802341</v>
      </c>
      <c r="T56" t="str">
        <f t="shared" si="16"/>
        <v>#DIV/0!</v>
      </c>
      <c r="U56" t="str">
        <f t="shared" si="16"/>
        <v>#DIV/0!</v>
      </c>
      <c r="V56" t="str">
        <f t="shared" si="16"/>
        <v>#DIV/0!</v>
      </c>
      <c r="W56" t="str">
        <f t="shared" si="16"/>
        <v>#DIV/0!</v>
      </c>
      <c r="X56" t="str">
        <f t="shared" si="16"/>
        <v>#DIV/0!</v>
      </c>
      <c r="Y56" t="str">
        <f t="shared" si="16"/>
        <v>#DIV/0!</v>
      </c>
      <c r="Z56" t="str">
        <f t="shared" si="16"/>
        <v>#DIV/0!</v>
      </c>
      <c r="AA56" t="str">
        <f t="shared" si="16"/>
        <v>#DIV/0!</v>
      </c>
      <c r="AB56" t="str">
        <f t="shared" si="16"/>
        <v>#DIV/0!</v>
      </c>
      <c r="AC56">
        <f t="shared" si="16"/>
        <v>0.000009927351917</v>
      </c>
      <c r="AD56">
        <f t="shared" si="16"/>
        <v>0.00003497437913</v>
      </c>
      <c r="AE56" t="str">
        <f t="shared" si="16"/>
        <v>#DIV/0!</v>
      </c>
      <c r="AF56" t="str">
        <f t="shared" si="16"/>
        <v>#DIV/0!</v>
      </c>
      <c r="AG56" t="str">
        <f t="shared" si="16"/>
        <v>#DIV/0!</v>
      </c>
      <c r="AH56" t="str">
        <f t="shared" si="16"/>
        <v>#DIV/0!</v>
      </c>
      <c r="AI56" t="str">
        <f t="shared" ref="AI56:AL56" si="17">(AI55/(9.80665*AI31*1000))*12*LN(AI54)</f>
        <v>#DIV/0!</v>
      </c>
      <c r="AJ56" t="str">
        <f t="shared" si="17"/>
        <v>#DIV/0!</v>
      </c>
      <c r="AK56" t="str">
        <f t="shared" si="17"/>
        <v>#NUM!</v>
      </c>
      <c r="AL56" t="str">
        <f t="shared" si="17"/>
        <v>#DIV/0!</v>
      </c>
    </row>
    <row r="57">
      <c r="A57" s="3" t="s">
        <v>165</v>
      </c>
      <c r="B57" t="str">
        <f t="shared" ref="B57:AK57" si="18">B22*B18/B7</f>
        <v>#VALUE!</v>
      </c>
      <c r="C57" t="str">
        <f t="shared" si="18"/>
        <v>#VALUE!</v>
      </c>
      <c r="D57" t="str">
        <f t="shared" si="18"/>
        <v>#VALUE!</v>
      </c>
      <c r="E57" t="str">
        <f t="shared" si="18"/>
        <v>#VALUE!</v>
      </c>
      <c r="F57" t="str">
        <f t="shared" si="18"/>
        <v>#VALUE!</v>
      </c>
      <c r="G57" t="str">
        <f t="shared" si="18"/>
        <v>#VALUE!</v>
      </c>
      <c r="H57" t="str">
        <f t="shared" si="18"/>
        <v>#VALUE!</v>
      </c>
      <c r="I57" t="str">
        <f t="shared" si="18"/>
        <v>#VALUE!</v>
      </c>
      <c r="J57">
        <f t="shared" si="18"/>
        <v>0.003357973458</v>
      </c>
      <c r="K57">
        <f t="shared" si="18"/>
        <v>0.003603868426</v>
      </c>
      <c r="L57">
        <f t="shared" si="18"/>
        <v>0.003548421053</v>
      </c>
      <c r="M57">
        <f t="shared" si="18"/>
        <v>0.003371</v>
      </c>
      <c r="N57">
        <f t="shared" si="18"/>
        <v>0.003195260664</v>
      </c>
      <c r="O57">
        <f t="shared" si="18"/>
        <v>0.003212005717</v>
      </c>
      <c r="P57">
        <f t="shared" si="18"/>
        <v>0.003064545455</v>
      </c>
      <c r="Q57">
        <f t="shared" si="18"/>
        <v>0.003387096774</v>
      </c>
      <c r="R57">
        <f t="shared" si="18"/>
        <v>0.003264248705</v>
      </c>
      <c r="S57">
        <f t="shared" si="18"/>
        <v>0.00376119403</v>
      </c>
      <c r="T57">
        <f t="shared" si="18"/>
        <v>0.00325442234</v>
      </c>
      <c r="U57">
        <f t="shared" si="18"/>
        <v>0.002939503129</v>
      </c>
      <c r="V57">
        <f t="shared" si="18"/>
        <v>0.00280384398</v>
      </c>
      <c r="W57">
        <f t="shared" si="18"/>
        <v>0.003286002992</v>
      </c>
      <c r="X57">
        <f t="shared" si="18"/>
        <v>0.002948985397</v>
      </c>
      <c r="Y57">
        <f t="shared" si="18"/>
        <v>0.002812888638</v>
      </c>
      <c r="Z57" t="str">
        <f t="shared" si="18"/>
        <v>#VALUE!</v>
      </c>
      <c r="AA57" t="str">
        <f t="shared" si="18"/>
        <v>#VALUE!</v>
      </c>
      <c r="AB57">
        <f t="shared" si="18"/>
        <v>0.002771653543</v>
      </c>
      <c r="AC57" t="str">
        <f t="shared" si="18"/>
        <v>#VALUE!</v>
      </c>
      <c r="AD57">
        <f t="shared" si="18"/>
        <v>0.00326848249</v>
      </c>
      <c r="AE57">
        <f t="shared" si="18"/>
        <v>0.002986050567</v>
      </c>
      <c r="AF57">
        <f t="shared" si="18"/>
        <v>0.003388189739</v>
      </c>
      <c r="AG57">
        <f t="shared" si="18"/>
        <v>0.003181818182</v>
      </c>
      <c r="AH57" t="str">
        <f t="shared" si="18"/>
        <v>#VALUE!</v>
      </c>
      <c r="AI57" t="str">
        <f t="shared" si="18"/>
        <v>#VALUE!</v>
      </c>
      <c r="AJ57" t="str">
        <f t="shared" si="18"/>
        <v>#VALUE!</v>
      </c>
      <c r="AK57" t="str">
        <f t="shared" si="18"/>
        <v>#VALUE!</v>
      </c>
      <c r="AL57">
        <f>average(AD57:AG57,AB57,J57:Y57)</f>
        <v>0.003209878823</v>
      </c>
    </row>
    <row r="58">
      <c r="A58" s="3" t="s">
        <v>166</v>
      </c>
      <c r="B58">
        <f t="shared" ref="B58:AL58" si="19">ln(B54)</f>
        <v>0.01715225043</v>
      </c>
      <c r="C58">
        <f t="shared" si="19"/>
        <v>0.03079182016</v>
      </c>
      <c r="D58">
        <f t="shared" si="19"/>
        <v>0.01047325825</v>
      </c>
      <c r="E58">
        <f t="shared" si="19"/>
        <v>0.01484650812</v>
      </c>
      <c r="F58">
        <f t="shared" si="19"/>
        <v>0.01484650812</v>
      </c>
      <c r="G58">
        <f t="shared" si="19"/>
        <v>0.03676125983</v>
      </c>
      <c r="H58">
        <f t="shared" si="19"/>
        <v>0.007792394276</v>
      </c>
      <c r="I58">
        <f t="shared" si="19"/>
        <v>0.02312414412</v>
      </c>
      <c r="J58">
        <f t="shared" si="19"/>
        <v>0.07066906292</v>
      </c>
      <c r="K58">
        <f t="shared" si="19"/>
        <v>0.10854616</v>
      </c>
      <c r="L58">
        <f t="shared" si="19"/>
        <v>0.1202070238</v>
      </c>
      <c r="M58">
        <f t="shared" si="19"/>
        <v>0.1461825102</v>
      </c>
      <c r="N58">
        <f t="shared" si="19"/>
        <v>0.1332335358</v>
      </c>
      <c r="O58">
        <f t="shared" si="19"/>
        <v>0.1280066292</v>
      </c>
      <c r="P58">
        <f t="shared" si="19"/>
        <v>0.1292806994</v>
      </c>
      <c r="Q58">
        <f t="shared" si="19"/>
        <v>0.1334945269</v>
      </c>
      <c r="R58">
        <f t="shared" si="19"/>
        <v>0.1455350514</v>
      </c>
      <c r="S58">
        <f t="shared" si="19"/>
        <v>0.003534052883</v>
      </c>
      <c r="T58">
        <f t="shared" si="19"/>
        <v>0.1270308248</v>
      </c>
      <c r="U58">
        <f t="shared" si="19"/>
        <v>0.1381313741</v>
      </c>
      <c r="V58">
        <f t="shared" si="19"/>
        <v>0.1146334502</v>
      </c>
      <c r="W58">
        <f t="shared" si="19"/>
        <v>0.08413389766</v>
      </c>
      <c r="X58">
        <f t="shared" si="19"/>
        <v>0.08621070456</v>
      </c>
      <c r="Y58">
        <f t="shared" si="19"/>
        <v>0.09009715474</v>
      </c>
      <c r="Z58">
        <f t="shared" si="19"/>
        <v>-0.02264905178</v>
      </c>
      <c r="AA58">
        <f t="shared" si="19"/>
        <v>-0.006893478519</v>
      </c>
      <c r="AB58">
        <f t="shared" si="19"/>
        <v>0.113537841</v>
      </c>
      <c r="AC58">
        <f t="shared" si="19"/>
        <v>0.07619013836</v>
      </c>
      <c r="AD58">
        <f t="shared" si="19"/>
        <v>0.2128850659</v>
      </c>
      <c r="AE58">
        <f t="shared" si="19"/>
        <v>0.06018879701</v>
      </c>
      <c r="AF58">
        <f t="shared" si="19"/>
        <v>0.08713459148</v>
      </c>
      <c r="AG58">
        <f t="shared" si="19"/>
        <v>0.07293732895</v>
      </c>
      <c r="AH58">
        <f t="shared" si="19"/>
        <v>0.01326894425</v>
      </c>
      <c r="AI58">
        <f t="shared" si="19"/>
        <v>0.06280090124</v>
      </c>
      <c r="AJ58" t="str">
        <f t="shared" si="19"/>
        <v>#NUM!</v>
      </c>
      <c r="AK58" t="str">
        <f t="shared" si="19"/>
        <v>#NUM!</v>
      </c>
      <c r="AL58" t="str">
        <f t="shared" si="19"/>
        <v>#NUM!</v>
      </c>
    </row>
    <row r="59">
      <c r="A59" s="3" t="s">
        <v>53</v>
      </c>
      <c r="B59" s="3" t="s">
        <v>56</v>
      </c>
      <c r="C59" s="3" t="s">
        <v>56</v>
      </c>
      <c r="D59" s="3" t="s">
        <v>56</v>
      </c>
      <c r="E59" s="3" t="s">
        <v>56</v>
      </c>
      <c r="F59" s="3" t="s">
        <v>56</v>
      </c>
      <c r="G59" s="3" t="s">
        <v>56</v>
      </c>
      <c r="H59" s="3" t="s">
        <v>56</v>
      </c>
      <c r="I59" s="3" t="s">
        <v>56</v>
      </c>
      <c r="J59" s="3" t="s">
        <v>54</v>
      </c>
      <c r="K59" s="3" t="s">
        <v>54</v>
      </c>
      <c r="L59" s="3" t="s">
        <v>54</v>
      </c>
      <c r="M59" s="3" t="s">
        <v>55</v>
      </c>
      <c r="N59" s="3" t="s">
        <v>54</v>
      </c>
      <c r="O59" s="3" t="s">
        <v>54</v>
      </c>
      <c r="P59" s="3" t="s">
        <v>54</v>
      </c>
      <c r="Q59" s="3" t="s">
        <v>54</v>
      </c>
      <c r="R59" s="3" t="s">
        <v>54</v>
      </c>
      <c r="S59" s="3" t="s">
        <v>54</v>
      </c>
      <c r="T59" s="3" t="s">
        <v>54</v>
      </c>
      <c r="U59" s="3" t="s">
        <v>54</v>
      </c>
      <c r="V59" s="3" t="s">
        <v>54</v>
      </c>
      <c r="W59" s="3" t="s">
        <v>54</v>
      </c>
      <c r="X59" s="3" t="s">
        <v>54</v>
      </c>
      <c r="Y59" s="3" t="s">
        <v>54</v>
      </c>
      <c r="Z59" s="3" t="s">
        <v>56</v>
      </c>
      <c r="AA59" s="3" t="s">
        <v>56</v>
      </c>
      <c r="AB59" s="3" t="s">
        <v>54</v>
      </c>
      <c r="AC59" s="3" t="s">
        <v>56</v>
      </c>
      <c r="AD59" s="3" t="s">
        <v>54</v>
      </c>
      <c r="AE59" s="3" t="s">
        <v>54</v>
      </c>
      <c r="AF59" s="3" t="s">
        <v>54</v>
      </c>
      <c r="AG59" s="3" t="s">
        <v>54</v>
      </c>
      <c r="AH59" s="3" t="s">
        <v>56</v>
      </c>
      <c r="AI59" s="3" t="s">
        <v>56</v>
      </c>
      <c r="AJ59" s="3" t="s">
        <v>56</v>
      </c>
      <c r="AK59" s="3" t="s">
        <v>71</v>
      </c>
      <c r="AL59" s="3"/>
      <c r="AM59" s="3"/>
    </row>
    <row r="60">
      <c r="A60" s="3" t="s">
        <v>167</v>
      </c>
      <c r="B60">
        <f t="shared" ref="B60:AL60" si="20">B31*9.80665/(13*B58)</f>
        <v>0</v>
      </c>
      <c r="C60">
        <f t="shared" si="20"/>
        <v>0</v>
      </c>
      <c r="D60">
        <f t="shared" si="20"/>
        <v>0</v>
      </c>
      <c r="E60">
        <f t="shared" si="20"/>
        <v>0</v>
      </c>
      <c r="F60">
        <f t="shared" si="20"/>
        <v>46085.07412</v>
      </c>
      <c r="G60">
        <f t="shared" si="20"/>
        <v>25855.77036</v>
      </c>
      <c r="H60">
        <f t="shared" si="20"/>
        <v>68248.87888</v>
      </c>
      <c r="I60">
        <f t="shared" si="20"/>
        <v>45931.88942</v>
      </c>
      <c r="J60">
        <f t="shared" si="20"/>
        <v>17292.70788</v>
      </c>
      <c r="K60">
        <f t="shared" si="20"/>
        <v>15775.70281</v>
      </c>
      <c r="L60">
        <f t="shared" si="20"/>
        <v>12801.99479</v>
      </c>
      <c r="M60">
        <f t="shared" si="20"/>
        <v>11946.28588</v>
      </c>
      <c r="N60">
        <f t="shared" si="20"/>
        <v>12484.53478</v>
      </c>
      <c r="O60">
        <f t="shared" si="20"/>
        <v>12228.2121</v>
      </c>
      <c r="P60">
        <f t="shared" si="20"/>
        <v>12545.33002</v>
      </c>
      <c r="Q60">
        <f t="shared" si="20"/>
        <v>15596.34899</v>
      </c>
      <c r="R60">
        <f t="shared" si="20"/>
        <v>0</v>
      </c>
      <c r="S60">
        <f t="shared" si="20"/>
        <v>401293.5031</v>
      </c>
      <c r="T60">
        <f t="shared" si="20"/>
        <v>0</v>
      </c>
      <c r="U60">
        <f t="shared" si="20"/>
        <v>0</v>
      </c>
      <c r="V60">
        <f t="shared" si="20"/>
        <v>0</v>
      </c>
      <c r="W60">
        <f t="shared" si="20"/>
        <v>0</v>
      </c>
      <c r="X60">
        <f t="shared" si="20"/>
        <v>0</v>
      </c>
      <c r="Y60">
        <f t="shared" si="20"/>
        <v>0</v>
      </c>
      <c r="Z60">
        <f t="shared" si="20"/>
        <v>0</v>
      </c>
      <c r="AA60">
        <f t="shared" si="20"/>
        <v>0</v>
      </c>
      <c r="AB60">
        <f t="shared" si="20"/>
        <v>0</v>
      </c>
      <c r="AC60">
        <f t="shared" si="20"/>
        <v>17326.73007</v>
      </c>
      <c r="AD60">
        <f t="shared" si="20"/>
        <v>7441.344685</v>
      </c>
      <c r="AE60">
        <f t="shared" si="20"/>
        <v>0</v>
      </c>
      <c r="AF60">
        <f t="shared" si="20"/>
        <v>0</v>
      </c>
      <c r="AG60">
        <f t="shared" si="20"/>
        <v>0</v>
      </c>
      <c r="AH60">
        <f t="shared" si="20"/>
        <v>0</v>
      </c>
      <c r="AI60">
        <f t="shared" si="20"/>
        <v>0</v>
      </c>
      <c r="AJ60" t="str">
        <f t="shared" si="20"/>
        <v>#NUM!</v>
      </c>
      <c r="AK60" t="str">
        <f t="shared" si="20"/>
        <v>#NUM!</v>
      </c>
      <c r="AL60" t="str">
        <f t="shared" si="20"/>
        <v>#NUM!</v>
      </c>
    </row>
    <row r="61">
      <c r="W61" s="3"/>
      <c r="X61" s="3"/>
      <c r="Y61" s="3"/>
    </row>
    <row r="62">
      <c r="B62">
        <f>(F60+G60+H60+I60+AC60+AD60)/6</f>
        <v>35148.28125</v>
      </c>
      <c r="W62" s="3"/>
      <c r="X62" s="3"/>
      <c r="Y62" s="3"/>
    </row>
    <row r="63">
      <c r="B63">
        <f>(J56+K56+L56+M56+N56+O56+P56+Q56+S56+AD56)/10</f>
        <v>0.00001828920336</v>
      </c>
      <c r="W63" s="3"/>
      <c r="X63" s="3"/>
      <c r="Y63" s="3"/>
    </row>
    <row r="64">
      <c r="W64" s="3"/>
      <c r="X64" s="3"/>
      <c r="Y64" s="3"/>
    </row>
    <row r="66">
      <c r="W66" s="3"/>
      <c r="X66" s="3"/>
      <c r="Y66" s="3"/>
    </row>
    <row r="67">
      <c r="W67" s="26"/>
      <c r="X67" s="26"/>
      <c r="Y67" s="26"/>
    </row>
    <row r="75">
      <c r="A75" s="3" t="s">
        <v>168</v>
      </c>
      <c r="B75">
        <f t="shared" ref="B75:AI75" si="21"> B9</f>
        <v>10290</v>
      </c>
      <c r="C75">
        <f t="shared" si="21"/>
        <v>11550</v>
      </c>
      <c r="D75">
        <f t="shared" si="21"/>
        <v>12400</v>
      </c>
      <c r="E75">
        <f t="shared" si="21"/>
        <v>12950</v>
      </c>
      <c r="F75">
        <f t="shared" si="21"/>
        <v>13311</v>
      </c>
      <c r="G75">
        <f t="shared" si="21"/>
        <v>10477</v>
      </c>
      <c r="H75">
        <f t="shared" si="21"/>
        <v>11793</v>
      </c>
      <c r="I75">
        <f t="shared" si="21"/>
        <v>17891</v>
      </c>
      <c r="J75">
        <f t="shared" si="21"/>
        <v>14016</v>
      </c>
      <c r="K75">
        <f t="shared" si="21"/>
        <v>20069</v>
      </c>
      <c r="L75">
        <f t="shared" si="21"/>
        <v>11402</v>
      </c>
      <c r="M75">
        <f t="shared" si="21"/>
        <v>11501</v>
      </c>
      <c r="N75">
        <f t="shared" si="21"/>
        <v>11808</v>
      </c>
      <c r="O75">
        <f t="shared" si="21"/>
        <v>11947</v>
      </c>
      <c r="P75">
        <f t="shared" si="21"/>
        <v>12114</v>
      </c>
      <c r="Q75">
        <f t="shared" si="21"/>
        <v>21137</v>
      </c>
      <c r="R75">
        <f t="shared" si="21"/>
        <v>21157</v>
      </c>
      <c r="S75">
        <f t="shared" si="21"/>
        <v>21700</v>
      </c>
      <c r="T75">
        <f t="shared" si="21"/>
        <v>23300</v>
      </c>
      <c r="U75">
        <f t="shared" si="21"/>
        <v>23800</v>
      </c>
      <c r="V75">
        <f t="shared" si="21"/>
        <v>24800</v>
      </c>
      <c r="W75">
        <f t="shared" si="21"/>
        <v>23820</v>
      </c>
      <c r="X75">
        <f t="shared" si="21"/>
        <v>24600</v>
      </c>
      <c r="Y75">
        <f t="shared" si="21"/>
        <v>25640</v>
      </c>
      <c r="Z75">
        <f t="shared" si="21"/>
        <v>15000</v>
      </c>
      <c r="AA75">
        <f t="shared" si="21"/>
        <v>12520</v>
      </c>
      <c r="AB75">
        <f t="shared" si="21"/>
        <v>24727</v>
      </c>
      <c r="AC75">
        <f t="shared" si="21"/>
        <v>12810</v>
      </c>
      <c r="AD75">
        <f t="shared" si="21"/>
        <v>22490</v>
      </c>
      <c r="AE75">
        <f t="shared" si="21"/>
        <v>24250</v>
      </c>
      <c r="AF75">
        <f t="shared" si="21"/>
        <v>19033</v>
      </c>
      <c r="AG75">
        <f t="shared" si="21"/>
        <v>21575</v>
      </c>
      <c r="AH75">
        <f t="shared" si="21"/>
        <v>8140</v>
      </c>
      <c r="AI75">
        <f t="shared" si="21"/>
        <v>14500</v>
      </c>
    </row>
    <row r="76">
      <c r="A76" s="3" t="s">
        <v>169</v>
      </c>
      <c r="B76">
        <f t="shared" ref="B76:AI76" si="22"> IF(B16 = "Turboprop", B27, "")</f>
        <v>1090</v>
      </c>
      <c r="C76">
        <f t="shared" si="22"/>
        <v>1165</v>
      </c>
      <c r="D76">
        <f t="shared" si="22"/>
        <v>1409</v>
      </c>
      <c r="E76">
        <f t="shared" si="22"/>
        <v>1220</v>
      </c>
      <c r="F76">
        <f t="shared" si="22"/>
        <v>1333</v>
      </c>
      <c r="G76">
        <f t="shared" si="22"/>
        <v>1000</v>
      </c>
      <c r="H76">
        <f t="shared" si="22"/>
        <v>1180</v>
      </c>
      <c r="I76">
        <f t="shared" si="22"/>
        <v>1425</v>
      </c>
      <c r="J76" t="str">
        <f t="shared" si="22"/>
        <v/>
      </c>
      <c r="K76" t="str">
        <f t="shared" si="22"/>
        <v/>
      </c>
      <c r="L76" t="str">
        <f t="shared" si="22"/>
        <v/>
      </c>
      <c r="M76" t="str">
        <f t="shared" si="22"/>
        <v/>
      </c>
      <c r="N76" t="str">
        <f t="shared" si="22"/>
        <v/>
      </c>
      <c r="O76" t="str">
        <f t="shared" si="22"/>
        <v/>
      </c>
      <c r="P76" t="str">
        <f t="shared" si="22"/>
        <v/>
      </c>
      <c r="Q76" t="str">
        <f t="shared" si="22"/>
        <v/>
      </c>
      <c r="R76" t="str">
        <f t="shared" si="22"/>
        <v/>
      </c>
      <c r="S76" t="str">
        <f t="shared" si="22"/>
        <v/>
      </c>
      <c r="T76" t="str">
        <f t="shared" si="22"/>
        <v/>
      </c>
      <c r="U76" t="str">
        <f t="shared" si="22"/>
        <v/>
      </c>
      <c r="V76" t="str">
        <f t="shared" si="22"/>
        <v/>
      </c>
      <c r="W76" t="str">
        <f t="shared" si="22"/>
        <v/>
      </c>
      <c r="X76" t="str">
        <f t="shared" si="22"/>
        <v/>
      </c>
      <c r="Y76" t="str">
        <f t="shared" si="22"/>
        <v/>
      </c>
      <c r="Z76">
        <f t="shared" si="22"/>
        <v>1550</v>
      </c>
      <c r="AA76">
        <f t="shared" si="22"/>
        <v>1126</v>
      </c>
      <c r="AB76" t="str">
        <f t="shared" si="22"/>
        <v/>
      </c>
      <c r="AC76">
        <f t="shared" si="22"/>
        <v>1750</v>
      </c>
      <c r="AD76" t="str">
        <f t="shared" si="22"/>
        <v/>
      </c>
      <c r="AE76" t="str">
        <f t="shared" si="22"/>
        <v/>
      </c>
      <c r="AF76" t="str">
        <f t="shared" si="22"/>
        <v/>
      </c>
      <c r="AG76" t="str">
        <f t="shared" si="22"/>
        <v/>
      </c>
      <c r="AH76">
        <f t="shared" si="22"/>
        <v>1290</v>
      </c>
      <c r="AI76">
        <f t="shared" si="22"/>
        <v>1340</v>
      </c>
    </row>
    <row r="77">
      <c r="A77" s="3" t="s">
        <v>170</v>
      </c>
      <c r="B77" t="str">
        <f t="shared" ref="B77:AI77" si="23"> IF(B16 = "Turbofan", B27, "")</f>
        <v/>
      </c>
      <c r="C77" t="str">
        <f t="shared" si="23"/>
        <v/>
      </c>
      <c r="D77" t="str">
        <f t="shared" si="23"/>
        <v/>
      </c>
      <c r="E77" t="str">
        <f t="shared" si="23"/>
        <v/>
      </c>
      <c r="F77" t="str">
        <f t="shared" si="23"/>
        <v/>
      </c>
      <c r="G77" t="str">
        <f t="shared" si="23"/>
        <v/>
      </c>
      <c r="H77" t="str">
        <f t="shared" si="23"/>
        <v/>
      </c>
      <c r="I77" t="str">
        <f t="shared" si="23"/>
        <v/>
      </c>
      <c r="J77">
        <f t="shared" si="23"/>
        <v>1768</v>
      </c>
      <c r="K77">
        <f t="shared" si="23"/>
        <v>1516</v>
      </c>
      <c r="L77">
        <f t="shared" si="23"/>
        <v>1640</v>
      </c>
      <c r="M77" t="str">
        <f t="shared" si="23"/>
        <v/>
      </c>
      <c r="N77">
        <f t="shared" si="23"/>
        <v>1850</v>
      </c>
      <c r="O77">
        <f t="shared" si="23"/>
        <v>2030</v>
      </c>
      <c r="P77">
        <f t="shared" si="23"/>
        <v>2270</v>
      </c>
      <c r="Q77">
        <f t="shared" si="23"/>
        <v>1582</v>
      </c>
      <c r="R77">
        <f t="shared" si="23"/>
        <v>1644</v>
      </c>
      <c r="S77">
        <f t="shared" si="23"/>
        <v>1450</v>
      </c>
      <c r="T77">
        <f t="shared" si="23"/>
        <v>1231</v>
      </c>
      <c r="U77">
        <f t="shared" si="23"/>
        <v>1554</v>
      </c>
      <c r="V77">
        <f t="shared" si="23"/>
        <v>1585</v>
      </c>
      <c r="W77">
        <f t="shared" si="23"/>
        <v>1195</v>
      </c>
      <c r="X77">
        <f t="shared" si="23"/>
        <v>1390</v>
      </c>
      <c r="Y77">
        <f t="shared" si="23"/>
        <v>1535</v>
      </c>
      <c r="Z77" t="str">
        <f t="shared" si="23"/>
        <v/>
      </c>
      <c r="AA77" t="str">
        <f t="shared" si="23"/>
        <v/>
      </c>
      <c r="AB77">
        <f t="shared" si="23"/>
        <v>1583</v>
      </c>
      <c r="AC77" t="str">
        <f t="shared" si="23"/>
        <v/>
      </c>
      <c r="AD77">
        <f t="shared" si="23"/>
        <v>1560</v>
      </c>
      <c r="AE77">
        <f t="shared" si="23"/>
        <v>1731</v>
      </c>
      <c r="AF77">
        <f t="shared" si="23"/>
        <v>1463</v>
      </c>
      <c r="AG77">
        <f t="shared" si="23"/>
        <v>1676</v>
      </c>
      <c r="AH77" t="str">
        <f t="shared" si="23"/>
        <v/>
      </c>
      <c r="AI77" t="str">
        <f t="shared" si="23"/>
        <v/>
      </c>
    </row>
    <row r="117">
      <c r="A117" s="3" t="s">
        <v>61</v>
      </c>
      <c r="B117">
        <f t="shared" ref="B117:AI117" si="24"> B3</f>
        <v>48</v>
      </c>
      <c r="C117">
        <f t="shared" si="24"/>
        <v>48</v>
      </c>
      <c r="D117">
        <f t="shared" si="24"/>
        <v>66</v>
      </c>
      <c r="E117">
        <f t="shared" si="24"/>
        <v>68</v>
      </c>
      <c r="F117">
        <f t="shared" si="24"/>
        <v>70</v>
      </c>
      <c r="G117">
        <f t="shared" si="24"/>
        <v>37</v>
      </c>
      <c r="H117">
        <f t="shared" si="24"/>
        <v>50</v>
      </c>
      <c r="I117">
        <f t="shared" si="24"/>
        <v>70</v>
      </c>
      <c r="J117">
        <f t="shared" si="24"/>
        <v>50</v>
      </c>
      <c r="K117">
        <f t="shared" si="24"/>
        <v>74</v>
      </c>
      <c r="L117">
        <f t="shared" si="24"/>
        <v>37</v>
      </c>
      <c r="M117">
        <f t="shared" si="24"/>
        <v>37</v>
      </c>
      <c r="N117">
        <f t="shared" si="24"/>
        <v>44</v>
      </c>
      <c r="O117">
        <f t="shared" si="24"/>
        <v>50</v>
      </c>
      <c r="P117">
        <f t="shared" si="24"/>
        <v>50</v>
      </c>
      <c r="Q117">
        <f t="shared" si="24"/>
        <v>72</v>
      </c>
      <c r="R117">
        <f t="shared" si="24"/>
        <v>72</v>
      </c>
      <c r="S117">
        <f t="shared" si="24"/>
        <v>76</v>
      </c>
      <c r="T117">
        <f t="shared" si="24"/>
        <v>73</v>
      </c>
      <c r="U117">
        <f t="shared" si="24"/>
        <v>88</v>
      </c>
      <c r="V117">
        <f t="shared" si="24"/>
        <v>103</v>
      </c>
      <c r="W117">
        <f t="shared" si="24"/>
        <v>82</v>
      </c>
      <c r="X117">
        <f t="shared" si="24"/>
        <v>100</v>
      </c>
      <c r="Y117">
        <f t="shared" si="24"/>
        <v>100</v>
      </c>
      <c r="Z117">
        <f t="shared" si="24"/>
        <v>64</v>
      </c>
      <c r="AA117">
        <f t="shared" si="24"/>
        <v>50</v>
      </c>
      <c r="AB117">
        <f t="shared" si="24"/>
        <v>79</v>
      </c>
      <c r="AC117">
        <f t="shared" si="24"/>
        <v>50</v>
      </c>
      <c r="AD117">
        <f t="shared" si="24"/>
        <v>75</v>
      </c>
      <c r="AE117">
        <f t="shared" si="24"/>
        <v>98</v>
      </c>
      <c r="AF117">
        <f t="shared" si="24"/>
        <v>55</v>
      </c>
      <c r="AG117">
        <f t="shared" si="24"/>
        <v>70</v>
      </c>
      <c r="AH117">
        <f t="shared" si="24"/>
        <v>35</v>
      </c>
      <c r="AI117">
        <f t="shared" si="24"/>
        <v>50</v>
      </c>
    </row>
    <row r="118">
      <c r="A118" s="3" t="s">
        <v>171</v>
      </c>
      <c r="B118">
        <f t="shared" ref="B118:AI118" si="25"> IF(B16 = "Turboprop", B7, "")</f>
        <v>16700</v>
      </c>
      <c r="C118">
        <f t="shared" si="25"/>
        <v>18600</v>
      </c>
      <c r="D118">
        <f t="shared" si="25"/>
        <v>21500</v>
      </c>
      <c r="E118">
        <f t="shared" si="25"/>
        <v>22800</v>
      </c>
      <c r="F118">
        <f t="shared" si="25"/>
        <v>22800</v>
      </c>
      <c r="G118">
        <f t="shared" si="25"/>
        <v>16466</v>
      </c>
      <c r="H118">
        <f t="shared" si="25"/>
        <v>19505</v>
      </c>
      <c r="I118">
        <f t="shared" si="25"/>
        <v>30481</v>
      </c>
      <c r="J118" t="str">
        <f t="shared" si="25"/>
        <v/>
      </c>
      <c r="K118" t="str">
        <f t="shared" si="25"/>
        <v/>
      </c>
      <c r="L118" t="str">
        <f t="shared" si="25"/>
        <v/>
      </c>
      <c r="M118" t="str">
        <f t="shared" si="25"/>
        <v/>
      </c>
      <c r="N118" t="str">
        <f t="shared" si="25"/>
        <v/>
      </c>
      <c r="O118" t="str">
        <f t="shared" si="25"/>
        <v/>
      </c>
      <c r="P118" t="str">
        <f t="shared" si="25"/>
        <v/>
      </c>
      <c r="Q118" t="str">
        <f t="shared" si="25"/>
        <v/>
      </c>
      <c r="R118" t="str">
        <f t="shared" si="25"/>
        <v/>
      </c>
      <c r="S118" t="str">
        <f t="shared" si="25"/>
        <v/>
      </c>
      <c r="T118" t="str">
        <f t="shared" si="25"/>
        <v/>
      </c>
      <c r="U118" t="str">
        <f t="shared" si="25"/>
        <v/>
      </c>
      <c r="V118" t="str">
        <f t="shared" si="25"/>
        <v/>
      </c>
      <c r="W118" t="str">
        <f t="shared" si="25"/>
        <v/>
      </c>
      <c r="X118" t="str">
        <f t="shared" si="25"/>
        <v/>
      </c>
      <c r="Y118" t="str">
        <f t="shared" si="25"/>
        <v/>
      </c>
      <c r="Z118">
        <f t="shared" si="25"/>
        <v>22700</v>
      </c>
      <c r="AA118">
        <f t="shared" si="25"/>
        <v>19950</v>
      </c>
      <c r="AB118" t="str">
        <f t="shared" si="25"/>
        <v/>
      </c>
      <c r="AC118">
        <f t="shared" si="25"/>
        <v>21500</v>
      </c>
      <c r="AD118" t="str">
        <f t="shared" si="25"/>
        <v/>
      </c>
      <c r="AE118" t="str">
        <f t="shared" si="25"/>
        <v/>
      </c>
      <c r="AF118" t="str">
        <f t="shared" si="25"/>
        <v/>
      </c>
      <c r="AG118" t="str">
        <f t="shared" si="25"/>
        <v/>
      </c>
      <c r="AH118">
        <f t="shared" si="25"/>
        <v>13155</v>
      </c>
      <c r="AI118">
        <f t="shared" si="25"/>
        <v>23000</v>
      </c>
    </row>
    <row r="119">
      <c r="A119" s="3" t="s">
        <v>172</v>
      </c>
      <c r="B119" t="str">
        <f t="shared" ref="B119:AI119" si="26"> IF(B16 = "Turbofan", B7, "")</f>
        <v/>
      </c>
      <c r="C119" t="str">
        <f t="shared" si="26"/>
        <v/>
      </c>
      <c r="D119" t="str">
        <f t="shared" si="26"/>
        <v/>
      </c>
      <c r="E119" t="str">
        <f t="shared" si="26"/>
        <v/>
      </c>
      <c r="F119" t="str">
        <f t="shared" si="26"/>
        <v/>
      </c>
      <c r="G119" t="str">
        <f t="shared" si="26"/>
        <v/>
      </c>
      <c r="H119" t="str">
        <f t="shared" si="26"/>
        <v/>
      </c>
      <c r="I119" t="str">
        <f t="shared" si="26"/>
        <v/>
      </c>
      <c r="J119">
        <f t="shared" si="26"/>
        <v>23133</v>
      </c>
      <c r="K119">
        <f t="shared" si="26"/>
        <v>34019</v>
      </c>
      <c r="L119">
        <f t="shared" si="26"/>
        <v>19000</v>
      </c>
      <c r="M119" t="str">
        <f t="shared" si="26"/>
        <v/>
      </c>
      <c r="N119">
        <f t="shared" si="26"/>
        <v>21100</v>
      </c>
      <c r="O119">
        <f t="shared" si="26"/>
        <v>20990</v>
      </c>
      <c r="P119">
        <f t="shared" si="26"/>
        <v>22000</v>
      </c>
      <c r="Q119">
        <f t="shared" si="26"/>
        <v>37200</v>
      </c>
      <c r="R119">
        <f t="shared" si="26"/>
        <v>38600</v>
      </c>
      <c r="S119">
        <f t="shared" si="26"/>
        <v>36850</v>
      </c>
      <c r="T119">
        <f t="shared" si="26"/>
        <v>38102</v>
      </c>
      <c r="U119">
        <f t="shared" si="26"/>
        <v>42184</v>
      </c>
      <c r="V119">
        <f t="shared" si="26"/>
        <v>44225</v>
      </c>
      <c r="W119">
        <f t="shared" si="26"/>
        <v>38101</v>
      </c>
      <c r="X119">
        <f t="shared" si="26"/>
        <v>42184</v>
      </c>
      <c r="Y119">
        <f t="shared" si="26"/>
        <v>44225</v>
      </c>
      <c r="Z119" t="str">
        <f t="shared" si="26"/>
        <v/>
      </c>
      <c r="AA119" t="str">
        <f t="shared" si="26"/>
        <v/>
      </c>
      <c r="AB119">
        <f t="shared" si="26"/>
        <v>44450</v>
      </c>
      <c r="AC119" t="str">
        <f t="shared" si="26"/>
        <v/>
      </c>
      <c r="AD119">
        <f t="shared" si="26"/>
        <v>38550</v>
      </c>
      <c r="AE119">
        <f t="shared" si="26"/>
        <v>45880</v>
      </c>
      <c r="AF119">
        <f t="shared" si="26"/>
        <v>30990</v>
      </c>
      <c r="AG119">
        <f t="shared" si="26"/>
        <v>35200</v>
      </c>
      <c r="AH119" t="str">
        <f t="shared" si="26"/>
        <v/>
      </c>
      <c r="AI119" t="str">
        <f t="shared" si="26"/>
        <v/>
      </c>
    </row>
    <row r="121">
      <c r="B121" s="3"/>
    </row>
    <row r="185">
      <c r="L185" s="3" t="s">
        <v>173</v>
      </c>
      <c r="M185" s="3">
        <v>55904.1058513019</v>
      </c>
      <c r="N185" s="3"/>
    </row>
    <row r="186">
      <c r="L186" s="3" t="s">
        <v>174</v>
      </c>
      <c r="M186">
        <f>0.546*M185+1174</f>
        <v>31697.64179</v>
      </c>
    </row>
    <row r="199">
      <c r="E199" s="27" t="s">
        <v>157</v>
      </c>
    </row>
    <row r="200">
      <c r="E200" s="27" t="s">
        <v>175</v>
      </c>
    </row>
    <row r="202">
      <c r="A202" s="3" t="s">
        <v>176</v>
      </c>
      <c r="B202" s="3"/>
      <c r="C202" s="3"/>
      <c r="D202" s="3"/>
      <c r="E202" s="3" t="s">
        <v>177</v>
      </c>
      <c r="F202" s="3"/>
    </row>
    <row r="203">
      <c r="A203" s="3" t="s">
        <v>178</v>
      </c>
      <c r="E203" s="27" t="s">
        <v>179</v>
      </c>
      <c r="F203" s="3"/>
    </row>
    <row r="204">
      <c r="A204" s="3" t="s">
        <v>180</v>
      </c>
      <c r="E204" s="27" t="s">
        <v>181</v>
      </c>
      <c r="F204" s="3"/>
    </row>
    <row r="205">
      <c r="A205" s="3" t="s">
        <v>182</v>
      </c>
      <c r="E205" s="27" t="s">
        <v>183</v>
      </c>
      <c r="F205" s="3"/>
    </row>
    <row r="206">
      <c r="A206" s="3" t="s">
        <v>184</v>
      </c>
      <c r="E206" s="27" t="s">
        <v>185</v>
      </c>
      <c r="F206" s="3"/>
    </row>
    <row r="208">
      <c r="A208" s="3" t="s">
        <v>186</v>
      </c>
      <c r="E208" s="27" t="s">
        <v>187</v>
      </c>
      <c r="F208" s="3"/>
    </row>
    <row r="209">
      <c r="A209" s="3" t="s">
        <v>188</v>
      </c>
      <c r="E209" s="28" t="s">
        <v>189</v>
      </c>
      <c r="F209" s="26"/>
    </row>
    <row r="210">
      <c r="A210" s="3" t="s">
        <v>190</v>
      </c>
    </row>
    <row r="211">
      <c r="A211" s="3" t="s">
        <v>191</v>
      </c>
    </row>
    <row r="213">
      <c r="E213" s="27" t="s">
        <v>192</v>
      </c>
    </row>
  </sheetData>
  <hyperlinks>
    <hyperlink r:id="rId2" ref="B53"/>
    <hyperlink r:id="rId3" ref="C53"/>
    <hyperlink r:id="rId4" ref="F53"/>
    <hyperlink r:id="rId5" ref="I53"/>
    <hyperlink r:id="rId6" location="51-apm" ref="L53"/>
    <hyperlink r:id="rId7" location="51-apm" ref="M53"/>
    <hyperlink r:id="rId8" ref="N53"/>
    <hyperlink r:id="rId9" ref="O53"/>
    <hyperlink r:id="rId10" ref="P53"/>
    <hyperlink r:id="rId11" ref="AF53"/>
    <hyperlink r:id="rId12" ref="AG53"/>
    <hyperlink r:id="rId13" ref="AJ53"/>
    <hyperlink r:id="rId14" ref="AK53"/>
    <hyperlink r:id="rId15" ref="E199"/>
    <hyperlink r:id="rId16" ref="E200"/>
    <hyperlink r:id="rId17" ref="E203"/>
    <hyperlink r:id="rId18" ref="E204"/>
    <hyperlink r:id="rId19" ref="E205"/>
    <hyperlink r:id="rId20" ref="E206"/>
    <hyperlink r:id="rId21" ref="E208"/>
    <hyperlink r:id="rId22" ref="E209"/>
    <hyperlink r:id="rId23" ref="E213"/>
  </hyperlinks>
  <drawing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</v>
      </c>
      <c r="B1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2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/>
      <c r="AL1" s="1"/>
    </row>
    <row r="2">
      <c r="A2" s="3"/>
      <c r="B2" s="3"/>
      <c r="C2" s="3"/>
    </row>
    <row r="3">
      <c r="A3" s="3"/>
    </row>
    <row r="4">
      <c r="A4" s="3" t="s">
        <v>38</v>
      </c>
      <c r="B4" s="3">
        <v>52.0</v>
      </c>
      <c r="C4" s="3">
        <v>52.0</v>
      </c>
      <c r="D4" s="3">
        <v>74.0</v>
      </c>
      <c r="E4" s="3">
        <v>74.0</v>
      </c>
      <c r="F4" s="3">
        <v>78.0</v>
      </c>
      <c r="G4" s="3">
        <v>39.0</v>
      </c>
      <c r="H4" s="3">
        <v>56.0</v>
      </c>
      <c r="I4" s="3">
        <v>86.0</v>
      </c>
      <c r="J4" s="3">
        <v>50.0</v>
      </c>
      <c r="K4" s="3">
        <v>78.0</v>
      </c>
      <c r="L4" s="3">
        <v>37.0</v>
      </c>
      <c r="M4" s="3">
        <v>37.0</v>
      </c>
      <c r="N4" s="3">
        <v>44.0</v>
      </c>
      <c r="O4" s="3">
        <v>50.0</v>
      </c>
      <c r="P4" s="3">
        <v>50.0</v>
      </c>
      <c r="Q4" s="3">
        <v>78.0</v>
      </c>
      <c r="R4" s="3">
        <v>78.0</v>
      </c>
      <c r="S4" s="3">
        <v>78.0</v>
      </c>
      <c r="T4" s="3">
        <v>82.0</v>
      </c>
      <c r="U4" s="3">
        <v>100.0</v>
      </c>
      <c r="V4" s="3">
        <v>112.0</v>
      </c>
      <c r="W4" s="3"/>
      <c r="X4" s="3"/>
      <c r="Y4" s="3"/>
      <c r="Z4" s="3"/>
      <c r="AA4" s="3">
        <v>56.0</v>
      </c>
      <c r="AB4" s="3"/>
      <c r="AC4" s="3">
        <v>52.0</v>
      </c>
      <c r="AD4" s="3">
        <v>85.0</v>
      </c>
      <c r="AE4" s="3">
        <v>108.0</v>
      </c>
      <c r="AI4" s="3">
        <v>58.0</v>
      </c>
      <c r="AJ4" s="3" t="s">
        <v>39</v>
      </c>
      <c r="AK4" s="3"/>
    </row>
    <row r="5">
      <c r="A5" s="3" t="s">
        <v>40</v>
      </c>
      <c r="B5" s="3">
        <f>'Aircraft Data'!B7*9.81</f>
        <v>163827</v>
      </c>
      <c r="C5" s="3">
        <f>'Aircraft Data'!C7*9.81</f>
        <v>182466</v>
      </c>
      <c r="D5" s="3">
        <f>'Aircraft Data'!D7*9.81</f>
        <v>210915</v>
      </c>
      <c r="E5" s="3">
        <f>'Aircraft Data'!E7*9.81</f>
        <v>223668</v>
      </c>
      <c r="F5" s="3">
        <f>'Aircraft Data'!F7*9.81</f>
        <v>223668</v>
      </c>
      <c r="G5" s="3">
        <f>'Aircraft Data'!G7*9.81</f>
        <v>161531.46</v>
      </c>
      <c r="H5" s="3">
        <f>'Aircraft Data'!H7*9.81</f>
        <v>191344.05</v>
      </c>
      <c r="I5" s="3">
        <f>'Aircraft Data'!I7*9.81</f>
        <v>299018.61</v>
      </c>
      <c r="J5" s="3">
        <f>'Aircraft Data'!J7*9.81</f>
        <v>226934.73</v>
      </c>
      <c r="K5" s="3">
        <f>'Aircraft Data'!K7*9.81</f>
        <v>333726.39</v>
      </c>
      <c r="L5" s="3">
        <f>'Aircraft Data'!L7*9.81</f>
        <v>186390</v>
      </c>
      <c r="M5" s="3">
        <f>'Aircraft Data'!M7*9.81</f>
        <v>196200</v>
      </c>
      <c r="N5" s="3">
        <f>'Aircraft Data'!N7*9.81</f>
        <v>206991</v>
      </c>
      <c r="O5" s="3">
        <f>'Aircraft Data'!O7*9.81</f>
        <v>205911.9</v>
      </c>
      <c r="P5" s="3">
        <f>'Aircraft Data'!P7*9.81</f>
        <v>215820</v>
      </c>
      <c r="Q5" s="3">
        <f>'Aircraft Data'!Q7*9.81</f>
        <v>364932</v>
      </c>
      <c r="R5" s="3">
        <f>'Aircraft Data'!R7*9.81</f>
        <v>378666</v>
      </c>
      <c r="S5" s="3">
        <f>'Aircraft Data'!S7*9.81</f>
        <v>361498.5</v>
      </c>
      <c r="T5" s="3">
        <f>'Aircraft Data'!T7*9.81</f>
        <v>373780.62</v>
      </c>
      <c r="U5" s="3">
        <f>'Aircraft Data'!U7*9.81</f>
        <v>413825.04</v>
      </c>
      <c r="V5" s="3">
        <f>'Aircraft Data'!V7*9.81</f>
        <v>433847.25</v>
      </c>
      <c r="W5" s="3">
        <f>'Aircraft Data'!W7*9.81</f>
        <v>373770.81</v>
      </c>
      <c r="X5" s="3">
        <f>'Aircraft Data'!X7*9.81</f>
        <v>413825.04</v>
      </c>
      <c r="Y5" s="3">
        <f>'Aircraft Data'!Y7*9.81</f>
        <v>433847.25</v>
      </c>
      <c r="Z5" s="3">
        <f>'Aircraft Data'!Z7*9.81</f>
        <v>222687</v>
      </c>
      <c r="AA5" s="3">
        <f>'Aircraft Data'!AA7*9.81</f>
        <v>195709.5</v>
      </c>
      <c r="AB5" s="3">
        <f>'Aircraft Data'!AB7*9.81</f>
        <v>436054.5</v>
      </c>
      <c r="AC5" s="3">
        <f>'Aircraft Data'!AC7*9.81</f>
        <v>210915</v>
      </c>
      <c r="AD5" s="3">
        <f>'Aircraft Data'!AD7*9.81</f>
        <v>378175.5</v>
      </c>
      <c r="AE5" s="3">
        <f>'Aircraft Data'!AE7*9.81</f>
        <v>450082.8</v>
      </c>
      <c r="AF5" s="3">
        <f>'Aircraft Data'!AF7*9.81</f>
        <v>304011.9</v>
      </c>
      <c r="AG5" s="3">
        <f>'Aircraft Data'!AG7*9.81</f>
        <v>345312</v>
      </c>
      <c r="AH5" s="3">
        <f>'Aircraft Data'!AH7*9.81</f>
        <v>129050.55</v>
      </c>
      <c r="AI5" s="3">
        <f>'Aircraft Data'!AI7*9.81</f>
        <v>225630</v>
      </c>
    </row>
    <row r="6">
      <c r="A6" s="3" t="s">
        <v>41</v>
      </c>
      <c r="B6" s="3">
        <f>'Aircraft Data'!B51/(90*1.6*50)</f>
        <v>0.4175</v>
      </c>
      <c r="C6" s="3">
        <f>'Aircraft Data'!C51/(90*1.6*50)</f>
        <v>0.465</v>
      </c>
      <c r="D6" s="3">
        <f>'Aircraft Data'!D51/(90*1.6*50)</f>
        <v>0.4802254098</v>
      </c>
      <c r="E6" s="3">
        <f>'Aircraft Data'!E51/(90*1.6*50)</f>
        <v>0.5092622951</v>
      </c>
      <c r="F6" s="3">
        <f>'Aircraft Data'!F51/(90*1.6*50)</f>
        <v>0.5092622951</v>
      </c>
      <c r="G6" s="3">
        <f>'Aircraft Data'!G51/(90*1.6*50)</f>
        <v>0.4124067096</v>
      </c>
      <c r="H6" s="3">
        <f>'Aircraft Data'!H51/(90*1.6*50)</f>
        <v>0.4728747776</v>
      </c>
      <c r="I6" s="3">
        <f>'Aircraft Data'!I51/(90*1.6*50)</f>
        <v>0.6489119141</v>
      </c>
      <c r="J6" s="3">
        <f>'Aircraft Data'!J51/(90*1.6*50)</f>
        <v>0.6518865047</v>
      </c>
      <c r="K6" s="3">
        <f>'Aircraft Data'!K51/(90*1.6*50)</f>
        <v>0.6565281516</v>
      </c>
      <c r="L6" s="3">
        <f>'Aircraft Data'!L51/(90*1.6*50)</f>
        <v>0.5058128175</v>
      </c>
      <c r="M6" s="3">
        <f>'Aircraft Data'!M51/(90*1.6*50)</f>
        <v>0.5324345447</v>
      </c>
      <c r="N6" s="3">
        <f>'Aircraft Data'!N51/(90*1.6*50)</f>
        <v>0.5617184447</v>
      </c>
      <c r="O6" s="3">
        <f>'Aircraft Data'!O51/(90*1.6*50)</f>
        <v>0.5587900547</v>
      </c>
      <c r="P6" s="3">
        <f>'Aircraft Data'!P51/(90*1.6*50)</f>
        <v>0.5856779992</v>
      </c>
      <c r="Q6" s="3">
        <f>'Aircraft Data'!Q51/(90*1.6*50)</f>
        <v>0.6969884488</v>
      </c>
      <c r="R6" s="3">
        <f>'Aircraft Data'!R51/(90*1.6*50)</f>
        <v>0.7232191969</v>
      </c>
      <c r="S6" s="3" t="str">
        <f>'Aircraft Data'!S51/(90*1.6*50)</f>
        <v>#DIV/0!</v>
      </c>
      <c r="T6" s="3">
        <f>'Aircraft Data'!T51/(90*1.6*50)</f>
        <v>0.6715908797</v>
      </c>
      <c r="U6" s="3">
        <f>'Aircraft Data'!U51/(90*1.6*50)</f>
        <v>0.7435407503</v>
      </c>
      <c r="V6" s="3">
        <f>'Aircraft Data'!V51/(90*1.6*50)</f>
        <v>0.7795156856</v>
      </c>
      <c r="W6" s="3">
        <f>'Aircraft Data'!W51/(90*1.6*50)</f>
        <v>0.6715732536</v>
      </c>
      <c r="X6" s="3">
        <f>'Aircraft Data'!X51/(90*1.6*50)</f>
        <v>0.7435407503</v>
      </c>
      <c r="Y6" s="3">
        <f>'Aircraft Data'!Y51/(90*1.6*50)</f>
        <v>0.7795156856</v>
      </c>
      <c r="Z6" s="3">
        <f>'Aircraft Data'!Z51/(90*1.6*50)</f>
        <v>0.3776404151</v>
      </c>
      <c r="AA6" s="3">
        <f>'Aircraft Data'!AA51/(90*1.6*50)</f>
        <v>0.3883125</v>
      </c>
      <c r="AB6" s="3">
        <f>'Aircraft Data'!AB51/(90*1.6*50)</f>
        <v>0.6477339572</v>
      </c>
      <c r="AC6" s="3">
        <f>'Aircraft Data'!AC51/(90*1.6*50)</f>
        <v>0.5743872549</v>
      </c>
      <c r="AD6" s="3">
        <f>'Aircraft Data'!AD51/(90*1.6*50)</f>
        <v>0.6015159757</v>
      </c>
      <c r="AE6" s="3">
        <f>'Aircraft Data'!AE51/(90*1.6*50)</f>
        <v>0.7441845238</v>
      </c>
      <c r="AF6" s="3">
        <f>'Aircraft Data'!AF51/(90*1.6*50)</f>
        <v>0.562985</v>
      </c>
      <c r="AG6" s="3">
        <f>'Aircraft Data'!AG51/(90*1.6*50)</f>
        <v>0.6394666667</v>
      </c>
      <c r="AH6" s="3">
        <f>'Aircraft Data'!AH51/(90*1.6*50)</f>
        <v>0.4286937934</v>
      </c>
      <c r="AI6" s="3">
        <f>'Aircraft Data'!AI51/(90*1.6*50)</f>
        <v>0.5622084679</v>
      </c>
      <c r="AJ6" s="3"/>
      <c r="AK6" s="3"/>
      <c r="AL6" s="3"/>
    </row>
    <row r="7">
      <c r="A7" s="3" t="s">
        <v>42</v>
      </c>
      <c r="B7" t="str">
        <f>'Aircraft Data'!B24</f>
        <v/>
      </c>
      <c r="C7" t="str">
        <f>'Aircraft Data'!C24</f>
        <v/>
      </c>
      <c r="D7" t="str">
        <f>'Aircraft Data'!D24</f>
        <v/>
      </c>
      <c r="E7" t="str">
        <f>'Aircraft Data'!E24</f>
        <v/>
      </c>
      <c r="F7" t="str">
        <f>'Aircraft Data'!F24</f>
        <v/>
      </c>
      <c r="G7" t="str">
        <f>'Aircraft Data'!G24</f>
        <v/>
      </c>
      <c r="H7" t="str">
        <f>'Aircraft Data'!H24</f>
        <v/>
      </c>
      <c r="I7" t="str">
        <f>'Aircraft Data'!I24</f>
        <v/>
      </c>
      <c r="J7">
        <f>'Aircraft Data'!J24</f>
        <v>77.68</v>
      </c>
      <c r="K7">
        <f>'Aircraft Data'!K24</f>
        <v>122.6</v>
      </c>
      <c r="L7">
        <f>'Aircraft Data'!L24</f>
        <v>67.42</v>
      </c>
      <c r="M7">
        <f>'Aircraft Data'!M24</f>
        <v>67.42</v>
      </c>
      <c r="N7">
        <f>'Aircraft Data'!N24</f>
        <v>67.42</v>
      </c>
      <c r="O7">
        <f>'Aircraft Data'!O24</f>
        <v>67.42</v>
      </c>
      <c r="P7">
        <f>'Aircraft Data'!P24</f>
        <v>67.42</v>
      </c>
      <c r="Q7">
        <f>'Aircraft Data'!Q24</f>
        <v>126</v>
      </c>
      <c r="R7">
        <f>'Aircraft Data'!R24</f>
        <v>126</v>
      </c>
      <c r="S7">
        <f>'Aircraft Data'!S24</f>
        <v>138.6</v>
      </c>
      <c r="T7">
        <f>'Aircraft Data'!T24</f>
        <v>124</v>
      </c>
      <c r="U7">
        <f>'Aircraft Data'!U24</f>
        <v>124</v>
      </c>
      <c r="V7">
        <f>'Aircraft Data'!V24</f>
        <v>124</v>
      </c>
      <c r="W7">
        <f>'Aircraft Data'!W24</f>
        <v>125.2</v>
      </c>
      <c r="X7">
        <f>'Aircraft Data'!X24</f>
        <v>124.4</v>
      </c>
      <c r="Y7">
        <f>'Aircraft Data'!Y24</f>
        <v>124.4</v>
      </c>
      <c r="Z7" t="str">
        <f>'Aircraft Data'!Z24</f>
        <v/>
      </c>
      <c r="AA7" t="str">
        <f>'Aircraft Data'!AA24</f>
        <v/>
      </c>
      <c r="AB7">
        <f>'Aircraft Data'!AB24</f>
        <v>123.2</v>
      </c>
      <c r="AC7" t="str">
        <f>'Aircraft Data'!AC24</f>
        <v/>
      </c>
      <c r="AD7">
        <f>'Aircraft Data'!AD24</f>
        <v>126</v>
      </c>
      <c r="AE7">
        <f>'Aircraft Data'!AE24</f>
        <v>137</v>
      </c>
      <c r="AF7">
        <f>'Aircraft Data'!AF24</f>
        <v>105</v>
      </c>
      <c r="AG7">
        <f>'Aircraft Data'!AG24</f>
        <v>112</v>
      </c>
      <c r="AH7" t="str">
        <f>'Aircraft Data'!AH24</f>
        <v/>
      </c>
      <c r="AI7" t="str">
        <f>'Aircraft Data'!AI24</f>
        <v/>
      </c>
      <c r="AJ7" t="str">
        <f>'Aircraft Data'!AK24</f>
        <v/>
      </c>
    </row>
    <row r="8">
      <c r="A8" s="3" t="s">
        <v>43</v>
      </c>
      <c r="J8">
        <f t="shared" ref="J8:Y8" si="1">J6*J5/1000</f>
        <v>147.9356879</v>
      </c>
      <c r="K8">
        <f t="shared" si="1"/>
        <v>219.10077</v>
      </c>
      <c r="L8">
        <f t="shared" si="1"/>
        <v>94.27845106</v>
      </c>
      <c r="M8">
        <f t="shared" si="1"/>
        <v>104.4636577</v>
      </c>
      <c r="N8">
        <f t="shared" si="1"/>
        <v>116.2706626</v>
      </c>
      <c r="O8">
        <f t="shared" si="1"/>
        <v>115.0615219</v>
      </c>
      <c r="P8">
        <f t="shared" si="1"/>
        <v>126.4010258</v>
      </c>
      <c r="Q8">
        <f t="shared" si="1"/>
        <v>254.3533886</v>
      </c>
      <c r="R8">
        <f t="shared" si="1"/>
        <v>273.8585204</v>
      </c>
      <c r="S8" t="str">
        <f t="shared" si="1"/>
        <v>#DIV/0!</v>
      </c>
      <c r="T8">
        <f t="shared" si="1"/>
        <v>251.0276554</v>
      </c>
      <c r="U8">
        <f t="shared" si="1"/>
        <v>307.6957807</v>
      </c>
      <c r="V8">
        <f t="shared" si="1"/>
        <v>338.1907365</v>
      </c>
      <c r="W8">
        <f t="shared" si="1"/>
        <v>251.014479</v>
      </c>
      <c r="X8">
        <f t="shared" si="1"/>
        <v>307.6957807</v>
      </c>
      <c r="Y8">
        <f t="shared" si="1"/>
        <v>338.1907365</v>
      </c>
      <c r="AB8">
        <f>AB6*AB5/1000</f>
        <v>282.4473068</v>
      </c>
      <c r="AD8">
        <f t="shared" ref="AD8:AG8" si="2">AD6*AD5/1000</f>
        <v>227.4786049</v>
      </c>
      <c r="AE8">
        <f t="shared" si="2"/>
        <v>334.9446542</v>
      </c>
      <c r="AF8">
        <f t="shared" si="2"/>
        <v>171.1541395</v>
      </c>
      <c r="AG8">
        <f t="shared" si="2"/>
        <v>220.8155136</v>
      </c>
    </row>
    <row r="9">
      <c r="A9" s="3" t="s">
        <v>44</v>
      </c>
      <c r="B9" s="3"/>
      <c r="C9" s="3"/>
      <c r="J9">
        <f t="shared" ref="J9:R9" si="3">100*(J8)/J7</f>
        <v>190.4424407</v>
      </c>
      <c r="K9">
        <f t="shared" si="3"/>
        <v>178.7118841</v>
      </c>
      <c r="L9">
        <f t="shared" si="3"/>
        <v>139.8375127</v>
      </c>
      <c r="M9">
        <f t="shared" si="3"/>
        <v>154.9446124</v>
      </c>
      <c r="N9">
        <f t="shared" si="3"/>
        <v>172.4572272</v>
      </c>
      <c r="O9">
        <f t="shared" si="3"/>
        <v>170.6637821</v>
      </c>
      <c r="P9">
        <f t="shared" si="3"/>
        <v>187.482981</v>
      </c>
      <c r="Q9">
        <f t="shared" si="3"/>
        <v>201.8677687</v>
      </c>
      <c r="R9">
        <f t="shared" si="3"/>
        <v>217.3480321</v>
      </c>
      <c r="T9">
        <f t="shared" ref="T9:Y9" si="4">100*(T8)/T7</f>
        <v>202.4416576</v>
      </c>
      <c r="U9">
        <f t="shared" si="4"/>
        <v>248.1417587</v>
      </c>
      <c r="V9">
        <f t="shared" si="4"/>
        <v>272.734465</v>
      </c>
      <c r="W9">
        <f t="shared" si="4"/>
        <v>200.4907979</v>
      </c>
      <c r="X9">
        <f t="shared" si="4"/>
        <v>247.3438752</v>
      </c>
      <c r="Y9">
        <f t="shared" si="4"/>
        <v>271.8575053</v>
      </c>
      <c r="AB9">
        <f>100*(AB8)/AB7</f>
        <v>229.2591776</v>
      </c>
      <c r="AD9">
        <f t="shared" ref="AD9:AG9" si="5">100*(AD8)/AD7</f>
        <v>180.5385753</v>
      </c>
      <c r="AE9">
        <f t="shared" si="5"/>
        <v>244.485149</v>
      </c>
      <c r="AF9">
        <f t="shared" si="5"/>
        <v>163.0039424</v>
      </c>
      <c r="AG9">
        <f t="shared" si="5"/>
        <v>197.1567086</v>
      </c>
    </row>
    <row r="10">
      <c r="A10" s="3" t="s">
        <v>45</v>
      </c>
      <c r="B10" s="3">
        <v>1090.0</v>
      </c>
      <c r="C10" s="3">
        <v>1165.0</v>
      </c>
      <c r="D10" s="3">
        <v>1409.0</v>
      </c>
      <c r="E10" s="3">
        <v>1220.0</v>
      </c>
      <c r="F10" s="3">
        <v>1333.0</v>
      </c>
      <c r="G10" s="3">
        <v>1000.0</v>
      </c>
      <c r="H10" s="3">
        <v>1180.0</v>
      </c>
      <c r="I10" s="3">
        <v>1425.0</v>
      </c>
      <c r="J10" s="3">
        <v>1768.0</v>
      </c>
      <c r="K10" s="3">
        <v>1516.0</v>
      </c>
      <c r="L10" s="3">
        <v>1640.0</v>
      </c>
      <c r="M10" s="3">
        <v>1760.0</v>
      </c>
      <c r="N10" s="3">
        <v>1850.0</v>
      </c>
      <c r="O10" s="3">
        <v>2030.0</v>
      </c>
      <c r="P10" s="3">
        <v>2270.0</v>
      </c>
      <c r="Q10" s="3">
        <v>1582.0</v>
      </c>
      <c r="R10" s="3">
        <v>1644.0</v>
      </c>
      <c r="S10" s="3">
        <v>1450.0</v>
      </c>
      <c r="T10" s="3">
        <v>1231.0</v>
      </c>
      <c r="U10" s="3">
        <v>1554.0</v>
      </c>
      <c r="V10" s="3">
        <v>1585.0</v>
      </c>
      <c r="W10" s="3">
        <v>1195.0</v>
      </c>
      <c r="X10" s="3">
        <v>1390.0</v>
      </c>
      <c r="Y10" s="3">
        <v>1535.0</v>
      </c>
      <c r="Z10" s="3">
        <v>1550.0</v>
      </c>
      <c r="AA10" s="3">
        <v>1126.0</v>
      </c>
      <c r="AB10" s="3">
        <v>1583.0</v>
      </c>
      <c r="AC10" s="3">
        <v>880.0</v>
      </c>
      <c r="AD10" s="3">
        <v>1560.0</v>
      </c>
      <c r="AE10" s="3">
        <v>1731.0</v>
      </c>
      <c r="AF10" s="3">
        <v>1463.0</v>
      </c>
      <c r="AG10" s="3">
        <v>1676.0</v>
      </c>
      <c r="AH10" s="3">
        <v>1290.0</v>
      </c>
      <c r="AI10" s="3">
        <v>1340.0</v>
      </c>
      <c r="AJ10" s="3">
        <v>1093.0</v>
      </c>
      <c r="AK10" s="3"/>
    </row>
    <row r="11">
      <c r="A11" s="3"/>
    </row>
    <row r="12">
      <c r="A12" s="5" t="s">
        <v>46</v>
      </c>
      <c r="B12" s="5">
        <f>'Aircraft Data'!B13</f>
        <v>1500</v>
      </c>
      <c r="C12" s="5">
        <f>'Aircraft Data'!C13</f>
        <v>1900</v>
      </c>
      <c r="D12" s="5">
        <f>'Aircraft Data'!D13</f>
        <v>1800</v>
      </c>
      <c r="E12" s="5">
        <f>'Aircraft Data'!E13</f>
        <v>2000</v>
      </c>
      <c r="F12" s="5">
        <f>'Aircraft Data'!F13</f>
        <v>2000</v>
      </c>
      <c r="G12" s="5">
        <f>'Aircraft Data'!G13</f>
        <v>1770</v>
      </c>
      <c r="H12" s="5">
        <f>'Aircraft Data'!H13</f>
        <v>1585</v>
      </c>
      <c r="I12" s="5">
        <f>'Aircraft Data'!I13</f>
        <v>2903</v>
      </c>
      <c r="J12" s="5">
        <f>'Aircraft Data'!J13</f>
        <v>3175</v>
      </c>
      <c r="K12" s="5">
        <f>'Aircraft Data'!K13</f>
        <v>5760</v>
      </c>
      <c r="L12" s="5">
        <f>'Aircraft Data'!L13</f>
        <v>3400</v>
      </c>
      <c r="M12" s="5">
        <f>'Aircraft Data'!M13</f>
        <v>4000</v>
      </c>
      <c r="N12" s="5">
        <f>'Aircraft Data'!N13</f>
        <v>4000</v>
      </c>
      <c r="O12" s="5">
        <f>'Aircraft Data'!O13</f>
        <v>3890</v>
      </c>
      <c r="P12" s="5">
        <f>'Aircraft Data'!P13</f>
        <v>4100</v>
      </c>
      <c r="Q12" s="5">
        <f>'Aircraft Data'!Q13</f>
        <v>7060</v>
      </c>
      <c r="R12" s="5">
        <f>'Aircraft Data'!R13</f>
        <v>7700</v>
      </c>
      <c r="S12" s="5">
        <f>'Aircraft Data'!S13</f>
        <v>2850</v>
      </c>
      <c r="T12" s="5">
        <f>'Aircraft Data'!T13</f>
        <v>7031</v>
      </c>
      <c r="U12" s="5">
        <f>'Aircraft Data'!U13</f>
        <v>8164</v>
      </c>
      <c r="V12" s="5">
        <f>'Aircraft Data'!V13</f>
        <v>7711</v>
      </c>
      <c r="W12" s="5">
        <f>'Aircraft Data'!W13</f>
        <v>5669</v>
      </c>
      <c r="X12" s="5">
        <f>'Aircraft Data'!X13</f>
        <v>6351</v>
      </c>
      <c r="Y12" s="5">
        <f>'Aircraft Data'!Y13</f>
        <v>6804</v>
      </c>
      <c r="Z12" s="5">
        <f>'Aircraft Data'!Z13</f>
        <v>1200</v>
      </c>
      <c r="AA12" s="5">
        <f>'Aircraft Data'!AA13</f>
        <v>1350</v>
      </c>
      <c r="AB12" s="5">
        <f>'Aircraft Data'!AB13</f>
        <v>7710</v>
      </c>
      <c r="AC12" s="5">
        <f>'Aircraft Data'!AC13</f>
        <v>3053</v>
      </c>
      <c r="AD12" s="5">
        <f>'Aircraft Data'!AD13</f>
        <v>9700</v>
      </c>
      <c r="AE12" s="5">
        <f>'Aircraft Data'!AE13</f>
        <v>5880</v>
      </c>
      <c r="AF12" s="5">
        <f>'Aircraft Data'!AF13</f>
        <v>4690</v>
      </c>
      <c r="AG12" s="5">
        <f>'Aircraft Data'!AG13</f>
        <v>4900</v>
      </c>
      <c r="AH12" s="5">
        <f>'Aircraft Data'!AH13</f>
        <v>1135</v>
      </c>
      <c r="AI12" s="5">
        <f>'Aircraft Data'!AI13</f>
        <v>3000</v>
      </c>
      <c r="AJ12" s="5"/>
      <c r="AK12" s="5"/>
    </row>
    <row r="13">
      <c r="A13" s="3" t="s">
        <v>47</v>
      </c>
      <c r="B13" s="3"/>
      <c r="C13" s="3"/>
      <c r="D13" s="3"/>
      <c r="E13" s="3"/>
      <c r="F13" s="3">
        <v>907.0</v>
      </c>
      <c r="G13" s="3">
        <v>1260.0</v>
      </c>
      <c r="H13" s="3">
        <v>705.0</v>
      </c>
      <c r="I13" s="3">
        <v>1408.0</v>
      </c>
      <c r="J13" s="3">
        <v>1620.0</v>
      </c>
      <c r="K13" s="3">
        <v>2270.0</v>
      </c>
      <c r="L13" s="3">
        <v>2040.0</v>
      </c>
      <c r="M13" s="3">
        <v>2315.0</v>
      </c>
      <c r="N13" s="3">
        <v>2205.0</v>
      </c>
      <c r="O13" s="3">
        <v>2075.0</v>
      </c>
      <c r="P13" s="3">
        <v>2150.0</v>
      </c>
      <c r="Q13" s="3">
        <v>2760.0</v>
      </c>
      <c r="R13" s="3"/>
      <c r="S13" s="3">
        <v>1880.0</v>
      </c>
      <c r="T13" s="3"/>
      <c r="U13" s="3"/>
      <c r="V13" s="3"/>
      <c r="W13" s="3"/>
      <c r="X13" s="3"/>
      <c r="Y13" s="3"/>
      <c r="Z13" s="3"/>
      <c r="AA13" s="3"/>
      <c r="AB13" s="3"/>
      <c r="AC13" s="3">
        <v>1750.0</v>
      </c>
      <c r="AD13" s="3">
        <v>2100.0</v>
      </c>
      <c r="AE13" s="3"/>
      <c r="AG13" s="3"/>
      <c r="AH13" s="3"/>
      <c r="AI13" s="3"/>
      <c r="AJ13" s="3">
        <v>1990.0</v>
      </c>
      <c r="AK13" s="3"/>
    </row>
    <row r="14">
      <c r="A14" s="3" t="s">
        <v>48</v>
      </c>
      <c r="F14" s="6">
        <f t="shared" ref="F14:Q14" si="6">F12/F13</f>
        <v>2.205071665</v>
      </c>
      <c r="G14" s="6">
        <f t="shared" si="6"/>
        <v>1.404761905</v>
      </c>
      <c r="H14" s="6">
        <f t="shared" si="6"/>
        <v>2.24822695</v>
      </c>
      <c r="I14" s="6">
        <f t="shared" si="6"/>
        <v>2.061789773</v>
      </c>
      <c r="J14" s="6">
        <f t="shared" si="6"/>
        <v>1.959876543</v>
      </c>
      <c r="K14" s="6">
        <f t="shared" si="6"/>
        <v>2.537444934</v>
      </c>
      <c r="L14" s="6">
        <f t="shared" si="6"/>
        <v>1.666666667</v>
      </c>
      <c r="M14" s="6">
        <f t="shared" si="6"/>
        <v>1.727861771</v>
      </c>
      <c r="N14" s="6">
        <f t="shared" si="6"/>
        <v>1.814058957</v>
      </c>
      <c r="O14" s="6">
        <f t="shared" si="6"/>
        <v>1.874698795</v>
      </c>
      <c r="P14" s="6">
        <f t="shared" si="6"/>
        <v>1.906976744</v>
      </c>
      <c r="Q14" s="6">
        <f t="shared" si="6"/>
        <v>2.557971014</v>
      </c>
      <c r="R14" s="6"/>
      <c r="S14" s="6">
        <f>S12/S13</f>
        <v>1.515957447</v>
      </c>
      <c r="T14" s="6"/>
      <c r="U14" s="6"/>
      <c r="V14" s="6"/>
      <c r="W14" s="6"/>
      <c r="X14" s="6"/>
      <c r="Y14" s="6"/>
      <c r="Z14" s="6"/>
      <c r="AA14" s="6"/>
      <c r="AB14" s="6"/>
      <c r="AC14" s="6">
        <f t="shared" ref="AC14:AD14" si="7">AC12/AC13</f>
        <v>1.744571429</v>
      </c>
      <c r="AD14" s="6">
        <f t="shared" si="7"/>
        <v>4.619047619</v>
      </c>
      <c r="AE14" s="6"/>
      <c r="AF14" s="6"/>
      <c r="AG14" s="6"/>
      <c r="AH14" s="6"/>
      <c r="AI14" s="6"/>
      <c r="AJ14" s="6"/>
    </row>
    <row r="15">
      <c r="A15" s="3" t="s">
        <v>49</v>
      </c>
      <c r="F15" s="7">
        <f t="shared" ref="F15:Q15" si="8">F14/F4</f>
        <v>0.02827014955</v>
      </c>
      <c r="G15" s="7">
        <f t="shared" si="8"/>
        <v>0.03601953602</v>
      </c>
      <c r="H15" s="7">
        <f t="shared" si="8"/>
        <v>0.04014690983</v>
      </c>
      <c r="I15" s="7">
        <f t="shared" si="8"/>
        <v>0.02397429968</v>
      </c>
      <c r="J15" s="7">
        <f t="shared" si="8"/>
        <v>0.03919753086</v>
      </c>
      <c r="K15" s="7">
        <f t="shared" si="8"/>
        <v>0.03253134531</v>
      </c>
      <c r="L15" s="7">
        <f t="shared" si="8"/>
        <v>0.04504504505</v>
      </c>
      <c r="M15" s="7">
        <f t="shared" si="8"/>
        <v>0.04669896679</v>
      </c>
      <c r="N15" s="7">
        <f t="shared" si="8"/>
        <v>0.04122861266</v>
      </c>
      <c r="O15" s="7">
        <f t="shared" si="8"/>
        <v>0.0374939759</v>
      </c>
      <c r="P15" s="7">
        <f t="shared" si="8"/>
        <v>0.03813953488</v>
      </c>
      <c r="Q15" s="7">
        <f t="shared" si="8"/>
        <v>0.03279450019</v>
      </c>
      <c r="R15" s="7"/>
      <c r="S15" s="7">
        <f>S14/S4</f>
        <v>0.01943535188</v>
      </c>
      <c r="T15" s="7"/>
      <c r="U15" s="7"/>
      <c r="V15" s="7"/>
      <c r="W15" s="7"/>
      <c r="X15" s="7"/>
      <c r="Y15" s="7"/>
      <c r="Z15" s="7"/>
      <c r="AA15" s="7"/>
      <c r="AB15" s="7"/>
      <c r="AC15" s="7">
        <f t="shared" ref="AC15:AD15" si="9">AC14/AC4</f>
        <v>0.03354945055</v>
      </c>
      <c r="AD15" s="7">
        <f t="shared" si="9"/>
        <v>0.05434173669</v>
      </c>
    </row>
    <row r="16">
      <c r="A16" s="3" t="s">
        <v>50</v>
      </c>
      <c r="F16" s="7">
        <f t="shared" ref="F16:Q16" si="10">3.15*F15</f>
        <v>0.08905097108</v>
      </c>
      <c r="G16" s="7">
        <f t="shared" si="10"/>
        <v>0.1134615385</v>
      </c>
      <c r="H16" s="7">
        <f t="shared" si="10"/>
        <v>0.126462766</v>
      </c>
      <c r="I16" s="7">
        <f t="shared" si="10"/>
        <v>0.075519044</v>
      </c>
      <c r="J16" s="7">
        <f t="shared" si="10"/>
        <v>0.1234722222</v>
      </c>
      <c r="K16" s="7">
        <f t="shared" si="10"/>
        <v>0.1024737377</v>
      </c>
      <c r="L16" s="7">
        <f t="shared" si="10"/>
        <v>0.1418918919</v>
      </c>
      <c r="M16" s="7">
        <f t="shared" si="10"/>
        <v>0.1471017454</v>
      </c>
      <c r="N16" s="7">
        <f t="shared" si="10"/>
        <v>0.1298701299</v>
      </c>
      <c r="O16" s="7">
        <f t="shared" si="10"/>
        <v>0.1181060241</v>
      </c>
      <c r="P16" s="7">
        <f t="shared" si="10"/>
        <v>0.1201395349</v>
      </c>
      <c r="Q16" s="7">
        <f t="shared" si="10"/>
        <v>0.1033026756</v>
      </c>
      <c r="R16" s="7"/>
      <c r="S16" s="7">
        <f>3.15*S15</f>
        <v>0.06122135843</v>
      </c>
      <c r="T16" s="7"/>
      <c r="U16" s="7"/>
      <c r="V16" s="7"/>
      <c r="W16" s="7"/>
      <c r="X16" s="7"/>
      <c r="Y16" s="7"/>
      <c r="Z16" s="7"/>
      <c r="AA16" s="7"/>
      <c r="AB16" s="7"/>
      <c r="AC16" s="7">
        <f t="shared" ref="AC16:AD16" si="11">3.15*AC15</f>
        <v>0.1056807692</v>
      </c>
      <c r="AD16" s="7">
        <f t="shared" si="11"/>
        <v>0.1711764706</v>
      </c>
    </row>
    <row r="17">
      <c r="F17">
        <f t="shared" ref="F17:Q17" si="12">100*F15*0.8</f>
        <v>2.261611964</v>
      </c>
      <c r="G17">
        <f t="shared" si="12"/>
        <v>2.881562882</v>
      </c>
      <c r="H17">
        <f t="shared" si="12"/>
        <v>3.211752786</v>
      </c>
      <c r="I17">
        <f t="shared" si="12"/>
        <v>1.917943975</v>
      </c>
      <c r="J17">
        <f t="shared" si="12"/>
        <v>3.135802469</v>
      </c>
      <c r="K17">
        <f t="shared" si="12"/>
        <v>2.602507625</v>
      </c>
      <c r="L17">
        <f t="shared" si="12"/>
        <v>3.603603604</v>
      </c>
      <c r="M17">
        <f t="shared" si="12"/>
        <v>3.735917343</v>
      </c>
      <c r="N17">
        <f t="shared" si="12"/>
        <v>3.298289013</v>
      </c>
      <c r="O17">
        <f t="shared" si="12"/>
        <v>2.999518072</v>
      </c>
      <c r="P17">
        <f t="shared" si="12"/>
        <v>3.051162791</v>
      </c>
      <c r="Q17">
        <f t="shared" si="12"/>
        <v>2.623560015</v>
      </c>
      <c r="S17">
        <f>100*S15*0.8</f>
        <v>1.554828151</v>
      </c>
      <c r="AC17">
        <f t="shared" ref="AC17:AD17" si="13">100*AC15*0.8</f>
        <v>2.683956044</v>
      </c>
      <c r="AD17">
        <f t="shared" si="13"/>
        <v>4.347338936</v>
      </c>
    </row>
    <row r="18">
      <c r="A18">
        <f>average(F15:Q15)*3.15</f>
        <v>0.1159043568</v>
      </c>
    </row>
    <row r="20">
      <c r="A20" s="3" t="s">
        <v>51</v>
      </c>
      <c r="B20" s="3">
        <v>23133.0</v>
      </c>
      <c r="C20" s="3">
        <v>34019.0</v>
      </c>
      <c r="D20" s="3">
        <v>19000.0</v>
      </c>
      <c r="E20" s="3">
        <v>20000.0</v>
      </c>
      <c r="F20" s="3">
        <v>21100.0</v>
      </c>
      <c r="G20" s="3">
        <v>20990.0</v>
      </c>
      <c r="H20" s="3">
        <v>22000.0</v>
      </c>
      <c r="I20" s="3">
        <v>37200.0</v>
      </c>
      <c r="J20" s="3">
        <v>38600.0</v>
      </c>
      <c r="K20" s="3">
        <v>36850.0</v>
      </c>
      <c r="L20" s="3">
        <v>38102.0</v>
      </c>
      <c r="M20" s="3">
        <v>42184.0</v>
      </c>
      <c r="N20" s="3">
        <v>44225.0</v>
      </c>
      <c r="O20" s="3">
        <v>38101.0</v>
      </c>
      <c r="P20" s="3">
        <v>42184.0</v>
      </c>
      <c r="Q20" s="3">
        <v>44225.0</v>
      </c>
      <c r="R20" s="3">
        <v>44450.0</v>
      </c>
      <c r="S20" s="3">
        <v>21500.0</v>
      </c>
      <c r="T20" s="3">
        <v>38550.0</v>
      </c>
      <c r="U20" s="3">
        <v>45880.0</v>
      </c>
      <c r="V20" s="3">
        <v>30990.0</v>
      </c>
      <c r="W20" s="3">
        <v>35200.0</v>
      </c>
      <c r="Z20" s="3"/>
      <c r="AA20" s="3"/>
      <c r="AH20" s="3"/>
      <c r="AI20" s="3"/>
      <c r="AJ20" s="3"/>
      <c r="AK20" s="3"/>
      <c r="AL20" s="3">
        <v>55904.1058513019</v>
      </c>
    </row>
    <row r="21">
      <c r="A21" s="3" t="s">
        <v>52</v>
      </c>
      <c r="B21" s="3">
        <v>14016.0</v>
      </c>
      <c r="C21" s="3">
        <v>20069.0</v>
      </c>
      <c r="D21" s="3">
        <v>11402.0</v>
      </c>
      <c r="E21" s="3">
        <v>11501.0</v>
      </c>
      <c r="F21" s="3">
        <v>11808.0</v>
      </c>
      <c r="G21" s="3">
        <v>11947.0</v>
      </c>
      <c r="H21" s="3">
        <v>12114.0</v>
      </c>
      <c r="I21" s="3">
        <v>21137.0</v>
      </c>
      <c r="J21" s="3">
        <v>21157.0</v>
      </c>
      <c r="K21" s="3">
        <v>21700.0</v>
      </c>
      <c r="L21" s="3">
        <v>23300.0</v>
      </c>
      <c r="M21" s="3">
        <v>23800.0</v>
      </c>
      <c r="N21" s="3">
        <v>24800.0</v>
      </c>
      <c r="O21" s="3">
        <v>23820.0</v>
      </c>
      <c r="P21" s="3">
        <v>24600.0</v>
      </c>
      <c r="Q21" s="3">
        <v>25640.0</v>
      </c>
      <c r="R21" s="3">
        <v>24727.0</v>
      </c>
      <c r="S21" s="3">
        <v>12810.0</v>
      </c>
      <c r="T21" s="3">
        <v>22490.0</v>
      </c>
      <c r="U21" s="3">
        <v>24250.0</v>
      </c>
      <c r="V21" s="3">
        <v>19033.0</v>
      </c>
      <c r="W21" s="3">
        <v>21575.0</v>
      </c>
      <c r="Z21" s="3"/>
      <c r="AA21" s="3"/>
      <c r="AH21" s="3"/>
      <c r="AI21" s="3"/>
      <c r="AK21" s="3"/>
      <c r="AL21">
        <f>0.546*AL19+1174</f>
        <v>1174</v>
      </c>
    </row>
    <row r="22">
      <c r="A22" s="3" t="s">
        <v>53</v>
      </c>
      <c r="B22" s="3" t="s">
        <v>54</v>
      </c>
      <c r="C22" s="3" t="s">
        <v>54</v>
      </c>
      <c r="D22" s="3" t="s">
        <v>54</v>
      </c>
      <c r="E22" s="3" t="s">
        <v>55</v>
      </c>
      <c r="F22" s="3" t="s">
        <v>54</v>
      </c>
      <c r="G22" s="3" t="s">
        <v>54</v>
      </c>
      <c r="H22" s="3" t="s">
        <v>54</v>
      </c>
      <c r="I22" s="3" t="s">
        <v>54</v>
      </c>
      <c r="J22" s="3" t="s">
        <v>54</v>
      </c>
      <c r="K22" s="3" t="s">
        <v>54</v>
      </c>
      <c r="L22" s="3" t="s">
        <v>54</v>
      </c>
      <c r="M22" s="3" t="s">
        <v>54</v>
      </c>
      <c r="N22" s="3" t="s">
        <v>54</v>
      </c>
      <c r="O22" s="3" t="s">
        <v>54</v>
      </c>
      <c r="P22" s="3" t="s">
        <v>54</v>
      </c>
      <c r="Q22" s="3" t="s">
        <v>54</v>
      </c>
      <c r="R22" s="3" t="s">
        <v>54</v>
      </c>
      <c r="S22" s="3" t="s">
        <v>56</v>
      </c>
      <c r="T22" s="3" t="s">
        <v>54</v>
      </c>
      <c r="U22" s="3" t="s">
        <v>54</v>
      </c>
      <c r="V22" s="3" t="s">
        <v>54</v>
      </c>
      <c r="W22" s="3" t="s">
        <v>54</v>
      </c>
      <c r="Z22" s="3"/>
      <c r="AA22" s="3"/>
      <c r="AH22" s="3"/>
      <c r="AI22" s="3"/>
      <c r="AJ22" s="3"/>
      <c r="AK22" s="3"/>
      <c r="AL22" s="3"/>
    </row>
    <row r="25">
      <c r="A25" s="3" t="s">
        <v>51</v>
      </c>
      <c r="B25" s="3">
        <v>16700.0</v>
      </c>
      <c r="C25" s="3">
        <v>18600.0</v>
      </c>
      <c r="D25" s="3">
        <v>21500.0</v>
      </c>
      <c r="E25" s="3">
        <v>22800.0</v>
      </c>
      <c r="F25" s="3">
        <v>22800.0</v>
      </c>
      <c r="G25" s="3">
        <v>16466.0</v>
      </c>
      <c r="H25" s="3">
        <v>19505.0</v>
      </c>
      <c r="I25" s="3">
        <v>30481.0</v>
      </c>
      <c r="J25" s="3">
        <v>22700.0</v>
      </c>
      <c r="K25" s="3">
        <v>19950.0</v>
      </c>
      <c r="L25" s="3">
        <v>13155.0</v>
      </c>
      <c r="M25" s="3">
        <v>23000.0</v>
      </c>
      <c r="N25" s="3">
        <v>0.0</v>
      </c>
    </row>
    <row r="26">
      <c r="A26" s="3" t="s">
        <v>52</v>
      </c>
      <c r="B26" s="3">
        <v>10290.0</v>
      </c>
      <c r="C26" s="3">
        <v>11550.0</v>
      </c>
      <c r="D26" s="3">
        <v>12400.0</v>
      </c>
      <c r="E26" s="3">
        <v>12950.0</v>
      </c>
      <c r="F26" s="3">
        <v>13311.0</v>
      </c>
      <c r="G26" s="3">
        <v>10477.0</v>
      </c>
      <c r="H26" s="3">
        <v>11793.0</v>
      </c>
      <c r="I26" s="3">
        <v>17891.0</v>
      </c>
      <c r="J26" s="3">
        <v>15000.0</v>
      </c>
      <c r="K26" s="3">
        <v>12520.0</v>
      </c>
      <c r="L26" s="3">
        <v>8140.0</v>
      </c>
      <c r="M26" s="3">
        <v>14500.0</v>
      </c>
      <c r="N26" s="3">
        <v>1054.0</v>
      </c>
    </row>
    <row r="27">
      <c r="A27" s="3" t="s">
        <v>53</v>
      </c>
      <c r="B27" s="3" t="s">
        <v>56</v>
      </c>
      <c r="C27" s="3" t="s">
        <v>56</v>
      </c>
      <c r="D27" s="3" t="s">
        <v>56</v>
      </c>
      <c r="E27" s="3" t="s">
        <v>56</v>
      </c>
      <c r="F27" s="3" t="s">
        <v>56</v>
      </c>
      <c r="G27" s="3" t="s">
        <v>56</v>
      </c>
      <c r="H27" s="3" t="s">
        <v>56</v>
      </c>
      <c r="I27" s="3" t="s">
        <v>56</v>
      </c>
      <c r="J27" s="3" t="s">
        <v>56</v>
      </c>
      <c r="K27" s="3" t="s">
        <v>56</v>
      </c>
      <c r="L27" s="3" t="s">
        <v>56</v>
      </c>
      <c r="M27" s="3" t="s">
        <v>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</sheetData>
  <drawing r:id="rId1"/>
</worksheet>
</file>