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aaraan/Downloads/"/>
    </mc:Choice>
  </mc:AlternateContent>
  <xr:revisionPtr revIDLastSave="0" documentId="13_ncr:1_{DAD4C13C-6D55-004E-BEB9-0532E4BC39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</sheets>
  <calcPr calcId="191029"/>
</workbook>
</file>

<file path=xl/calcChain.xml><?xml version="1.0" encoding="utf-8"?>
<calcChain xmlns="http://schemas.openxmlformats.org/spreadsheetml/2006/main">
  <c r="B29" i="4" l="1"/>
  <c r="B96" i="3"/>
  <c r="B101" i="3"/>
  <c r="B14" i="2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C119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C117" i="5"/>
  <c r="C37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5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1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19" i="5"/>
  <c r="C8" i="4"/>
  <c r="C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C47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C45" i="4"/>
  <c r="D20" i="3"/>
  <c r="D21" i="3" s="1"/>
  <c r="E20" i="3"/>
  <c r="E21" i="3" s="1"/>
  <c r="F20" i="3"/>
  <c r="F21" i="3" s="1"/>
  <c r="G20" i="3"/>
  <c r="G21" i="3" s="1"/>
  <c r="H20" i="3"/>
  <c r="H21" i="3" s="1"/>
  <c r="I20" i="3"/>
  <c r="I21" i="3" s="1"/>
  <c r="J20" i="3"/>
  <c r="J21" i="3" s="1"/>
  <c r="K20" i="3"/>
  <c r="K21" i="3" s="1"/>
  <c r="L20" i="3"/>
  <c r="L21" i="3" s="1"/>
  <c r="M20" i="3"/>
  <c r="M21" i="3" s="1"/>
  <c r="N20" i="3"/>
  <c r="N21" i="3" s="1"/>
  <c r="O20" i="3"/>
  <c r="O21" i="3" s="1"/>
  <c r="P20" i="3"/>
  <c r="P21" i="3" s="1"/>
  <c r="Q20" i="3"/>
  <c r="Q21" i="3" s="1"/>
  <c r="R20" i="3"/>
  <c r="R21" i="3" s="1"/>
  <c r="S20" i="3"/>
  <c r="S21" i="3" s="1"/>
  <c r="T20" i="3"/>
  <c r="T21" i="3" s="1"/>
  <c r="U20" i="3"/>
  <c r="U21" i="3" s="1"/>
  <c r="V20" i="3"/>
  <c r="V21" i="3" s="1"/>
  <c r="W20" i="3"/>
  <c r="W21" i="3" s="1"/>
  <c r="X20" i="3"/>
  <c r="X21" i="3" s="1"/>
  <c r="Y20" i="3"/>
  <c r="Y21" i="3" s="1"/>
  <c r="Z20" i="3"/>
  <c r="Z21" i="3" s="1"/>
  <c r="AA20" i="3"/>
  <c r="AA21" i="3" s="1"/>
  <c r="C20" i="3"/>
  <c r="C21" i="3" s="1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C67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C51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C34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C18" i="3"/>
  <c r="B9" i="3"/>
  <c r="B10" i="3" s="1"/>
  <c r="B8" i="3"/>
  <c r="C25" i="2"/>
  <c r="D10" i="2"/>
  <c r="E10" i="2"/>
  <c r="F10" i="2"/>
  <c r="G10" i="2"/>
  <c r="H10" i="2"/>
  <c r="I10" i="2"/>
  <c r="J10" i="2"/>
  <c r="K10" i="2"/>
  <c r="L10" i="2"/>
  <c r="C10" i="2"/>
  <c r="C22" i="2"/>
  <c r="D22" i="2"/>
  <c r="E22" i="2"/>
  <c r="F22" i="2"/>
  <c r="G22" i="2"/>
  <c r="H22" i="2"/>
  <c r="I22" i="2"/>
  <c r="J22" i="2"/>
  <c r="K22" i="2"/>
  <c r="L22" i="2"/>
  <c r="B10" i="2"/>
  <c r="B13" i="2" s="1"/>
  <c r="C27" i="1"/>
  <c r="B24" i="1"/>
  <c r="B28" i="1" s="1"/>
  <c r="C120" i="5" l="1"/>
  <c r="AI120" i="5"/>
  <c r="S120" i="5"/>
  <c r="G120" i="5"/>
  <c r="AP120" i="5"/>
  <c r="AL120" i="5"/>
  <c r="AH120" i="5"/>
  <c r="AD120" i="5"/>
  <c r="Z120" i="5"/>
  <c r="V120" i="5"/>
  <c r="R120" i="5"/>
  <c r="N120" i="5"/>
  <c r="J120" i="5"/>
  <c r="F120" i="5"/>
  <c r="AE120" i="5"/>
  <c r="W120" i="5"/>
  <c r="K120" i="5"/>
  <c r="AO120" i="5"/>
  <c r="AK120" i="5"/>
  <c r="AG120" i="5"/>
  <c r="AC120" i="5"/>
  <c r="Y120" i="5"/>
  <c r="U120" i="5"/>
  <c r="Q120" i="5"/>
  <c r="M120" i="5"/>
  <c r="I120" i="5"/>
  <c r="E120" i="5"/>
  <c r="AM120" i="5"/>
  <c r="AA120" i="5"/>
  <c r="O120" i="5"/>
  <c r="AN120" i="5"/>
  <c r="AJ120" i="5"/>
  <c r="AF120" i="5"/>
  <c r="AB120" i="5"/>
  <c r="X120" i="5"/>
  <c r="T120" i="5"/>
  <c r="P120" i="5"/>
  <c r="L120" i="5"/>
  <c r="H120" i="5"/>
  <c r="D120" i="5"/>
  <c r="AA22" i="5"/>
  <c r="W22" i="5"/>
  <c r="Z22" i="5"/>
  <c r="S22" i="5"/>
  <c r="V22" i="5"/>
  <c r="R22" i="5"/>
  <c r="N22" i="5"/>
  <c r="J22" i="5"/>
  <c r="F22" i="5"/>
  <c r="Y22" i="5"/>
  <c r="U22" i="5"/>
  <c r="Q22" i="5"/>
  <c r="M22" i="5"/>
  <c r="I22" i="5"/>
  <c r="E22" i="5"/>
  <c r="C22" i="5"/>
  <c r="X22" i="5"/>
  <c r="T22" i="5"/>
  <c r="P22" i="5"/>
  <c r="L22" i="5"/>
  <c r="H22" i="5"/>
  <c r="D22" i="5"/>
  <c r="O22" i="5"/>
  <c r="K22" i="5"/>
  <c r="G22" i="5"/>
  <c r="C26" i="2"/>
  <c r="B137" i="5" l="1"/>
  <c r="B117" i="5"/>
  <c r="B120" i="5" s="1"/>
  <c r="B106" i="5"/>
  <c r="B104" i="5"/>
  <c r="B132" i="5" s="1"/>
  <c r="B101" i="5"/>
  <c r="E104" i="5" s="1"/>
  <c r="B60" i="5"/>
  <c r="E58" i="5"/>
  <c r="B58" i="5"/>
  <c r="B59" i="5" s="1"/>
  <c r="P85" i="5" s="1"/>
  <c r="B56" i="5"/>
  <c r="B57" i="5" s="1"/>
  <c r="B55" i="5"/>
  <c r="B82" i="5" s="1"/>
  <c r="B84" i="5" s="1"/>
  <c r="B88" i="5" s="1"/>
  <c r="B54" i="5"/>
  <c r="B52" i="5"/>
  <c r="B38" i="5"/>
  <c r="AA37" i="5"/>
  <c r="AA38" i="5" s="1"/>
  <c r="Z37" i="5"/>
  <c r="Z38" i="5" s="1"/>
  <c r="Y37" i="5"/>
  <c r="Y38" i="5" s="1"/>
  <c r="X37" i="5"/>
  <c r="X38" i="5" s="1"/>
  <c r="W37" i="5"/>
  <c r="W38" i="5" s="1"/>
  <c r="V37" i="5"/>
  <c r="V38" i="5" s="1"/>
  <c r="U37" i="5"/>
  <c r="U38" i="5" s="1"/>
  <c r="T37" i="5"/>
  <c r="T38" i="5" s="1"/>
  <c r="S37" i="5"/>
  <c r="S38" i="5" s="1"/>
  <c r="R37" i="5"/>
  <c r="R38" i="5" s="1"/>
  <c r="Q37" i="5"/>
  <c r="Q38" i="5" s="1"/>
  <c r="P37" i="5"/>
  <c r="P38" i="5" s="1"/>
  <c r="O37" i="5"/>
  <c r="O38" i="5" s="1"/>
  <c r="N37" i="5"/>
  <c r="N38" i="5" s="1"/>
  <c r="M37" i="5"/>
  <c r="M38" i="5" s="1"/>
  <c r="L37" i="5"/>
  <c r="L38" i="5" s="1"/>
  <c r="K37" i="5"/>
  <c r="K38" i="5" s="1"/>
  <c r="J37" i="5"/>
  <c r="J38" i="5" s="1"/>
  <c r="I37" i="5"/>
  <c r="I38" i="5" s="1"/>
  <c r="H37" i="5"/>
  <c r="H38" i="5" s="1"/>
  <c r="G37" i="5"/>
  <c r="G38" i="5" s="1"/>
  <c r="F37" i="5"/>
  <c r="F38" i="5" s="1"/>
  <c r="E37" i="5"/>
  <c r="E38" i="5" s="1"/>
  <c r="D37" i="5"/>
  <c r="D38" i="5" s="1"/>
  <c r="C38" i="5"/>
  <c r="B35" i="5"/>
  <c r="B39" i="5" s="1"/>
  <c r="B19" i="5"/>
  <c r="B22" i="5" s="1"/>
  <c r="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F49" i="4" s="1"/>
  <c r="E48" i="4"/>
  <c r="D48" i="4"/>
  <c r="C48" i="4"/>
  <c r="B45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B22" i="4"/>
  <c r="B21" i="4"/>
  <c r="B10" i="4"/>
  <c r="B70" i="3"/>
  <c r="B67" i="3"/>
  <c r="B54" i="3"/>
  <c r="B51" i="3"/>
  <c r="B37" i="3"/>
  <c r="B34" i="3"/>
  <c r="B18" i="3"/>
  <c r="B21" i="3" s="1"/>
  <c r="E8" i="3"/>
  <c r="E9" i="3" s="1"/>
  <c r="B6" i="3"/>
  <c r="B7" i="3" s="1"/>
  <c r="L25" i="2"/>
  <c r="K25" i="2"/>
  <c r="J25" i="2"/>
  <c r="I25" i="2"/>
  <c r="H25" i="2"/>
  <c r="G25" i="2"/>
  <c r="F25" i="2"/>
  <c r="E25" i="2"/>
  <c r="D25" i="2"/>
  <c r="B25" i="2"/>
  <c r="B22" i="2"/>
  <c r="L12" i="2"/>
  <c r="K12" i="2"/>
  <c r="J12" i="2"/>
  <c r="I12" i="2"/>
  <c r="H12" i="2"/>
  <c r="G12" i="2"/>
  <c r="F12" i="2"/>
  <c r="F13" i="2" s="1"/>
  <c r="E12" i="2"/>
  <c r="D12" i="2"/>
  <c r="C12" i="2"/>
  <c r="C13" i="2" s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B27" i="1"/>
  <c r="V23" i="1"/>
  <c r="V24" i="1" s="1"/>
  <c r="U23" i="1"/>
  <c r="U24" i="1" s="1"/>
  <c r="T23" i="1"/>
  <c r="T24" i="1" s="1"/>
  <c r="S23" i="1"/>
  <c r="S24" i="1" s="1"/>
  <c r="R23" i="1"/>
  <c r="R24" i="1" s="1"/>
  <c r="Q23" i="1"/>
  <c r="Q24" i="1" s="1"/>
  <c r="P23" i="1"/>
  <c r="P24" i="1" s="1"/>
  <c r="O23" i="1"/>
  <c r="O24" i="1" s="1"/>
  <c r="N23" i="1"/>
  <c r="N24" i="1" s="1"/>
  <c r="M23" i="1"/>
  <c r="M24" i="1" s="1"/>
  <c r="L23" i="1"/>
  <c r="L24" i="1" s="1"/>
  <c r="K23" i="1"/>
  <c r="K24" i="1" s="1"/>
  <c r="J23" i="1"/>
  <c r="J24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C28" i="1" s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1" i="1"/>
  <c r="B14" i="1" s="1"/>
  <c r="V10" i="1"/>
  <c r="V11" i="1" s="1"/>
  <c r="U10" i="1"/>
  <c r="U11" i="1" s="1"/>
  <c r="T10" i="1"/>
  <c r="T11" i="1" s="1"/>
  <c r="S10" i="1"/>
  <c r="S11" i="1" s="1"/>
  <c r="R10" i="1"/>
  <c r="R11" i="1" s="1"/>
  <c r="Q10" i="1"/>
  <c r="Q11" i="1" s="1"/>
  <c r="P10" i="1"/>
  <c r="P11" i="1" s="1"/>
  <c r="O10" i="1"/>
  <c r="O11" i="1" s="1"/>
  <c r="N10" i="1"/>
  <c r="N11" i="1" s="1"/>
  <c r="M10" i="1"/>
  <c r="M11" i="1" s="1"/>
  <c r="L10" i="1"/>
  <c r="L11" i="1" s="1"/>
  <c r="K10" i="1"/>
  <c r="K11" i="1" s="1"/>
  <c r="J10" i="1"/>
  <c r="J11" i="1" s="1"/>
  <c r="I10" i="1"/>
  <c r="I11" i="1" s="1"/>
  <c r="H10" i="1"/>
  <c r="H11" i="1" s="1"/>
  <c r="G10" i="1"/>
  <c r="G11" i="1" s="1"/>
  <c r="F10" i="1"/>
  <c r="F11" i="1" s="1"/>
  <c r="E10" i="1"/>
  <c r="E11" i="1" s="1"/>
  <c r="D10" i="1"/>
  <c r="D11" i="1" s="1"/>
  <c r="C10" i="1"/>
  <c r="C11" i="1" s="1"/>
  <c r="E136" i="5" l="1"/>
  <c r="I136" i="5"/>
  <c r="M136" i="5"/>
  <c r="Q136" i="5"/>
  <c r="Q137" i="5" s="1"/>
  <c r="U136" i="5"/>
  <c r="Y136" i="5"/>
  <c r="Y137" i="5" s="1"/>
  <c r="AC136" i="5"/>
  <c r="AG136" i="5"/>
  <c r="AG137" i="5" s="1"/>
  <c r="AK136" i="5"/>
  <c r="AO136" i="5"/>
  <c r="H136" i="5"/>
  <c r="X136" i="5"/>
  <c r="X137" i="5" s="1"/>
  <c r="AJ136" i="5"/>
  <c r="F136" i="5"/>
  <c r="F137" i="5" s="1"/>
  <c r="J136" i="5"/>
  <c r="N136" i="5"/>
  <c r="R136" i="5"/>
  <c r="V136" i="5"/>
  <c r="V137" i="5" s="1"/>
  <c r="Z136" i="5"/>
  <c r="AD136" i="5"/>
  <c r="AD137" i="5" s="1"/>
  <c r="AH136" i="5"/>
  <c r="AL136" i="5"/>
  <c r="AP136" i="5"/>
  <c r="D136" i="5"/>
  <c r="D137" i="5" s="1"/>
  <c r="P136" i="5"/>
  <c r="AF136" i="5"/>
  <c r="G136" i="5"/>
  <c r="G137" i="5" s="1"/>
  <c r="K136" i="5"/>
  <c r="K137" i="5" s="1"/>
  <c r="O136" i="5"/>
  <c r="S136" i="5"/>
  <c r="S137" i="5" s="1"/>
  <c r="W136" i="5"/>
  <c r="W137" i="5" s="1"/>
  <c r="AA136" i="5"/>
  <c r="AA137" i="5" s="1"/>
  <c r="AE136" i="5"/>
  <c r="AI136" i="5"/>
  <c r="AI137" i="5" s="1"/>
  <c r="AM136" i="5"/>
  <c r="AM137" i="5" s="1"/>
  <c r="C136" i="5"/>
  <c r="C137" i="5" s="1"/>
  <c r="L136" i="5"/>
  <c r="T136" i="5"/>
  <c r="T137" i="5" s="1"/>
  <c r="AB136" i="5"/>
  <c r="AB137" i="5" s="1"/>
  <c r="AN136" i="5"/>
  <c r="AN137" i="5" s="1"/>
  <c r="D86" i="5"/>
  <c r="H86" i="5"/>
  <c r="L86" i="5"/>
  <c r="P86" i="5"/>
  <c r="P87" i="5" s="1"/>
  <c r="T86" i="5"/>
  <c r="X86" i="5"/>
  <c r="AB86" i="5"/>
  <c r="AF86" i="5"/>
  <c r="M86" i="5"/>
  <c r="Q86" i="5"/>
  <c r="Y86" i="5"/>
  <c r="F86" i="5"/>
  <c r="J86" i="5"/>
  <c r="N86" i="5"/>
  <c r="R86" i="5"/>
  <c r="V86" i="5"/>
  <c r="Z86" i="5"/>
  <c r="AD86" i="5"/>
  <c r="I86" i="5"/>
  <c r="U86" i="5"/>
  <c r="C86" i="5"/>
  <c r="G86" i="5"/>
  <c r="K86" i="5"/>
  <c r="O86" i="5"/>
  <c r="S86" i="5"/>
  <c r="W86" i="5"/>
  <c r="AA86" i="5"/>
  <c r="AE86" i="5"/>
  <c r="E86" i="5"/>
  <c r="AC86" i="5"/>
  <c r="F39" i="5"/>
  <c r="J39" i="5"/>
  <c r="N39" i="5"/>
  <c r="R39" i="5"/>
  <c r="V39" i="5"/>
  <c r="Z39" i="5"/>
  <c r="B125" i="5" a="1"/>
  <c r="B125" i="5" s="1"/>
  <c r="D39" i="5"/>
  <c r="H39" i="5"/>
  <c r="L39" i="5"/>
  <c r="P39" i="5"/>
  <c r="T39" i="5"/>
  <c r="X39" i="5"/>
  <c r="B123" i="5"/>
  <c r="AB83" i="5"/>
  <c r="AB84" i="5" s="1"/>
  <c r="G83" i="5"/>
  <c r="G84" i="5" s="1"/>
  <c r="Y67" i="5"/>
  <c r="Y68" i="5" s="1"/>
  <c r="M67" i="5"/>
  <c r="M68" i="5" s="1"/>
  <c r="D67" i="5"/>
  <c r="D68" i="5" s="1"/>
  <c r="W83" i="5"/>
  <c r="W84" i="5" s="1"/>
  <c r="U67" i="5"/>
  <c r="U68" i="5" s="1"/>
  <c r="L67" i="5"/>
  <c r="L68" i="5" s="1"/>
  <c r="Q83" i="5"/>
  <c r="Q84" i="5" s="1"/>
  <c r="AE67" i="5"/>
  <c r="AE68" i="5" s="1"/>
  <c r="T67" i="5"/>
  <c r="T68" i="5" s="1"/>
  <c r="H67" i="5"/>
  <c r="H68" i="5" s="1"/>
  <c r="L83" i="5"/>
  <c r="L84" i="5" s="1"/>
  <c r="AD67" i="5"/>
  <c r="AD68" i="5" s="1"/>
  <c r="P67" i="5"/>
  <c r="P68" i="5" s="1"/>
  <c r="E67" i="5"/>
  <c r="E68" i="5" s="1"/>
  <c r="B23" i="5" a="1"/>
  <c r="B23" i="5" s="1"/>
  <c r="B149" i="5" s="1"/>
  <c r="C39" i="5"/>
  <c r="G39" i="5"/>
  <c r="K39" i="5"/>
  <c r="O39" i="5"/>
  <c r="S39" i="5"/>
  <c r="W39" i="5"/>
  <c r="AA39" i="5"/>
  <c r="D20" i="4"/>
  <c r="H20" i="4"/>
  <c r="H22" i="4" s="1"/>
  <c r="H26" i="4" s="1"/>
  <c r="L20" i="4"/>
  <c r="P20" i="4"/>
  <c r="T20" i="4"/>
  <c r="X20" i="4"/>
  <c r="D19" i="4"/>
  <c r="H19" i="4"/>
  <c r="L19" i="4"/>
  <c r="P19" i="4"/>
  <c r="T19" i="4"/>
  <c r="X19" i="4"/>
  <c r="C20" i="4"/>
  <c r="E20" i="4"/>
  <c r="I20" i="4"/>
  <c r="M20" i="4"/>
  <c r="Q20" i="4"/>
  <c r="U20" i="4"/>
  <c r="Y20" i="4"/>
  <c r="E19" i="4"/>
  <c r="I19" i="4"/>
  <c r="M19" i="4"/>
  <c r="Q19" i="4"/>
  <c r="Q21" i="4" s="1"/>
  <c r="Q25" i="4" s="1"/>
  <c r="U19" i="4"/>
  <c r="Y19" i="4"/>
  <c r="C19" i="4"/>
  <c r="G20" i="4"/>
  <c r="S20" i="4"/>
  <c r="AA20" i="4"/>
  <c r="K19" i="4"/>
  <c r="S19" i="4"/>
  <c r="AA19" i="4"/>
  <c r="F20" i="4"/>
  <c r="J20" i="4"/>
  <c r="N20" i="4"/>
  <c r="R20" i="4"/>
  <c r="V20" i="4"/>
  <c r="Z20" i="4"/>
  <c r="F19" i="4"/>
  <c r="J19" i="4"/>
  <c r="N19" i="4"/>
  <c r="R19" i="4"/>
  <c r="V19" i="4"/>
  <c r="Z19" i="4"/>
  <c r="K20" i="4"/>
  <c r="O20" i="4"/>
  <c r="W20" i="4"/>
  <c r="G19" i="4"/>
  <c r="O19" i="4"/>
  <c r="W19" i="4"/>
  <c r="J49" i="4"/>
  <c r="R49" i="4"/>
  <c r="Z49" i="4"/>
  <c r="T22" i="4"/>
  <c r="T26" i="4" s="1"/>
  <c r="C21" i="4"/>
  <c r="C25" i="4" s="1"/>
  <c r="G49" i="4"/>
  <c r="O49" i="4"/>
  <c r="W49" i="4"/>
  <c r="X22" i="4"/>
  <c r="X26" i="4" s="1"/>
  <c r="K49" i="4"/>
  <c r="S49" i="4"/>
  <c r="AA49" i="4"/>
  <c r="B49" i="4"/>
  <c r="I21" i="4"/>
  <c r="I25" i="4" s="1"/>
  <c r="H49" i="4"/>
  <c r="P49" i="4"/>
  <c r="X49" i="4"/>
  <c r="V49" i="4"/>
  <c r="M49" i="4"/>
  <c r="Q49" i="4"/>
  <c r="U49" i="4"/>
  <c r="Y49" i="4"/>
  <c r="B25" i="4"/>
  <c r="D49" i="4"/>
  <c r="L49" i="4"/>
  <c r="T49" i="4"/>
  <c r="N49" i="4"/>
  <c r="E49" i="4"/>
  <c r="I49" i="4"/>
  <c r="B81" i="3"/>
  <c r="B87" i="3"/>
  <c r="B88" i="3"/>
  <c r="B82" i="3"/>
  <c r="C69" i="3"/>
  <c r="C70" i="3" s="1"/>
  <c r="C71" i="3" s="1"/>
  <c r="F69" i="3"/>
  <c r="F70" i="3" s="1"/>
  <c r="F71" i="3" s="1"/>
  <c r="J69" i="3"/>
  <c r="J70" i="3" s="1"/>
  <c r="J71" i="3" s="1"/>
  <c r="N69" i="3"/>
  <c r="N70" i="3" s="1"/>
  <c r="N71" i="3" s="1"/>
  <c r="R69" i="3"/>
  <c r="R70" i="3" s="1"/>
  <c r="R71" i="3" s="1"/>
  <c r="V69" i="3"/>
  <c r="V70" i="3" s="1"/>
  <c r="V71" i="3" s="1"/>
  <c r="Z69" i="3"/>
  <c r="Z70" i="3" s="1"/>
  <c r="Z71" i="3" s="1"/>
  <c r="G69" i="3"/>
  <c r="G70" i="3" s="1"/>
  <c r="G71" i="3" s="1"/>
  <c r="K69" i="3"/>
  <c r="K70" i="3" s="1"/>
  <c r="K71" i="3" s="1"/>
  <c r="O69" i="3"/>
  <c r="O70" i="3" s="1"/>
  <c r="O71" i="3" s="1"/>
  <c r="S69" i="3"/>
  <c r="S70" i="3" s="1"/>
  <c r="S71" i="3" s="1"/>
  <c r="W69" i="3"/>
  <c r="W70" i="3" s="1"/>
  <c r="W71" i="3" s="1"/>
  <c r="AA69" i="3"/>
  <c r="AA70" i="3" s="1"/>
  <c r="AA71" i="3" s="1"/>
  <c r="D69" i="3"/>
  <c r="D70" i="3" s="1"/>
  <c r="D71" i="3" s="1"/>
  <c r="H69" i="3"/>
  <c r="H70" i="3" s="1"/>
  <c r="H71" i="3" s="1"/>
  <c r="L69" i="3"/>
  <c r="L70" i="3" s="1"/>
  <c r="L71" i="3" s="1"/>
  <c r="P69" i="3"/>
  <c r="P70" i="3" s="1"/>
  <c r="P71" i="3" s="1"/>
  <c r="T69" i="3"/>
  <c r="T70" i="3" s="1"/>
  <c r="T71" i="3" s="1"/>
  <c r="X69" i="3"/>
  <c r="X70" i="3" s="1"/>
  <c r="X71" i="3" s="1"/>
  <c r="E69" i="3"/>
  <c r="E70" i="3" s="1"/>
  <c r="E71" i="3" s="1"/>
  <c r="I69" i="3"/>
  <c r="I70" i="3" s="1"/>
  <c r="I71" i="3" s="1"/>
  <c r="M69" i="3"/>
  <c r="M70" i="3" s="1"/>
  <c r="M71" i="3" s="1"/>
  <c r="Q69" i="3"/>
  <c r="Q70" i="3" s="1"/>
  <c r="Q71" i="3" s="1"/>
  <c r="U69" i="3"/>
  <c r="U70" i="3" s="1"/>
  <c r="U71" i="3" s="1"/>
  <c r="Y69" i="3"/>
  <c r="Y70" i="3" s="1"/>
  <c r="Y71" i="3" s="1"/>
  <c r="B26" i="2"/>
  <c r="D53" i="3"/>
  <c r="H53" i="3"/>
  <c r="L53" i="3"/>
  <c r="P53" i="3"/>
  <c r="P54" i="3" s="1"/>
  <c r="P55" i="3" s="1"/>
  <c r="T53" i="3"/>
  <c r="X53" i="3"/>
  <c r="C53" i="3"/>
  <c r="K53" i="3"/>
  <c r="K54" i="3" s="1"/>
  <c r="K55" i="3" s="1"/>
  <c r="W53" i="3"/>
  <c r="E53" i="3"/>
  <c r="I53" i="3"/>
  <c r="M53" i="3"/>
  <c r="M54" i="3" s="1"/>
  <c r="M55" i="3" s="1"/>
  <c r="Q53" i="3"/>
  <c r="U53" i="3"/>
  <c r="Y53" i="3"/>
  <c r="G53" i="3"/>
  <c r="G54" i="3" s="1"/>
  <c r="G55" i="3" s="1"/>
  <c r="AA53" i="3"/>
  <c r="F53" i="3"/>
  <c r="J53" i="3"/>
  <c r="N53" i="3"/>
  <c r="N54" i="3" s="1"/>
  <c r="N55" i="3" s="1"/>
  <c r="R53" i="3"/>
  <c r="V53" i="3"/>
  <c r="Z53" i="3"/>
  <c r="O53" i="3"/>
  <c r="O54" i="3" s="1"/>
  <c r="O55" i="3" s="1"/>
  <c r="S53" i="3"/>
  <c r="D36" i="3"/>
  <c r="H36" i="3"/>
  <c r="H37" i="3" s="1"/>
  <c r="H38" i="3" s="1"/>
  <c r="L36" i="3"/>
  <c r="P36" i="3"/>
  <c r="T36" i="3"/>
  <c r="X36" i="3"/>
  <c r="X37" i="3" s="1"/>
  <c r="X38" i="3" s="1"/>
  <c r="C36" i="3"/>
  <c r="E36" i="3"/>
  <c r="I36" i="3"/>
  <c r="I37" i="3" s="1"/>
  <c r="I38" i="3" s="1"/>
  <c r="M36" i="3"/>
  <c r="M37" i="3" s="1"/>
  <c r="M38" i="3" s="1"/>
  <c r="Q36" i="3"/>
  <c r="U36" i="3"/>
  <c r="Y36" i="3"/>
  <c r="F36" i="3"/>
  <c r="F37" i="3" s="1"/>
  <c r="F38" i="3" s="1"/>
  <c r="J36" i="3"/>
  <c r="N36" i="3"/>
  <c r="R36" i="3"/>
  <c r="V36" i="3"/>
  <c r="V37" i="3" s="1"/>
  <c r="V38" i="3" s="1"/>
  <c r="Z36" i="3"/>
  <c r="Z37" i="3" s="1"/>
  <c r="Z38" i="3" s="1"/>
  <c r="G36" i="3"/>
  <c r="K36" i="3"/>
  <c r="O36" i="3"/>
  <c r="S36" i="3"/>
  <c r="W36" i="3"/>
  <c r="AA36" i="3"/>
  <c r="B22" i="3"/>
  <c r="B71" i="3"/>
  <c r="B24" i="3"/>
  <c r="B38" i="3"/>
  <c r="B55" i="3"/>
  <c r="J13" i="2"/>
  <c r="D13" i="2"/>
  <c r="H13" i="2"/>
  <c r="L13" i="2"/>
  <c r="G26" i="2"/>
  <c r="K26" i="2"/>
  <c r="E13" i="2"/>
  <c r="I13" i="2"/>
  <c r="D26" i="2"/>
  <c r="H26" i="2"/>
  <c r="L26" i="2"/>
  <c r="E26" i="2"/>
  <c r="I26" i="2"/>
  <c r="G13" i="2"/>
  <c r="K13" i="2"/>
  <c r="F26" i="2"/>
  <c r="J26" i="2"/>
  <c r="D28" i="1"/>
  <c r="H28" i="1"/>
  <c r="L28" i="1"/>
  <c r="P28" i="1"/>
  <c r="T28" i="1"/>
  <c r="E28" i="1"/>
  <c r="I28" i="1"/>
  <c r="M28" i="1"/>
  <c r="Q28" i="1"/>
  <c r="U28" i="1"/>
  <c r="F28" i="1"/>
  <c r="J28" i="1"/>
  <c r="N28" i="1"/>
  <c r="R28" i="1"/>
  <c r="V28" i="1"/>
  <c r="G28" i="1"/>
  <c r="K28" i="1"/>
  <c r="O28" i="1"/>
  <c r="S28" i="1"/>
  <c r="C14" i="1"/>
  <c r="P14" i="1"/>
  <c r="D14" i="1"/>
  <c r="H14" i="1"/>
  <c r="L14" i="1"/>
  <c r="T14" i="1"/>
  <c r="N14" i="1"/>
  <c r="G14" i="1"/>
  <c r="K14" i="1"/>
  <c r="O14" i="1"/>
  <c r="S14" i="1"/>
  <c r="R14" i="1"/>
  <c r="F14" i="1"/>
  <c r="E14" i="1"/>
  <c r="I14" i="1"/>
  <c r="M14" i="1"/>
  <c r="Q14" i="1"/>
  <c r="U14" i="1"/>
  <c r="J14" i="1"/>
  <c r="V14" i="1"/>
  <c r="B23" i="3" a="1"/>
  <c r="B23" i="3" s="1"/>
  <c r="AA54" i="3"/>
  <c r="AA55" i="3" s="1"/>
  <c r="T37" i="3"/>
  <c r="T38" i="3" s="1"/>
  <c r="P37" i="3"/>
  <c r="P38" i="3" s="1"/>
  <c r="L37" i="3"/>
  <c r="L38" i="3" s="1"/>
  <c r="D37" i="3"/>
  <c r="D38" i="3" s="1"/>
  <c r="AA37" i="3"/>
  <c r="AA38" i="3" s="1"/>
  <c r="W37" i="3"/>
  <c r="W38" i="3" s="1"/>
  <c r="S37" i="3"/>
  <c r="S38" i="3" s="1"/>
  <c r="O37" i="3"/>
  <c r="O38" i="3" s="1"/>
  <c r="K37" i="3"/>
  <c r="K38" i="3" s="1"/>
  <c r="G37" i="3"/>
  <c r="G38" i="3" s="1"/>
  <c r="C37" i="3"/>
  <c r="R37" i="3"/>
  <c r="R38" i="3" s="1"/>
  <c r="N37" i="3"/>
  <c r="N38" i="3" s="1"/>
  <c r="J37" i="3"/>
  <c r="J38" i="3" s="1"/>
  <c r="Y37" i="3"/>
  <c r="Y38" i="3" s="1"/>
  <c r="U37" i="3"/>
  <c r="U38" i="3" s="1"/>
  <c r="Q37" i="3"/>
  <c r="Q38" i="3" s="1"/>
  <c r="E37" i="3"/>
  <c r="E38" i="3" s="1"/>
  <c r="D54" i="3"/>
  <c r="D55" i="3" s="1"/>
  <c r="H54" i="3"/>
  <c r="H55" i="3" s="1"/>
  <c r="L54" i="3"/>
  <c r="L55" i="3" s="1"/>
  <c r="T54" i="3"/>
  <c r="T55" i="3" s="1"/>
  <c r="X54" i="3"/>
  <c r="X55" i="3" s="1"/>
  <c r="E54" i="3"/>
  <c r="E55" i="3" s="1"/>
  <c r="I54" i="3"/>
  <c r="I55" i="3" s="1"/>
  <c r="Q54" i="3"/>
  <c r="Q55" i="3" s="1"/>
  <c r="U54" i="3"/>
  <c r="U55" i="3" s="1"/>
  <c r="Y54" i="3"/>
  <c r="Y55" i="3" s="1"/>
  <c r="U21" i="4"/>
  <c r="U25" i="4" s="1"/>
  <c r="F54" i="3"/>
  <c r="F55" i="3" s="1"/>
  <c r="J54" i="3"/>
  <c r="J55" i="3" s="1"/>
  <c r="R54" i="3"/>
  <c r="R55" i="3" s="1"/>
  <c r="V54" i="3"/>
  <c r="V55" i="3" s="1"/>
  <c r="Z54" i="3"/>
  <c r="Z55" i="3" s="1"/>
  <c r="C54" i="3"/>
  <c r="S54" i="3"/>
  <c r="S55" i="3" s="1"/>
  <c r="W54" i="3"/>
  <c r="W55" i="3" s="1"/>
  <c r="B26" i="4"/>
  <c r="B52" i="4" a="1"/>
  <c r="B52" i="4" s="1"/>
  <c r="B25" i="5"/>
  <c r="B26" i="5" a="1"/>
  <c r="B26" i="5" s="1"/>
  <c r="D149" i="5" s="1"/>
  <c r="F69" i="5"/>
  <c r="F70" i="5" s="1"/>
  <c r="Q69" i="5"/>
  <c r="Q70" i="5" s="1"/>
  <c r="AB69" i="5"/>
  <c r="AB70" i="5" s="1"/>
  <c r="K85" i="5"/>
  <c r="E39" i="5"/>
  <c r="M39" i="5"/>
  <c r="U39" i="5"/>
  <c r="AD83" i="5"/>
  <c r="AD84" i="5" s="1"/>
  <c r="Z83" i="5"/>
  <c r="Z84" i="5" s="1"/>
  <c r="V83" i="5"/>
  <c r="V84" i="5" s="1"/>
  <c r="R83" i="5"/>
  <c r="R84" i="5" s="1"/>
  <c r="N83" i="5"/>
  <c r="N84" i="5" s="1"/>
  <c r="J83" i="5"/>
  <c r="J84" i="5" s="1"/>
  <c r="F83" i="5"/>
  <c r="F84" i="5" s="1"/>
  <c r="AF67" i="5"/>
  <c r="AF68" i="5" s="1"/>
  <c r="AB67" i="5"/>
  <c r="AB68" i="5" s="1"/>
  <c r="X67" i="5"/>
  <c r="X68" i="5" s="1"/>
  <c r="AF83" i="5"/>
  <c r="AF84" i="5" s="1"/>
  <c r="AA83" i="5"/>
  <c r="AA84" i="5" s="1"/>
  <c r="U83" i="5"/>
  <c r="U84" i="5" s="1"/>
  <c r="P83" i="5"/>
  <c r="P84" i="5" s="1"/>
  <c r="K83" i="5"/>
  <c r="K84" i="5" s="1"/>
  <c r="E83" i="5"/>
  <c r="E84" i="5" s="1"/>
  <c r="AC67" i="5"/>
  <c r="AC68" i="5" s="1"/>
  <c r="W67" i="5"/>
  <c r="W68" i="5" s="1"/>
  <c r="S67" i="5"/>
  <c r="S68" i="5" s="1"/>
  <c r="O67" i="5"/>
  <c r="O68" i="5" s="1"/>
  <c r="K67" i="5"/>
  <c r="K68" i="5" s="1"/>
  <c r="G67" i="5"/>
  <c r="G68" i="5" s="1"/>
  <c r="C67" i="5"/>
  <c r="C68" i="5" s="1"/>
  <c r="AE83" i="5"/>
  <c r="AE84" i="5" s="1"/>
  <c r="Y83" i="5"/>
  <c r="Y84" i="5" s="1"/>
  <c r="T83" i="5"/>
  <c r="T84" i="5" s="1"/>
  <c r="O83" i="5"/>
  <c r="O84" i="5" s="1"/>
  <c r="I83" i="5"/>
  <c r="I84" i="5" s="1"/>
  <c r="D83" i="5"/>
  <c r="D84" i="5" s="1"/>
  <c r="AA67" i="5"/>
  <c r="AA68" i="5" s="1"/>
  <c r="V67" i="5"/>
  <c r="V68" i="5" s="1"/>
  <c r="R67" i="5"/>
  <c r="R68" i="5" s="1"/>
  <c r="N67" i="5"/>
  <c r="N68" i="5" s="1"/>
  <c r="J67" i="5"/>
  <c r="J68" i="5" s="1"/>
  <c r="F67" i="5"/>
  <c r="F68" i="5" s="1"/>
  <c r="I67" i="5"/>
  <c r="I68" i="5" s="1"/>
  <c r="Q67" i="5"/>
  <c r="Q68" i="5" s="1"/>
  <c r="Z67" i="5"/>
  <c r="Z68" i="5" s="1"/>
  <c r="H69" i="5"/>
  <c r="H70" i="5" s="1"/>
  <c r="R69" i="5"/>
  <c r="AC69" i="5"/>
  <c r="C83" i="5"/>
  <c r="C84" i="5" s="1"/>
  <c r="M83" i="5"/>
  <c r="M84" i="5" s="1"/>
  <c r="X83" i="5"/>
  <c r="X84" i="5" s="1"/>
  <c r="AJ137" i="5"/>
  <c r="AF137" i="5"/>
  <c r="P137" i="5"/>
  <c r="L137" i="5"/>
  <c r="H137" i="5"/>
  <c r="AE137" i="5"/>
  <c r="O137" i="5"/>
  <c r="AP137" i="5"/>
  <c r="AL137" i="5"/>
  <c r="AH137" i="5"/>
  <c r="Z137" i="5"/>
  <c r="R137" i="5"/>
  <c r="N137" i="5"/>
  <c r="J137" i="5"/>
  <c r="AC137" i="5"/>
  <c r="M137" i="5"/>
  <c r="AO137" i="5"/>
  <c r="I137" i="5"/>
  <c r="AK137" i="5"/>
  <c r="U137" i="5"/>
  <c r="E137" i="5"/>
  <c r="C49" i="4"/>
  <c r="AC85" i="5"/>
  <c r="Y85" i="5"/>
  <c r="U85" i="5"/>
  <c r="AF85" i="5"/>
  <c r="AA85" i="5"/>
  <c r="V85" i="5"/>
  <c r="Q85" i="5"/>
  <c r="M85" i="5"/>
  <c r="I85" i="5"/>
  <c r="E85" i="5"/>
  <c r="AE69" i="5"/>
  <c r="AA69" i="5"/>
  <c r="AA70" i="5" s="1"/>
  <c r="W69" i="5"/>
  <c r="S69" i="5"/>
  <c r="O69" i="5"/>
  <c r="K69" i="5"/>
  <c r="G69" i="5"/>
  <c r="C69" i="5"/>
  <c r="C70" i="5" s="1"/>
  <c r="AB85" i="5"/>
  <c r="T85" i="5"/>
  <c r="O85" i="5"/>
  <c r="J85" i="5"/>
  <c r="D85" i="5"/>
  <c r="Z85" i="5"/>
  <c r="S85" i="5"/>
  <c r="N85" i="5"/>
  <c r="H85" i="5"/>
  <c r="C85" i="5"/>
  <c r="AF69" i="5"/>
  <c r="AF70" i="5" s="1"/>
  <c r="Z69" i="5"/>
  <c r="Z70" i="5" s="1"/>
  <c r="U69" i="5"/>
  <c r="P69" i="5"/>
  <c r="J69" i="5"/>
  <c r="E69" i="5"/>
  <c r="E70" i="5" s="1"/>
  <c r="AE85" i="5"/>
  <c r="X85" i="5"/>
  <c r="R85" i="5"/>
  <c r="L85" i="5"/>
  <c r="G85" i="5"/>
  <c r="AD69" i="5"/>
  <c r="AD70" i="5" s="1"/>
  <c r="Y69" i="5"/>
  <c r="T69" i="5"/>
  <c r="N69" i="5"/>
  <c r="I69" i="5"/>
  <c r="I70" i="5" s="1"/>
  <c r="D69" i="5"/>
  <c r="D70" i="5" s="1"/>
  <c r="L69" i="5"/>
  <c r="L70" i="5" s="1"/>
  <c r="V69" i="5"/>
  <c r="V70" i="5" s="1"/>
  <c r="W85" i="5"/>
  <c r="B24" i="5" a="1"/>
  <c r="B24" i="5" s="1"/>
  <c r="C149" i="5" s="1"/>
  <c r="B43" i="5" a="1"/>
  <c r="B43" i="5" s="1"/>
  <c r="I39" i="5"/>
  <c r="Q39" i="5"/>
  <c r="Y39" i="5"/>
  <c r="M69" i="5"/>
  <c r="M70" i="5" s="1"/>
  <c r="X69" i="5"/>
  <c r="X70" i="5" s="1"/>
  <c r="H83" i="5"/>
  <c r="H84" i="5" s="1"/>
  <c r="S83" i="5"/>
  <c r="S84" i="5" s="1"/>
  <c r="AC83" i="5"/>
  <c r="AC84" i="5" s="1"/>
  <c r="F85" i="5"/>
  <c r="AD85" i="5"/>
  <c r="B66" i="5"/>
  <c r="AO133" i="5"/>
  <c r="AO134" i="5" s="1"/>
  <c r="AK133" i="5"/>
  <c r="AK134" i="5" s="1"/>
  <c r="AG133" i="5"/>
  <c r="AG134" i="5" s="1"/>
  <c r="AC133" i="5"/>
  <c r="AC134" i="5" s="1"/>
  <c r="Y133" i="5"/>
  <c r="Y134" i="5" s="1"/>
  <c r="U133" i="5"/>
  <c r="U134" i="5" s="1"/>
  <c r="Q133" i="5"/>
  <c r="Q134" i="5" s="1"/>
  <c r="M133" i="5"/>
  <c r="M134" i="5" s="1"/>
  <c r="I133" i="5"/>
  <c r="I134" i="5" s="1"/>
  <c r="E133" i="5"/>
  <c r="E134" i="5" s="1"/>
  <c r="AN133" i="5"/>
  <c r="AN134" i="5" s="1"/>
  <c r="AJ133" i="5"/>
  <c r="AJ134" i="5" s="1"/>
  <c r="AF133" i="5"/>
  <c r="AF134" i="5" s="1"/>
  <c r="AB133" i="5"/>
  <c r="AB134" i="5" s="1"/>
  <c r="X133" i="5"/>
  <c r="X134" i="5" s="1"/>
  <c r="T133" i="5"/>
  <c r="T134" i="5" s="1"/>
  <c r="P133" i="5"/>
  <c r="P134" i="5" s="1"/>
  <c r="L133" i="5"/>
  <c r="L134" i="5" s="1"/>
  <c r="H133" i="5"/>
  <c r="H134" i="5" s="1"/>
  <c r="D133" i="5"/>
  <c r="D134" i="5" s="1"/>
  <c r="AM133" i="5"/>
  <c r="AM134" i="5" s="1"/>
  <c r="AI133" i="5"/>
  <c r="AI134" i="5" s="1"/>
  <c r="AE133" i="5"/>
  <c r="AE134" i="5" s="1"/>
  <c r="AA133" i="5"/>
  <c r="AA134" i="5" s="1"/>
  <c r="W133" i="5"/>
  <c r="W134" i="5" s="1"/>
  <c r="S133" i="5"/>
  <c r="S134" i="5" s="1"/>
  <c r="O133" i="5"/>
  <c r="O134" i="5" s="1"/>
  <c r="K133" i="5"/>
  <c r="K134" i="5" s="1"/>
  <c r="G133" i="5"/>
  <c r="G134" i="5" s="1"/>
  <c r="C133" i="5"/>
  <c r="C134" i="5" s="1"/>
  <c r="AH133" i="5"/>
  <c r="AH134" i="5" s="1"/>
  <c r="R133" i="5"/>
  <c r="R134" i="5" s="1"/>
  <c r="AD133" i="5"/>
  <c r="AD134" i="5" s="1"/>
  <c r="N133" i="5"/>
  <c r="N134" i="5" s="1"/>
  <c r="AP133" i="5"/>
  <c r="AP134" i="5" s="1"/>
  <c r="Z133" i="5"/>
  <c r="Z134" i="5" s="1"/>
  <c r="J133" i="5"/>
  <c r="J134" i="5" s="1"/>
  <c r="AL133" i="5"/>
  <c r="AL134" i="5" s="1"/>
  <c r="V133" i="5"/>
  <c r="V134" i="5" s="1"/>
  <c r="F133" i="5"/>
  <c r="F134" i="5" s="1"/>
  <c r="B108" i="5"/>
  <c r="B134" i="5"/>
  <c r="B138" i="5" s="1"/>
  <c r="B124" i="5" a="1"/>
  <c r="B124" i="5" s="1"/>
  <c r="D151" i="5" s="1"/>
  <c r="AB87" i="5" l="1"/>
  <c r="F87" i="5"/>
  <c r="F88" i="5" s="1"/>
  <c r="B121" i="5" a="1"/>
  <c r="B121" i="5" s="1"/>
  <c r="B151" i="5" s="1"/>
  <c r="B122" i="5" a="1"/>
  <c r="B122" i="5" s="1"/>
  <c r="C151" i="5" s="1"/>
  <c r="N71" i="5"/>
  <c r="N70" i="5"/>
  <c r="U71" i="5"/>
  <c r="U70" i="5"/>
  <c r="O71" i="5"/>
  <c r="O70" i="5"/>
  <c r="AE71" i="5"/>
  <c r="AE70" i="5"/>
  <c r="R71" i="5"/>
  <c r="R70" i="5"/>
  <c r="T71" i="5"/>
  <c r="T70" i="5"/>
  <c r="S71" i="5"/>
  <c r="S70" i="5"/>
  <c r="Y71" i="5"/>
  <c r="Y70" i="5"/>
  <c r="J71" i="5"/>
  <c r="J70" i="5"/>
  <c r="G71" i="5"/>
  <c r="G70" i="5"/>
  <c r="W71" i="5"/>
  <c r="W70" i="5"/>
  <c r="P71" i="5"/>
  <c r="P70" i="5"/>
  <c r="K71" i="5"/>
  <c r="K70" i="5"/>
  <c r="AC71" i="5"/>
  <c r="AC70" i="5"/>
  <c r="AD71" i="5"/>
  <c r="X71" i="5"/>
  <c r="U87" i="5"/>
  <c r="U88" i="5" s="1"/>
  <c r="M71" i="5"/>
  <c r="L71" i="5"/>
  <c r="E71" i="5"/>
  <c r="Z71" i="5"/>
  <c r="N87" i="5"/>
  <c r="N88" i="5" s="1"/>
  <c r="H71" i="5"/>
  <c r="P88" i="5"/>
  <c r="AA71" i="5"/>
  <c r="W87" i="5"/>
  <c r="W88" i="5" s="1"/>
  <c r="I71" i="5"/>
  <c r="AF71" i="5"/>
  <c r="D71" i="5"/>
  <c r="AB88" i="5"/>
  <c r="S87" i="5"/>
  <c r="S88" i="5" s="1"/>
  <c r="B42" i="5"/>
  <c r="C87" i="5"/>
  <c r="C88" i="5" s="1"/>
  <c r="Z87" i="5"/>
  <c r="Z88" i="5" s="1"/>
  <c r="M87" i="5"/>
  <c r="M88" i="5" s="1"/>
  <c r="AF87" i="5"/>
  <c r="AF88" i="5" s="1"/>
  <c r="AC138" i="5"/>
  <c r="V71" i="5"/>
  <c r="E22" i="4"/>
  <c r="E26" i="4" s="1"/>
  <c r="J22" i="4"/>
  <c r="J26" i="4" s="1"/>
  <c r="E21" i="4"/>
  <c r="E25" i="4" s="1"/>
  <c r="Y21" i="4"/>
  <c r="Y25" i="4" s="1"/>
  <c r="Z21" i="4"/>
  <c r="Z25" i="4" s="1"/>
  <c r="M22" i="4"/>
  <c r="M26" i="4" s="1"/>
  <c r="V21" i="4"/>
  <c r="V25" i="4" s="1"/>
  <c r="F21" i="4"/>
  <c r="F25" i="4" s="1"/>
  <c r="O22" i="4"/>
  <c r="O26" i="4" s="1"/>
  <c r="H21" i="4"/>
  <c r="H25" i="4" s="1"/>
  <c r="R22" i="4"/>
  <c r="R26" i="4" s="1"/>
  <c r="G21" i="4"/>
  <c r="G25" i="4" s="1"/>
  <c r="W21" i="4"/>
  <c r="W25" i="4" s="1"/>
  <c r="D21" i="4"/>
  <c r="D25" i="4" s="1"/>
  <c r="U22" i="4"/>
  <c r="U26" i="4" s="1"/>
  <c r="N21" i="4"/>
  <c r="N25" i="4" s="1"/>
  <c r="X21" i="4"/>
  <c r="X25" i="4" s="1"/>
  <c r="Z22" i="4"/>
  <c r="Z26" i="4" s="1"/>
  <c r="O21" i="4"/>
  <c r="O25" i="4" s="1"/>
  <c r="P22" i="4"/>
  <c r="P26" i="4" s="1"/>
  <c r="L22" i="4"/>
  <c r="L26" i="4" s="1"/>
  <c r="L21" i="4"/>
  <c r="L25" i="4" s="1"/>
  <c r="S22" i="4"/>
  <c r="S26" i="4" s="1"/>
  <c r="C22" i="4"/>
  <c r="C26" i="4" s="1"/>
  <c r="Q22" i="4"/>
  <c r="Q26" i="4" s="1"/>
  <c r="J21" i="4"/>
  <c r="J25" i="4" s="1"/>
  <c r="I22" i="4"/>
  <c r="I26" i="4" s="1"/>
  <c r="R21" i="4"/>
  <c r="R25" i="4" s="1"/>
  <c r="G22" i="4"/>
  <c r="G26" i="4" s="1"/>
  <c r="F22" i="4"/>
  <c r="F26" i="4" s="1"/>
  <c r="V22" i="4"/>
  <c r="V26" i="4" s="1"/>
  <c r="M21" i="4"/>
  <c r="M25" i="4" s="1"/>
  <c r="K21" i="4"/>
  <c r="K25" i="4" s="1"/>
  <c r="AA21" i="4"/>
  <c r="AA25" i="4" s="1"/>
  <c r="AA22" i="4"/>
  <c r="AA26" i="4" s="1"/>
  <c r="Y22" i="4"/>
  <c r="Y26" i="4" s="1"/>
  <c r="T21" i="4"/>
  <c r="T25" i="4" s="1"/>
  <c r="K22" i="4"/>
  <c r="K26" i="4" s="1"/>
  <c r="W22" i="4"/>
  <c r="W26" i="4" s="1"/>
  <c r="P21" i="4"/>
  <c r="P25" i="4" s="1"/>
  <c r="N22" i="4"/>
  <c r="N26" i="4" s="1"/>
  <c r="S21" i="4"/>
  <c r="S25" i="4" s="1"/>
  <c r="D22" i="4"/>
  <c r="D26" i="4" s="1"/>
  <c r="B50" i="4" a="1"/>
  <c r="B50" i="4" s="1"/>
  <c r="B29" i="1"/>
  <c r="B27" i="2" a="1"/>
  <c r="B27" i="2" s="1"/>
  <c r="B15" i="1"/>
  <c r="R87" i="5"/>
  <c r="R88" i="5" s="1"/>
  <c r="O87" i="5"/>
  <c r="O88" i="5" s="1"/>
  <c r="I87" i="5"/>
  <c r="I88" i="5" s="1"/>
  <c r="AA87" i="5"/>
  <c r="AA88" i="5" s="1"/>
  <c r="AC87" i="5"/>
  <c r="AC88" i="5" s="1"/>
  <c r="AK138" i="5"/>
  <c r="M138" i="5"/>
  <c r="F138" i="5"/>
  <c r="V138" i="5"/>
  <c r="AL138" i="5"/>
  <c r="K138" i="5"/>
  <c r="AA138" i="5"/>
  <c r="D138" i="5"/>
  <c r="T138" i="5"/>
  <c r="AJ138" i="5"/>
  <c r="B51" i="4"/>
  <c r="B41" i="5" a="1"/>
  <c r="B41" i="5" s="1"/>
  <c r="B41" i="3" a="1"/>
  <c r="B41" i="3" s="1"/>
  <c r="C38" i="3"/>
  <c r="B95" i="3" s="1"/>
  <c r="B68" i="5"/>
  <c r="B71" i="5" s="1"/>
  <c r="T87" i="5"/>
  <c r="T88" i="5" s="1"/>
  <c r="I138" i="5"/>
  <c r="J138" i="5"/>
  <c r="Z138" i="5"/>
  <c r="AP138" i="5"/>
  <c r="O138" i="5"/>
  <c r="AE138" i="5"/>
  <c r="H138" i="5"/>
  <c r="X138" i="5"/>
  <c r="AN138" i="5"/>
  <c r="AB71" i="5"/>
  <c r="B40" i="5" a="1"/>
  <c r="B40" i="5" s="1"/>
  <c r="X87" i="5"/>
  <c r="X88" i="5" s="1"/>
  <c r="G87" i="5"/>
  <c r="G88" i="5" s="1"/>
  <c r="AE87" i="5"/>
  <c r="AE88" i="5" s="1"/>
  <c r="H87" i="5"/>
  <c r="H88" i="5" s="1"/>
  <c r="D87" i="5"/>
  <c r="D88" i="5" s="1"/>
  <c r="Q87" i="5"/>
  <c r="Q88" i="5" s="1"/>
  <c r="E138" i="5"/>
  <c r="Y138" i="5"/>
  <c r="Q138" i="5"/>
  <c r="N138" i="5"/>
  <c r="AD138" i="5"/>
  <c r="B142" i="5" a="1"/>
  <c r="B142" i="5" s="1"/>
  <c r="C138" i="5"/>
  <c r="S138" i="5"/>
  <c r="AI138" i="5"/>
  <c r="L138" i="5"/>
  <c r="AB138" i="5"/>
  <c r="Q71" i="5"/>
  <c r="C55" i="3"/>
  <c r="B58" i="3" a="1"/>
  <c r="B58" i="3" s="1"/>
  <c r="B74" i="3" a="1"/>
  <c r="B74" i="3" s="1"/>
  <c r="AD87" i="5"/>
  <c r="AD88" i="5" s="1"/>
  <c r="L87" i="5"/>
  <c r="L88" i="5" s="1"/>
  <c r="J87" i="5"/>
  <c r="J88" i="5" s="1"/>
  <c r="C71" i="5"/>
  <c r="B75" i="5" a="1"/>
  <c r="B75" i="5" s="1"/>
  <c r="D150" i="5" s="1"/>
  <c r="E87" i="5"/>
  <c r="E88" i="5" s="1"/>
  <c r="V87" i="5"/>
  <c r="V88" i="5" s="1"/>
  <c r="Y87" i="5"/>
  <c r="Y88" i="5" s="1"/>
  <c r="U138" i="5"/>
  <c r="AO138" i="5"/>
  <c r="AG138" i="5"/>
  <c r="R138" i="5"/>
  <c r="AH138" i="5"/>
  <c r="G138" i="5"/>
  <c r="W138" i="5"/>
  <c r="AM138" i="5"/>
  <c r="P138" i="5"/>
  <c r="AF138" i="5"/>
  <c r="K87" i="5"/>
  <c r="K88" i="5" s="1"/>
  <c r="F71" i="5"/>
  <c r="C31" i="4" l="1" a="1"/>
  <c r="C31" i="4" s="1"/>
  <c r="B31" i="4" a="1"/>
  <c r="B31" i="4" s="1"/>
  <c r="C29" i="4" a="1"/>
  <c r="C29" i="4" s="1"/>
  <c r="C30" i="4"/>
  <c r="B30" i="4"/>
  <c r="B72" i="5" a="1"/>
  <c r="B72" i="5" s="1"/>
  <c r="B150" i="5" s="1"/>
  <c r="B56" i="3" a="1"/>
  <c r="B56" i="3" s="1"/>
  <c r="B57" i="3"/>
  <c r="B74" i="5"/>
  <c r="B139" i="5" a="1"/>
  <c r="B139" i="5" s="1"/>
  <c r="B140" i="5" a="1"/>
  <c r="B140" i="5" s="1"/>
  <c r="G151" i="5" s="1"/>
  <c r="B89" i="5" a="1"/>
  <c r="B89" i="5" s="1"/>
  <c r="B90" i="5" a="1"/>
  <c r="B90" i="5" s="1"/>
  <c r="B91" i="5"/>
  <c r="B100" i="3" a="1"/>
  <c r="B100" i="3" s="1"/>
  <c r="B39" i="3" a="1"/>
  <c r="B39" i="3" s="1"/>
  <c r="B40" i="3"/>
  <c r="B92" i="5" a="1"/>
  <c r="B92" i="5" s="1"/>
  <c r="B72" i="3" a="1"/>
  <c r="B72" i="3" s="1"/>
  <c r="B73" i="3"/>
  <c r="B73" i="5" a="1"/>
  <c r="B73" i="5" s="1"/>
  <c r="C150" i="5" s="1"/>
  <c r="B141" i="5"/>
</calcChain>
</file>

<file path=xl/sharedStrings.xml><?xml version="1.0" encoding="utf-8"?>
<sst xmlns="http://schemas.openxmlformats.org/spreadsheetml/2006/main" count="400" uniqueCount="107">
  <si>
    <t>Problem 1</t>
  </si>
  <si>
    <t>Note: Calculated in euros.</t>
  </si>
  <si>
    <t>Year</t>
  </si>
  <si>
    <t>Investment Cost</t>
  </si>
  <si>
    <t>-</t>
  </si>
  <si>
    <t>Maintenance costs</t>
  </si>
  <si>
    <t>Labor cost</t>
  </si>
  <si>
    <t>Operating cost</t>
  </si>
  <si>
    <t>Total Cost</t>
  </si>
  <si>
    <t>Revenue</t>
  </si>
  <si>
    <t>Total Benefits</t>
  </si>
  <si>
    <t>Net Benefits</t>
  </si>
  <si>
    <t>Net present value</t>
  </si>
  <si>
    <t>Revenues</t>
  </si>
  <si>
    <t>Employment Benefits</t>
  </si>
  <si>
    <t>Note: We are cancelling out the costs and benefits for 50 employees. The employment benefit is equal to: 100 employees * 40 000</t>
  </si>
  <si>
    <t>Operating Cost</t>
  </si>
  <si>
    <t>Emissions</t>
  </si>
  <si>
    <t>Installation cost/MW (€)</t>
  </si>
  <si>
    <t>Emissions (g/kWh)</t>
  </si>
  <si>
    <t>Installation cost/2MW (€)</t>
  </si>
  <si>
    <t>Emissions (t/kWh)</t>
  </si>
  <si>
    <t>Operating cost/2MW (€)</t>
  </si>
  <si>
    <t>Emissions (t/MWh)</t>
  </si>
  <si>
    <t>Revenue/MWh (€)</t>
  </si>
  <si>
    <t>Emissions (t/year)</t>
  </si>
  <si>
    <t>Revenue/2MW (€)</t>
  </si>
  <si>
    <t>(1 year = 4850 MWh)</t>
  </si>
  <si>
    <t>Discount rate: 5 %</t>
  </si>
  <si>
    <t>Installation Cost</t>
  </si>
  <si>
    <t>Revenue (2MW)</t>
  </si>
  <si>
    <t>FNPV</t>
  </si>
  <si>
    <t>DPP</t>
  </si>
  <si>
    <t>FRR</t>
  </si>
  <si>
    <t>FNPV (disc. = 3.5%)</t>
  </si>
  <si>
    <t>Discount rate: 3.5 %</t>
  </si>
  <si>
    <t>Revenue emissions (Medium)</t>
  </si>
  <si>
    <t>ENPV</t>
  </si>
  <si>
    <t>ERR</t>
  </si>
  <si>
    <t>B/C ratio</t>
  </si>
  <si>
    <t>Revenue emissions (Low)</t>
  </si>
  <si>
    <t>Revenue emissions (High)</t>
  </si>
  <si>
    <t>Discount rate 3.5%</t>
  </si>
  <si>
    <t>Discount rate 12.00 %</t>
  </si>
  <si>
    <t>FNPV (disc. = 12 %)</t>
  </si>
  <si>
    <t>Discount rate 1.5%</t>
  </si>
  <si>
    <t>Discount rate 8%</t>
  </si>
  <si>
    <t>€/kWh</t>
  </si>
  <si>
    <t>€/MWh</t>
  </si>
  <si>
    <t>Electricity generation (MWh)/year</t>
  </si>
  <si>
    <t>Social discount rate: 3.5 %</t>
  </si>
  <si>
    <t>External cost (Fossil)</t>
  </si>
  <si>
    <t>External cost (Wind)</t>
  </si>
  <si>
    <t>Total Cost (Fossil)</t>
  </si>
  <si>
    <t>Total Cost (Wind)</t>
  </si>
  <si>
    <t>Net Benefits (Fossil)</t>
  </si>
  <si>
    <t>Net Benefits (Wind)</t>
  </si>
  <si>
    <t>Fossil</t>
  </si>
  <si>
    <t>Wind</t>
  </si>
  <si>
    <t>Option 1: Wind</t>
  </si>
  <si>
    <t>Option 2: Biomass</t>
  </si>
  <si>
    <t>Installed capacity(MW)</t>
  </si>
  <si>
    <t>Annual power generation (MW)</t>
  </si>
  <si>
    <t>Annual power generation (per MWh)</t>
  </si>
  <si>
    <t>Installation Cost (€ / kW)</t>
  </si>
  <si>
    <t>Installation Cost (€ / 2MW)</t>
  </si>
  <si>
    <t>Operating Cost (€ / kW)</t>
  </si>
  <si>
    <t>Operating Cost (€ / 2MW)</t>
  </si>
  <si>
    <t>Electricity price ( € per MWh)</t>
  </si>
  <si>
    <t>Revenue (€)</t>
  </si>
  <si>
    <t>(1 year = 8000 MWh)</t>
  </si>
  <si>
    <t>Reduction of emissions (g CO2/kWh)</t>
  </si>
  <si>
    <t>Option 3: Hydro</t>
  </si>
  <si>
    <t>Installed capacity (MW)</t>
  </si>
  <si>
    <t>Annual power generation (per year/MWh)</t>
  </si>
  <si>
    <t>Annual power generation (MWh)</t>
  </si>
  <si>
    <t>(1 year = 3000 MWh)</t>
  </si>
  <si>
    <t>Operating Cost (€ /2MW)</t>
  </si>
  <si>
    <t>Reduction of emissions</t>
  </si>
  <si>
    <t xml:space="preserve">B/C ratio </t>
  </si>
  <si>
    <t>B/C ratio (with installation cost)</t>
  </si>
  <si>
    <t>Summary</t>
  </si>
  <si>
    <t>Financial analysis</t>
  </si>
  <si>
    <t>Social analysis</t>
  </si>
  <si>
    <t>B/C Ratio</t>
  </si>
  <si>
    <t>Biomass</t>
  </si>
  <si>
    <t>Hydro</t>
  </si>
  <si>
    <t>Financial CBA</t>
  </si>
  <si>
    <t>Social CBA</t>
  </si>
  <si>
    <t>Problem 2</t>
  </si>
  <si>
    <t>Problem 3</t>
  </si>
  <si>
    <t>Part i</t>
  </si>
  <si>
    <t>Central unit cost of emissions (euro/t)</t>
  </si>
  <si>
    <t>Part ii</t>
  </si>
  <si>
    <t>Low unit cost of emissions (euro/t)</t>
  </si>
  <si>
    <t>Part iii</t>
  </si>
  <si>
    <t>High unit cost of emissions (euro/t)</t>
  </si>
  <si>
    <t>Part iv</t>
  </si>
  <si>
    <t>Part v</t>
  </si>
  <si>
    <t>Problem 4</t>
  </si>
  <si>
    <t>Social Discount rate</t>
  </si>
  <si>
    <t>From problem 3(ii)</t>
  </si>
  <si>
    <t>Total  Benefits</t>
  </si>
  <si>
    <t>External cost of fossil</t>
  </si>
  <si>
    <t>External cost of wind</t>
  </si>
  <si>
    <t>Problem 5</t>
  </si>
  <si>
    <t>Revenue emissions (Central)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</si>
</sst>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-* #,##0\ _k_r_-;\-* #,##0\ _k_r_-;_-* &quot;-&quot;??\ _k_r_-;_-@"/>
    <numFmt numFmtId="165" formatCode="0_ ;\-0\ "/>
    <numFmt numFmtId="166" formatCode="_-* #,##0.00\ _k_r_-;\-* #,##0.00\ _k_r_-;_-* &quot;-&quot;??\ _k_r_-;_-@"/>
    <numFmt numFmtId="169" formatCode="_(* #,##0_);_(* \(#,##0\);_(* &quot;-&quot;??_);_(@_)"/>
    <numFmt numFmtId="170" formatCode="_(* #,##0.0_);_(* \(#,##0.0\);_(* &quot;-&quot;??_);_(@_)"/>
  </numFmts>
  <fonts count="2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5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8"/>
      <name val="Arial"/>
      <family val="2"/>
      <scheme val="minor"/>
    </font>
    <font>
      <b/>
      <sz val="12"/>
      <color rgb="FF000000"/>
      <name val="Calibri"/>
      <family val="2"/>
    </font>
    <font>
      <b/>
      <sz val="12"/>
      <color theme="5"/>
      <name val="Calibri"/>
      <family val="2"/>
    </font>
    <font>
      <b/>
      <sz val="12"/>
      <color theme="3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FF0000"/>
      <name val="Calibri"/>
      <family val="2"/>
    </font>
    <font>
      <i/>
      <sz val="12"/>
      <color theme="1"/>
      <name val="Calibri"/>
      <family val="2"/>
    </font>
    <font>
      <b/>
      <sz val="16"/>
      <color theme="4" tint="-0.499984740745262"/>
      <name val="Calibri"/>
      <family val="2"/>
    </font>
    <font>
      <b/>
      <sz val="12"/>
      <name val="Arial"/>
      <family val="2"/>
    </font>
    <font>
      <sz val="12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4"/>
      <color rgb="FF000000"/>
      <name val="Calibri"/>
      <family val="2"/>
    </font>
    <font>
      <sz val="12"/>
      <color rgb="FF7E3794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  <scheme val="minor"/>
    </font>
    <font>
      <b/>
      <sz val="12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FFFF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rgb="FFFFFF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CCFFCC"/>
      </patternFill>
    </fill>
    <fill>
      <patternFill patternType="solid">
        <fgColor theme="6" tint="0.59999389629810485"/>
        <bgColor rgb="FFFFCC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6" tint="0.39997558519241921"/>
        <bgColor rgb="FFF6B26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rgb="FFFFCC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39997558519241921"/>
        <bgColor theme="7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 tint="0.79998168889431442"/>
        <bgColor rgb="FF93C47D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6" tint="0.79998168889431442"/>
        <bgColor rgb="FFFFCC00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rgb="FFC9DAF8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7" tint="0.59999389629810485"/>
        <bgColor rgb="FFC9DAF8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7" tint="0.39997558519241921"/>
        <bgColor rgb="FFC9DAF8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8"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3" fillId="8" borderId="0" xfId="0" applyFont="1" applyFill="1" applyAlignment="1"/>
    <xf numFmtId="0" fontId="3" fillId="11" borderId="0" xfId="0" applyFont="1" applyFill="1" applyAlignment="1"/>
    <xf numFmtId="0" fontId="3" fillId="13" borderId="0" xfId="0" applyFont="1" applyFill="1" applyAlignment="1"/>
    <xf numFmtId="0" fontId="6" fillId="0" borderId="0" xfId="0" applyFont="1" applyFill="1" applyAlignment="1">
      <alignment horizontal="left"/>
    </xf>
    <xf numFmtId="0" fontId="3" fillId="0" borderId="0" xfId="0" applyFont="1" applyFill="1" applyAlignment="1"/>
    <xf numFmtId="0" fontId="13" fillId="0" borderId="0" xfId="0" applyFont="1" applyAlignment="1"/>
    <xf numFmtId="0" fontId="13" fillId="0" borderId="0" xfId="0" applyFont="1" applyBorder="1" applyAlignment="1"/>
    <xf numFmtId="0" fontId="14" fillId="0" borderId="0" xfId="0" applyFont="1" applyAlignment="1"/>
    <xf numFmtId="0" fontId="10" fillId="0" borderId="0" xfId="0" applyFont="1" applyFill="1" applyAlignment="1"/>
    <xf numFmtId="0" fontId="13" fillId="0" borderId="0" xfId="0" applyFont="1" applyFill="1" applyAlignment="1"/>
    <xf numFmtId="0" fontId="13" fillId="6" borderId="0" xfId="0" applyFont="1" applyFill="1" applyAlignment="1"/>
    <xf numFmtId="0" fontId="13" fillId="0" borderId="0" xfId="0" applyFont="1" applyFill="1" applyAlignment="1">
      <alignment vertical="center"/>
    </xf>
    <xf numFmtId="0" fontId="14" fillId="0" borderId="0" xfId="0" applyFont="1" applyBorder="1" applyAlignment="1"/>
    <xf numFmtId="169" fontId="13" fillId="0" borderId="0" xfId="1" applyNumberFormat="1" applyFont="1" applyBorder="1" applyAlignment="1"/>
    <xf numFmtId="0" fontId="10" fillId="7" borderId="0" xfId="0" applyFont="1" applyFill="1" applyBorder="1" applyAlignment="1"/>
    <xf numFmtId="169" fontId="13" fillId="7" borderId="0" xfId="1" applyNumberFormat="1" applyFont="1" applyFill="1" applyBorder="1" applyAlignment="1"/>
    <xf numFmtId="0" fontId="13" fillId="8" borderId="0" xfId="0" applyFont="1" applyFill="1" applyAlignment="1"/>
    <xf numFmtId="0" fontId="10" fillId="10" borderId="0" xfId="0" applyFont="1" applyFill="1" applyBorder="1" applyAlignment="1"/>
    <xf numFmtId="0" fontId="10" fillId="11" borderId="0" xfId="0" applyFont="1" applyFill="1" applyAlignment="1"/>
    <xf numFmtId="0" fontId="10" fillId="12" borderId="0" xfId="0" applyFont="1" applyFill="1" applyBorder="1" applyAlignment="1">
      <alignment horizontal="left"/>
    </xf>
    <xf numFmtId="43" fontId="15" fillId="12" borderId="0" xfId="1" applyFont="1" applyFill="1" applyBorder="1" applyAlignment="1">
      <alignment horizontal="left"/>
    </xf>
    <xf numFmtId="0" fontId="13" fillId="13" borderId="0" xfId="0" applyFont="1" applyFill="1" applyAlignment="1"/>
    <xf numFmtId="169" fontId="10" fillId="0" borderId="0" xfId="1" applyNumberFormat="1" applyFont="1" applyBorder="1" applyAlignment="1"/>
    <xf numFmtId="169" fontId="13" fillId="10" borderId="0" xfId="1" applyNumberFormat="1" applyFont="1" applyFill="1" applyBorder="1" applyAlignment="1"/>
    <xf numFmtId="0" fontId="10" fillId="12" borderId="0" xfId="0" applyFont="1" applyFill="1" applyBorder="1" applyAlignment="1"/>
    <xf numFmtId="43" fontId="11" fillId="12" borderId="0" xfId="1" applyFont="1" applyFill="1" applyBorder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Font="1" applyFill="1" applyBorder="1" applyAlignment="1"/>
    <xf numFmtId="0" fontId="17" fillId="0" borderId="0" xfId="0" applyFont="1" applyBorder="1" applyAlignment="1">
      <alignment horizontal="center" vertical="center"/>
    </xf>
    <xf numFmtId="0" fontId="0" fillId="8" borderId="0" xfId="0" applyFont="1" applyFill="1" applyBorder="1" applyAlignment="1"/>
    <xf numFmtId="0" fontId="0" fillId="11" borderId="0" xfId="0" applyFont="1" applyFill="1" applyBorder="1" applyAlignment="1"/>
    <xf numFmtId="43" fontId="15" fillId="12" borderId="0" xfId="1" applyNumberFormat="1" applyFont="1" applyFill="1" applyBorder="1" applyAlignment="1">
      <alignment horizontal="left"/>
    </xf>
    <xf numFmtId="169" fontId="15" fillId="12" borderId="0" xfId="1" applyNumberFormat="1" applyFont="1" applyFill="1" applyBorder="1" applyAlignment="1">
      <alignment horizontal="left"/>
    </xf>
    <xf numFmtId="0" fontId="0" fillId="13" borderId="0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169" fontId="19" fillId="0" borderId="0" xfId="1" applyNumberFormat="1" applyFont="1" applyBorder="1" applyAlignment="1">
      <alignment horizontal="right"/>
    </xf>
    <xf numFmtId="169" fontId="10" fillId="12" borderId="0" xfId="1" applyNumberFormat="1" applyFont="1" applyFill="1" applyBorder="1" applyAlignment="1">
      <alignment horizontal="left"/>
    </xf>
    <xf numFmtId="0" fontId="13" fillId="0" borderId="0" xfId="0" applyFont="1" applyFill="1" applyBorder="1" applyAlignment="1"/>
    <xf numFmtId="0" fontId="8" fillId="0" borderId="0" xfId="0" applyFont="1" applyBorder="1" applyAlignment="1"/>
    <xf numFmtId="0" fontId="19" fillId="0" borderId="0" xfId="0" applyFont="1" applyBorder="1" applyAlignment="1"/>
    <xf numFmtId="0" fontId="19" fillId="0" borderId="0" xfId="0" applyFont="1" applyFill="1" applyBorder="1" applyAlignment="1"/>
    <xf numFmtId="164" fontId="16" fillId="0" borderId="0" xfId="0" applyNumberFormat="1" applyFont="1" applyBorder="1" applyAlignment="1"/>
    <xf numFmtId="164" fontId="7" fillId="7" borderId="0" xfId="0" applyNumberFormat="1" applyFont="1" applyFill="1" applyBorder="1" applyAlignment="1"/>
    <xf numFmtId="169" fontId="19" fillId="7" borderId="0" xfId="1" applyNumberFormat="1" applyFont="1" applyFill="1" applyBorder="1" applyAlignment="1">
      <alignment horizontal="right"/>
    </xf>
    <xf numFmtId="0" fontId="13" fillId="8" borderId="0" xfId="0" applyFont="1" applyFill="1" applyBorder="1" applyAlignment="1"/>
    <xf numFmtId="169" fontId="19" fillId="0" borderId="0" xfId="1" applyNumberFormat="1" applyFont="1" applyBorder="1" applyAlignment="1"/>
    <xf numFmtId="164" fontId="7" fillId="8" borderId="0" xfId="0" applyNumberFormat="1" applyFont="1" applyFill="1" applyBorder="1" applyAlignment="1"/>
    <xf numFmtId="169" fontId="19" fillId="8" borderId="0" xfId="1" applyNumberFormat="1" applyFont="1" applyFill="1" applyBorder="1" applyAlignment="1"/>
    <xf numFmtId="169" fontId="19" fillId="8" borderId="0" xfId="1" applyNumberFormat="1" applyFont="1" applyFill="1" applyBorder="1" applyAlignment="1">
      <alignment horizontal="right"/>
    </xf>
    <xf numFmtId="164" fontId="7" fillId="10" borderId="0" xfId="0" applyNumberFormat="1" applyFont="1" applyFill="1" applyBorder="1" applyAlignment="1"/>
    <xf numFmtId="169" fontId="19" fillId="10" borderId="0" xfId="1" applyNumberFormat="1" applyFont="1" applyFill="1" applyBorder="1" applyAlignment="1">
      <alignment horizontal="right"/>
    </xf>
    <xf numFmtId="0" fontId="13" fillId="11" borderId="0" xfId="0" applyFont="1" applyFill="1" applyBorder="1" applyAlignment="1"/>
    <xf numFmtId="165" fontId="7" fillId="12" borderId="0" xfId="0" applyNumberFormat="1" applyFont="1" applyFill="1" applyBorder="1" applyAlignment="1"/>
    <xf numFmtId="43" fontId="15" fillId="12" borderId="0" xfId="1" applyNumberFormat="1" applyFont="1" applyFill="1" applyBorder="1" applyAlignment="1"/>
    <xf numFmtId="0" fontId="13" fillId="13" borderId="0" xfId="0" applyFont="1" applyFill="1" applyBorder="1" applyAlignment="1"/>
    <xf numFmtId="164" fontId="7" fillId="12" borderId="0" xfId="0" applyNumberFormat="1" applyFont="1" applyFill="1" applyBorder="1" applyAlignment="1"/>
    <xf numFmtId="0" fontId="7" fillId="12" borderId="0" xfId="0" applyFont="1" applyFill="1" applyBorder="1" applyAlignment="1"/>
    <xf numFmtId="43" fontId="19" fillId="12" borderId="0" xfId="1" applyNumberFormat="1" applyFont="1" applyFill="1" applyBorder="1"/>
    <xf numFmtId="0" fontId="7" fillId="0" borderId="0" xfId="0" applyFont="1" applyBorder="1" applyAlignment="1"/>
    <xf numFmtId="166" fontId="15" fillId="0" borderId="0" xfId="0" applyNumberFormat="1" applyFont="1" applyBorder="1" applyAlignment="1"/>
    <xf numFmtId="0" fontId="13" fillId="3" borderId="0" xfId="0" applyFont="1" applyFill="1" applyBorder="1"/>
    <xf numFmtId="169" fontId="19" fillId="0" borderId="0" xfId="1" applyNumberFormat="1" applyFont="1" applyFill="1" applyBorder="1" applyAlignment="1"/>
    <xf numFmtId="169" fontId="15" fillId="0" borderId="0" xfId="1" applyNumberFormat="1" applyFont="1" applyFill="1" applyBorder="1" applyAlignment="1"/>
    <xf numFmtId="169" fontId="19" fillId="0" borderId="0" xfId="1" applyNumberFormat="1" applyFont="1" applyFill="1" applyBorder="1" applyAlignment="1">
      <alignment horizontal="right"/>
    </xf>
    <xf numFmtId="169" fontId="13" fillId="0" borderId="0" xfId="1" applyNumberFormat="1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Border="1" applyAlignment="1"/>
    <xf numFmtId="0" fontId="7" fillId="6" borderId="0" xfId="0" applyFont="1" applyFill="1" applyBorder="1" applyAlignment="1">
      <alignment horizontal="center"/>
    </xf>
    <xf numFmtId="0" fontId="19" fillId="4" borderId="0" xfId="0" applyFont="1" applyFill="1" applyBorder="1"/>
    <xf numFmtId="0" fontId="19" fillId="4" borderId="0" xfId="0" applyFont="1" applyFill="1" applyBorder="1" applyAlignment="1"/>
    <xf numFmtId="169" fontId="19" fillId="0" borderId="0" xfId="1" applyNumberFormat="1" applyFont="1" applyBorder="1" applyAlignment="1">
      <alignment horizontal="center" vertical="center"/>
    </xf>
    <xf numFmtId="0" fontId="19" fillId="13" borderId="0" xfId="0" applyFont="1" applyFill="1" applyBorder="1" applyAlignment="1"/>
    <xf numFmtId="0" fontId="7" fillId="0" borderId="0" xfId="0" applyFont="1" applyFill="1" applyBorder="1" applyAlignment="1"/>
    <xf numFmtId="43" fontId="19" fillId="0" borderId="0" xfId="1" applyNumberFormat="1" applyFont="1" applyFill="1" applyBorder="1"/>
    <xf numFmtId="0" fontId="8" fillId="2" borderId="0" xfId="0" applyFont="1" applyFill="1" applyBorder="1" applyAlignment="1"/>
    <xf numFmtId="165" fontId="19" fillId="0" borderId="0" xfId="0" applyNumberFormat="1" applyFont="1" applyFill="1" applyBorder="1" applyAlignment="1"/>
    <xf numFmtId="166" fontId="15" fillId="0" borderId="0" xfId="0" applyNumberFormat="1" applyFont="1" applyFill="1" applyBorder="1" applyAlignment="1"/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/>
    <xf numFmtId="0" fontId="21" fillId="0" borderId="0" xfId="0" applyFont="1" applyBorder="1" applyAlignment="1"/>
    <xf numFmtId="0" fontId="21" fillId="0" borderId="0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3" fillId="0" borderId="1" xfId="0" applyFont="1" applyBorder="1" applyAlignment="1"/>
    <xf numFmtId="43" fontId="15" fillId="12" borderId="0" xfId="1" applyFont="1" applyFill="1" applyBorder="1" applyAlignment="1"/>
    <xf numFmtId="43" fontId="19" fillId="12" borderId="0" xfId="1" applyFont="1" applyFill="1" applyBorder="1"/>
    <xf numFmtId="9" fontId="19" fillId="12" borderId="0" xfId="2" applyFont="1" applyFill="1" applyBorder="1" applyAlignment="1"/>
    <xf numFmtId="169" fontId="19" fillId="7" borderId="0" xfId="1" applyNumberFormat="1" applyFont="1" applyFill="1" applyBorder="1" applyAlignment="1"/>
    <xf numFmtId="9" fontId="19" fillId="12" borderId="0" xfId="2" applyFont="1" applyFill="1" applyBorder="1"/>
    <xf numFmtId="169" fontId="13" fillId="0" borderId="0" xfId="1" applyNumberFormat="1" applyFont="1" applyFill="1" applyBorder="1" applyAlignment="1">
      <alignment horizontal="center" vertical="center"/>
    </xf>
    <xf numFmtId="43" fontId="13" fillId="0" borderId="0" xfId="1" applyFont="1" applyBorder="1" applyAlignment="1"/>
    <xf numFmtId="43" fontId="15" fillId="12" borderId="0" xfId="1" applyNumberFormat="1" applyFont="1" applyFill="1" applyBorder="1" applyAlignment="1">
      <alignment horizontal="right"/>
    </xf>
    <xf numFmtId="43" fontId="19" fillId="12" borderId="0" xfId="1" applyNumberFormat="1" applyFont="1" applyFill="1" applyBorder="1" applyAlignment="1">
      <alignment horizontal="right"/>
    </xf>
    <xf numFmtId="169" fontId="13" fillId="0" borderId="1" xfId="1" applyNumberFormat="1" applyFont="1" applyBorder="1" applyAlignment="1"/>
    <xf numFmtId="169" fontId="13" fillId="0" borderId="1" xfId="1" applyNumberFormat="1" applyFont="1" applyFill="1" applyBorder="1" applyAlignment="1"/>
    <xf numFmtId="165" fontId="7" fillId="14" borderId="0" xfId="0" applyNumberFormat="1" applyFont="1" applyFill="1" applyBorder="1" applyAlignment="1"/>
    <xf numFmtId="164" fontId="7" fillId="14" borderId="0" xfId="0" applyNumberFormat="1" applyFont="1" applyFill="1" applyBorder="1" applyAlignment="1"/>
    <xf numFmtId="0" fontId="7" fillId="14" borderId="0" xfId="0" applyFont="1" applyFill="1" applyBorder="1" applyAlignment="1"/>
    <xf numFmtId="4" fontId="11" fillId="3" borderId="1" xfId="0" applyNumberFormat="1" applyFont="1" applyFill="1" applyBorder="1"/>
    <xf numFmtId="0" fontId="13" fillId="15" borderId="0" xfId="0" applyFont="1" applyFill="1" applyBorder="1" applyAlignment="1"/>
    <xf numFmtId="43" fontId="15" fillId="0" borderId="0" xfId="1" applyFont="1" applyFill="1" applyBorder="1" applyAlignment="1"/>
    <xf numFmtId="43" fontId="19" fillId="14" borderId="0" xfId="1" applyFont="1" applyFill="1" applyBorder="1" applyAlignment="1"/>
    <xf numFmtId="43" fontId="19" fillId="0" borderId="0" xfId="1" applyFont="1" applyFill="1" applyBorder="1"/>
    <xf numFmtId="43" fontId="13" fillId="0" borderId="1" xfId="1" applyFont="1" applyBorder="1" applyAlignment="1"/>
    <xf numFmtId="43" fontId="13" fillId="15" borderId="0" xfId="1" applyFont="1" applyFill="1" applyBorder="1" applyAlignment="1"/>
    <xf numFmtId="43" fontId="19" fillId="14" borderId="0" xfId="1" applyFont="1" applyFill="1" applyBorder="1"/>
    <xf numFmtId="43" fontId="22" fillId="0" borderId="0" xfId="1" applyFont="1" applyBorder="1"/>
    <xf numFmtId="43" fontId="22" fillId="15" borderId="0" xfId="1" applyFont="1" applyFill="1" applyBorder="1"/>
    <xf numFmtId="0" fontId="7" fillId="6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164" fontId="19" fillId="7" borderId="0" xfId="0" applyNumberFormat="1" applyFont="1" applyFill="1" applyBorder="1" applyAlignment="1"/>
    <xf numFmtId="164" fontId="7" fillId="2" borderId="0" xfId="0" applyNumberFormat="1" applyFont="1" applyFill="1" applyBorder="1" applyAlignment="1"/>
    <xf numFmtId="164" fontId="19" fillId="2" borderId="0" xfId="0" applyNumberFormat="1" applyFont="1" applyFill="1" applyBorder="1" applyAlignment="1">
      <alignment horizontal="right"/>
    </xf>
    <xf numFmtId="164" fontId="7" fillId="17" borderId="0" xfId="0" applyNumberFormat="1" applyFont="1" applyFill="1" applyBorder="1" applyAlignment="1"/>
    <xf numFmtId="164" fontId="7" fillId="18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/>
    <xf numFmtId="166" fontId="15" fillId="2" borderId="0" xfId="0" applyNumberFormat="1" applyFont="1" applyFill="1" applyBorder="1" applyAlignment="1"/>
    <xf numFmtId="0" fontId="19" fillId="2" borderId="0" xfId="0" applyFont="1" applyFill="1" applyBorder="1" applyAlignment="1">
      <alignment horizontal="right"/>
    </xf>
    <xf numFmtId="0" fontId="19" fillId="2" borderId="0" xfId="0" applyFont="1" applyFill="1" applyBorder="1"/>
    <xf numFmtId="0" fontId="22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2" fontId="19" fillId="0" borderId="0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2" fontId="19" fillId="0" borderId="1" xfId="0" applyNumberFormat="1" applyFont="1" applyFill="1" applyBorder="1"/>
    <xf numFmtId="0" fontId="19" fillId="0" borderId="1" xfId="0" applyFont="1" applyFill="1" applyBorder="1"/>
    <xf numFmtId="0" fontId="13" fillId="6" borderId="0" xfId="0" applyFont="1" applyFill="1" applyBorder="1" applyAlignment="1"/>
    <xf numFmtId="0" fontId="19" fillId="6" borderId="0" xfId="0" applyFont="1" applyFill="1" applyBorder="1"/>
    <xf numFmtId="0" fontId="19" fillId="6" borderId="0" xfId="0" applyFont="1" applyFill="1" applyBorder="1" applyAlignment="1"/>
    <xf numFmtId="164" fontId="19" fillId="14" borderId="0" xfId="0" applyNumberFormat="1" applyFont="1" applyFill="1" applyBorder="1" applyAlignment="1"/>
    <xf numFmtId="0" fontId="19" fillId="14" borderId="0" xfId="0" applyFont="1" applyFill="1" applyBorder="1" applyAlignment="1"/>
    <xf numFmtId="0" fontId="19" fillId="16" borderId="0" xfId="0" applyFont="1" applyFill="1" applyBorder="1" applyAlignment="1"/>
    <xf numFmtId="0" fontId="0" fillId="0" borderId="1" xfId="0" applyFont="1" applyBorder="1" applyAlignment="1"/>
    <xf numFmtId="0" fontId="13" fillId="19" borderId="0" xfId="0" applyFont="1" applyFill="1" applyBorder="1" applyAlignment="1">
      <alignment horizontal="center" vertical="center"/>
    </xf>
    <xf numFmtId="0" fontId="19" fillId="19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4" fillId="0" borderId="0" xfId="0" applyFont="1" applyAlignment="1"/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/>
    <xf numFmtId="0" fontId="24" fillId="0" borderId="0" xfId="0" applyFont="1" applyBorder="1" applyAlignment="1"/>
    <xf numFmtId="0" fontId="24" fillId="0" borderId="0" xfId="0" applyFont="1" applyFill="1" applyBorder="1" applyAlignment="1"/>
    <xf numFmtId="0" fontId="11" fillId="0" borderId="0" xfId="0" applyFont="1" applyBorder="1" applyAlignment="1"/>
    <xf numFmtId="0" fontId="22" fillId="0" borderId="0" xfId="0" applyFont="1" applyFill="1" applyBorder="1"/>
    <xf numFmtId="0" fontId="19" fillId="11" borderId="0" xfId="0" applyFont="1" applyFill="1" applyBorder="1" applyAlignment="1"/>
    <xf numFmtId="169" fontId="19" fillId="2" borderId="0" xfId="1" applyNumberFormat="1" applyFont="1" applyFill="1" applyBorder="1" applyAlignment="1"/>
    <xf numFmtId="169" fontId="15" fillId="2" borderId="0" xfId="1" applyNumberFormat="1" applyFont="1" applyFill="1" applyBorder="1" applyAlignment="1"/>
    <xf numFmtId="169" fontId="19" fillId="2" borderId="0" xfId="1" applyNumberFormat="1" applyFont="1" applyFill="1" applyBorder="1" applyAlignment="1">
      <alignment horizontal="right"/>
    </xf>
    <xf numFmtId="169" fontId="19" fillId="2" borderId="0" xfId="1" applyNumberFormat="1" applyFont="1" applyFill="1" applyBorder="1"/>
    <xf numFmtId="164" fontId="7" fillId="20" borderId="0" xfId="0" applyNumberFormat="1" applyFont="1" applyFill="1" applyBorder="1" applyAlignment="1"/>
    <xf numFmtId="169" fontId="19" fillId="20" borderId="0" xfId="1" applyNumberFormat="1" applyFont="1" applyFill="1" applyBorder="1" applyAlignment="1">
      <alignment horizontal="right"/>
    </xf>
    <xf numFmtId="9" fontId="19" fillId="14" borderId="0" xfId="2" applyFont="1" applyFill="1" applyBorder="1" applyAlignment="1"/>
    <xf numFmtId="43" fontId="19" fillId="14" borderId="0" xfId="1" applyNumberFormat="1" applyFont="1" applyFill="1" applyBorder="1"/>
    <xf numFmtId="43" fontId="19" fillId="14" borderId="0" xfId="1" applyNumberFormat="1" applyFont="1" applyFill="1" applyBorder="1" applyAlignment="1"/>
    <xf numFmtId="9" fontId="19" fillId="14" borderId="0" xfId="2" applyFont="1" applyFill="1" applyBorder="1" applyAlignment="1">
      <alignment horizontal="right"/>
    </xf>
    <xf numFmtId="165" fontId="19" fillId="12" borderId="0" xfId="0" applyNumberFormat="1" applyFont="1" applyFill="1" applyBorder="1" applyAlignment="1"/>
    <xf numFmtId="0" fontId="19" fillId="12" borderId="0" xfId="0" applyFont="1" applyFill="1" applyBorder="1" applyAlignment="1"/>
    <xf numFmtId="43" fontId="15" fillId="12" borderId="0" xfId="1" applyFont="1" applyFill="1" applyBorder="1"/>
    <xf numFmtId="0" fontId="19" fillId="19" borderId="0" xfId="0" applyFont="1" applyFill="1" applyBorder="1" applyAlignment="1"/>
    <xf numFmtId="0" fontId="19" fillId="19" borderId="0" xfId="0" applyFont="1" applyFill="1" applyBorder="1"/>
    <xf numFmtId="0" fontId="13" fillId="19" borderId="0" xfId="0" applyFont="1" applyFill="1" applyBorder="1" applyAlignment="1"/>
    <xf numFmtId="0" fontId="7" fillId="19" borderId="0" xfId="0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0" fontId="0" fillId="19" borderId="0" xfId="0" applyFont="1" applyFill="1" applyBorder="1" applyAlignment="1"/>
    <xf numFmtId="0" fontId="20" fillId="19" borderId="0" xfId="0" applyFont="1" applyFill="1" applyBorder="1" applyAlignment="1">
      <alignment horizontal="center" vertical="center"/>
    </xf>
    <xf numFmtId="0" fontId="13" fillId="19" borderId="0" xfId="0" applyFont="1" applyFill="1" applyAlignment="1">
      <alignment vertical="center"/>
    </xf>
    <xf numFmtId="0" fontId="10" fillId="19" borderId="0" xfId="1" applyNumberFormat="1" applyFont="1" applyFill="1" applyBorder="1" applyAlignment="1">
      <alignment horizontal="center" vertical="center"/>
    </xf>
    <xf numFmtId="0" fontId="3" fillId="19" borderId="0" xfId="0" applyFont="1" applyFill="1" applyAlignment="1"/>
    <xf numFmtId="169" fontId="13" fillId="21" borderId="0" xfId="1" applyNumberFormat="1" applyFont="1" applyFill="1" applyBorder="1" applyAlignment="1"/>
    <xf numFmtId="0" fontId="19" fillId="21" borderId="0" xfId="0" applyFont="1" applyFill="1" applyBorder="1" applyAlignment="1"/>
    <xf numFmtId="0" fontId="19" fillId="22" borderId="0" xfId="0" applyFont="1" applyFill="1" applyBorder="1" applyAlignment="1"/>
    <xf numFmtId="0" fontId="19" fillId="23" borderId="0" xfId="0" applyFont="1" applyFill="1" applyBorder="1" applyAlignment="1"/>
    <xf numFmtId="0" fontId="7" fillId="19" borderId="0" xfId="0" applyFont="1" applyFill="1" applyBorder="1" applyAlignment="1">
      <alignment horizontal="center"/>
    </xf>
    <xf numFmtId="0" fontId="10" fillId="19" borderId="0" xfId="0" applyFont="1" applyFill="1" applyBorder="1" applyAlignment="1">
      <alignment vertical="center"/>
    </xf>
    <xf numFmtId="0" fontId="13" fillId="21" borderId="0" xfId="0" applyFont="1" applyFill="1" applyBorder="1" applyAlignment="1"/>
    <xf numFmtId="10" fontId="13" fillId="21" borderId="0" xfId="0" applyNumberFormat="1" applyFont="1" applyFill="1" applyBorder="1" applyAlignment="1"/>
    <xf numFmtId="165" fontId="7" fillId="14" borderId="0" xfId="0" applyNumberFormat="1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2" fontId="19" fillId="14" borderId="0" xfId="0" applyNumberFormat="1" applyFont="1" applyFill="1" applyBorder="1"/>
    <xf numFmtId="164" fontId="7" fillId="12" borderId="0" xfId="0" applyNumberFormat="1" applyFont="1" applyFill="1" applyBorder="1" applyAlignment="1">
      <alignment horizontal="center" vertical="center"/>
    </xf>
    <xf numFmtId="10" fontId="19" fillId="12" borderId="0" xfId="0" applyNumberFormat="1" applyFont="1" applyFill="1" applyBorder="1" applyAlignment="1"/>
    <xf numFmtId="9" fontId="19" fillId="12" borderId="0" xfId="0" applyNumberFormat="1" applyFont="1" applyFill="1" applyBorder="1" applyAlignment="1">
      <alignment horizontal="right"/>
    </xf>
    <xf numFmtId="43" fontId="15" fillId="14" borderId="0" xfId="1" applyNumberFormat="1" applyFont="1" applyFill="1" applyBorder="1" applyAlignment="1"/>
    <xf numFmtId="169" fontId="19" fillId="0" borderId="0" xfId="1" applyNumberFormat="1" applyFont="1" applyBorder="1" applyAlignment="1">
      <alignment horizontal="right" vertical="center"/>
    </xf>
    <xf numFmtId="164" fontId="16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169" fontId="13" fillId="0" borderId="0" xfId="1" applyNumberFormat="1" applyFont="1" applyBorder="1" applyAlignment="1">
      <alignment horizontal="right" vertical="center"/>
    </xf>
    <xf numFmtId="0" fontId="13" fillId="0" borderId="0" xfId="1" applyNumberFormat="1" applyFont="1" applyBorder="1" applyAlignment="1">
      <alignment horizontal="right" vertical="center"/>
    </xf>
    <xf numFmtId="0" fontId="10" fillId="6" borderId="0" xfId="0" applyFont="1" applyFill="1" applyBorder="1" applyAlignment="1"/>
    <xf numFmtId="0" fontId="7" fillId="19" borderId="0" xfId="1" applyNumberFormat="1" applyFont="1" applyFill="1" applyBorder="1" applyAlignment="1">
      <alignment horizontal="center" vertical="center"/>
    </xf>
    <xf numFmtId="0" fontId="10" fillId="19" borderId="0" xfId="0" applyNumberFormat="1" applyFont="1" applyFill="1" applyBorder="1" applyAlignment="1">
      <alignment horizontal="center" vertical="center"/>
    </xf>
    <xf numFmtId="169" fontId="19" fillId="17" borderId="0" xfId="1" applyNumberFormat="1" applyFont="1" applyFill="1" applyBorder="1" applyAlignment="1"/>
    <xf numFmtId="169" fontId="15" fillId="17" borderId="0" xfId="1" applyNumberFormat="1" applyFont="1" applyFill="1" applyBorder="1" applyAlignment="1"/>
    <xf numFmtId="0" fontId="19" fillId="3" borderId="0" xfId="0" applyFont="1" applyFill="1" applyBorder="1"/>
    <xf numFmtId="164" fontId="19" fillId="2" borderId="0" xfId="0" applyNumberFormat="1" applyFont="1" applyFill="1" applyBorder="1" applyAlignment="1"/>
    <xf numFmtId="0" fontId="7" fillId="2" borderId="0" xfId="0" applyFont="1" applyFill="1" applyBorder="1" applyAlignment="1"/>
    <xf numFmtId="0" fontId="19" fillId="2" borderId="0" xfId="0" applyFont="1" applyFill="1" applyBorder="1" applyAlignment="1"/>
    <xf numFmtId="0" fontId="19" fillId="3" borderId="0" xfId="0" applyFont="1" applyFill="1" applyBorder="1" applyAlignment="1"/>
    <xf numFmtId="0" fontId="7" fillId="3" borderId="0" xfId="0" applyFont="1" applyFill="1" applyBorder="1" applyAlignment="1"/>
    <xf numFmtId="169" fontId="19" fillId="11" borderId="0" xfId="1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/>
    <xf numFmtId="169" fontId="19" fillId="2" borderId="1" xfId="1" applyNumberFormat="1" applyFont="1" applyFill="1" applyBorder="1" applyAlignment="1"/>
    <xf numFmtId="0" fontId="19" fillId="19" borderId="0" xfId="0" applyFont="1" applyFill="1" applyBorder="1" applyAlignment="1">
      <alignment horizontal="center"/>
    </xf>
    <xf numFmtId="169" fontId="19" fillId="3" borderId="0" xfId="1" applyNumberFormat="1" applyFont="1" applyFill="1" applyBorder="1" applyAlignment="1"/>
    <xf numFmtId="169" fontId="15" fillId="3" borderId="0" xfId="1" applyNumberFormat="1" applyFont="1" applyFill="1" applyBorder="1" applyAlignment="1"/>
    <xf numFmtId="169" fontId="19" fillId="3" borderId="0" xfId="1" applyNumberFormat="1" applyFont="1" applyFill="1" applyBorder="1" applyAlignment="1">
      <alignment horizontal="right"/>
    </xf>
    <xf numFmtId="169" fontId="19" fillId="3" borderId="0" xfId="1" applyNumberFormat="1" applyFont="1" applyFill="1" applyBorder="1"/>
    <xf numFmtId="169" fontId="19" fillId="27" borderId="0" xfId="1" applyNumberFormat="1" applyFont="1" applyFill="1" applyBorder="1" applyAlignment="1"/>
    <xf numFmtId="169" fontId="15" fillId="27" borderId="0" xfId="1" applyNumberFormat="1" applyFont="1" applyFill="1" applyBorder="1" applyAlignment="1"/>
    <xf numFmtId="43" fontId="10" fillId="14" borderId="0" xfId="1" applyNumberFormat="1" applyFont="1" applyFill="1" applyBorder="1" applyAlignment="1"/>
    <xf numFmtId="9" fontId="7" fillId="12" borderId="0" xfId="2" applyFont="1" applyFill="1" applyBorder="1" applyAlignment="1"/>
    <xf numFmtId="43" fontId="7" fillId="14" borderId="0" xfId="1" applyNumberFormat="1" applyFont="1" applyFill="1" applyBorder="1"/>
    <xf numFmtId="164" fontId="19" fillId="2" borderId="1" xfId="0" applyNumberFormat="1" applyFont="1" applyFill="1" applyBorder="1" applyAlignment="1"/>
    <xf numFmtId="0" fontId="19" fillId="3" borderId="1" xfId="0" applyFont="1" applyFill="1" applyBorder="1"/>
    <xf numFmtId="0" fontId="19" fillId="24" borderId="0" xfId="0" applyFont="1" applyFill="1" applyBorder="1" applyAlignment="1"/>
    <xf numFmtId="0" fontId="19" fillId="28" borderId="0" xfId="0" applyFont="1" applyFill="1" applyBorder="1" applyAlignment="1"/>
    <xf numFmtId="0" fontId="13" fillId="28" borderId="0" xfId="0" applyFont="1" applyFill="1" applyBorder="1" applyAlignment="1"/>
    <xf numFmtId="0" fontId="19" fillId="29" borderId="0" xfId="0" applyFont="1" applyFill="1" applyBorder="1" applyAlignment="1"/>
    <xf numFmtId="0" fontId="19" fillId="25" borderId="0" xfId="0" applyFont="1" applyFill="1" applyBorder="1" applyAlignment="1"/>
    <xf numFmtId="164" fontId="7" fillId="0" borderId="0" xfId="0" applyNumberFormat="1" applyFont="1" applyBorder="1" applyAlignment="1"/>
    <xf numFmtId="43" fontId="7" fillId="14" borderId="0" xfId="1" applyNumberFormat="1" applyFont="1" applyFill="1" applyBorder="1" applyAlignment="1"/>
    <xf numFmtId="9" fontId="7" fillId="12" borderId="0" xfId="2" applyFont="1" applyFill="1" applyBorder="1"/>
    <xf numFmtId="169" fontId="13" fillId="0" borderId="0" xfId="1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169" fontId="13" fillId="21" borderId="0" xfId="1" applyNumberFormat="1" applyFont="1" applyFill="1" applyBorder="1" applyAlignment="1">
      <alignment horizontal="center"/>
    </xf>
    <xf numFmtId="169" fontId="13" fillId="0" borderId="0" xfId="1" applyNumberFormat="1" applyFont="1" applyFill="1" applyBorder="1" applyAlignment="1">
      <alignment horizontal="center" vertical="center" wrapText="1"/>
    </xf>
    <xf numFmtId="169" fontId="15" fillId="7" borderId="0" xfId="1" applyNumberFormat="1" applyFont="1" applyFill="1" applyBorder="1" applyAlignment="1"/>
    <xf numFmtId="169" fontId="19" fillId="10" borderId="0" xfId="1" applyNumberFormat="1" applyFont="1" applyFill="1" applyBorder="1" applyAlignment="1"/>
    <xf numFmtId="43" fontId="11" fillId="12" borderId="0" xfId="1" applyNumberFormat="1" applyFont="1" applyFill="1" applyBorder="1"/>
    <xf numFmtId="43" fontId="7" fillId="12" borderId="0" xfId="1" applyNumberFormat="1" applyFont="1" applyFill="1" applyBorder="1" applyAlignment="1"/>
    <xf numFmtId="0" fontId="8" fillId="26" borderId="0" xfId="0" applyFont="1" applyFill="1" applyBorder="1" applyAlignment="1">
      <alignment vertical="center"/>
    </xf>
    <xf numFmtId="0" fontId="8" fillId="26" borderId="0" xfId="0" applyFont="1" applyFill="1" applyBorder="1" applyAlignment="1">
      <alignment horizontal="left" vertical="center"/>
    </xf>
    <xf numFmtId="0" fontId="19" fillId="31" borderId="0" xfId="0" applyFont="1" applyFill="1" applyBorder="1" applyAlignment="1"/>
    <xf numFmtId="0" fontId="19" fillId="31" borderId="0" xfId="0" applyFont="1" applyFill="1" applyBorder="1" applyAlignment="1">
      <alignment horizontal="right"/>
    </xf>
    <xf numFmtId="0" fontId="19" fillId="28" borderId="0" xfId="0" applyFont="1" applyFill="1" applyBorder="1" applyAlignment="1">
      <alignment horizontal="right"/>
    </xf>
    <xf numFmtId="0" fontId="13" fillId="32" borderId="0" xfId="0" applyFont="1" applyFill="1" applyBorder="1" applyAlignment="1"/>
    <xf numFmtId="0" fontId="19" fillId="30" borderId="0" xfId="0" applyFont="1" applyFill="1" applyBorder="1" applyAlignment="1"/>
    <xf numFmtId="0" fontId="19" fillId="30" borderId="0" xfId="0" applyFont="1" applyFill="1" applyBorder="1" applyAlignment="1">
      <alignment horizontal="right"/>
    </xf>
    <xf numFmtId="169" fontId="7" fillId="3" borderId="0" xfId="1" applyNumberFormat="1" applyFont="1" applyFill="1" applyBorder="1"/>
    <xf numFmtId="0" fontId="7" fillId="3" borderId="1" xfId="0" applyFont="1" applyFill="1" applyBorder="1" applyAlignment="1"/>
    <xf numFmtId="169" fontId="7" fillId="3" borderId="1" xfId="1" applyNumberFormat="1" applyFont="1" applyFill="1" applyBorder="1"/>
    <xf numFmtId="169" fontId="19" fillId="3" borderId="1" xfId="1" applyNumberFormat="1" applyFont="1" applyFill="1" applyBorder="1"/>
    <xf numFmtId="169" fontId="19" fillId="14" borderId="0" xfId="1" applyNumberFormat="1" applyFont="1" applyFill="1" applyBorder="1" applyAlignment="1"/>
    <xf numFmtId="169" fontId="15" fillId="14" borderId="0" xfId="1" applyNumberFormat="1" applyFont="1" applyFill="1" applyBorder="1" applyAlignment="1"/>
    <xf numFmtId="164" fontId="7" fillId="33" borderId="0" xfId="0" applyNumberFormat="1" applyFont="1" applyFill="1" applyBorder="1" applyAlignment="1"/>
    <xf numFmtId="169" fontId="19" fillId="33" borderId="0" xfId="1" applyNumberFormat="1" applyFont="1" applyFill="1" applyBorder="1" applyAlignment="1">
      <alignment horizontal="right"/>
    </xf>
    <xf numFmtId="169" fontId="19" fillId="12" borderId="0" xfId="1" applyNumberFormat="1" applyFont="1" applyFill="1" applyBorder="1" applyAlignment="1">
      <alignment horizontal="right"/>
    </xf>
    <xf numFmtId="169" fontId="13" fillId="13" borderId="0" xfId="1" applyNumberFormat="1" applyFont="1" applyFill="1" applyBorder="1" applyAlignment="1"/>
    <xf numFmtId="43" fontId="7" fillId="12" borderId="0" xfId="1" applyNumberFormat="1" applyFont="1" applyFill="1" applyBorder="1"/>
    <xf numFmtId="9" fontId="7" fillId="14" borderId="0" xfId="2" applyFont="1" applyFill="1" applyBorder="1"/>
    <xf numFmtId="0" fontId="7" fillId="38" borderId="0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center"/>
    </xf>
    <xf numFmtId="0" fontId="13" fillId="40" borderId="0" xfId="0" applyFont="1" applyFill="1" applyBorder="1" applyAlignment="1"/>
    <xf numFmtId="170" fontId="15" fillId="14" borderId="0" xfId="1" applyNumberFormat="1" applyFont="1" applyFill="1" applyBorder="1" applyAlignment="1"/>
    <xf numFmtId="9" fontId="10" fillId="12" borderId="0" xfId="2" applyFont="1" applyFill="1" applyBorder="1"/>
    <xf numFmtId="0" fontId="16" fillId="0" borderId="0" xfId="0" applyFont="1" applyAlignment="1">
      <alignment horizontal="left"/>
    </xf>
    <xf numFmtId="0" fontId="10" fillId="5" borderId="0" xfId="0" applyFont="1" applyFill="1" applyBorder="1" applyAlignment="1">
      <alignment horizontal="center"/>
    </xf>
    <xf numFmtId="0" fontId="15" fillId="12" borderId="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/>
    </xf>
    <xf numFmtId="169" fontId="13" fillId="21" borderId="0" xfId="1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7" fillId="34" borderId="0" xfId="0" applyFont="1" applyFill="1" applyBorder="1" applyAlignment="1">
      <alignment horizontal="center"/>
    </xf>
    <xf numFmtId="0" fontId="23" fillId="6" borderId="0" xfId="0" applyFont="1" applyFill="1" applyBorder="1"/>
    <xf numFmtId="0" fontId="7" fillId="35" borderId="0" xfId="0" applyFont="1" applyFill="1" applyBorder="1" applyAlignment="1">
      <alignment horizontal="center"/>
    </xf>
    <xf numFmtId="0" fontId="19" fillId="25" borderId="0" xfId="0" applyFont="1" applyFill="1" applyBorder="1" applyAlignment="1">
      <alignment horizontal="left"/>
    </xf>
    <xf numFmtId="169" fontId="13" fillId="21" borderId="0" xfId="1" applyNumberFormat="1" applyFont="1" applyFill="1" applyBorder="1" applyAlignment="1">
      <alignment horizontal="left" vertical="center"/>
    </xf>
    <xf numFmtId="169" fontId="13" fillId="21" borderId="0" xfId="1" applyNumberFormat="1" applyFont="1" applyFill="1" applyBorder="1" applyAlignment="1">
      <alignment horizontal="left" vertical="center" wrapText="1"/>
    </xf>
    <xf numFmtId="169" fontId="7" fillId="5" borderId="0" xfId="1" applyNumberFormat="1" applyFont="1" applyFill="1" applyBorder="1" applyAlignment="1">
      <alignment horizontal="center"/>
    </xf>
    <xf numFmtId="0" fontId="19" fillId="30" borderId="0" xfId="0" applyFont="1" applyFill="1" applyBorder="1" applyAlignment="1">
      <alignment horizontal="left"/>
    </xf>
    <xf numFmtId="0" fontId="23" fillId="6" borderId="2" xfId="0" applyFont="1" applyFill="1" applyBorder="1"/>
    <xf numFmtId="0" fontId="7" fillId="38" borderId="2" xfId="0" applyFont="1" applyFill="1" applyBorder="1" applyAlignment="1">
      <alignment horizontal="center"/>
    </xf>
    <xf numFmtId="43" fontId="19" fillId="36" borderId="0" xfId="1" applyFont="1" applyFill="1" applyBorder="1" applyAlignment="1">
      <alignment horizontal="center"/>
    </xf>
    <xf numFmtId="43" fontId="19" fillId="37" borderId="0" xfId="1" applyFont="1" applyFill="1" applyBorder="1" applyAlignment="1">
      <alignment horizontal="center"/>
    </xf>
    <xf numFmtId="43" fontId="19" fillId="34" borderId="0" xfId="1" applyFont="1" applyFill="1" applyBorder="1" applyAlignment="1">
      <alignment horizontal="center"/>
    </xf>
    <xf numFmtId="43" fontId="19" fillId="35" borderId="0" xfId="1" applyFont="1" applyFill="1" applyBorder="1" applyAlignment="1">
      <alignment horizontal="center"/>
    </xf>
    <xf numFmtId="9" fontId="19" fillId="36" borderId="2" xfId="2" applyFont="1" applyFill="1" applyBorder="1" applyAlignment="1">
      <alignment horizontal="center"/>
    </xf>
    <xf numFmtId="9" fontId="19" fillId="34" borderId="2" xfId="2" applyFont="1" applyFill="1" applyBorder="1" applyAlignment="1">
      <alignment horizontal="center"/>
    </xf>
    <xf numFmtId="9" fontId="19" fillId="37" borderId="0" xfId="2" applyFont="1" applyFill="1" applyBorder="1" applyAlignment="1">
      <alignment horizontal="center"/>
    </xf>
    <xf numFmtId="9" fontId="19" fillId="35" borderId="0" xfId="2" applyFont="1" applyFill="1" applyBorder="1" applyAlignment="1">
      <alignment horizontal="center"/>
    </xf>
    <xf numFmtId="0" fontId="7" fillId="0" borderId="0" xfId="0" applyFont="1" applyFill="1" applyBorder="1" applyAlignment="1"/>
    <xf numFmtId="0" fontId="10" fillId="0" borderId="0" xfId="0" applyFont="1" applyFill="1" applyBorder="1" applyAlignment="1"/>
    <xf numFmtId="0" fontId="26" fillId="0" borderId="0" xfId="0" applyFont="1" applyFill="1" applyBorder="1"/>
    <xf numFmtId="0" fontId="7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right"/>
    </xf>
    <xf numFmtId="0" fontId="23" fillId="0" borderId="0" xfId="0" applyFont="1" applyFill="1" applyBorder="1" applyAlignment="1"/>
    <xf numFmtId="0" fontId="19" fillId="0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15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rgb="FFFFFF99"/>
          <bgColor theme="6" tint="0.5999938962981048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rgb="FFFFFF99"/>
          <bgColor theme="6" tint="0.5999938962981048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rgb="FFFFFF99"/>
          <bgColor theme="6" tint="0.5999938962981048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rgb="FFFFFF99"/>
          <bgColor theme="6" tint="0.599993896298104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roblem 3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Problem 3-style 2" pivot="0" count="3" xr9:uid="{00000000-0011-0000-FFFF-FFFF01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87:B88" headerRowCount="0" headerRowDxfId="7" dataDxfId="6" totalsRowDxfId="5" headerRowCellStyle="Comma" dataCellStyle="Comma" totalsRowCellStyle="Comma">
  <tableColumns count="1">
    <tableColumn id="1" xr3:uid="{00000000-0010-0000-0000-000001000000}" name="Column1" dataDxfId="4" dataCellStyle="Comma"/>
  </tableColumns>
  <tableStyleInfo name="Problem 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89:D90" headerRowCount="0" headerRowDxfId="3" dataDxfId="2" totalsRowDxfId="1">
  <tableColumns count="1">
    <tableColumn id="1" xr3:uid="{00000000-0010-0000-0100-000001000000}" name="Column1" dataDxfId="0"/>
  </tableColumns>
  <tableStyleInfo name="Problem 3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B34"/>
  <sheetViews>
    <sheetView showGridLines="0" tabSelected="1" zoomScale="125" zoomScaleNormal="120" workbookViewId="0">
      <selection activeCell="F33" sqref="F33"/>
    </sheetView>
  </sheetViews>
  <sheetFormatPr baseColWidth="10" defaultColWidth="12.6640625" defaultRowHeight="15.75" customHeight="1" x14ac:dyDescent="0.2"/>
  <cols>
    <col min="1" max="1" width="27.33203125" style="3" customWidth="1"/>
    <col min="2" max="2" width="15.6640625" style="3" customWidth="1"/>
    <col min="3" max="22" width="13.6640625" style="3" bestFit="1" customWidth="1"/>
    <col min="23" max="106" width="12.6640625" style="11"/>
    <col min="107" max="16384" width="12.6640625" style="3"/>
  </cols>
  <sheetData>
    <row r="1" spans="1:106" ht="15.75" customHeight="1" x14ac:dyDescent="0.2">
      <c r="B1" s="4"/>
      <c r="C1" s="4"/>
      <c r="D1" s="4"/>
      <c r="E1" s="4"/>
    </row>
    <row r="2" spans="1:106" ht="29" customHeight="1" x14ac:dyDescent="0.2">
      <c r="A2" s="33" t="s">
        <v>0</v>
      </c>
      <c r="B2" s="4"/>
      <c r="C2" s="4"/>
      <c r="D2" s="4"/>
      <c r="E2" s="4"/>
    </row>
    <row r="3" spans="1:106" ht="16" x14ac:dyDescent="0.2">
      <c r="A3" s="14" t="s">
        <v>1</v>
      </c>
      <c r="B3" s="4"/>
      <c r="C3" s="4"/>
      <c r="D3" s="4"/>
      <c r="E3" s="4"/>
    </row>
    <row r="4" spans="1:106" ht="16" x14ac:dyDescent="0.2">
      <c r="A4" s="14"/>
      <c r="B4" s="4"/>
      <c r="C4" s="4"/>
      <c r="D4" s="4"/>
      <c r="E4" s="4"/>
    </row>
    <row r="5" spans="1:106" ht="19" x14ac:dyDescent="0.25">
      <c r="A5" s="46" t="s">
        <v>91</v>
      </c>
      <c r="B5" s="4"/>
      <c r="C5" s="4"/>
      <c r="D5" s="4"/>
      <c r="E5" s="4"/>
    </row>
    <row r="6" spans="1:106" s="17" customFormat="1" ht="16" x14ac:dyDescent="0.2">
      <c r="A6" s="270" t="s">
        <v>87</v>
      </c>
      <c r="B6" s="268" t="s">
        <v>2</v>
      </c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</row>
    <row r="7" spans="1:106" s="176" customFormat="1" ht="16" x14ac:dyDescent="0.15">
      <c r="A7" s="270"/>
      <c r="B7" s="173">
        <v>0</v>
      </c>
      <c r="C7" s="173">
        <v>1</v>
      </c>
      <c r="D7" s="173">
        <v>2</v>
      </c>
      <c r="E7" s="173">
        <v>3</v>
      </c>
      <c r="F7" s="173">
        <v>4</v>
      </c>
      <c r="G7" s="173">
        <v>5</v>
      </c>
      <c r="H7" s="173">
        <v>6</v>
      </c>
      <c r="I7" s="173">
        <v>7</v>
      </c>
      <c r="J7" s="173">
        <v>8</v>
      </c>
      <c r="K7" s="173">
        <v>9</v>
      </c>
      <c r="L7" s="173">
        <v>10</v>
      </c>
      <c r="M7" s="173">
        <v>11</v>
      </c>
      <c r="N7" s="173">
        <v>12</v>
      </c>
      <c r="O7" s="173">
        <v>13</v>
      </c>
      <c r="P7" s="173">
        <v>14</v>
      </c>
      <c r="Q7" s="173">
        <v>15</v>
      </c>
      <c r="R7" s="173">
        <v>16</v>
      </c>
      <c r="S7" s="173">
        <v>17</v>
      </c>
      <c r="T7" s="173">
        <v>18</v>
      </c>
      <c r="U7" s="173">
        <v>19</v>
      </c>
      <c r="V7" s="173">
        <v>20</v>
      </c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</row>
    <row r="8" spans="1:106" s="12" customFormat="1" ht="16" x14ac:dyDescent="0.2">
      <c r="A8" s="19" t="s">
        <v>3</v>
      </c>
      <c r="B8" s="20">
        <v>10000000</v>
      </c>
      <c r="C8" s="199" t="s">
        <v>4</v>
      </c>
      <c r="D8" s="199" t="s">
        <v>4</v>
      </c>
      <c r="E8" s="199" t="s">
        <v>4</v>
      </c>
      <c r="F8" s="199" t="s">
        <v>4</v>
      </c>
      <c r="G8" s="199" t="s">
        <v>4</v>
      </c>
      <c r="H8" s="199" t="s">
        <v>4</v>
      </c>
      <c r="I8" s="199" t="s">
        <v>4</v>
      </c>
      <c r="J8" s="199" t="s">
        <v>4</v>
      </c>
      <c r="K8" s="199" t="s">
        <v>4</v>
      </c>
      <c r="L8" s="199" t="s">
        <v>4</v>
      </c>
      <c r="M8" s="199" t="s">
        <v>4</v>
      </c>
      <c r="N8" s="199" t="s">
        <v>4</v>
      </c>
      <c r="O8" s="199" t="s">
        <v>4</v>
      </c>
      <c r="P8" s="199" t="s">
        <v>4</v>
      </c>
      <c r="Q8" s="199" t="s">
        <v>4</v>
      </c>
      <c r="R8" s="199" t="s">
        <v>4</v>
      </c>
      <c r="S8" s="199" t="s">
        <v>4</v>
      </c>
      <c r="T8" s="199" t="s">
        <v>4</v>
      </c>
      <c r="U8" s="199" t="s">
        <v>4</v>
      </c>
      <c r="V8" s="199" t="s">
        <v>4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</row>
    <row r="9" spans="1:106" s="12" customFormat="1" ht="16" x14ac:dyDescent="0.2">
      <c r="A9" s="19" t="s">
        <v>5</v>
      </c>
      <c r="B9" s="20"/>
      <c r="C9" s="20">
        <v>2500000</v>
      </c>
      <c r="D9" s="20">
        <v>2500000</v>
      </c>
      <c r="E9" s="20">
        <v>2500000</v>
      </c>
      <c r="F9" s="20">
        <v>2500000</v>
      </c>
      <c r="G9" s="20">
        <v>2500000</v>
      </c>
      <c r="H9" s="20">
        <v>2500000</v>
      </c>
      <c r="I9" s="20">
        <v>2500000</v>
      </c>
      <c r="J9" s="20">
        <v>2500000</v>
      </c>
      <c r="K9" s="20">
        <v>2500000</v>
      </c>
      <c r="L9" s="20">
        <v>2500000</v>
      </c>
      <c r="M9" s="20">
        <v>2500000</v>
      </c>
      <c r="N9" s="20">
        <v>2500000</v>
      </c>
      <c r="O9" s="20">
        <v>2500000</v>
      </c>
      <c r="P9" s="20">
        <v>2500000</v>
      </c>
      <c r="Q9" s="20">
        <v>2500000</v>
      </c>
      <c r="R9" s="20">
        <v>2500000</v>
      </c>
      <c r="S9" s="20">
        <v>2500000</v>
      </c>
      <c r="T9" s="20">
        <v>2500000</v>
      </c>
      <c r="U9" s="20">
        <v>2500000</v>
      </c>
      <c r="V9" s="20">
        <v>2500000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</row>
    <row r="10" spans="1:106" s="12" customFormat="1" ht="16" x14ac:dyDescent="0.2">
      <c r="A10" s="19" t="s">
        <v>6</v>
      </c>
      <c r="B10" s="20"/>
      <c r="C10" s="20">
        <f t="shared" ref="C10:V10" si="0">150*40000</f>
        <v>6000000</v>
      </c>
      <c r="D10" s="20">
        <f t="shared" si="0"/>
        <v>6000000</v>
      </c>
      <c r="E10" s="20">
        <f t="shared" si="0"/>
        <v>6000000</v>
      </c>
      <c r="F10" s="20">
        <f t="shared" si="0"/>
        <v>6000000</v>
      </c>
      <c r="G10" s="20">
        <f t="shared" si="0"/>
        <v>6000000</v>
      </c>
      <c r="H10" s="20">
        <f t="shared" si="0"/>
        <v>6000000</v>
      </c>
      <c r="I10" s="20">
        <f t="shared" si="0"/>
        <v>6000000</v>
      </c>
      <c r="J10" s="20">
        <f t="shared" si="0"/>
        <v>6000000</v>
      </c>
      <c r="K10" s="20">
        <f t="shared" si="0"/>
        <v>6000000</v>
      </c>
      <c r="L10" s="20">
        <f t="shared" si="0"/>
        <v>6000000</v>
      </c>
      <c r="M10" s="20">
        <f t="shared" si="0"/>
        <v>6000000</v>
      </c>
      <c r="N10" s="20">
        <f t="shared" si="0"/>
        <v>6000000</v>
      </c>
      <c r="O10" s="20">
        <f t="shared" si="0"/>
        <v>6000000</v>
      </c>
      <c r="P10" s="20">
        <f t="shared" si="0"/>
        <v>6000000</v>
      </c>
      <c r="Q10" s="20">
        <f t="shared" si="0"/>
        <v>6000000</v>
      </c>
      <c r="R10" s="20">
        <f t="shared" si="0"/>
        <v>6000000</v>
      </c>
      <c r="S10" s="20">
        <f t="shared" si="0"/>
        <v>6000000</v>
      </c>
      <c r="T10" s="20">
        <f t="shared" si="0"/>
        <v>6000000</v>
      </c>
      <c r="U10" s="20">
        <f t="shared" si="0"/>
        <v>6000000</v>
      </c>
      <c r="V10" s="20">
        <f t="shared" si="0"/>
        <v>6000000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</row>
    <row r="11" spans="1:106" s="23" customFormat="1" ht="16" x14ac:dyDescent="0.2">
      <c r="A11" s="21" t="s">
        <v>8</v>
      </c>
      <c r="B11" s="22">
        <f>SUM(B8:B10)</f>
        <v>10000000</v>
      </c>
      <c r="C11" s="22">
        <f>SUM(C9:C10)</f>
        <v>8500000</v>
      </c>
      <c r="D11" s="22">
        <f t="shared" ref="D11:V11" si="1">SUM(D9:D10)</f>
        <v>8500000</v>
      </c>
      <c r="E11" s="22">
        <f t="shared" si="1"/>
        <v>8500000</v>
      </c>
      <c r="F11" s="22">
        <f t="shared" si="1"/>
        <v>8500000</v>
      </c>
      <c r="G11" s="22">
        <f t="shared" si="1"/>
        <v>8500000</v>
      </c>
      <c r="H11" s="22">
        <f t="shared" si="1"/>
        <v>8500000</v>
      </c>
      <c r="I11" s="22">
        <f t="shared" si="1"/>
        <v>8500000</v>
      </c>
      <c r="J11" s="22">
        <f t="shared" si="1"/>
        <v>8500000</v>
      </c>
      <c r="K11" s="22">
        <f t="shared" si="1"/>
        <v>8500000</v>
      </c>
      <c r="L11" s="22">
        <f t="shared" si="1"/>
        <v>8500000</v>
      </c>
      <c r="M11" s="22">
        <f t="shared" si="1"/>
        <v>8500000</v>
      </c>
      <c r="N11" s="22">
        <f t="shared" si="1"/>
        <v>8500000</v>
      </c>
      <c r="O11" s="22">
        <f t="shared" si="1"/>
        <v>8500000</v>
      </c>
      <c r="P11" s="22">
        <f t="shared" si="1"/>
        <v>8500000</v>
      </c>
      <c r="Q11" s="22">
        <f t="shared" si="1"/>
        <v>8500000</v>
      </c>
      <c r="R11" s="22">
        <f t="shared" si="1"/>
        <v>8500000</v>
      </c>
      <c r="S11" s="22">
        <f t="shared" si="1"/>
        <v>8500000</v>
      </c>
      <c r="T11" s="22">
        <f t="shared" si="1"/>
        <v>8500000</v>
      </c>
      <c r="U11" s="22">
        <f t="shared" si="1"/>
        <v>8500000</v>
      </c>
      <c r="V11" s="22">
        <f t="shared" si="1"/>
        <v>8500000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</row>
    <row r="12" spans="1:106" s="12" customFormat="1" ht="16" x14ac:dyDescent="0.2">
      <c r="A12" s="19" t="s">
        <v>9</v>
      </c>
      <c r="B12" s="20"/>
      <c r="C12" s="20">
        <v>7000000</v>
      </c>
      <c r="D12" s="20">
        <v>7000000</v>
      </c>
      <c r="E12" s="20">
        <v>7000000</v>
      </c>
      <c r="F12" s="20">
        <v>7000000</v>
      </c>
      <c r="G12" s="20">
        <v>7000000</v>
      </c>
      <c r="H12" s="20">
        <v>7000000</v>
      </c>
      <c r="I12" s="20">
        <v>7000000</v>
      </c>
      <c r="J12" s="20">
        <v>7000000</v>
      </c>
      <c r="K12" s="20">
        <v>7000000</v>
      </c>
      <c r="L12" s="20">
        <v>7000000</v>
      </c>
      <c r="M12" s="20">
        <v>7000000</v>
      </c>
      <c r="N12" s="20">
        <v>7000000</v>
      </c>
      <c r="O12" s="20">
        <v>7000000</v>
      </c>
      <c r="P12" s="20">
        <v>7000000</v>
      </c>
      <c r="Q12" s="20">
        <v>7000000</v>
      </c>
      <c r="R12" s="20">
        <v>7000000</v>
      </c>
      <c r="S12" s="20">
        <v>7000000</v>
      </c>
      <c r="T12" s="20">
        <v>7000000</v>
      </c>
      <c r="U12" s="20">
        <v>7000000</v>
      </c>
      <c r="V12" s="20">
        <v>7000000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</row>
    <row r="13" spans="1:106" s="23" customFormat="1" ht="16" x14ac:dyDescent="0.2">
      <c r="A13" s="21" t="s">
        <v>10</v>
      </c>
      <c r="B13" s="22"/>
      <c r="C13" s="22">
        <f t="shared" ref="C13:V13" si="2">C12</f>
        <v>7000000</v>
      </c>
      <c r="D13" s="22">
        <f t="shared" si="2"/>
        <v>7000000</v>
      </c>
      <c r="E13" s="22">
        <f t="shared" si="2"/>
        <v>7000000</v>
      </c>
      <c r="F13" s="22">
        <f t="shared" si="2"/>
        <v>7000000</v>
      </c>
      <c r="G13" s="22">
        <f t="shared" si="2"/>
        <v>7000000</v>
      </c>
      <c r="H13" s="22">
        <f t="shared" si="2"/>
        <v>7000000</v>
      </c>
      <c r="I13" s="22">
        <f t="shared" si="2"/>
        <v>7000000</v>
      </c>
      <c r="J13" s="22">
        <f t="shared" si="2"/>
        <v>7000000</v>
      </c>
      <c r="K13" s="22">
        <f t="shared" si="2"/>
        <v>7000000</v>
      </c>
      <c r="L13" s="22">
        <f t="shared" si="2"/>
        <v>7000000</v>
      </c>
      <c r="M13" s="22">
        <f t="shared" si="2"/>
        <v>7000000</v>
      </c>
      <c r="N13" s="22">
        <f t="shared" si="2"/>
        <v>7000000</v>
      </c>
      <c r="O13" s="22">
        <f t="shared" si="2"/>
        <v>7000000</v>
      </c>
      <c r="P13" s="22">
        <f t="shared" si="2"/>
        <v>7000000</v>
      </c>
      <c r="Q13" s="22">
        <f t="shared" si="2"/>
        <v>7000000</v>
      </c>
      <c r="R13" s="22">
        <f t="shared" si="2"/>
        <v>7000000</v>
      </c>
      <c r="S13" s="22">
        <f t="shared" si="2"/>
        <v>7000000</v>
      </c>
      <c r="T13" s="22">
        <f t="shared" si="2"/>
        <v>7000000</v>
      </c>
      <c r="U13" s="22">
        <f t="shared" si="2"/>
        <v>7000000</v>
      </c>
      <c r="V13" s="22">
        <f t="shared" si="2"/>
        <v>7000000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</row>
    <row r="14" spans="1:106" s="25" customFormat="1" ht="16" x14ac:dyDescent="0.2">
      <c r="A14" s="24" t="s">
        <v>11</v>
      </c>
      <c r="B14" s="30">
        <f>-B11</f>
        <v>-10000000</v>
      </c>
      <c r="C14" s="30">
        <f>C13-C11</f>
        <v>-1500000</v>
      </c>
      <c r="D14" s="30">
        <f t="shared" ref="D14:V14" si="3">D13-D11</f>
        <v>-1500000</v>
      </c>
      <c r="E14" s="30">
        <f t="shared" si="3"/>
        <v>-1500000</v>
      </c>
      <c r="F14" s="30">
        <f t="shared" si="3"/>
        <v>-1500000</v>
      </c>
      <c r="G14" s="30">
        <f t="shared" si="3"/>
        <v>-1500000</v>
      </c>
      <c r="H14" s="30">
        <f t="shared" si="3"/>
        <v>-1500000</v>
      </c>
      <c r="I14" s="30">
        <f t="shared" si="3"/>
        <v>-1500000</v>
      </c>
      <c r="J14" s="30">
        <f t="shared" si="3"/>
        <v>-1500000</v>
      </c>
      <c r="K14" s="30">
        <f t="shared" si="3"/>
        <v>-1500000</v>
      </c>
      <c r="L14" s="30">
        <f t="shared" si="3"/>
        <v>-1500000</v>
      </c>
      <c r="M14" s="30">
        <f t="shared" si="3"/>
        <v>-1500000</v>
      </c>
      <c r="N14" s="30">
        <f t="shared" si="3"/>
        <v>-1500000</v>
      </c>
      <c r="O14" s="30">
        <f t="shared" si="3"/>
        <v>-1500000</v>
      </c>
      <c r="P14" s="30">
        <f t="shared" si="3"/>
        <v>-1500000</v>
      </c>
      <c r="Q14" s="30">
        <f t="shared" si="3"/>
        <v>-1500000</v>
      </c>
      <c r="R14" s="30">
        <f t="shared" si="3"/>
        <v>-1500000</v>
      </c>
      <c r="S14" s="30">
        <f t="shared" si="3"/>
        <v>-1500000</v>
      </c>
      <c r="T14" s="30">
        <f t="shared" si="3"/>
        <v>-1500000</v>
      </c>
      <c r="U14" s="30">
        <f t="shared" si="3"/>
        <v>-1500000</v>
      </c>
      <c r="V14" s="30">
        <f t="shared" si="3"/>
        <v>-1500000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6" s="28" customFormat="1" ht="16" x14ac:dyDescent="0.2">
      <c r="A15" s="26" t="s">
        <v>12</v>
      </c>
      <c r="B15" s="27">
        <f>NPV(0.08,C14:V14)+B14</f>
        <v>-24727221.111173928</v>
      </c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269"/>
      <c r="P15" s="269"/>
      <c r="Q15" s="269"/>
      <c r="R15" s="269"/>
      <c r="S15" s="269"/>
      <c r="T15" s="269"/>
      <c r="U15" s="269"/>
      <c r="V15" s="269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</row>
    <row r="16" spans="1:106" ht="15" x14ac:dyDescent="0.2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1"/>
      <c r="N16" s="91"/>
      <c r="O16" s="91"/>
      <c r="P16" s="91"/>
      <c r="Q16" s="91"/>
      <c r="R16" s="91"/>
      <c r="S16" s="91"/>
      <c r="T16" s="91"/>
      <c r="U16" s="91"/>
      <c r="V16" s="91"/>
    </row>
    <row r="17" spans="1:106" ht="15" x14ac:dyDescent="0.2">
      <c r="A17" s="146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106" ht="19" x14ac:dyDescent="0.25">
      <c r="A18" s="148" t="s">
        <v>93</v>
      </c>
    </row>
    <row r="19" spans="1:106" ht="16" x14ac:dyDescent="0.2">
      <c r="A19" s="270" t="s">
        <v>88</v>
      </c>
      <c r="B19" s="271" t="s">
        <v>2</v>
      </c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</row>
    <row r="20" spans="1:106" s="178" customFormat="1" ht="16" x14ac:dyDescent="0.2">
      <c r="A20" s="270"/>
      <c r="B20" s="177">
        <v>0</v>
      </c>
      <c r="C20" s="177">
        <v>1</v>
      </c>
      <c r="D20" s="177">
        <v>2</v>
      </c>
      <c r="E20" s="177">
        <v>3</v>
      </c>
      <c r="F20" s="177">
        <v>4</v>
      </c>
      <c r="G20" s="177">
        <v>5</v>
      </c>
      <c r="H20" s="177">
        <v>6</v>
      </c>
      <c r="I20" s="177">
        <v>7</v>
      </c>
      <c r="J20" s="177">
        <v>8</v>
      </c>
      <c r="K20" s="177">
        <v>9</v>
      </c>
      <c r="L20" s="177">
        <v>10</v>
      </c>
      <c r="M20" s="177">
        <v>11</v>
      </c>
      <c r="N20" s="177">
        <v>12</v>
      </c>
      <c r="O20" s="177">
        <v>13</v>
      </c>
      <c r="P20" s="177">
        <v>14</v>
      </c>
      <c r="Q20" s="177">
        <v>15</v>
      </c>
      <c r="R20" s="177">
        <v>16</v>
      </c>
      <c r="S20" s="177">
        <v>17</v>
      </c>
      <c r="T20" s="177">
        <v>18</v>
      </c>
      <c r="U20" s="177">
        <v>19</v>
      </c>
      <c r="V20" s="177">
        <v>20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</row>
    <row r="21" spans="1:106" ht="16" x14ac:dyDescent="0.2">
      <c r="A21" s="19" t="s">
        <v>3</v>
      </c>
      <c r="B21" s="20">
        <v>10000000</v>
      </c>
      <c r="C21" s="199" t="s">
        <v>4</v>
      </c>
      <c r="D21" s="199" t="s">
        <v>4</v>
      </c>
      <c r="E21" s="199" t="s">
        <v>4</v>
      </c>
      <c r="F21" s="199" t="s">
        <v>4</v>
      </c>
      <c r="G21" s="199" t="s">
        <v>4</v>
      </c>
      <c r="H21" s="199" t="s">
        <v>4</v>
      </c>
      <c r="I21" s="199" t="s">
        <v>4</v>
      </c>
      <c r="J21" s="199" t="s">
        <v>4</v>
      </c>
      <c r="K21" s="199" t="s">
        <v>4</v>
      </c>
      <c r="L21" s="199" t="s">
        <v>4</v>
      </c>
      <c r="M21" s="199" t="s">
        <v>4</v>
      </c>
      <c r="N21" s="199" t="s">
        <v>4</v>
      </c>
      <c r="O21" s="199" t="s">
        <v>4</v>
      </c>
      <c r="P21" s="199" t="s">
        <v>4</v>
      </c>
      <c r="Q21" s="199" t="s">
        <v>4</v>
      </c>
      <c r="R21" s="199" t="s">
        <v>4</v>
      </c>
      <c r="S21" s="199" t="s">
        <v>4</v>
      </c>
      <c r="T21" s="199" t="s">
        <v>4</v>
      </c>
      <c r="U21" s="199" t="s">
        <v>4</v>
      </c>
      <c r="V21" s="199" t="s">
        <v>4</v>
      </c>
    </row>
    <row r="22" spans="1:106" ht="16" x14ac:dyDescent="0.2">
      <c r="A22" s="19" t="s">
        <v>5</v>
      </c>
      <c r="B22" s="20"/>
      <c r="C22" s="20">
        <v>2500000</v>
      </c>
      <c r="D22" s="20">
        <v>2500000</v>
      </c>
      <c r="E22" s="20">
        <v>2500000</v>
      </c>
      <c r="F22" s="20">
        <v>2500000</v>
      </c>
      <c r="G22" s="20">
        <v>2500000</v>
      </c>
      <c r="H22" s="20">
        <v>2500000</v>
      </c>
      <c r="I22" s="20">
        <v>2500000</v>
      </c>
      <c r="J22" s="20">
        <v>2500000</v>
      </c>
      <c r="K22" s="20">
        <v>2500000</v>
      </c>
      <c r="L22" s="20">
        <v>2500000</v>
      </c>
      <c r="M22" s="20">
        <v>2500000</v>
      </c>
      <c r="N22" s="20">
        <v>2500000</v>
      </c>
      <c r="O22" s="20">
        <v>2500000</v>
      </c>
      <c r="P22" s="20">
        <v>2500000</v>
      </c>
      <c r="Q22" s="20">
        <v>2500000</v>
      </c>
      <c r="R22" s="20">
        <v>2500000</v>
      </c>
      <c r="S22" s="20">
        <v>2500000</v>
      </c>
      <c r="T22" s="20">
        <v>2500000</v>
      </c>
      <c r="U22" s="20">
        <v>2500000</v>
      </c>
      <c r="V22" s="20">
        <v>2500000</v>
      </c>
    </row>
    <row r="23" spans="1:106" ht="16" x14ac:dyDescent="0.2">
      <c r="A23" s="19" t="s">
        <v>6</v>
      </c>
      <c r="B23" s="20"/>
      <c r="C23" s="20">
        <f t="shared" ref="C23:V23" si="4">150*40000</f>
        <v>6000000</v>
      </c>
      <c r="D23" s="20">
        <f t="shared" si="4"/>
        <v>6000000</v>
      </c>
      <c r="E23" s="20">
        <f t="shared" si="4"/>
        <v>6000000</v>
      </c>
      <c r="F23" s="20">
        <f t="shared" si="4"/>
        <v>6000000</v>
      </c>
      <c r="G23" s="20">
        <f t="shared" si="4"/>
        <v>6000000</v>
      </c>
      <c r="H23" s="20">
        <f t="shared" si="4"/>
        <v>6000000</v>
      </c>
      <c r="I23" s="20">
        <f t="shared" si="4"/>
        <v>6000000</v>
      </c>
      <c r="J23" s="20">
        <f t="shared" si="4"/>
        <v>6000000</v>
      </c>
      <c r="K23" s="20">
        <f t="shared" si="4"/>
        <v>6000000</v>
      </c>
      <c r="L23" s="20">
        <f t="shared" si="4"/>
        <v>6000000</v>
      </c>
      <c r="M23" s="20">
        <f t="shared" si="4"/>
        <v>6000000</v>
      </c>
      <c r="N23" s="20">
        <f t="shared" si="4"/>
        <v>6000000</v>
      </c>
      <c r="O23" s="20">
        <f t="shared" si="4"/>
        <v>6000000</v>
      </c>
      <c r="P23" s="20">
        <f t="shared" si="4"/>
        <v>6000000</v>
      </c>
      <c r="Q23" s="20">
        <f t="shared" si="4"/>
        <v>6000000</v>
      </c>
      <c r="R23" s="20">
        <f t="shared" si="4"/>
        <v>6000000</v>
      </c>
      <c r="S23" s="20">
        <f t="shared" si="4"/>
        <v>6000000</v>
      </c>
      <c r="T23" s="20">
        <f t="shared" si="4"/>
        <v>6000000</v>
      </c>
      <c r="U23" s="20">
        <f t="shared" si="4"/>
        <v>6000000</v>
      </c>
      <c r="V23" s="20">
        <f t="shared" si="4"/>
        <v>6000000</v>
      </c>
    </row>
    <row r="24" spans="1:106" s="7" customFormat="1" ht="16" x14ac:dyDescent="0.2">
      <c r="A24" s="21" t="s">
        <v>8</v>
      </c>
      <c r="B24" s="22">
        <f>B21</f>
        <v>10000000</v>
      </c>
      <c r="C24" s="22">
        <f>SUM(C22:C23)</f>
        <v>8500000</v>
      </c>
      <c r="D24" s="22">
        <f t="shared" ref="D24:V24" si="5">SUM(D22:D23)</f>
        <v>8500000</v>
      </c>
      <c r="E24" s="22">
        <f t="shared" si="5"/>
        <v>8500000</v>
      </c>
      <c r="F24" s="22">
        <f t="shared" si="5"/>
        <v>8500000</v>
      </c>
      <c r="G24" s="22">
        <f t="shared" si="5"/>
        <v>8500000</v>
      </c>
      <c r="H24" s="22">
        <f t="shared" si="5"/>
        <v>8500000</v>
      </c>
      <c r="I24" s="22">
        <f t="shared" si="5"/>
        <v>8500000</v>
      </c>
      <c r="J24" s="22">
        <f t="shared" si="5"/>
        <v>8500000</v>
      </c>
      <c r="K24" s="22">
        <f t="shared" si="5"/>
        <v>8500000</v>
      </c>
      <c r="L24" s="22">
        <f t="shared" si="5"/>
        <v>8500000</v>
      </c>
      <c r="M24" s="22">
        <f t="shared" si="5"/>
        <v>8500000</v>
      </c>
      <c r="N24" s="22">
        <f t="shared" si="5"/>
        <v>8500000</v>
      </c>
      <c r="O24" s="22">
        <f t="shared" si="5"/>
        <v>8500000</v>
      </c>
      <c r="P24" s="22">
        <f t="shared" si="5"/>
        <v>8500000</v>
      </c>
      <c r="Q24" s="22">
        <f t="shared" si="5"/>
        <v>8500000</v>
      </c>
      <c r="R24" s="22">
        <f t="shared" si="5"/>
        <v>8500000</v>
      </c>
      <c r="S24" s="22">
        <f t="shared" si="5"/>
        <v>8500000</v>
      </c>
      <c r="T24" s="22">
        <f t="shared" si="5"/>
        <v>8500000</v>
      </c>
      <c r="U24" s="22">
        <f t="shared" si="5"/>
        <v>8500000</v>
      </c>
      <c r="V24" s="22">
        <f t="shared" si="5"/>
        <v>8500000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</row>
    <row r="25" spans="1:106" ht="16" x14ac:dyDescent="0.2">
      <c r="A25" s="19" t="s">
        <v>13</v>
      </c>
      <c r="B25" s="20"/>
      <c r="C25" s="20">
        <v>7000000</v>
      </c>
      <c r="D25" s="20">
        <v>7000000</v>
      </c>
      <c r="E25" s="20">
        <v>7000000</v>
      </c>
      <c r="F25" s="20">
        <v>7000000</v>
      </c>
      <c r="G25" s="20">
        <v>7000000</v>
      </c>
      <c r="H25" s="20">
        <v>7000000</v>
      </c>
      <c r="I25" s="20">
        <v>7000000</v>
      </c>
      <c r="J25" s="20">
        <v>7000000</v>
      </c>
      <c r="K25" s="20">
        <v>7000000</v>
      </c>
      <c r="L25" s="20">
        <v>7000000</v>
      </c>
      <c r="M25" s="20">
        <v>7000000</v>
      </c>
      <c r="N25" s="20">
        <v>7000000</v>
      </c>
      <c r="O25" s="20">
        <v>7000000</v>
      </c>
      <c r="P25" s="20">
        <v>7000000</v>
      </c>
      <c r="Q25" s="20">
        <v>7000000</v>
      </c>
      <c r="R25" s="20">
        <v>7000000</v>
      </c>
      <c r="S25" s="20">
        <v>7000000</v>
      </c>
      <c r="T25" s="20">
        <v>7000000</v>
      </c>
      <c r="U25" s="20">
        <v>7000000</v>
      </c>
      <c r="V25" s="20">
        <v>7000000</v>
      </c>
    </row>
    <row r="26" spans="1:106" ht="16" x14ac:dyDescent="0.2">
      <c r="A26" s="19" t="s">
        <v>14</v>
      </c>
      <c r="B26" s="29"/>
      <c r="C26" s="20">
        <v>4000000</v>
      </c>
      <c r="D26" s="20">
        <v>4000000</v>
      </c>
      <c r="E26" s="20">
        <v>4000000</v>
      </c>
      <c r="F26" s="20">
        <v>4000000</v>
      </c>
      <c r="G26" s="20">
        <v>4000000</v>
      </c>
      <c r="H26" s="20">
        <v>4000000</v>
      </c>
      <c r="I26" s="20">
        <v>4000000</v>
      </c>
      <c r="J26" s="20">
        <v>4000000</v>
      </c>
      <c r="K26" s="20">
        <v>4000000</v>
      </c>
      <c r="L26" s="20">
        <v>4000000</v>
      </c>
      <c r="M26" s="20">
        <v>4000000</v>
      </c>
      <c r="N26" s="20">
        <v>4000000</v>
      </c>
      <c r="O26" s="20">
        <v>4000000</v>
      </c>
      <c r="P26" s="20">
        <v>4000000</v>
      </c>
      <c r="Q26" s="20">
        <v>4000000</v>
      </c>
      <c r="R26" s="20">
        <v>4000000</v>
      </c>
      <c r="S26" s="20">
        <v>4000000</v>
      </c>
      <c r="T26" s="20">
        <v>4000000</v>
      </c>
      <c r="U26" s="20">
        <v>4000000</v>
      </c>
      <c r="V26" s="20">
        <v>4000000</v>
      </c>
    </row>
    <row r="27" spans="1:106" s="7" customFormat="1" ht="16" x14ac:dyDescent="0.2">
      <c r="A27" s="21" t="s">
        <v>10</v>
      </c>
      <c r="B27" s="22">
        <f t="shared" ref="B27:V27" si="6">SUM(B25,B26)</f>
        <v>0</v>
      </c>
      <c r="C27" s="22">
        <f>SUM(C25,C26)</f>
        <v>11000000</v>
      </c>
      <c r="D27" s="22">
        <f t="shared" si="6"/>
        <v>11000000</v>
      </c>
      <c r="E27" s="22">
        <f t="shared" si="6"/>
        <v>11000000</v>
      </c>
      <c r="F27" s="22">
        <f t="shared" si="6"/>
        <v>11000000</v>
      </c>
      <c r="G27" s="22">
        <f t="shared" si="6"/>
        <v>11000000</v>
      </c>
      <c r="H27" s="22">
        <f t="shared" si="6"/>
        <v>11000000</v>
      </c>
      <c r="I27" s="22">
        <f t="shared" si="6"/>
        <v>11000000</v>
      </c>
      <c r="J27" s="22">
        <f t="shared" si="6"/>
        <v>11000000</v>
      </c>
      <c r="K27" s="22">
        <f t="shared" si="6"/>
        <v>11000000</v>
      </c>
      <c r="L27" s="22">
        <f t="shared" si="6"/>
        <v>11000000</v>
      </c>
      <c r="M27" s="22">
        <f t="shared" si="6"/>
        <v>11000000</v>
      </c>
      <c r="N27" s="22">
        <f t="shared" si="6"/>
        <v>11000000</v>
      </c>
      <c r="O27" s="22">
        <f t="shared" si="6"/>
        <v>11000000</v>
      </c>
      <c r="P27" s="22">
        <f t="shared" si="6"/>
        <v>11000000</v>
      </c>
      <c r="Q27" s="22">
        <f t="shared" si="6"/>
        <v>11000000</v>
      </c>
      <c r="R27" s="22">
        <f t="shared" si="6"/>
        <v>11000000</v>
      </c>
      <c r="S27" s="22">
        <f t="shared" si="6"/>
        <v>11000000</v>
      </c>
      <c r="T27" s="22">
        <f t="shared" si="6"/>
        <v>11000000</v>
      </c>
      <c r="U27" s="22">
        <f t="shared" si="6"/>
        <v>11000000</v>
      </c>
      <c r="V27" s="22">
        <f t="shared" si="6"/>
        <v>11000000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</row>
    <row r="28" spans="1:106" s="8" customFormat="1" ht="16" x14ac:dyDescent="0.2">
      <c r="A28" s="24" t="s">
        <v>11</v>
      </c>
      <c r="B28" s="30">
        <f>-B24</f>
        <v>-10000000</v>
      </c>
      <c r="C28" s="30">
        <f>C27-C24</f>
        <v>2500000</v>
      </c>
      <c r="D28" s="30">
        <f t="shared" ref="D28:V28" si="7">D27-D24</f>
        <v>2500000</v>
      </c>
      <c r="E28" s="30">
        <f t="shared" si="7"/>
        <v>2500000</v>
      </c>
      <c r="F28" s="30">
        <f t="shared" si="7"/>
        <v>2500000</v>
      </c>
      <c r="G28" s="30">
        <f t="shared" si="7"/>
        <v>2500000</v>
      </c>
      <c r="H28" s="30">
        <f t="shared" si="7"/>
        <v>2500000</v>
      </c>
      <c r="I28" s="30">
        <f t="shared" si="7"/>
        <v>2500000</v>
      </c>
      <c r="J28" s="30">
        <f t="shared" si="7"/>
        <v>2500000</v>
      </c>
      <c r="K28" s="30">
        <f t="shared" si="7"/>
        <v>2500000</v>
      </c>
      <c r="L28" s="30">
        <f t="shared" si="7"/>
        <v>2500000</v>
      </c>
      <c r="M28" s="30">
        <f t="shared" si="7"/>
        <v>2500000</v>
      </c>
      <c r="N28" s="30">
        <f t="shared" si="7"/>
        <v>2500000</v>
      </c>
      <c r="O28" s="30">
        <f t="shared" si="7"/>
        <v>2500000</v>
      </c>
      <c r="P28" s="30">
        <f t="shared" si="7"/>
        <v>2500000</v>
      </c>
      <c r="Q28" s="30">
        <f t="shared" si="7"/>
        <v>2500000</v>
      </c>
      <c r="R28" s="30">
        <f t="shared" si="7"/>
        <v>2500000</v>
      </c>
      <c r="S28" s="30">
        <f t="shared" si="7"/>
        <v>2500000</v>
      </c>
      <c r="T28" s="30">
        <f t="shared" si="7"/>
        <v>2500000</v>
      </c>
      <c r="U28" s="30">
        <f t="shared" si="7"/>
        <v>2500000</v>
      </c>
      <c r="V28" s="30">
        <f t="shared" si="7"/>
        <v>2500000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</row>
    <row r="29" spans="1:106" s="9" customFormat="1" ht="16" x14ac:dyDescent="0.2">
      <c r="A29" s="31" t="s">
        <v>12</v>
      </c>
      <c r="B29" s="32">
        <f>NPV(0.08,C28:V28)+B28</f>
        <v>14545368.518623218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</row>
    <row r="30" spans="1:106" s="11" customFormat="1" ht="15" x14ac:dyDescent="0.2">
      <c r="A30" s="6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106" ht="16" x14ac:dyDescent="0.2">
      <c r="A31" s="267" t="s">
        <v>15</v>
      </c>
      <c r="B31" s="267"/>
      <c r="C31" s="267"/>
      <c r="D31" s="267"/>
      <c r="E31" s="267"/>
      <c r="F31" s="267"/>
      <c r="G31" s="267"/>
    </row>
    <row r="32" spans="1:106" ht="15.75" customHeight="1" x14ac:dyDescent="0.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</row>
    <row r="34" spans="1:1" ht="15" x14ac:dyDescent="0.2">
      <c r="A34" s="2"/>
    </row>
  </sheetData>
  <mergeCells count="6">
    <mergeCell ref="A31:G31"/>
    <mergeCell ref="B6:V6"/>
    <mergeCell ref="C15:V15"/>
    <mergeCell ref="A6:A7"/>
    <mergeCell ref="A19:A20"/>
    <mergeCell ref="B19:V19"/>
  </mergeCells>
  <phoneticPr fontId="9" type="noConversion"/>
  <pageMargins left="0.7" right="0.7" top="0.75" bottom="0.75" header="0.3" footer="0.3"/>
  <ignoredErrors>
    <ignoredError sqref="B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I28"/>
  <sheetViews>
    <sheetView showGridLines="0" zoomScale="117" workbookViewId="0">
      <selection activeCell="C7" sqref="C7"/>
    </sheetView>
  </sheetViews>
  <sheetFormatPr baseColWidth="10" defaultColWidth="12.6640625" defaultRowHeight="15.75" customHeight="1" x14ac:dyDescent="0.15"/>
  <cols>
    <col min="1" max="1" width="19.6640625" style="1" customWidth="1"/>
    <col min="2" max="2" width="14.5" style="1" bestFit="1" customWidth="1"/>
    <col min="3" max="12" width="13.1640625" style="1" bestFit="1" customWidth="1"/>
    <col min="13" max="87" width="12.6640625" style="34"/>
    <col min="88" max="16384" width="12.6640625" style="1"/>
  </cols>
  <sheetData>
    <row r="2" spans="1:87" ht="30" customHeight="1" x14ac:dyDescent="0.15">
      <c r="A2" s="35" t="s">
        <v>89</v>
      </c>
    </row>
    <row r="3" spans="1:87" s="3" customFormat="1" ht="16" x14ac:dyDescent="0.2">
      <c r="A3" s="14" t="s">
        <v>1</v>
      </c>
      <c r="B3" s="4"/>
      <c r="C3" s="4"/>
      <c r="D3" s="4"/>
      <c r="E3" s="4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</row>
    <row r="4" spans="1:87" s="3" customFormat="1" ht="16" x14ac:dyDescent="0.2">
      <c r="A4" s="14"/>
      <c r="B4" s="4"/>
      <c r="C4" s="4"/>
      <c r="D4" s="4"/>
      <c r="E4" s="4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</row>
    <row r="5" spans="1:87" ht="15.75" customHeight="1" x14ac:dyDescent="0.15">
      <c r="A5" s="149" t="s">
        <v>91</v>
      </c>
    </row>
    <row r="6" spans="1:87" ht="16" x14ac:dyDescent="0.15">
      <c r="A6" s="273" t="s">
        <v>87</v>
      </c>
      <c r="B6" s="271" t="s">
        <v>2</v>
      </c>
      <c r="C6" s="272"/>
      <c r="D6" s="272"/>
      <c r="E6" s="272"/>
      <c r="F6" s="272"/>
      <c r="G6" s="272"/>
      <c r="H6" s="272"/>
      <c r="I6" s="272"/>
      <c r="J6" s="272"/>
      <c r="K6" s="272"/>
      <c r="L6" s="272"/>
    </row>
    <row r="7" spans="1:87" s="174" customFormat="1" ht="16" x14ac:dyDescent="0.15">
      <c r="A7" s="273"/>
      <c r="B7" s="173">
        <v>0</v>
      </c>
      <c r="C7" s="173">
        <v>1</v>
      </c>
      <c r="D7" s="173">
        <v>2</v>
      </c>
      <c r="E7" s="173">
        <v>3</v>
      </c>
      <c r="F7" s="173">
        <v>4</v>
      </c>
      <c r="G7" s="173">
        <v>5</v>
      </c>
      <c r="H7" s="173">
        <v>6</v>
      </c>
      <c r="I7" s="173">
        <v>7</v>
      </c>
      <c r="J7" s="173">
        <v>8</v>
      </c>
      <c r="K7" s="173">
        <v>9</v>
      </c>
      <c r="L7" s="173">
        <v>10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</row>
    <row r="8" spans="1:87" ht="16" x14ac:dyDescent="0.2">
      <c r="A8" s="19" t="s">
        <v>3</v>
      </c>
      <c r="B8" s="20">
        <v>13000000</v>
      </c>
      <c r="C8" s="198" t="s">
        <v>4</v>
      </c>
      <c r="D8" s="198" t="s">
        <v>4</v>
      </c>
      <c r="E8" s="198" t="s">
        <v>4</v>
      </c>
      <c r="F8" s="198" t="s">
        <v>4</v>
      </c>
      <c r="G8" s="198" t="s">
        <v>4</v>
      </c>
      <c r="H8" s="198" t="s">
        <v>4</v>
      </c>
      <c r="I8" s="198" t="s">
        <v>4</v>
      </c>
      <c r="J8" s="198" t="s">
        <v>4</v>
      </c>
      <c r="K8" s="198" t="s">
        <v>4</v>
      </c>
      <c r="L8" s="198" t="s">
        <v>4</v>
      </c>
    </row>
    <row r="9" spans="1:87" ht="16" x14ac:dyDescent="0.2">
      <c r="A9" s="19" t="s">
        <v>7</v>
      </c>
      <c r="B9" s="20"/>
      <c r="C9" s="20">
        <v>500000</v>
      </c>
      <c r="D9" s="20">
        <v>500000</v>
      </c>
      <c r="E9" s="20">
        <v>500000</v>
      </c>
      <c r="F9" s="20">
        <v>500000</v>
      </c>
      <c r="G9" s="20">
        <v>500000</v>
      </c>
      <c r="H9" s="20">
        <v>500000</v>
      </c>
      <c r="I9" s="20">
        <v>500000</v>
      </c>
      <c r="J9" s="20">
        <v>500000</v>
      </c>
      <c r="K9" s="20">
        <v>500000</v>
      </c>
      <c r="L9" s="20">
        <v>500000</v>
      </c>
    </row>
    <row r="10" spans="1:87" s="36" customFormat="1" ht="16" x14ac:dyDescent="0.2">
      <c r="A10" s="21" t="s">
        <v>8</v>
      </c>
      <c r="B10" s="22">
        <f>B8</f>
        <v>13000000</v>
      </c>
      <c r="C10" s="22">
        <f>SUM(C9)</f>
        <v>500000</v>
      </c>
      <c r="D10" s="22">
        <f t="shared" ref="D10:L10" si="0">SUM(D9)</f>
        <v>500000</v>
      </c>
      <c r="E10" s="22">
        <f t="shared" si="0"/>
        <v>500000</v>
      </c>
      <c r="F10" s="22">
        <f t="shared" si="0"/>
        <v>500000</v>
      </c>
      <c r="G10" s="22">
        <f t="shared" si="0"/>
        <v>500000</v>
      </c>
      <c r="H10" s="22">
        <f t="shared" si="0"/>
        <v>500000</v>
      </c>
      <c r="I10" s="22">
        <f t="shared" si="0"/>
        <v>500000</v>
      </c>
      <c r="J10" s="22">
        <f t="shared" si="0"/>
        <v>500000</v>
      </c>
      <c r="K10" s="22">
        <f t="shared" si="0"/>
        <v>500000</v>
      </c>
      <c r="L10" s="22">
        <f t="shared" si="0"/>
        <v>500000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</row>
    <row r="11" spans="1:87" ht="16" x14ac:dyDescent="0.2">
      <c r="A11" s="19" t="s">
        <v>9</v>
      </c>
      <c r="B11" s="20"/>
      <c r="C11" s="20">
        <v>1500000</v>
      </c>
      <c r="D11" s="20">
        <v>1500000</v>
      </c>
      <c r="E11" s="20">
        <v>1500000</v>
      </c>
      <c r="F11" s="20">
        <v>1500000</v>
      </c>
      <c r="G11" s="20">
        <v>1500000</v>
      </c>
      <c r="H11" s="20">
        <v>1500000</v>
      </c>
      <c r="I11" s="20">
        <v>1500000</v>
      </c>
      <c r="J11" s="20">
        <v>1500000</v>
      </c>
      <c r="K11" s="20">
        <v>1500000</v>
      </c>
      <c r="L11" s="20">
        <v>1500000</v>
      </c>
    </row>
    <row r="12" spans="1:87" s="36" customFormat="1" ht="16" x14ac:dyDescent="0.2">
      <c r="A12" s="21" t="s">
        <v>10</v>
      </c>
      <c r="B12" s="22"/>
      <c r="C12" s="22">
        <f t="shared" ref="C12:L12" si="1">C11</f>
        <v>1500000</v>
      </c>
      <c r="D12" s="22">
        <f t="shared" si="1"/>
        <v>1500000</v>
      </c>
      <c r="E12" s="22">
        <f t="shared" si="1"/>
        <v>1500000</v>
      </c>
      <c r="F12" s="22">
        <f t="shared" si="1"/>
        <v>1500000</v>
      </c>
      <c r="G12" s="22">
        <f t="shared" si="1"/>
        <v>1500000</v>
      </c>
      <c r="H12" s="22">
        <f t="shared" si="1"/>
        <v>1500000</v>
      </c>
      <c r="I12" s="22">
        <f t="shared" si="1"/>
        <v>1500000</v>
      </c>
      <c r="J12" s="22">
        <f t="shared" si="1"/>
        <v>1500000</v>
      </c>
      <c r="K12" s="22">
        <f t="shared" si="1"/>
        <v>1500000</v>
      </c>
      <c r="L12" s="22">
        <f t="shared" si="1"/>
        <v>1500000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</row>
    <row r="13" spans="1:87" s="37" customFormat="1" ht="16" x14ac:dyDescent="0.2">
      <c r="A13" s="24" t="s">
        <v>11</v>
      </c>
      <c r="B13" s="30">
        <f>-B10</f>
        <v>-13000000</v>
      </c>
      <c r="C13" s="30">
        <f>C12-C10</f>
        <v>1000000</v>
      </c>
      <c r="D13" s="30">
        <f t="shared" ref="D13:L13" si="2">D12-D10</f>
        <v>1000000</v>
      </c>
      <c r="E13" s="30">
        <f t="shared" si="2"/>
        <v>1000000</v>
      </c>
      <c r="F13" s="30">
        <f t="shared" si="2"/>
        <v>1000000</v>
      </c>
      <c r="G13" s="30">
        <f t="shared" si="2"/>
        <v>1000000</v>
      </c>
      <c r="H13" s="30">
        <f t="shared" si="2"/>
        <v>1000000</v>
      </c>
      <c r="I13" s="30">
        <f t="shared" si="2"/>
        <v>1000000</v>
      </c>
      <c r="J13" s="30">
        <f t="shared" si="2"/>
        <v>1000000</v>
      </c>
      <c r="K13" s="30">
        <f t="shared" si="2"/>
        <v>1000000</v>
      </c>
      <c r="L13" s="30">
        <f t="shared" si="2"/>
        <v>1000000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</row>
    <row r="14" spans="1:87" s="40" customFormat="1" ht="16" x14ac:dyDescent="0.2">
      <c r="A14" s="26" t="s">
        <v>12</v>
      </c>
      <c r="B14" s="38">
        <f>NPV(0.08,C13:L13)+B13</f>
        <v>-6289918.6010585586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</row>
    <row r="15" spans="1:87" ht="16" x14ac:dyDescent="0.2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</row>
    <row r="16" spans="1:87" ht="16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87" ht="18" x14ac:dyDescent="0.2">
      <c r="A17" s="150" t="s">
        <v>93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87" s="42" customFormat="1" ht="16" x14ac:dyDescent="0.15">
      <c r="A18" s="274" t="s">
        <v>88</v>
      </c>
      <c r="B18" s="271" t="s">
        <v>2</v>
      </c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</row>
    <row r="19" spans="1:87" s="175" customFormat="1" ht="16" x14ac:dyDescent="0.15">
      <c r="A19" s="274"/>
      <c r="B19" s="173">
        <v>0</v>
      </c>
      <c r="C19" s="173">
        <v>1</v>
      </c>
      <c r="D19" s="173">
        <v>2</v>
      </c>
      <c r="E19" s="173">
        <v>3</v>
      </c>
      <c r="F19" s="173">
        <v>4</v>
      </c>
      <c r="G19" s="173">
        <v>5</v>
      </c>
      <c r="H19" s="173">
        <v>6</v>
      </c>
      <c r="I19" s="173">
        <v>7</v>
      </c>
      <c r="J19" s="173">
        <v>8</v>
      </c>
      <c r="K19" s="173">
        <v>9</v>
      </c>
      <c r="L19" s="173">
        <v>10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</row>
    <row r="20" spans="1:87" ht="16" x14ac:dyDescent="0.2">
      <c r="A20" s="19" t="s">
        <v>3</v>
      </c>
      <c r="B20" s="20">
        <v>13000000</v>
      </c>
      <c r="C20" s="198" t="s">
        <v>4</v>
      </c>
      <c r="D20" s="198" t="s">
        <v>4</v>
      </c>
      <c r="E20" s="198" t="s">
        <v>4</v>
      </c>
      <c r="F20" s="198" t="s">
        <v>4</v>
      </c>
      <c r="G20" s="198" t="s">
        <v>4</v>
      </c>
      <c r="H20" s="198" t="s">
        <v>4</v>
      </c>
      <c r="I20" s="198" t="s">
        <v>4</v>
      </c>
      <c r="J20" s="198" t="s">
        <v>4</v>
      </c>
      <c r="K20" s="198" t="s">
        <v>4</v>
      </c>
      <c r="L20" s="198" t="s">
        <v>4</v>
      </c>
    </row>
    <row r="21" spans="1:87" ht="16" x14ac:dyDescent="0.2">
      <c r="A21" s="19" t="s">
        <v>16</v>
      </c>
      <c r="B21" s="20"/>
      <c r="C21" s="43">
        <v>500000</v>
      </c>
      <c r="D21" s="43">
        <v>500000</v>
      </c>
      <c r="E21" s="43">
        <v>500000</v>
      </c>
      <c r="F21" s="43">
        <v>500000</v>
      </c>
      <c r="G21" s="43">
        <v>500000</v>
      </c>
      <c r="H21" s="43">
        <v>500000</v>
      </c>
      <c r="I21" s="43">
        <v>500000</v>
      </c>
      <c r="J21" s="43">
        <v>500000</v>
      </c>
      <c r="K21" s="43">
        <v>500000</v>
      </c>
      <c r="L21" s="43">
        <v>500000</v>
      </c>
    </row>
    <row r="22" spans="1:87" s="36" customFormat="1" ht="16" x14ac:dyDescent="0.2">
      <c r="A22" s="21" t="s">
        <v>8</v>
      </c>
      <c r="B22" s="22">
        <f>SUM(B20)</f>
        <v>13000000</v>
      </c>
      <c r="C22" s="22">
        <f>SUM(C21)</f>
        <v>500000</v>
      </c>
      <c r="D22" s="22">
        <f t="shared" ref="D22:L22" si="3">SUM(D21)</f>
        <v>500000</v>
      </c>
      <c r="E22" s="22">
        <f t="shared" si="3"/>
        <v>500000</v>
      </c>
      <c r="F22" s="22">
        <f t="shared" si="3"/>
        <v>500000</v>
      </c>
      <c r="G22" s="22">
        <f t="shared" si="3"/>
        <v>500000</v>
      </c>
      <c r="H22" s="22">
        <f t="shared" si="3"/>
        <v>500000</v>
      </c>
      <c r="I22" s="22">
        <f t="shared" si="3"/>
        <v>500000</v>
      </c>
      <c r="J22" s="22">
        <f t="shared" si="3"/>
        <v>500000</v>
      </c>
      <c r="K22" s="22">
        <f t="shared" si="3"/>
        <v>500000</v>
      </c>
      <c r="L22" s="22">
        <f t="shared" si="3"/>
        <v>500000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</row>
    <row r="23" spans="1:87" ht="16" x14ac:dyDescent="0.2">
      <c r="A23" s="19" t="s">
        <v>13</v>
      </c>
      <c r="B23" s="20">
        <v>0</v>
      </c>
      <c r="C23" s="20">
        <v>1500000</v>
      </c>
      <c r="D23" s="20">
        <v>1500000</v>
      </c>
      <c r="E23" s="20">
        <v>1500000</v>
      </c>
      <c r="F23" s="20">
        <v>1500000</v>
      </c>
      <c r="G23" s="20">
        <v>1500000</v>
      </c>
      <c r="H23" s="20">
        <v>1500000</v>
      </c>
      <c r="I23" s="20">
        <v>1500000</v>
      </c>
      <c r="J23" s="20">
        <v>1500000</v>
      </c>
      <c r="K23" s="20">
        <v>1500000</v>
      </c>
      <c r="L23" s="20">
        <v>1500000</v>
      </c>
    </row>
    <row r="24" spans="1:87" ht="16" x14ac:dyDescent="0.2">
      <c r="A24" s="19" t="s">
        <v>14</v>
      </c>
      <c r="B24" s="20">
        <v>7000000</v>
      </c>
      <c r="C24" s="20">
        <v>300000</v>
      </c>
      <c r="D24" s="20">
        <v>300000</v>
      </c>
      <c r="E24" s="20">
        <v>300000</v>
      </c>
      <c r="F24" s="20">
        <v>300000</v>
      </c>
      <c r="G24" s="20">
        <v>300000</v>
      </c>
      <c r="H24" s="20">
        <v>300000</v>
      </c>
      <c r="I24" s="20">
        <v>300000</v>
      </c>
      <c r="J24" s="20">
        <v>300000</v>
      </c>
      <c r="K24" s="20">
        <v>300000</v>
      </c>
      <c r="L24" s="20">
        <v>300000</v>
      </c>
    </row>
    <row r="25" spans="1:87" s="36" customFormat="1" ht="16" x14ac:dyDescent="0.2">
      <c r="A25" s="21" t="s">
        <v>10</v>
      </c>
      <c r="B25" s="22">
        <f>SUM(B23:B24)</f>
        <v>7000000</v>
      </c>
      <c r="C25" s="22">
        <f>SUM(C23:C24)</f>
        <v>1800000</v>
      </c>
      <c r="D25" s="22">
        <f t="shared" ref="D25:L25" si="4">SUM(D23:D24)</f>
        <v>1800000</v>
      </c>
      <c r="E25" s="22">
        <f t="shared" si="4"/>
        <v>1800000</v>
      </c>
      <c r="F25" s="22">
        <f t="shared" si="4"/>
        <v>1800000</v>
      </c>
      <c r="G25" s="22">
        <f t="shared" si="4"/>
        <v>1800000</v>
      </c>
      <c r="H25" s="22">
        <f t="shared" si="4"/>
        <v>1800000</v>
      </c>
      <c r="I25" s="22">
        <f t="shared" si="4"/>
        <v>1800000</v>
      </c>
      <c r="J25" s="22">
        <f t="shared" si="4"/>
        <v>1800000</v>
      </c>
      <c r="K25" s="22">
        <f t="shared" si="4"/>
        <v>1800000</v>
      </c>
      <c r="L25" s="22">
        <f t="shared" si="4"/>
        <v>1800000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</row>
    <row r="26" spans="1:87" s="37" customFormat="1" ht="16" x14ac:dyDescent="0.2">
      <c r="A26" s="24" t="s">
        <v>11</v>
      </c>
      <c r="B26" s="30">
        <f>B25-B22</f>
        <v>-6000000</v>
      </c>
      <c r="C26" s="30">
        <f>C25-C22</f>
        <v>1300000</v>
      </c>
      <c r="D26" s="30">
        <f t="shared" ref="D26:L26" si="5">D25-D22</f>
        <v>1300000</v>
      </c>
      <c r="E26" s="30">
        <f t="shared" si="5"/>
        <v>1300000</v>
      </c>
      <c r="F26" s="30">
        <f t="shared" si="5"/>
        <v>1300000</v>
      </c>
      <c r="G26" s="30">
        <f t="shared" si="5"/>
        <v>1300000</v>
      </c>
      <c r="H26" s="30">
        <f t="shared" si="5"/>
        <v>1300000</v>
      </c>
      <c r="I26" s="30">
        <f t="shared" si="5"/>
        <v>1300000</v>
      </c>
      <c r="J26" s="30">
        <f t="shared" si="5"/>
        <v>1300000</v>
      </c>
      <c r="K26" s="30">
        <f t="shared" si="5"/>
        <v>1300000</v>
      </c>
      <c r="L26" s="30">
        <f t="shared" si="5"/>
        <v>1300000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</row>
    <row r="27" spans="1:87" s="40" customFormat="1" ht="16" x14ac:dyDescent="0.2">
      <c r="A27" s="31" t="s">
        <v>12</v>
      </c>
      <c r="B27" s="38">
        <f t="array" ref="B27">NPV(0.08,C26:L26)+B26</f>
        <v>2723105.8186238743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</row>
    <row r="28" spans="1:87" ht="15.75" customHeight="1" x14ac:dyDescent="0.15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</row>
  </sheetData>
  <mergeCells count="4">
    <mergeCell ref="B6:L6"/>
    <mergeCell ref="B18:L18"/>
    <mergeCell ref="A6:A7"/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L105"/>
  <sheetViews>
    <sheetView showGridLines="0" zoomScale="116" workbookViewId="0">
      <selection activeCell="B73" sqref="B73"/>
    </sheetView>
  </sheetViews>
  <sheetFormatPr baseColWidth="10" defaultColWidth="12.6640625" defaultRowHeight="15.75" customHeight="1" x14ac:dyDescent="0.2"/>
  <cols>
    <col min="1" max="1" width="23.1640625" style="13" customWidth="1"/>
    <col min="2" max="2" width="15.6640625" style="13" bestFit="1" customWidth="1"/>
    <col min="3" max="3" width="13" style="13" bestFit="1" customWidth="1"/>
    <col min="4" max="4" width="17" style="13" customWidth="1"/>
    <col min="5" max="18" width="13" style="13" bestFit="1" customWidth="1"/>
    <col min="19" max="27" width="12.83203125" style="13" bestFit="1" customWidth="1"/>
    <col min="28" max="64" width="12.6640625" style="45"/>
    <col min="65" max="16384" width="12.6640625" style="13"/>
  </cols>
  <sheetData>
    <row r="2" spans="1:64" ht="31" customHeight="1" x14ac:dyDescent="0.2">
      <c r="A2" s="35" t="s">
        <v>90</v>
      </c>
    </row>
    <row r="3" spans="1:64" s="3" customFormat="1" ht="16" x14ac:dyDescent="0.2">
      <c r="A3" s="14" t="s">
        <v>1</v>
      </c>
      <c r="B3" s="4"/>
      <c r="C3" s="4"/>
      <c r="D3" s="4"/>
      <c r="E3" s="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ht="15.75" customHeight="1" x14ac:dyDescent="0.2">
      <c r="G4" s="45"/>
      <c r="H4" s="45"/>
    </row>
    <row r="5" spans="1:64" ht="15.75" customHeight="1" x14ac:dyDescent="0.25">
      <c r="A5" s="46" t="s">
        <v>91</v>
      </c>
      <c r="D5" s="47"/>
      <c r="G5" s="48"/>
      <c r="H5" s="45"/>
    </row>
    <row r="6" spans="1:64" ht="16" x14ac:dyDescent="0.2">
      <c r="A6" s="137" t="s">
        <v>18</v>
      </c>
      <c r="B6" s="138">
        <f>1092000</f>
        <v>1092000</v>
      </c>
      <c r="C6" s="137"/>
      <c r="D6" s="139" t="s">
        <v>19</v>
      </c>
      <c r="E6" s="139">
        <v>850</v>
      </c>
      <c r="G6" s="45"/>
      <c r="H6" s="48"/>
    </row>
    <row r="7" spans="1:64" ht="15.75" customHeight="1" x14ac:dyDescent="0.2">
      <c r="A7" s="169" t="s">
        <v>20</v>
      </c>
      <c r="B7" s="170">
        <f>2*B6</f>
        <v>2184000</v>
      </c>
      <c r="C7" s="171"/>
      <c r="D7" s="169" t="s">
        <v>21</v>
      </c>
      <c r="E7" s="169">
        <v>8.4999999999999995E-4</v>
      </c>
      <c r="G7" s="45"/>
      <c r="H7" s="45"/>
    </row>
    <row r="8" spans="1:64" ht="15.75" customHeight="1" x14ac:dyDescent="0.2">
      <c r="A8" s="139" t="s">
        <v>22</v>
      </c>
      <c r="B8" s="138">
        <f>2*41000</f>
        <v>82000</v>
      </c>
      <c r="C8" s="137"/>
      <c r="D8" s="139" t="s">
        <v>23</v>
      </c>
      <c r="E8" s="138">
        <f>E7*1000</f>
        <v>0.85</v>
      </c>
      <c r="G8" s="45"/>
      <c r="H8" s="45"/>
    </row>
    <row r="9" spans="1:64" ht="15.75" customHeight="1" x14ac:dyDescent="0.2">
      <c r="A9" s="169" t="s">
        <v>24</v>
      </c>
      <c r="B9" s="169">
        <f>87.84</f>
        <v>87.84</v>
      </c>
      <c r="C9" s="171"/>
      <c r="D9" s="169" t="s">
        <v>25</v>
      </c>
      <c r="E9" s="170">
        <f>4850*E8</f>
        <v>4122.5</v>
      </c>
      <c r="G9" s="45"/>
      <c r="H9" s="45"/>
    </row>
    <row r="10" spans="1:64" ht="15.75" customHeight="1" x14ac:dyDescent="0.2">
      <c r="A10" s="139" t="s">
        <v>26</v>
      </c>
      <c r="B10" s="138">
        <f>B9*2425*2</f>
        <v>426024</v>
      </c>
      <c r="C10" s="137"/>
      <c r="D10" s="139" t="s">
        <v>27</v>
      </c>
      <c r="E10" s="137"/>
    </row>
    <row r="11" spans="1:64" ht="16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64" ht="16" x14ac:dyDescent="0.2">
      <c r="A12" s="180" t="s">
        <v>28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64" ht="16" x14ac:dyDescent="0.2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64" s="74" customFormat="1" ht="16" x14ac:dyDescent="0.2">
      <c r="A14" s="275" t="s">
        <v>87</v>
      </c>
      <c r="B14" s="276" t="s">
        <v>2</v>
      </c>
      <c r="C14" s="276"/>
      <c r="D14" s="276"/>
      <c r="E14" s="276"/>
      <c r="F14" s="276"/>
      <c r="G14" s="276"/>
      <c r="H14" s="276"/>
      <c r="I14" s="276"/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</row>
    <row r="15" spans="1:64" s="173" customFormat="1" ht="16" x14ac:dyDescent="0.15">
      <c r="A15" s="275"/>
      <c r="B15" s="172">
        <v>0</v>
      </c>
      <c r="C15" s="172">
        <v>1</v>
      </c>
      <c r="D15" s="172">
        <v>2</v>
      </c>
      <c r="E15" s="172">
        <v>3</v>
      </c>
      <c r="F15" s="172">
        <v>4</v>
      </c>
      <c r="G15" s="172">
        <v>5</v>
      </c>
      <c r="H15" s="172">
        <v>6</v>
      </c>
      <c r="I15" s="172">
        <v>7</v>
      </c>
      <c r="J15" s="172">
        <v>8</v>
      </c>
      <c r="K15" s="172">
        <v>9</v>
      </c>
      <c r="L15" s="172">
        <v>10</v>
      </c>
      <c r="M15" s="172">
        <v>11</v>
      </c>
      <c r="N15" s="172">
        <v>12</v>
      </c>
      <c r="O15" s="172">
        <v>13</v>
      </c>
      <c r="P15" s="172">
        <v>14</v>
      </c>
      <c r="Q15" s="172">
        <v>15</v>
      </c>
      <c r="R15" s="172">
        <v>16</v>
      </c>
      <c r="S15" s="172">
        <v>17</v>
      </c>
      <c r="T15" s="172">
        <v>18</v>
      </c>
      <c r="U15" s="172">
        <v>19</v>
      </c>
      <c r="V15" s="172">
        <v>20</v>
      </c>
      <c r="W15" s="172">
        <v>21</v>
      </c>
      <c r="X15" s="172">
        <v>22</v>
      </c>
      <c r="Y15" s="172">
        <v>23</v>
      </c>
      <c r="Z15" s="172">
        <v>24</v>
      </c>
      <c r="AA15" s="172">
        <v>25</v>
      </c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</row>
    <row r="16" spans="1:64" ht="16" x14ac:dyDescent="0.2">
      <c r="A16" s="49" t="s">
        <v>29</v>
      </c>
      <c r="B16" s="43">
        <v>2184000</v>
      </c>
      <c r="C16" s="78" t="s">
        <v>4</v>
      </c>
      <c r="D16" s="78" t="s">
        <v>4</v>
      </c>
      <c r="E16" s="78" t="s">
        <v>4</v>
      </c>
      <c r="F16" s="78" t="s">
        <v>4</v>
      </c>
      <c r="G16" s="78" t="s">
        <v>4</v>
      </c>
      <c r="H16" s="78" t="s">
        <v>4</v>
      </c>
      <c r="I16" s="78" t="s">
        <v>4</v>
      </c>
      <c r="J16" s="78" t="s">
        <v>4</v>
      </c>
      <c r="K16" s="78" t="s">
        <v>4</v>
      </c>
      <c r="L16" s="78" t="s">
        <v>4</v>
      </c>
      <c r="M16" s="78" t="s">
        <v>4</v>
      </c>
      <c r="N16" s="78" t="s">
        <v>4</v>
      </c>
      <c r="O16" s="78" t="s">
        <v>4</v>
      </c>
      <c r="P16" s="78" t="s">
        <v>4</v>
      </c>
      <c r="Q16" s="78" t="s">
        <v>4</v>
      </c>
      <c r="R16" s="78" t="s">
        <v>4</v>
      </c>
      <c r="S16" s="78" t="s">
        <v>4</v>
      </c>
      <c r="T16" s="78" t="s">
        <v>4</v>
      </c>
      <c r="U16" s="78" t="s">
        <v>4</v>
      </c>
      <c r="V16" s="78" t="s">
        <v>4</v>
      </c>
      <c r="W16" s="78">
        <v>0</v>
      </c>
      <c r="X16" s="78" t="s">
        <v>4</v>
      </c>
      <c r="Y16" s="78" t="s">
        <v>4</v>
      </c>
      <c r="Z16" s="78" t="s">
        <v>4</v>
      </c>
      <c r="AA16" s="78" t="s">
        <v>4</v>
      </c>
    </row>
    <row r="17" spans="1:64" ht="16" x14ac:dyDescent="0.2">
      <c r="A17" s="49" t="s">
        <v>16</v>
      </c>
      <c r="B17" s="43"/>
      <c r="C17" s="43">
        <v>82000</v>
      </c>
      <c r="D17" s="43">
        <v>82000</v>
      </c>
      <c r="E17" s="43">
        <v>82000</v>
      </c>
      <c r="F17" s="43">
        <v>82000</v>
      </c>
      <c r="G17" s="43">
        <v>82000</v>
      </c>
      <c r="H17" s="43">
        <v>82000</v>
      </c>
      <c r="I17" s="43">
        <v>82000</v>
      </c>
      <c r="J17" s="43">
        <v>82000</v>
      </c>
      <c r="K17" s="43">
        <v>82000</v>
      </c>
      <c r="L17" s="43">
        <v>82000</v>
      </c>
      <c r="M17" s="43">
        <v>82000</v>
      </c>
      <c r="N17" s="43">
        <v>82000</v>
      </c>
      <c r="O17" s="43">
        <v>82000</v>
      </c>
      <c r="P17" s="43">
        <v>82000</v>
      </c>
      <c r="Q17" s="43">
        <v>82000</v>
      </c>
      <c r="R17" s="43">
        <v>82000</v>
      </c>
      <c r="S17" s="43">
        <v>82000</v>
      </c>
      <c r="T17" s="43">
        <v>82000</v>
      </c>
      <c r="U17" s="43">
        <v>82000</v>
      </c>
      <c r="V17" s="43">
        <v>82000</v>
      </c>
      <c r="W17" s="43">
        <v>82000</v>
      </c>
      <c r="X17" s="43">
        <v>82000</v>
      </c>
      <c r="Y17" s="43">
        <v>82000</v>
      </c>
      <c r="Z17" s="43">
        <v>82000</v>
      </c>
      <c r="AA17" s="43">
        <v>82000</v>
      </c>
    </row>
    <row r="18" spans="1:64" s="52" customFormat="1" ht="16" x14ac:dyDescent="0.2">
      <c r="A18" s="50" t="s">
        <v>8</v>
      </c>
      <c r="B18" s="51">
        <f>B16</f>
        <v>2184000</v>
      </c>
      <c r="C18" s="51">
        <f>SUM(C17)</f>
        <v>82000</v>
      </c>
      <c r="D18" s="51">
        <f t="shared" ref="D18:AA18" si="0">SUM(D17)</f>
        <v>82000</v>
      </c>
      <c r="E18" s="51">
        <f t="shared" si="0"/>
        <v>82000</v>
      </c>
      <c r="F18" s="51">
        <f t="shared" si="0"/>
        <v>82000</v>
      </c>
      <c r="G18" s="51">
        <f t="shared" si="0"/>
        <v>82000</v>
      </c>
      <c r="H18" s="51">
        <f t="shared" si="0"/>
        <v>82000</v>
      </c>
      <c r="I18" s="51">
        <f t="shared" si="0"/>
        <v>82000</v>
      </c>
      <c r="J18" s="51">
        <f t="shared" si="0"/>
        <v>82000</v>
      </c>
      <c r="K18" s="51">
        <f t="shared" si="0"/>
        <v>82000</v>
      </c>
      <c r="L18" s="51">
        <f t="shared" si="0"/>
        <v>82000</v>
      </c>
      <c r="M18" s="51">
        <f t="shared" si="0"/>
        <v>82000</v>
      </c>
      <c r="N18" s="51">
        <f t="shared" si="0"/>
        <v>82000</v>
      </c>
      <c r="O18" s="51">
        <f t="shared" si="0"/>
        <v>82000</v>
      </c>
      <c r="P18" s="51">
        <f t="shared" si="0"/>
        <v>82000</v>
      </c>
      <c r="Q18" s="51">
        <f t="shared" si="0"/>
        <v>82000</v>
      </c>
      <c r="R18" s="51">
        <f t="shared" si="0"/>
        <v>82000</v>
      </c>
      <c r="S18" s="51">
        <f t="shared" si="0"/>
        <v>82000</v>
      </c>
      <c r="T18" s="51">
        <f t="shared" si="0"/>
        <v>82000</v>
      </c>
      <c r="U18" s="51">
        <f t="shared" si="0"/>
        <v>82000</v>
      </c>
      <c r="V18" s="51">
        <f t="shared" si="0"/>
        <v>82000</v>
      </c>
      <c r="W18" s="51">
        <f t="shared" si="0"/>
        <v>82000</v>
      </c>
      <c r="X18" s="51">
        <f t="shared" si="0"/>
        <v>82000</v>
      </c>
      <c r="Y18" s="51">
        <f t="shared" si="0"/>
        <v>82000</v>
      </c>
      <c r="Z18" s="51">
        <f t="shared" si="0"/>
        <v>82000</v>
      </c>
      <c r="AA18" s="51">
        <f t="shared" si="0"/>
        <v>82000</v>
      </c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</row>
    <row r="19" spans="1:64" ht="16" x14ac:dyDescent="0.2">
      <c r="A19" s="49" t="s">
        <v>30</v>
      </c>
      <c r="B19" s="53"/>
      <c r="C19" s="43">
        <v>426024</v>
      </c>
      <c r="D19" s="43">
        <v>426024</v>
      </c>
      <c r="E19" s="43">
        <v>426024</v>
      </c>
      <c r="F19" s="43">
        <v>426024</v>
      </c>
      <c r="G19" s="43">
        <v>426024</v>
      </c>
      <c r="H19" s="43">
        <v>426024</v>
      </c>
      <c r="I19" s="43">
        <v>426024</v>
      </c>
      <c r="J19" s="43">
        <v>426024</v>
      </c>
      <c r="K19" s="43">
        <v>426024</v>
      </c>
      <c r="L19" s="43">
        <v>426024</v>
      </c>
      <c r="M19" s="43">
        <v>426024</v>
      </c>
      <c r="N19" s="43">
        <v>426024</v>
      </c>
      <c r="O19" s="43">
        <v>426024</v>
      </c>
      <c r="P19" s="43">
        <v>426024</v>
      </c>
      <c r="Q19" s="43">
        <v>426024</v>
      </c>
      <c r="R19" s="43">
        <v>426024</v>
      </c>
      <c r="S19" s="43">
        <v>426024</v>
      </c>
      <c r="T19" s="43">
        <v>426024</v>
      </c>
      <c r="U19" s="43">
        <v>426024</v>
      </c>
      <c r="V19" s="43">
        <v>426024</v>
      </c>
      <c r="W19" s="43">
        <v>426024</v>
      </c>
      <c r="X19" s="43">
        <v>426024</v>
      </c>
      <c r="Y19" s="43">
        <v>426024</v>
      </c>
      <c r="Z19" s="43">
        <v>426024</v>
      </c>
      <c r="AA19" s="43">
        <v>426024</v>
      </c>
    </row>
    <row r="20" spans="1:64" s="52" customFormat="1" ht="16" x14ac:dyDescent="0.2">
      <c r="A20" s="54" t="s">
        <v>10</v>
      </c>
      <c r="B20" s="55"/>
      <c r="C20" s="56">
        <f>C19</f>
        <v>426024</v>
      </c>
      <c r="D20" s="56">
        <f t="shared" ref="D20:AA20" si="1">D19</f>
        <v>426024</v>
      </c>
      <c r="E20" s="56">
        <f t="shared" si="1"/>
        <v>426024</v>
      </c>
      <c r="F20" s="56">
        <f t="shared" si="1"/>
        <v>426024</v>
      </c>
      <c r="G20" s="56">
        <f t="shared" si="1"/>
        <v>426024</v>
      </c>
      <c r="H20" s="56">
        <f t="shared" si="1"/>
        <v>426024</v>
      </c>
      <c r="I20" s="56">
        <f t="shared" si="1"/>
        <v>426024</v>
      </c>
      <c r="J20" s="56">
        <f t="shared" si="1"/>
        <v>426024</v>
      </c>
      <c r="K20" s="56">
        <f t="shared" si="1"/>
        <v>426024</v>
      </c>
      <c r="L20" s="56">
        <f t="shared" si="1"/>
        <v>426024</v>
      </c>
      <c r="M20" s="56">
        <f t="shared" si="1"/>
        <v>426024</v>
      </c>
      <c r="N20" s="56">
        <f t="shared" si="1"/>
        <v>426024</v>
      </c>
      <c r="O20" s="56">
        <f t="shared" si="1"/>
        <v>426024</v>
      </c>
      <c r="P20" s="56">
        <f t="shared" si="1"/>
        <v>426024</v>
      </c>
      <c r="Q20" s="56">
        <f t="shared" si="1"/>
        <v>426024</v>
      </c>
      <c r="R20" s="56">
        <f t="shared" si="1"/>
        <v>426024</v>
      </c>
      <c r="S20" s="56">
        <f t="shared" si="1"/>
        <v>426024</v>
      </c>
      <c r="T20" s="56">
        <f t="shared" si="1"/>
        <v>426024</v>
      </c>
      <c r="U20" s="56">
        <f t="shared" si="1"/>
        <v>426024</v>
      </c>
      <c r="V20" s="56">
        <f t="shared" si="1"/>
        <v>426024</v>
      </c>
      <c r="W20" s="56">
        <f t="shared" si="1"/>
        <v>426024</v>
      </c>
      <c r="X20" s="56">
        <f t="shared" si="1"/>
        <v>426024</v>
      </c>
      <c r="Y20" s="56">
        <f t="shared" si="1"/>
        <v>426024</v>
      </c>
      <c r="Z20" s="56">
        <f t="shared" si="1"/>
        <v>426024</v>
      </c>
      <c r="AA20" s="56">
        <f t="shared" si="1"/>
        <v>426024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</row>
    <row r="21" spans="1:64" s="59" customFormat="1" ht="16" x14ac:dyDescent="0.2">
      <c r="A21" s="57" t="s">
        <v>11</v>
      </c>
      <c r="B21" s="58">
        <f>-B18</f>
        <v>-2184000</v>
      </c>
      <c r="C21" s="58">
        <f>C20-C18</f>
        <v>344024</v>
      </c>
      <c r="D21" s="58">
        <f t="shared" ref="D21:AA21" si="2">D20-D18</f>
        <v>344024</v>
      </c>
      <c r="E21" s="58">
        <f t="shared" si="2"/>
        <v>344024</v>
      </c>
      <c r="F21" s="58">
        <f t="shared" si="2"/>
        <v>344024</v>
      </c>
      <c r="G21" s="58">
        <f t="shared" si="2"/>
        <v>344024</v>
      </c>
      <c r="H21" s="58">
        <f t="shared" si="2"/>
        <v>344024</v>
      </c>
      <c r="I21" s="58">
        <f t="shared" si="2"/>
        <v>344024</v>
      </c>
      <c r="J21" s="58">
        <f t="shared" si="2"/>
        <v>344024</v>
      </c>
      <c r="K21" s="58">
        <f t="shared" si="2"/>
        <v>344024</v>
      </c>
      <c r="L21" s="58">
        <f t="shared" si="2"/>
        <v>344024</v>
      </c>
      <c r="M21" s="58">
        <f t="shared" si="2"/>
        <v>344024</v>
      </c>
      <c r="N21" s="58">
        <f t="shared" si="2"/>
        <v>344024</v>
      </c>
      <c r="O21" s="58">
        <f t="shared" si="2"/>
        <v>344024</v>
      </c>
      <c r="P21" s="58">
        <f t="shared" si="2"/>
        <v>344024</v>
      </c>
      <c r="Q21" s="58">
        <f t="shared" si="2"/>
        <v>344024</v>
      </c>
      <c r="R21" s="58">
        <f t="shared" si="2"/>
        <v>344024</v>
      </c>
      <c r="S21" s="58">
        <f t="shared" si="2"/>
        <v>344024</v>
      </c>
      <c r="T21" s="58">
        <f t="shared" si="2"/>
        <v>344024</v>
      </c>
      <c r="U21" s="58">
        <f t="shared" si="2"/>
        <v>344024</v>
      </c>
      <c r="V21" s="58">
        <f t="shared" si="2"/>
        <v>344024</v>
      </c>
      <c r="W21" s="58">
        <f t="shared" si="2"/>
        <v>344024</v>
      </c>
      <c r="X21" s="58">
        <f t="shared" si="2"/>
        <v>344024</v>
      </c>
      <c r="Y21" s="58">
        <f t="shared" si="2"/>
        <v>344024</v>
      </c>
      <c r="Z21" s="58">
        <f t="shared" si="2"/>
        <v>344024</v>
      </c>
      <c r="AA21" s="58">
        <f t="shared" si="2"/>
        <v>344024</v>
      </c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</row>
    <row r="22" spans="1:64" s="62" customFormat="1" ht="16" x14ac:dyDescent="0.2">
      <c r="A22" s="60" t="s">
        <v>31</v>
      </c>
      <c r="B22" s="93">
        <f>NPV(0.05,C21:AA21)+B21</f>
        <v>2664655.1853889776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</row>
    <row r="23" spans="1:64" s="62" customFormat="1" ht="16" x14ac:dyDescent="0.2">
      <c r="A23" s="105" t="s">
        <v>32</v>
      </c>
      <c r="B23" s="164">
        <f t="array" ref="B23">(300*B16)/NPV(0.05, C21:AA21)</f>
        <v>135.13025260579286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</row>
    <row r="24" spans="1:64" s="62" customFormat="1" ht="15.75" customHeight="1" x14ac:dyDescent="0.2">
      <c r="A24" s="64" t="s">
        <v>33</v>
      </c>
      <c r="B24" s="97">
        <f>IRR(B21:AA21)</f>
        <v>0.15304074776101051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</row>
    <row r="25" spans="1:64" ht="15.75" customHeight="1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spans="1:64" s="62" customFormat="1" ht="15.75" customHeight="1" x14ac:dyDescent="0.2">
      <c r="A26" s="80"/>
      <c r="B26" s="81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</row>
    <row r="27" spans="1:64" ht="15.75" customHeight="1" x14ac:dyDescent="0.25">
      <c r="A27" s="82" t="s">
        <v>93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64" ht="15.75" customHeight="1" x14ac:dyDescent="0.2">
      <c r="A28" s="180" t="s">
        <v>35</v>
      </c>
      <c r="B28" s="20"/>
      <c r="C28" s="277" t="s">
        <v>92</v>
      </c>
      <c r="D28" s="277"/>
      <c r="E28" s="277"/>
      <c r="F28" s="179">
        <v>60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64" ht="16" x14ac:dyDescent="0.2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64" ht="16" x14ac:dyDescent="0.2">
      <c r="A30" s="275" t="s">
        <v>88</v>
      </c>
      <c r="B30" s="276" t="s">
        <v>2</v>
      </c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</row>
    <row r="31" spans="1:64" ht="16" x14ac:dyDescent="0.2">
      <c r="A31" s="275"/>
      <c r="B31" s="183">
        <v>0</v>
      </c>
      <c r="C31" s="183">
        <v>1</v>
      </c>
      <c r="D31" s="183">
        <v>2</v>
      </c>
      <c r="E31" s="183">
        <v>3</v>
      </c>
      <c r="F31" s="183">
        <v>4</v>
      </c>
      <c r="G31" s="183">
        <v>5</v>
      </c>
      <c r="H31" s="183">
        <v>6</v>
      </c>
      <c r="I31" s="183">
        <v>7</v>
      </c>
      <c r="J31" s="183">
        <v>8</v>
      </c>
      <c r="K31" s="183">
        <v>9</v>
      </c>
      <c r="L31" s="183">
        <v>10</v>
      </c>
      <c r="M31" s="183">
        <v>11</v>
      </c>
      <c r="N31" s="183">
        <v>12</v>
      </c>
      <c r="O31" s="183">
        <v>13</v>
      </c>
      <c r="P31" s="183">
        <v>14</v>
      </c>
      <c r="Q31" s="183">
        <v>15</v>
      </c>
      <c r="R31" s="183">
        <v>16</v>
      </c>
      <c r="S31" s="183">
        <v>17</v>
      </c>
      <c r="T31" s="183">
        <v>18</v>
      </c>
      <c r="U31" s="183">
        <v>19</v>
      </c>
      <c r="V31" s="183">
        <v>20</v>
      </c>
      <c r="W31" s="183">
        <v>21</v>
      </c>
      <c r="X31" s="183">
        <v>22</v>
      </c>
      <c r="Y31" s="183">
        <v>23</v>
      </c>
      <c r="Z31" s="183">
        <v>24</v>
      </c>
      <c r="AA31" s="183">
        <v>25</v>
      </c>
    </row>
    <row r="32" spans="1:64" ht="16" x14ac:dyDescent="0.2">
      <c r="A32" s="49" t="s">
        <v>29</v>
      </c>
      <c r="B32" s="43">
        <v>2184000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/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</row>
    <row r="33" spans="1:64" ht="16" x14ac:dyDescent="0.2">
      <c r="A33" s="49" t="s">
        <v>16</v>
      </c>
      <c r="B33" s="43"/>
      <c r="C33" s="43">
        <v>82000</v>
      </c>
      <c r="D33" s="43">
        <v>82000</v>
      </c>
      <c r="E33" s="43">
        <v>82000</v>
      </c>
      <c r="F33" s="43">
        <v>82000</v>
      </c>
      <c r="G33" s="43">
        <v>82000</v>
      </c>
      <c r="H33" s="43">
        <v>82000</v>
      </c>
      <c r="I33" s="43">
        <v>82000</v>
      </c>
      <c r="J33" s="43">
        <v>82000</v>
      </c>
      <c r="K33" s="43">
        <v>82000</v>
      </c>
      <c r="L33" s="43">
        <v>82000</v>
      </c>
      <c r="M33" s="43">
        <v>82000</v>
      </c>
      <c r="N33" s="43">
        <v>82000</v>
      </c>
      <c r="O33" s="43">
        <v>82000</v>
      </c>
      <c r="P33" s="43">
        <v>82000</v>
      </c>
      <c r="Q33" s="43">
        <v>82000</v>
      </c>
      <c r="R33" s="43">
        <v>82000</v>
      </c>
      <c r="S33" s="43">
        <v>82000</v>
      </c>
      <c r="T33" s="43">
        <v>82000</v>
      </c>
      <c r="U33" s="43">
        <v>82000</v>
      </c>
      <c r="V33" s="43">
        <v>82000</v>
      </c>
      <c r="W33" s="43">
        <v>82000</v>
      </c>
      <c r="X33" s="43">
        <v>82000</v>
      </c>
      <c r="Y33" s="43">
        <v>82000</v>
      </c>
      <c r="Z33" s="43">
        <v>82000</v>
      </c>
      <c r="AA33" s="43">
        <v>82000</v>
      </c>
    </row>
    <row r="34" spans="1:64" s="52" customFormat="1" ht="16" x14ac:dyDescent="0.2">
      <c r="A34" s="50" t="s">
        <v>8</v>
      </c>
      <c r="B34" s="51">
        <f>B32</f>
        <v>2184000</v>
      </c>
      <c r="C34" s="51">
        <f>SUM(C33)</f>
        <v>82000</v>
      </c>
      <c r="D34" s="51">
        <f t="shared" ref="D34:AA34" si="3">SUM(D33)</f>
        <v>82000</v>
      </c>
      <c r="E34" s="51">
        <f t="shared" si="3"/>
        <v>82000</v>
      </c>
      <c r="F34" s="51">
        <f t="shared" si="3"/>
        <v>82000</v>
      </c>
      <c r="G34" s="51">
        <f t="shared" si="3"/>
        <v>82000</v>
      </c>
      <c r="H34" s="51">
        <f t="shared" si="3"/>
        <v>82000</v>
      </c>
      <c r="I34" s="51">
        <f t="shared" si="3"/>
        <v>82000</v>
      </c>
      <c r="J34" s="51">
        <f t="shared" si="3"/>
        <v>82000</v>
      </c>
      <c r="K34" s="51">
        <f t="shared" si="3"/>
        <v>82000</v>
      </c>
      <c r="L34" s="51">
        <f t="shared" si="3"/>
        <v>82000</v>
      </c>
      <c r="M34" s="51">
        <f t="shared" si="3"/>
        <v>82000</v>
      </c>
      <c r="N34" s="51">
        <f t="shared" si="3"/>
        <v>82000</v>
      </c>
      <c r="O34" s="51">
        <f t="shared" si="3"/>
        <v>82000</v>
      </c>
      <c r="P34" s="51">
        <f t="shared" si="3"/>
        <v>82000</v>
      </c>
      <c r="Q34" s="51">
        <f t="shared" si="3"/>
        <v>82000</v>
      </c>
      <c r="R34" s="51">
        <f t="shared" si="3"/>
        <v>82000</v>
      </c>
      <c r="S34" s="51">
        <f t="shared" si="3"/>
        <v>82000</v>
      </c>
      <c r="T34" s="51">
        <f t="shared" si="3"/>
        <v>82000</v>
      </c>
      <c r="U34" s="51">
        <f t="shared" si="3"/>
        <v>82000</v>
      </c>
      <c r="V34" s="51">
        <f t="shared" si="3"/>
        <v>82000</v>
      </c>
      <c r="W34" s="51">
        <f t="shared" si="3"/>
        <v>82000</v>
      </c>
      <c r="X34" s="51">
        <f t="shared" si="3"/>
        <v>82000</v>
      </c>
      <c r="Y34" s="51">
        <f t="shared" si="3"/>
        <v>82000</v>
      </c>
      <c r="Z34" s="51">
        <f t="shared" si="3"/>
        <v>82000</v>
      </c>
      <c r="AA34" s="51">
        <f t="shared" si="3"/>
        <v>82000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</row>
    <row r="35" spans="1:64" ht="16" x14ac:dyDescent="0.2">
      <c r="A35" s="49" t="s">
        <v>30</v>
      </c>
      <c r="B35" s="53"/>
      <c r="C35" s="43">
        <v>426024</v>
      </c>
      <c r="D35" s="43">
        <v>426024</v>
      </c>
      <c r="E35" s="43">
        <v>426024</v>
      </c>
      <c r="F35" s="43">
        <v>426024</v>
      </c>
      <c r="G35" s="43">
        <v>426024</v>
      </c>
      <c r="H35" s="43">
        <v>426024</v>
      </c>
      <c r="I35" s="43">
        <v>426024</v>
      </c>
      <c r="J35" s="43">
        <v>426024</v>
      </c>
      <c r="K35" s="43">
        <v>426024</v>
      </c>
      <c r="L35" s="43">
        <v>426024</v>
      </c>
      <c r="M35" s="43">
        <v>426024</v>
      </c>
      <c r="N35" s="43">
        <v>426024</v>
      </c>
      <c r="O35" s="43">
        <v>426024</v>
      </c>
      <c r="P35" s="43">
        <v>426024</v>
      </c>
      <c r="Q35" s="43">
        <v>426024</v>
      </c>
      <c r="R35" s="43">
        <v>426024</v>
      </c>
      <c r="S35" s="43">
        <v>426024</v>
      </c>
      <c r="T35" s="43">
        <v>426024</v>
      </c>
      <c r="U35" s="43">
        <v>426024</v>
      </c>
      <c r="V35" s="43">
        <v>426024</v>
      </c>
      <c r="W35" s="43">
        <v>426024</v>
      </c>
      <c r="X35" s="43">
        <v>426024</v>
      </c>
      <c r="Y35" s="43">
        <v>426024</v>
      </c>
      <c r="Z35" s="43">
        <v>426024</v>
      </c>
      <c r="AA35" s="43">
        <v>426024</v>
      </c>
    </row>
    <row r="36" spans="1:64" ht="16" x14ac:dyDescent="0.2">
      <c r="A36" s="49" t="s">
        <v>106</v>
      </c>
      <c r="B36" s="53"/>
      <c r="C36" s="43">
        <f t="shared" ref="C36:AA36" si="4">$F$28*$E$9</f>
        <v>247350</v>
      </c>
      <c r="D36" s="43">
        <f t="shared" si="4"/>
        <v>247350</v>
      </c>
      <c r="E36" s="43">
        <f t="shared" si="4"/>
        <v>247350</v>
      </c>
      <c r="F36" s="43">
        <f t="shared" si="4"/>
        <v>247350</v>
      </c>
      <c r="G36" s="43">
        <f t="shared" si="4"/>
        <v>247350</v>
      </c>
      <c r="H36" s="43">
        <f t="shared" si="4"/>
        <v>247350</v>
      </c>
      <c r="I36" s="43">
        <f t="shared" si="4"/>
        <v>247350</v>
      </c>
      <c r="J36" s="43">
        <f t="shared" si="4"/>
        <v>247350</v>
      </c>
      <c r="K36" s="43">
        <f t="shared" si="4"/>
        <v>247350</v>
      </c>
      <c r="L36" s="43">
        <f t="shared" si="4"/>
        <v>247350</v>
      </c>
      <c r="M36" s="43">
        <f t="shared" si="4"/>
        <v>247350</v>
      </c>
      <c r="N36" s="43">
        <f t="shared" si="4"/>
        <v>247350</v>
      </c>
      <c r="O36" s="43">
        <f t="shared" si="4"/>
        <v>247350</v>
      </c>
      <c r="P36" s="43">
        <f t="shared" si="4"/>
        <v>247350</v>
      </c>
      <c r="Q36" s="43">
        <f t="shared" si="4"/>
        <v>247350</v>
      </c>
      <c r="R36" s="43">
        <f t="shared" si="4"/>
        <v>247350</v>
      </c>
      <c r="S36" s="43">
        <f t="shared" si="4"/>
        <v>247350</v>
      </c>
      <c r="T36" s="43">
        <f t="shared" si="4"/>
        <v>247350</v>
      </c>
      <c r="U36" s="43">
        <f t="shared" si="4"/>
        <v>247350</v>
      </c>
      <c r="V36" s="43">
        <f t="shared" si="4"/>
        <v>247350</v>
      </c>
      <c r="W36" s="43">
        <f t="shared" si="4"/>
        <v>247350</v>
      </c>
      <c r="X36" s="43">
        <f t="shared" si="4"/>
        <v>247350</v>
      </c>
      <c r="Y36" s="43">
        <f t="shared" si="4"/>
        <v>247350</v>
      </c>
      <c r="Z36" s="43">
        <f t="shared" si="4"/>
        <v>247350</v>
      </c>
      <c r="AA36" s="43">
        <f t="shared" si="4"/>
        <v>247350</v>
      </c>
    </row>
    <row r="37" spans="1:64" s="52" customFormat="1" ht="16" x14ac:dyDescent="0.2">
      <c r="A37" s="50" t="s">
        <v>10</v>
      </c>
      <c r="B37" s="96">
        <f t="shared" ref="B37:AA37" si="5">SUM(B35:B36)</f>
        <v>0</v>
      </c>
      <c r="C37" s="96">
        <f t="shared" si="5"/>
        <v>673374</v>
      </c>
      <c r="D37" s="96">
        <f t="shared" si="5"/>
        <v>673374</v>
      </c>
      <c r="E37" s="96">
        <f t="shared" si="5"/>
        <v>673374</v>
      </c>
      <c r="F37" s="96">
        <f t="shared" si="5"/>
        <v>673374</v>
      </c>
      <c r="G37" s="96">
        <f t="shared" si="5"/>
        <v>673374</v>
      </c>
      <c r="H37" s="96">
        <f t="shared" si="5"/>
        <v>673374</v>
      </c>
      <c r="I37" s="96">
        <f t="shared" si="5"/>
        <v>673374</v>
      </c>
      <c r="J37" s="96">
        <f t="shared" si="5"/>
        <v>673374</v>
      </c>
      <c r="K37" s="96">
        <f t="shared" si="5"/>
        <v>673374</v>
      </c>
      <c r="L37" s="96">
        <f t="shared" si="5"/>
        <v>673374</v>
      </c>
      <c r="M37" s="96">
        <f t="shared" si="5"/>
        <v>673374</v>
      </c>
      <c r="N37" s="96">
        <f t="shared" si="5"/>
        <v>673374</v>
      </c>
      <c r="O37" s="96">
        <f t="shared" si="5"/>
        <v>673374</v>
      </c>
      <c r="P37" s="96">
        <f t="shared" si="5"/>
        <v>673374</v>
      </c>
      <c r="Q37" s="96">
        <f t="shared" si="5"/>
        <v>673374</v>
      </c>
      <c r="R37" s="96">
        <f t="shared" si="5"/>
        <v>673374</v>
      </c>
      <c r="S37" s="96">
        <f t="shared" si="5"/>
        <v>673374</v>
      </c>
      <c r="T37" s="96">
        <f t="shared" si="5"/>
        <v>673374</v>
      </c>
      <c r="U37" s="96">
        <f t="shared" si="5"/>
        <v>673374</v>
      </c>
      <c r="V37" s="96">
        <f t="shared" si="5"/>
        <v>673374</v>
      </c>
      <c r="W37" s="96">
        <f t="shared" si="5"/>
        <v>673374</v>
      </c>
      <c r="X37" s="96">
        <f t="shared" si="5"/>
        <v>673374</v>
      </c>
      <c r="Y37" s="96">
        <f t="shared" si="5"/>
        <v>673374</v>
      </c>
      <c r="Z37" s="96">
        <f t="shared" si="5"/>
        <v>673374</v>
      </c>
      <c r="AA37" s="96">
        <f t="shared" si="5"/>
        <v>673374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</row>
    <row r="38" spans="1:64" s="59" customFormat="1" ht="16" x14ac:dyDescent="0.2">
      <c r="A38" s="57" t="s">
        <v>11</v>
      </c>
      <c r="B38" s="58">
        <f t="shared" ref="B38:AA38" si="6">B37-B34</f>
        <v>-2184000</v>
      </c>
      <c r="C38" s="58">
        <f t="shared" si="6"/>
        <v>591374</v>
      </c>
      <c r="D38" s="58">
        <f t="shared" si="6"/>
        <v>591374</v>
      </c>
      <c r="E38" s="58">
        <f t="shared" si="6"/>
        <v>591374</v>
      </c>
      <c r="F38" s="58">
        <f t="shared" si="6"/>
        <v>591374</v>
      </c>
      <c r="G38" s="58">
        <f t="shared" si="6"/>
        <v>591374</v>
      </c>
      <c r="H38" s="58">
        <f t="shared" si="6"/>
        <v>591374</v>
      </c>
      <c r="I38" s="58">
        <f t="shared" si="6"/>
        <v>591374</v>
      </c>
      <c r="J38" s="58">
        <f t="shared" si="6"/>
        <v>591374</v>
      </c>
      <c r="K38" s="58">
        <f t="shared" si="6"/>
        <v>591374</v>
      </c>
      <c r="L38" s="58">
        <f t="shared" si="6"/>
        <v>591374</v>
      </c>
      <c r="M38" s="58">
        <f t="shared" si="6"/>
        <v>591374</v>
      </c>
      <c r="N38" s="58">
        <f t="shared" si="6"/>
        <v>591374</v>
      </c>
      <c r="O38" s="58">
        <f t="shared" si="6"/>
        <v>591374</v>
      </c>
      <c r="P38" s="58">
        <f t="shared" si="6"/>
        <v>591374</v>
      </c>
      <c r="Q38" s="58">
        <f t="shared" si="6"/>
        <v>591374</v>
      </c>
      <c r="R38" s="58">
        <f t="shared" si="6"/>
        <v>591374</v>
      </c>
      <c r="S38" s="58">
        <f t="shared" si="6"/>
        <v>591374</v>
      </c>
      <c r="T38" s="58">
        <f t="shared" si="6"/>
        <v>591374</v>
      </c>
      <c r="U38" s="58">
        <f t="shared" si="6"/>
        <v>591374</v>
      </c>
      <c r="V38" s="58">
        <f t="shared" si="6"/>
        <v>591374</v>
      </c>
      <c r="W38" s="58">
        <f t="shared" si="6"/>
        <v>591374</v>
      </c>
      <c r="X38" s="58">
        <f t="shared" si="6"/>
        <v>591374</v>
      </c>
      <c r="Y38" s="58">
        <f t="shared" si="6"/>
        <v>591374</v>
      </c>
      <c r="Z38" s="58">
        <f t="shared" si="6"/>
        <v>591374</v>
      </c>
      <c r="AA38" s="58">
        <f t="shared" si="6"/>
        <v>591374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</row>
    <row r="39" spans="1:64" s="62" customFormat="1" ht="16" x14ac:dyDescent="0.2">
      <c r="A39" s="60" t="s">
        <v>37</v>
      </c>
      <c r="B39" s="61">
        <f t="array" ref="B39">NPV(0.035,C38:AA38)+ B38</f>
        <v>7562739.2104985844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4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</row>
    <row r="40" spans="1:64" ht="16" x14ac:dyDescent="0.2">
      <c r="A40" s="105" t="s">
        <v>38</v>
      </c>
      <c r="B40" s="162">
        <f>IRR(B38:AA38)</f>
        <v>0.27008895836522084</v>
      </c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</row>
    <row r="41" spans="1:64" ht="15.75" customHeight="1" x14ac:dyDescent="0.2">
      <c r="A41" s="64" t="s">
        <v>39</v>
      </c>
      <c r="B41" s="65">
        <f t="array" ref="B41">(NPV(0.035, C37:AA37))/(NPV(0.035,C34:AA34))</f>
        <v>8.2118780487804912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spans="1:64" ht="15.75" customHeight="1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4" spans="1:64" s="87" customFormat="1" ht="15.75" customHeight="1" x14ac:dyDescent="0.25">
      <c r="A44" s="46" t="s">
        <v>95</v>
      </c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</row>
    <row r="45" spans="1:64" ht="15.75" customHeight="1" x14ac:dyDescent="0.2">
      <c r="A45" s="180" t="s">
        <v>35</v>
      </c>
      <c r="B45" s="20"/>
      <c r="C45" s="277" t="s">
        <v>94</v>
      </c>
      <c r="D45" s="277"/>
      <c r="E45" s="277"/>
      <c r="F45" s="179">
        <v>40</v>
      </c>
    </row>
    <row r="46" spans="1:64" ht="15.75" customHeight="1" x14ac:dyDescent="0.2">
      <c r="A46" s="47"/>
    </row>
    <row r="47" spans="1:64" ht="16" x14ac:dyDescent="0.2">
      <c r="A47" s="275" t="s">
        <v>88</v>
      </c>
      <c r="B47" s="276" t="s">
        <v>2</v>
      </c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</row>
    <row r="48" spans="1:64" ht="16" x14ac:dyDescent="0.2">
      <c r="A48" s="275"/>
      <c r="B48" s="183">
        <v>0</v>
      </c>
      <c r="C48" s="183">
        <v>1</v>
      </c>
      <c r="D48" s="183">
        <v>2</v>
      </c>
      <c r="E48" s="183">
        <v>3</v>
      </c>
      <c r="F48" s="183">
        <v>4</v>
      </c>
      <c r="G48" s="183">
        <v>5</v>
      </c>
      <c r="H48" s="183">
        <v>6</v>
      </c>
      <c r="I48" s="183">
        <v>7</v>
      </c>
      <c r="J48" s="183">
        <v>8</v>
      </c>
      <c r="K48" s="183">
        <v>9</v>
      </c>
      <c r="L48" s="183">
        <v>10</v>
      </c>
      <c r="M48" s="183">
        <v>11</v>
      </c>
      <c r="N48" s="183">
        <v>12</v>
      </c>
      <c r="O48" s="183">
        <v>13</v>
      </c>
      <c r="P48" s="183">
        <v>14</v>
      </c>
      <c r="Q48" s="183">
        <v>15</v>
      </c>
      <c r="R48" s="183">
        <v>16</v>
      </c>
      <c r="S48" s="183">
        <v>17</v>
      </c>
      <c r="T48" s="183">
        <v>18</v>
      </c>
      <c r="U48" s="183">
        <v>19</v>
      </c>
      <c r="V48" s="183">
        <v>20</v>
      </c>
      <c r="W48" s="183">
        <v>21</v>
      </c>
      <c r="X48" s="183">
        <v>22</v>
      </c>
      <c r="Y48" s="183">
        <v>23</v>
      </c>
      <c r="Z48" s="183">
        <v>24</v>
      </c>
      <c r="AA48" s="183">
        <v>25</v>
      </c>
    </row>
    <row r="49" spans="1:64" ht="16" x14ac:dyDescent="0.2">
      <c r="A49" s="49" t="s">
        <v>29</v>
      </c>
      <c r="B49" s="43">
        <v>2184000</v>
      </c>
      <c r="C49" s="43">
        <v>0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/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</row>
    <row r="50" spans="1:64" ht="16" x14ac:dyDescent="0.2">
      <c r="A50" s="49" t="s">
        <v>16</v>
      </c>
      <c r="B50" s="43"/>
      <c r="C50" s="43">
        <v>82000</v>
      </c>
      <c r="D50" s="43">
        <v>82000</v>
      </c>
      <c r="E50" s="43">
        <v>82000</v>
      </c>
      <c r="F50" s="43">
        <v>82000</v>
      </c>
      <c r="G50" s="43">
        <v>82000</v>
      </c>
      <c r="H50" s="43">
        <v>82000</v>
      </c>
      <c r="I50" s="43">
        <v>82000</v>
      </c>
      <c r="J50" s="43">
        <v>82000</v>
      </c>
      <c r="K50" s="43">
        <v>82000</v>
      </c>
      <c r="L50" s="43">
        <v>82000</v>
      </c>
      <c r="M50" s="43">
        <v>82000</v>
      </c>
      <c r="N50" s="43">
        <v>82000</v>
      </c>
      <c r="O50" s="43">
        <v>82000</v>
      </c>
      <c r="P50" s="43">
        <v>82000</v>
      </c>
      <c r="Q50" s="43">
        <v>82000</v>
      </c>
      <c r="R50" s="43">
        <v>82000</v>
      </c>
      <c r="S50" s="43">
        <v>82000</v>
      </c>
      <c r="T50" s="43">
        <v>82000</v>
      </c>
      <c r="U50" s="43">
        <v>82000</v>
      </c>
      <c r="V50" s="43">
        <v>82000</v>
      </c>
      <c r="W50" s="43">
        <v>82000</v>
      </c>
      <c r="X50" s="43">
        <v>82000</v>
      </c>
      <c r="Y50" s="43">
        <v>82000</v>
      </c>
      <c r="Z50" s="43">
        <v>82000</v>
      </c>
      <c r="AA50" s="43">
        <v>82000</v>
      </c>
    </row>
    <row r="51" spans="1:64" s="52" customFormat="1" ht="16" x14ac:dyDescent="0.2">
      <c r="A51" s="50" t="s">
        <v>8</v>
      </c>
      <c r="B51" s="51">
        <f>B49</f>
        <v>2184000</v>
      </c>
      <c r="C51" s="51">
        <f>SUM(C50)</f>
        <v>82000</v>
      </c>
      <c r="D51" s="51">
        <f t="shared" ref="D51:AA51" si="7">SUM(D50)</f>
        <v>82000</v>
      </c>
      <c r="E51" s="51">
        <f t="shared" si="7"/>
        <v>82000</v>
      </c>
      <c r="F51" s="51">
        <f t="shared" si="7"/>
        <v>82000</v>
      </c>
      <c r="G51" s="51">
        <f t="shared" si="7"/>
        <v>82000</v>
      </c>
      <c r="H51" s="51">
        <f t="shared" si="7"/>
        <v>82000</v>
      </c>
      <c r="I51" s="51">
        <f t="shared" si="7"/>
        <v>82000</v>
      </c>
      <c r="J51" s="51">
        <f t="shared" si="7"/>
        <v>82000</v>
      </c>
      <c r="K51" s="51">
        <f t="shared" si="7"/>
        <v>82000</v>
      </c>
      <c r="L51" s="51">
        <f t="shared" si="7"/>
        <v>82000</v>
      </c>
      <c r="M51" s="51">
        <f t="shared" si="7"/>
        <v>82000</v>
      </c>
      <c r="N51" s="51">
        <f t="shared" si="7"/>
        <v>82000</v>
      </c>
      <c r="O51" s="51">
        <f t="shared" si="7"/>
        <v>82000</v>
      </c>
      <c r="P51" s="51">
        <f t="shared" si="7"/>
        <v>82000</v>
      </c>
      <c r="Q51" s="51">
        <f t="shared" si="7"/>
        <v>82000</v>
      </c>
      <c r="R51" s="51">
        <f t="shared" si="7"/>
        <v>82000</v>
      </c>
      <c r="S51" s="51">
        <f t="shared" si="7"/>
        <v>82000</v>
      </c>
      <c r="T51" s="51">
        <f t="shared" si="7"/>
        <v>82000</v>
      </c>
      <c r="U51" s="51">
        <f t="shared" si="7"/>
        <v>82000</v>
      </c>
      <c r="V51" s="51">
        <f t="shared" si="7"/>
        <v>82000</v>
      </c>
      <c r="W51" s="51">
        <f t="shared" si="7"/>
        <v>82000</v>
      </c>
      <c r="X51" s="51">
        <f t="shared" si="7"/>
        <v>82000</v>
      </c>
      <c r="Y51" s="51">
        <f t="shared" si="7"/>
        <v>82000</v>
      </c>
      <c r="Z51" s="51">
        <f t="shared" si="7"/>
        <v>82000</v>
      </c>
      <c r="AA51" s="51">
        <f t="shared" si="7"/>
        <v>82000</v>
      </c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</row>
    <row r="52" spans="1:64" ht="16" x14ac:dyDescent="0.2">
      <c r="A52" s="49" t="s">
        <v>30</v>
      </c>
      <c r="B52" s="53"/>
      <c r="C52" s="43">
        <v>426024</v>
      </c>
      <c r="D52" s="43">
        <v>426024</v>
      </c>
      <c r="E52" s="43">
        <v>426024</v>
      </c>
      <c r="F52" s="43">
        <v>426024</v>
      </c>
      <c r="G52" s="43">
        <v>426024</v>
      </c>
      <c r="H52" s="43">
        <v>426024</v>
      </c>
      <c r="I52" s="43">
        <v>426024</v>
      </c>
      <c r="J52" s="43">
        <v>426024</v>
      </c>
      <c r="K52" s="43">
        <v>426024</v>
      </c>
      <c r="L52" s="43">
        <v>426024</v>
      </c>
      <c r="M52" s="43">
        <v>426024</v>
      </c>
      <c r="N52" s="43">
        <v>426024</v>
      </c>
      <c r="O52" s="43">
        <v>426024</v>
      </c>
      <c r="P52" s="43">
        <v>426024</v>
      </c>
      <c r="Q52" s="43">
        <v>426024</v>
      </c>
      <c r="R52" s="43">
        <v>426024</v>
      </c>
      <c r="S52" s="43">
        <v>426024</v>
      </c>
      <c r="T52" s="43">
        <v>426024</v>
      </c>
      <c r="U52" s="43">
        <v>426024</v>
      </c>
      <c r="V52" s="43">
        <v>426024</v>
      </c>
      <c r="W52" s="43">
        <v>426024</v>
      </c>
      <c r="X52" s="43">
        <v>426024</v>
      </c>
      <c r="Y52" s="43">
        <v>426024</v>
      </c>
      <c r="Z52" s="43">
        <v>426024</v>
      </c>
      <c r="AA52" s="43">
        <v>426024</v>
      </c>
    </row>
    <row r="53" spans="1:64" ht="16" x14ac:dyDescent="0.2">
      <c r="A53" s="49" t="s">
        <v>40</v>
      </c>
      <c r="B53" s="53"/>
      <c r="C53" s="43">
        <f t="shared" ref="C53:AA53" si="8">($F$45*$E$9)</f>
        <v>164900</v>
      </c>
      <c r="D53" s="43">
        <f t="shared" si="8"/>
        <v>164900</v>
      </c>
      <c r="E53" s="43">
        <f t="shared" si="8"/>
        <v>164900</v>
      </c>
      <c r="F53" s="43">
        <f t="shared" si="8"/>
        <v>164900</v>
      </c>
      <c r="G53" s="43">
        <f t="shared" si="8"/>
        <v>164900</v>
      </c>
      <c r="H53" s="43">
        <f t="shared" si="8"/>
        <v>164900</v>
      </c>
      <c r="I53" s="43">
        <f t="shared" si="8"/>
        <v>164900</v>
      </c>
      <c r="J53" s="43">
        <f t="shared" si="8"/>
        <v>164900</v>
      </c>
      <c r="K53" s="43">
        <f t="shared" si="8"/>
        <v>164900</v>
      </c>
      <c r="L53" s="43">
        <f t="shared" si="8"/>
        <v>164900</v>
      </c>
      <c r="M53" s="43">
        <f t="shared" si="8"/>
        <v>164900</v>
      </c>
      <c r="N53" s="43">
        <f t="shared" si="8"/>
        <v>164900</v>
      </c>
      <c r="O53" s="43">
        <f t="shared" si="8"/>
        <v>164900</v>
      </c>
      <c r="P53" s="43">
        <f t="shared" si="8"/>
        <v>164900</v>
      </c>
      <c r="Q53" s="43">
        <f t="shared" si="8"/>
        <v>164900</v>
      </c>
      <c r="R53" s="43">
        <f t="shared" si="8"/>
        <v>164900</v>
      </c>
      <c r="S53" s="43">
        <f t="shared" si="8"/>
        <v>164900</v>
      </c>
      <c r="T53" s="43">
        <f t="shared" si="8"/>
        <v>164900</v>
      </c>
      <c r="U53" s="43">
        <f t="shared" si="8"/>
        <v>164900</v>
      </c>
      <c r="V53" s="43">
        <f t="shared" si="8"/>
        <v>164900</v>
      </c>
      <c r="W53" s="43">
        <f t="shared" si="8"/>
        <v>164900</v>
      </c>
      <c r="X53" s="43">
        <f t="shared" si="8"/>
        <v>164900</v>
      </c>
      <c r="Y53" s="43">
        <f t="shared" si="8"/>
        <v>164900</v>
      </c>
      <c r="Z53" s="43">
        <f t="shared" si="8"/>
        <v>164900</v>
      </c>
      <c r="AA53" s="43">
        <f t="shared" si="8"/>
        <v>164900</v>
      </c>
    </row>
    <row r="54" spans="1:64" s="52" customFormat="1" ht="16" x14ac:dyDescent="0.2">
      <c r="A54" s="50" t="s">
        <v>10</v>
      </c>
      <c r="B54" s="96">
        <f t="shared" ref="B54:AA54" si="9">SUM(B52:B53)</f>
        <v>0</v>
      </c>
      <c r="C54" s="96">
        <f t="shared" si="9"/>
        <v>590924</v>
      </c>
      <c r="D54" s="96">
        <f t="shared" si="9"/>
        <v>590924</v>
      </c>
      <c r="E54" s="96">
        <f t="shared" si="9"/>
        <v>590924</v>
      </c>
      <c r="F54" s="96">
        <f t="shared" si="9"/>
        <v>590924</v>
      </c>
      <c r="G54" s="96">
        <f t="shared" si="9"/>
        <v>590924</v>
      </c>
      <c r="H54" s="96">
        <f t="shared" si="9"/>
        <v>590924</v>
      </c>
      <c r="I54" s="96">
        <f t="shared" si="9"/>
        <v>590924</v>
      </c>
      <c r="J54" s="96">
        <f t="shared" si="9"/>
        <v>590924</v>
      </c>
      <c r="K54" s="96">
        <f t="shared" si="9"/>
        <v>590924</v>
      </c>
      <c r="L54" s="96">
        <f t="shared" si="9"/>
        <v>590924</v>
      </c>
      <c r="M54" s="96">
        <f t="shared" si="9"/>
        <v>590924</v>
      </c>
      <c r="N54" s="96">
        <f t="shared" si="9"/>
        <v>590924</v>
      </c>
      <c r="O54" s="96">
        <f t="shared" si="9"/>
        <v>590924</v>
      </c>
      <c r="P54" s="96">
        <f t="shared" si="9"/>
        <v>590924</v>
      </c>
      <c r="Q54" s="96">
        <f t="shared" si="9"/>
        <v>590924</v>
      </c>
      <c r="R54" s="96">
        <f t="shared" si="9"/>
        <v>590924</v>
      </c>
      <c r="S54" s="96">
        <f t="shared" si="9"/>
        <v>590924</v>
      </c>
      <c r="T54" s="96">
        <f t="shared" si="9"/>
        <v>590924</v>
      </c>
      <c r="U54" s="96">
        <f t="shared" si="9"/>
        <v>590924</v>
      </c>
      <c r="V54" s="96">
        <f t="shared" si="9"/>
        <v>590924</v>
      </c>
      <c r="W54" s="96">
        <f t="shared" si="9"/>
        <v>590924</v>
      </c>
      <c r="X54" s="96">
        <f t="shared" si="9"/>
        <v>590924</v>
      </c>
      <c r="Y54" s="96">
        <f t="shared" si="9"/>
        <v>590924</v>
      </c>
      <c r="Z54" s="96">
        <f t="shared" si="9"/>
        <v>590924</v>
      </c>
      <c r="AA54" s="96">
        <f t="shared" si="9"/>
        <v>590924</v>
      </c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</row>
    <row r="55" spans="1:64" s="59" customFormat="1" ht="16" x14ac:dyDescent="0.2">
      <c r="A55" s="57" t="s">
        <v>11</v>
      </c>
      <c r="B55" s="58">
        <f t="shared" ref="B55:AA55" si="10">B54-B51</f>
        <v>-2184000</v>
      </c>
      <c r="C55" s="58">
        <f t="shared" si="10"/>
        <v>508924</v>
      </c>
      <c r="D55" s="58">
        <f t="shared" si="10"/>
        <v>508924</v>
      </c>
      <c r="E55" s="58">
        <f t="shared" si="10"/>
        <v>508924</v>
      </c>
      <c r="F55" s="58">
        <f t="shared" si="10"/>
        <v>508924</v>
      </c>
      <c r="G55" s="58">
        <f t="shared" si="10"/>
        <v>508924</v>
      </c>
      <c r="H55" s="58">
        <f t="shared" si="10"/>
        <v>508924</v>
      </c>
      <c r="I55" s="58">
        <f t="shared" si="10"/>
        <v>508924</v>
      </c>
      <c r="J55" s="58">
        <f t="shared" si="10"/>
        <v>508924</v>
      </c>
      <c r="K55" s="58">
        <f t="shared" si="10"/>
        <v>508924</v>
      </c>
      <c r="L55" s="58">
        <f t="shared" si="10"/>
        <v>508924</v>
      </c>
      <c r="M55" s="58">
        <f t="shared" si="10"/>
        <v>508924</v>
      </c>
      <c r="N55" s="58">
        <f t="shared" si="10"/>
        <v>508924</v>
      </c>
      <c r="O55" s="58">
        <f t="shared" si="10"/>
        <v>508924</v>
      </c>
      <c r="P55" s="58">
        <f t="shared" si="10"/>
        <v>508924</v>
      </c>
      <c r="Q55" s="58">
        <f t="shared" si="10"/>
        <v>508924</v>
      </c>
      <c r="R55" s="58">
        <f t="shared" si="10"/>
        <v>508924</v>
      </c>
      <c r="S55" s="58">
        <f t="shared" si="10"/>
        <v>508924</v>
      </c>
      <c r="T55" s="58">
        <f t="shared" si="10"/>
        <v>508924</v>
      </c>
      <c r="U55" s="58">
        <f t="shared" si="10"/>
        <v>508924</v>
      </c>
      <c r="V55" s="58">
        <f t="shared" si="10"/>
        <v>508924</v>
      </c>
      <c r="W55" s="58">
        <f t="shared" si="10"/>
        <v>508924</v>
      </c>
      <c r="X55" s="58">
        <f t="shared" si="10"/>
        <v>508924</v>
      </c>
      <c r="Y55" s="58">
        <f t="shared" si="10"/>
        <v>508924</v>
      </c>
      <c r="Z55" s="58">
        <f t="shared" si="10"/>
        <v>508924</v>
      </c>
      <c r="AA55" s="58">
        <f t="shared" si="10"/>
        <v>508924</v>
      </c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</row>
    <row r="56" spans="1:64" ht="16" x14ac:dyDescent="0.2">
      <c r="A56" s="60" t="s">
        <v>37</v>
      </c>
      <c r="B56" s="93">
        <f t="array" ref="B56">NPV(0.035,C55:AA55)+ B55</f>
        <v>6203838.3323645992</v>
      </c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4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spans="1:64" ht="16" x14ac:dyDescent="0.2">
      <c r="A57" s="105" t="s">
        <v>38</v>
      </c>
      <c r="B57" s="162">
        <f>IRR(B55:AA55)</f>
        <v>0.23175231162070209</v>
      </c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</row>
    <row r="58" spans="1:64" ht="16" x14ac:dyDescent="0.2">
      <c r="A58" s="64" t="s">
        <v>39</v>
      </c>
      <c r="B58" s="94">
        <f t="array" ref="B58">(NPV(0.035, C54:AA54))/(NPV(0.035,C51:AA51))</f>
        <v>7.2063902439024412</v>
      </c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61" spans="1:64" ht="15.75" customHeight="1" x14ac:dyDescent="0.2">
      <c r="A61" s="180" t="s">
        <v>35</v>
      </c>
      <c r="B61" s="20"/>
      <c r="C61" s="277" t="s">
        <v>96</v>
      </c>
      <c r="D61" s="277"/>
      <c r="E61" s="277"/>
      <c r="F61" s="179">
        <v>80</v>
      </c>
    </row>
    <row r="62" spans="1:64" s="45" customFormat="1" ht="15.75" customHeight="1" x14ac:dyDescent="0.2">
      <c r="A62" s="48"/>
      <c r="B62" s="72"/>
      <c r="C62" s="98"/>
      <c r="D62" s="98"/>
      <c r="E62" s="98"/>
      <c r="F62" s="72"/>
    </row>
    <row r="63" spans="1:64" ht="16" x14ac:dyDescent="0.2">
      <c r="A63" s="275" t="s">
        <v>88</v>
      </c>
      <c r="B63" s="276" t="s">
        <v>2</v>
      </c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</row>
    <row r="64" spans="1:64" ht="16" x14ac:dyDescent="0.2">
      <c r="A64" s="275"/>
      <c r="B64" s="183">
        <v>0</v>
      </c>
      <c r="C64" s="183">
        <v>1</v>
      </c>
      <c r="D64" s="183">
        <v>2</v>
      </c>
      <c r="E64" s="183">
        <v>3</v>
      </c>
      <c r="F64" s="183">
        <v>4</v>
      </c>
      <c r="G64" s="183">
        <v>5</v>
      </c>
      <c r="H64" s="183">
        <v>6</v>
      </c>
      <c r="I64" s="183">
        <v>7</v>
      </c>
      <c r="J64" s="183">
        <v>8</v>
      </c>
      <c r="K64" s="183">
        <v>9</v>
      </c>
      <c r="L64" s="183">
        <v>10</v>
      </c>
      <c r="M64" s="183">
        <v>11</v>
      </c>
      <c r="N64" s="183">
        <v>12</v>
      </c>
      <c r="O64" s="183">
        <v>13</v>
      </c>
      <c r="P64" s="183">
        <v>14</v>
      </c>
      <c r="Q64" s="183">
        <v>15</v>
      </c>
      <c r="R64" s="183">
        <v>16</v>
      </c>
      <c r="S64" s="183">
        <v>17</v>
      </c>
      <c r="T64" s="183">
        <v>18</v>
      </c>
      <c r="U64" s="183">
        <v>19</v>
      </c>
      <c r="V64" s="183">
        <v>20</v>
      </c>
      <c r="W64" s="183">
        <v>21</v>
      </c>
      <c r="X64" s="183">
        <v>22</v>
      </c>
      <c r="Y64" s="183">
        <v>23</v>
      </c>
      <c r="Z64" s="183">
        <v>24</v>
      </c>
      <c r="AA64" s="183">
        <v>25</v>
      </c>
    </row>
    <row r="65" spans="1:64" ht="16" x14ac:dyDescent="0.2">
      <c r="A65" s="49" t="s">
        <v>29</v>
      </c>
      <c r="B65" s="43">
        <v>2184000</v>
      </c>
      <c r="C65" s="43">
        <v>0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/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72"/>
    </row>
    <row r="66" spans="1:64" ht="16" x14ac:dyDescent="0.2">
      <c r="A66" s="49" t="s">
        <v>16</v>
      </c>
      <c r="B66" s="43"/>
      <c r="C66" s="43">
        <v>82000</v>
      </c>
      <c r="D66" s="43">
        <v>82000</v>
      </c>
      <c r="E66" s="43">
        <v>82000</v>
      </c>
      <c r="F66" s="43">
        <v>82000</v>
      </c>
      <c r="G66" s="43">
        <v>82000</v>
      </c>
      <c r="H66" s="43">
        <v>82000</v>
      </c>
      <c r="I66" s="43">
        <v>82000</v>
      </c>
      <c r="J66" s="43">
        <v>82000</v>
      </c>
      <c r="K66" s="43">
        <v>82000</v>
      </c>
      <c r="L66" s="43">
        <v>82000</v>
      </c>
      <c r="M66" s="43">
        <v>82000</v>
      </c>
      <c r="N66" s="43">
        <v>82000</v>
      </c>
      <c r="O66" s="43">
        <v>82000</v>
      </c>
      <c r="P66" s="43">
        <v>82000</v>
      </c>
      <c r="Q66" s="43">
        <v>82000</v>
      </c>
      <c r="R66" s="43">
        <v>82000</v>
      </c>
      <c r="S66" s="43">
        <v>82000</v>
      </c>
      <c r="T66" s="43">
        <v>82000</v>
      </c>
      <c r="U66" s="43">
        <v>82000</v>
      </c>
      <c r="V66" s="43">
        <v>82000</v>
      </c>
      <c r="W66" s="43">
        <v>82000</v>
      </c>
      <c r="X66" s="43">
        <v>82000</v>
      </c>
      <c r="Y66" s="43">
        <v>82000</v>
      </c>
      <c r="Z66" s="43">
        <v>82000</v>
      </c>
      <c r="AA66" s="43">
        <v>82000</v>
      </c>
      <c r="AB66" s="72"/>
    </row>
    <row r="67" spans="1:64" s="52" customFormat="1" ht="16" x14ac:dyDescent="0.2">
      <c r="A67" s="50" t="s">
        <v>8</v>
      </c>
      <c r="B67" s="51">
        <f>B65</f>
        <v>2184000</v>
      </c>
      <c r="C67" s="51">
        <f>SUM(C66)</f>
        <v>82000</v>
      </c>
      <c r="D67" s="51">
        <f t="shared" ref="D67:AA67" si="11">SUM(D66)</f>
        <v>82000</v>
      </c>
      <c r="E67" s="51">
        <f t="shared" si="11"/>
        <v>82000</v>
      </c>
      <c r="F67" s="51">
        <f t="shared" si="11"/>
        <v>82000</v>
      </c>
      <c r="G67" s="51">
        <f t="shared" si="11"/>
        <v>82000</v>
      </c>
      <c r="H67" s="51">
        <f t="shared" si="11"/>
        <v>82000</v>
      </c>
      <c r="I67" s="51">
        <f t="shared" si="11"/>
        <v>82000</v>
      </c>
      <c r="J67" s="51">
        <f t="shared" si="11"/>
        <v>82000</v>
      </c>
      <c r="K67" s="51">
        <f t="shared" si="11"/>
        <v>82000</v>
      </c>
      <c r="L67" s="51">
        <f t="shared" si="11"/>
        <v>82000</v>
      </c>
      <c r="M67" s="51">
        <f t="shared" si="11"/>
        <v>82000</v>
      </c>
      <c r="N67" s="51">
        <f t="shared" si="11"/>
        <v>82000</v>
      </c>
      <c r="O67" s="51">
        <f t="shared" si="11"/>
        <v>82000</v>
      </c>
      <c r="P67" s="51">
        <f t="shared" si="11"/>
        <v>82000</v>
      </c>
      <c r="Q67" s="51">
        <f t="shared" si="11"/>
        <v>82000</v>
      </c>
      <c r="R67" s="51">
        <f t="shared" si="11"/>
        <v>82000</v>
      </c>
      <c r="S67" s="51">
        <f t="shared" si="11"/>
        <v>82000</v>
      </c>
      <c r="T67" s="51">
        <f t="shared" si="11"/>
        <v>82000</v>
      </c>
      <c r="U67" s="51">
        <f t="shared" si="11"/>
        <v>82000</v>
      </c>
      <c r="V67" s="51">
        <f t="shared" si="11"/>
        <v>82000</v>
      </c>
      <c r="W67" s="51">
        <f t="shared" si="11"/>
        <v>82000</v>
      </c>
      <c r="X67" s="51">
        <f t="shared" si="11"/>
        <v>82000</v>
      </c>
      <c r="Y67" s="51">
        <f t="shared" si="11"/>
        <v>82000</v>
      </c>
      <c r="Z67" s="51">
        <f t="shared" si="11"/>
        <v>82000</v>
      </c>
      <c r="AA67" s="51">
        <f t="shared" si="11"/>
        <v>82000</v>
      </c>
      <c r="AB67" s="72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</row>
    <row r="68" spans="1:64" ht="16" x14ac:dyDescent="0.2">
      <c r="A68" s="49" t="s">
        <v>30</v>
      </c>
      <c r="B68" s="53"/>
      <c r="C68" s="43">
        <v>426024</v>
      </c>
      <c r="D68" s="43">
        <v>426024</v>
      </c>
      <c r="E68" s="43">
        <v>426024</v>
      </c>
      <c r="F68" s="43">
        <v>426024</v>
      </c>
      <c r="G68" s="43">
        <v>426024</v>
      </c>
      <c r="H68" s="43">
        <v>426024</v>
      </c>
      <c r="I68" s="43">
        <v>426024</v>
      </c>
      <c r="J68" s="43">
        <v>426024</v>
      </c>
      <c r="K68" s="43">
        <v>426024</v>
      </c>
      <c r="L68" s="43">
        <v>426024</v>
      </c>
      <c r="M68" s="43">
        <v>426024</v>
      </c>
      <c r="N68" s="43">
        <v>426024</v>
      </c>
      <c r="O68" s="43">
        <v>426024</v>
      </c>
      <c r="P68" s="43">
        <v>426024</v>
      </c>
      <c r="Q68" s="43">
        <v>426024</v>
      </c>
      <c r="R68" s="43">
        <v>426024</v>
      </c>
      <c r="S68" s="43">
        <v>426024</v>
      </c>
      <c r="T68" s="43">
        <v>426024</v>
      </c>
      <c r="U68" s="43">
        <v>426024</v>
      </c>
      <c r="V68" s="43">
        <v>426024</v>
      </c>
      <c r="W68" s="43">
        <v>426024</v>
      </c>
      <c r="X68" s="43">
        <v>426024</v>
      </c>
      <c r="Y68" s="43">
        <v>426024</v>
      </c>
      <c r="Z68" s="43">
        <v>426024</v>
      </c>
      <c r="AA68" s="43">
        <v>426024</v>
      </c>
      <c r="AB68" s="72"/>
    </row>
    <row r="69" spans="1:64" ht="16" x14ac:dyDescent="0.2">
      <c r="A69" s="49" t="s">
        <v>41</v>
      </c>
      <c r="B69" s="53"/>
      <c r="C69" s="43">
        <f>$E$9*$F$61</f>
        <v>329800</v>
      </c>
      <c r="D69" s="43">
        <f t="shared" ref="D69:AA69" si="12">$E$9*$F$61</f>
        <v>329800</v>
      </c>
      <c r="E69" s="43">
        <f t="shared" si="12"/>
        <v>329800</v>
      </c>
      <c r="F69" s="43">
        <f t="shared" si="12"/>
        <v>329800</v>
      </c>
      <c r="G69" s="43">
        <f t="shared" si="12"/>
        <v>329800</v>
      </c>
      <c r="H69" s="43">
        <f t="shared" si="12"/>
        <v>329800</v>
      </c>
      <c r="I69" s="43">
        <f t="shared" si="12"/>
        <v>329800</v>
      </c>
      <c r="J69" s="43">
        <f t="shared" si="12"/>
        <v>329800</v>
      </c>
      <c r="K69" s="43">
        <f t="shared" si="12"/>
        <v>329800</v>
      </c>
      <c r="L69" s="43">
        <f t="shared" si="12"/>
        <v>329800</v>
      </c>
      <c r="M69" s="43">
        <f t="shared" si="12"/>
        <v>329800</v>
      </c>
      <c r="N69" s="43">
        <f t="shared" si="12"/>
        <v>329800</v>
      </c>
      <c r="O69" s="43">
        <f t="shared" si="12"/>
        <v>329800</v>
      </c>
      <c r="P69" s="43">
        <f t="shared" si="12"/>
        <v>329800</v>
      </c>
      <c r="Q69" s="43">
        <f t="shared" si="12"/>
        <v>329800</v>
      </c>
      <c r="R69" s="43">
        <f t="shared" si="12"/>
        <v>329800</v>
      </c>
      <c r="S69" s="43">
        <f t="shared" si="12"/>
        <v>329800</v>
      </c>
      <c r="T69" s="43">
        <f t="shared" si="12"/>
        <v>329800</v>
      </c>
      <c r="U69" s="43">
        <f t="shared" si="12"/>
        <v>329800</v>
      </c>
      <c r="V69" s="43">
        <f t="shared" si="12"/>
        <v>329800</v>
      </c>
      <c r="W69" s="43">
        <f t="shared" si="12"/>
        <v>329800</v>
      </c>
      <c r="X69" s="43">
        <f t="shared" si="12"/>
        <v>329800</v>
      </c>
      <c r="Y69" s="43">
        <f t="shared" si="12"/>
        <v>329800</v>
      </c>
      <c r="Z69" s="43">
        <f t="shared" si="12"/>
        <v>329800</v>
      </c>
      <c r="AA69" s="43">
        <f t="shared" si="12"/>
        <v>329800</v>
      </c>
      <c r="AB69" s="72"/>
    </row>
    <row r="70" spans="1:64" s="52" customFormat="1" ht="16" x14ac:dyDescent="0.2">
      <c r="A70" s="50" t="s">
        <v>10</v>
      </c>
      <c r="B70" s="51">
        <f t="shared" ref="B70" si="13">SUM(B68:B69)</f>
        <v>0</v>
      </c>
      <c r="C70" s="51">
        <f>SUM(C68:C69)</f>
        <v>755824</v>
      </c>
      <c r="D70" s="51">
        <f t="shared" ref="D70:AA70" si="14">SUM(D68:D69)</f>
        <v>755824</v>
      </c>
      <c r="E70" s="51">
        <f t="shared" si="14"/>
        <v>755824</v>
      </c>
      <c r="F70" s="51">
        <f t="shared" si="14"/>
        <v>755824</v>
      </c>
      <c r="G70" s="51">
        <f t="shared" si="14"/>
        <v>755824</v>
      </c>
      <c r="H70" s="51">
        <f t="shared" si="14"/>
        <v>755824</v>
      </c>
      <c r="I70" s="51">
        <f t="shared" si="14"/>
        <v>755824</v>
      </c>
      <c r="J70" s="51">
        <f t="shared" si="14"/>
        <v>755824</v>
      </c>
      <c r="K70" s="51">
        <f t="shared" si="14"/>
        <v>755824</v>
      </c>
      <c r="L70" s="51">
        <f t="shared" si="14"/>
        <v>755824</v>
      </c>
      <c r="M70" s="51">
        <f t="shared" si="14"/>
        <v>755824</v>
      </c>
      <c r="N70" s="51">
        <f t="shared" si="14"/>
        <v>755824</v>
      </c>
      <c r="O70" s="51">
        <f t="shared" si="14"/>
        <v>755824</v>
      </c>
      <c r="P70" s="51">
        <f t="shared" si="14"/>
        <v>755824</v>
      </c>
      <c r="Q70" s="51">
        <f t="shared" si="14"/>
        <v>755824</v>
      </c>
      <c r="R70" s="51">
        <f t="shared" si="14"/>
        <v>755824</v>
      </c>
      <c r="S70" s="51">
        <f t="shared" si="14"/>
        <v>755824</v>
      </c>
      <c r="T70" s="51">
        <f t="shared" si="14"/>
        <v>755824</v>
      </c>
      <c r="U70" s="51">
        <f t="shared" si="14"/>
        <v>755824</v>
      </c>
      <c r="V70" s="51">
        <f t="shared" si="14"/>
        <v>755824</v>
      </c>
      <c r="W70" s="51">
        <f t="shared" si="14"/>
        <v>755824</v>
      </c>
      <c r="X70" s="51">
        <f t="shared" si="14"/>
        <v>755824</v>
      </c>
      <c r="Y70" s="51">
        <f t="shared" si="14"/>
        <v>755824</v>
      </c>
      <c r="Z70" s="51">
        <f t="shared" si="14"/>
        <v>755824</v>
      </c>
      <c r="AA70" s="51">
        <f t="shared" si="14"/>
        <v>755824</v>
      </c>
      <c r="AB70" s="72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</row>
    <row r="71" spans="1:64" s="59" customFormat="1" ht="16" x14ac:dyDescent="0.2">
      <c r="A71" s="57" t="s">
        <v>11</v>
      </c>
      <c r="B71" s="58">
        <f t="shared" ref="B71" si="15">B70-B67</f>
        <v>-2184000</v>
      </c>
      <c r="C71" s="58">
        <f>C70-C67</f>
        <v>673824</v>
      </c>
      <c r="D71" s="58">
        <f t="shared" ref="D71:AA71" si="16">D70-D67</f>
        <v>673824</v>
      </c>
      <c r="E71" s="58">
        <f t="shared" si="16"/>
        <v>673824</v>
      </c>
      <c r="F71" s="58">
        <f t="shared" si="16"/>
        <v>673824</v>
      </c>
      <c r="G71" s="58">
        <f t="shared" si="16"/>
        <v>673824</v>
      </c>
      <c r="H71" s="58">
        <f t="shared" si="16"/>
        <v>673824</v>
      </c>
      <c r="I71" s="58">
        <f t="shared" si="16"/>
        <v>673824</v>
      </c>
      <c r="J71" s="58">
        <f t="shared" si="16"/>
        <v>673824</v>
      </c>
      <c r="K71" s="58">
        <f t="shared" si="16"/>
        <v>673824</v>
      </c>
      <c r="L71" s="58">
        <f t="shared" si="16"/>
        <v>673824</v>
      </c>
      <c r="M71" s="58">
        <f t="shared" si="16"/>
        <v>673824</v>
      </c>
      <c r="N71" s="58">
        <f t="shared" si="16"/>
        <v>673824</v>
      </c>
      <c r="O71" s="58">
        <f t="shared" si="16"/>
        <v>673824</v>
      </c>
      <c r="P71" s="58">
        <f t="shared" si="16"/>
        <v>673824</v>
      </c>
      <c r="Q71" s="58">
        <f t="shared" si="16"/>
        <v>673824</v>
      </c>
      <c r="R71" s="58">
        <f t="shared" si="16"/>
        <v>673824</v>
      </c>
      <c r="S71" s="58">
        <f t="shared" si="16"/>
        <v>673824</v>
      </c>
      <c r="T71" s="58">
        <f t="shared" si="16"/>
        <v>673824</v>
      </c>
      <c r="U71" s="58">
        <f t="shared" si="16"/>
        <v>673824</v>
      </c>
      <c r="V71" s="58">
        <f t="shared" si="16"/>
        <v>673824</v>
      </c>
      <c r="W71" s="58">
        <f t="shared" si="16"/>
        <v>673824</v>
      </c>
      <c r="X71" s="58">
        <f t="shared" si="16"/>
        <v>673824</v>
      </c>
      <c r="Y71" s="58">
        <f t="shared" si="16"/>
        <v>673824</v>
      </c>
      <c r="Z71" s="58">
        <f t="shared" si="16"/>
        <v>673824</v>
      </c>
      <c r="AA71" s="58">
        <f t="shared" si="16"/>
        <v>673824</v>
      </c>
      <c r="AB71" s="72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</row>
    <row r="72" spans="1:64" ht="16" x14ac:dyDescent="0.2">
      <c r="A72" s="60" t="s">
        <v>37</v>
      </c>
      <c r="B72" s="100">
        <f t="array" ref="B72">NPV(0.035,C71:AA71)+ B71</f>
        <v>8921640.0886325724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72"/>
    </row>
    <row r="73" spans="1:64" ht="16" x14ac:dyDescent="0.2">
      <c r="A73" s="105" t="s">
        <v>38</v>
      </c>
      <c r="B73" s="165">
        <f>IRR(B71:AA71)</f>
        <v>0.30815351174823546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72"/>
    </row>
    <row r="74" spans="1:64" ht="16" x14ac:dyDescent="0.2">
      <c r="A74" s="64" t="s">
        <v>39</v>
      </c>
      <c r="B74" s="101">
        <f t="array" ref="B74">(NPV(0.035, C70:AA70))/(NPV(0.035,C67:AA67))</f>
        <v>9.2173658536585403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72"/>
    </row>
    <row r="75" spans="1:64" ht="15.75" customHeight="1" x14ac:dyDescent="0.2">
      <c r="A75" s="92"/>
      <c r="B75" s="102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72"/>
    </row>
    <row r="77" spans="1:64" ht="19" x14ac:dyDescent="0.25">
      <c r="A77" s="46" t="s">
        <v>97</v>
      </c>
    </row>
    <row r="78" spans="1:64" ht="19" x14ac:dyDescent="0.25">
      <c r="A78" s="46"/>
    </row>
    <row r="79" spans="1:64" ht="16" x14ac:dyDescent="0.2">
      <c r="A79" s="182" t="s">
        <v>42</v>
      </c>
      <c r="B79" s="67"/>
    </row>
    <row r="80" spans="1:64" s="45" customFormat="1" ht="16" x14ac:dyDescent="0.2">
      <c r="A80" s="80"/>
      <c r="B80" s="109"/>
    </row>
    <row r="81" spans="1:64" ht="16" x14ac:dyDescent="0.2">
      <c r="A81" s="166" t="s">
        <v>34</v>
      </c>
      <c r="B81" s="93">
        <f>NPV(0.035,C21:AA21)+B21</f>
        <v>3486036.5760966251</v>
      </c>
    </row>
    <row r="82" spans="1:64" ht="16" x14ac:dyDescent="0.2">
      <c r="A82" s="140" t="s">
        <v>32</v>
      </c>
      <c r="B82" s="110">
        <f>(300*B16)/NPV(0.035, C21:AA21)</f>
        <v>115.55481013335081</v>
      </c>
    </row>
    <row r="83" spans="1:64" ht="16" x14ac:dyDescent="0.2">
      <c r="B83" s="99"/>
      <c r="D83" s="68"/>
    </row>
    <row r="84" spans="1:64" ht="15.75" customHeight="1" x14ac:dyDescent="0.2">
      <c r="B84" s="99"/>
    </row>
    <row r="85" spans="1:64" ht="16" x14ac:dyDescent="0.2">
      <c r="A85" s="182" t="s">
        <v>43</v>
      </c>
      <c r="B85" s="111"/>
    </row>
    <row r="86" spans="1:64" s="45" customFormat="1" ht="16" x14ac:dyDescent="0.2">
      <c r="A86" s="80"/>
      <c r="B86" s="111"/>
    </row>
    <row r="87" spans="1:64" ht="16" x14ac:dyDescent="0.2">
      <c r="A87" s="167" t="s">
        <v>44</v>
      </c>
      <c r="B87" s="168">
        <f>NPV(0.12,C21:AA21)+B21</f>
        <v>514228.08988889307</v>
      </c>
    </row>
    <row r="88" spans="1:64" ht="16" x14ac:dyDescent="0.2">
      <c r="A88" s="141" t="s">
        <v>32</v>
      </c>
      <c r="B88" s="110">
        <f>(300*B16)/NPV(0.12, C21:AA21)</f>
        <v>242.82602440291831</v>
      </c>
    </row>
    <row r="89" spans="1:64" ht="16" x14ac:dyDescent="0.2">
      <c r="A89" s="92"/>
      <c r="B89" s="112"/>
      <c r="C89" s="92"/>
      <c r="D89" s="107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spans="1:64" ht="16" x14ac:dyDescent="0.2">
      <c r="B90" s="99"/>
      <c r="D90" s="108"/>
    </row>
    <row r="91" spans="1:64" ht="16" x14ac:dyDescent="0.2">
      <c r="A91" s="66" t="s">
        <v>98</v>
      </c>
      <c r="B91" s="99"/>
    </row>
    <row r="92" spans="1:64" ht="16" x14ac:dyDescent="0.2">
      <c r="A92" s="66"/>
      <c r="B92" s="99"/>
    </row>
    <row r="93" spans="1:64" ht="16" x14ac:dyDescent="0.2">
      <c r="A93" s="181" t="s">
        <v>45</v>
      </c>
      <c r="B93" s="99"/>
    </row>
    <row r="94" spans="1:64" s="108" customFormat="1" ht="16" x14ac:dyDescent="0.2">
      <c r="A94" s="142"/>
      <c r="B94" s="113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</row>
    <row r="95" spans="1:64" ht="16" x14ac:dyDescent="0.2">
      <c r="A95" s="166" t="s">
        <v>37</v>
      </c>
      <c r="B95" s="168">
        <f>NPV(0.015,C38:AA38) +B38</f>
        <v>10069039.35282453</v>
      </c>
    </row>
    <row r="96" spans="1:64" ht="16" x14ac:dyDescent="0.2">
      <c r="A96" s="141" t="s">
        <v>39</v>
      </c>
      <c r="B96" s="114">
        <f>(NPV(0.015, C37:AA37))/(NPV(0.015,C34:AA34))</f>
        <v>8.2118780487804877</v>
      </c>
    </row>
    <row r="97" spans="1:64" ht="15.75" customHeight="1" x14ac:dyDescent="0.2">
      <c r="B97" s="99"/>
    </row>
    <row r="98" spans="1:64" ht="16" x14ac:dyDescent="0.2">
      <c r="A98" s="181" t="s">
        <v>46</v>
      </c>
      <c r="B98" s="115"/>
    </row>
    <row r="99" spans="1:64" s="108" customFormat="1" ht="16" x14ac:dyDescent="0.2">
      <c r="A99" s="142"/>
      <c r="B99" s="116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</row>
    <row r="100" spans="1:64" ht="16" x14ac:dyDescent="0.2">
      <c r="A100" s="166" t="s">
        <v>37</v>
      </c>
      <c r="B100" s="168">
        <f t="array" ref="B100">NPV(0.08,C38:AA38)+ B38</f>
        <v>4128785.09375038</v>
      </c>
    </row>
    <row r="101" spans="1:64" ht="16" x14ac:dyDescent="0.2">
      <c r="A101" s="141" t="s">
        <v>39</v>
      </c>
      <c r="B101" s="114">
        <f>(NPV(0.08, C37:AA37))/(NPV(0.08,C34:AA34))</f>
        <v>8.2118780487804841</v>
      </c>
    </row>
    <row r="102" spans="1:64" ht="15.75" customHeight="1" x14ac:dyDescent="0.2">
      <c r="B102" s="99"/>
    </row>
    <row r="105" spans="1:64" ht="16" x14ac:dyDescent="0.2">
      <c r="A105" s="66"/>
    </row>
  </sheetData>
  <mergeCells count="11">
    <mergeCell ref="A63:A64"/>
    <mergeCell ref="B63:AA63"/>
    <mergeCell ref="A47:A48"/>
    <mergeCell ref="C61:E61"/>
    <mergeCell ref="A14:A15"/>
    <mergeCell ref="B14:AA14"/>
    <mergeCell ref="A30:A31"/>
    <mergeCell ref="B30:AA30"/>
    <mergeCell ref="C28:E28"/>
    <mergeCell ref="C45:E45"/>
    <mergeCell ref="B47:AA47"/>
  </mergeCells>
  <conditionalFormatting sqref="D89:D90">
    <cfRule type="notContainsBlanks" dxfId="8" priority="1">
      <formula>LEN(TRIM(D89))&gt;0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H53"/>
  <sheetViews>
    <sheetView showGridLines="0" zoomScale="125" workbookViewId="0">
      <selection activeCell="F39" sqref="F39"/>
    </sheetView>
  </sheetViews>
  <sheetFormatPr baseColWidth="10" defaultColWidth="12.6640625" defaultRowHeight="15.75" customHeight="1" x14ac:dyDescent="0.2"/>
  <cols>
    <col min="1" max="1" width="29.6640625" style="13" customWidth="1"/>
    <col min="2" max="2" width="14.1640625" style="13" customWidth="1"/>
    <col min="3" max="3" width="15" style="13" customWidth="1"/>
    <col min="4" max="5" width="15.1640625" style="13" customWidth="1"/>
    <col min="6" max="6" width="15.83203125" style="13" customWidth="1"/>
    <col min="7" max="27" width="13.33203125" style="13" bestFit="1" customWidth="1"/>
    <col min="28" max="86" width="12.6640625" style="45"/>
    <col min="87" max="16384" width="12.6640625" style="13"/>
  </cols>
  <sheetData>
    <row r="2" spans="1:86" ht="30" customHeight="1" x14ac:dyDescent="0.2">
      <c r="A2" s="35" t="s">
        <v>99</v>
      </c>
    </row>
    <row r="3" spans="1:86" ht="15.75" customHeight="1" x14ac:dyDescent="0.2">
      <c r="A3" s="19" t="s">
        <v>1</v>
      </c>
    </row>
    <row r="4" spans="1:86" ht="15.75" customHeight="1" x14ac:dyDescent="0.2">
      <c r="A4" s="19"/>
    </row>
    <row r="5" spans="1:86" s="151" customFormat="1" ht="15.75" customHeight="1" x14ac:dyDescent="0.25">
      <c r="A5" s="151" t="s">
        <v>91</v>
      </c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152"/>
      <c r="CB5" s="152"/>
      <c r="CC5" s="152"/>
      <c r="CD5" s="152"/>
      <c r="CE5" s="152"/>
      <c r="CF5" s="152"/>
      <c r="CG5" s="152"/>
      <c r="CH5" s="152"/>
    </row>
    <row r="6" spans="1:86" ht="15.75" customHeight="1" x14ac:dyDescent="0.2">
      <c r="A6" s="120"/>
      <c r="B6" s="120" t="s">
        <v>47</v>
      </c>
      <c r="C6" s="121" t="s">
        <v>48</v>
      </c>
    </row>
    <row r="7" spans="1:86" ht="15.75" customHeight="1" x14ac:dyDescent="0.2">
      <c r="A7" s="171" t="s">
        <v>103</v>
      </c>
      <c r="B7" s="144">
        <v>6.5000000000000002E-2</v>
      </c>
      <c r="C7" s="144">
        <f>B7*1000</f>
        <v>65</v>
      </c>
    </row>
    <row r="8" spans="1:86" ht="15.75" customHeight="1" x14ac:dyDescent="0.2">
      <c r="A8" s="137" t="s">
        <v>104</v>
      </c>
      <c r="B8" s="120">
        <v>2.5000000000000001E-3</v>
      </c>
      <c r="C8" s="120">
        <f>B8*1000</f>
        <v>2.5</v>
      </c>
    </row>
    <row r="10" spans="1:86" ht="15.75" customHeight="1" x14ac:dyDescent="0.2">
      <c r="A10" s="77" t="s">
        <v>49</v>
      </c>
      <c r="B10" s="76">
        <f>4850</f>
        <v>4850</v>
      </c>
    </row>
    <row r="11" spans="1:86" ht="15.75" customHeight="1" x14ac:dyDescent="0.2">
      <c r="A11" s="185" t="s">
        <v>100</v>
      </c>
      <c r="B11" s="186">
        <v>3.5000000000000003E-2</v>
      </c>
    </row>
    <row r="13" spans="1:86" ht="15.75" customHeight="1" x14ac:dyDescent="0.2">
      <c r="A13" s="155" t="s">
        <v>50</v>
      </c>
    </row>
    <row r="14" spans="1:86" ht="16" x14ac:dyDescent="0.2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spans="1:86" ht="16" x14ac:dyDescent="0.2">
      <c r="A15" s="275" t="s">
        <v>88</v>
      </c>
      <c r="B15" s="278" t="s">
        <v>2</v>
      </c>
      <c r="C15" s="278"/>
      <c r="D15" s="278"/>
      <c r="E15" s="278"/>
      <c r="F15" s="278"/>
      <c r="G15" s="278"/>
      <c r="H15" s="278"/>
      <c r="I15" s="278"/>
      <c r="J15" s="278"/>
      <c r="K15" s="278"/>
      <c r="L15" s="278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</row>
    <row r="16" spans="1:86" s="171" customFormat="1" ht="16" x14ac:dyDescent="0.2">
      <c r="A16" s="275"/>
      <c r="B16" s="183">
        <v>0</v>
      </c>
      <c r="C16" s="183">
        <v>1</v>
      </c>
      <c r="D16" s="183">
        <v>2</v>
      </c>
      <c r="E16" s="183">
        <v>3</v>
      </c>
      <c r="F16" s="183">
        <v>4</v>
      </c>
      <c r="G16" s="183">
        <v>5</v>
      </c>
      <c r="H16" s="183">
        <v>6</v>
      </c>
      <c r="I16" s="183">
        <v>7</v>
      </c>
      <c r="J16" s="183">
        <v>8</v>
      </c>
      <c r="K16" s="183">
        <v>9</v>
      </c>
      <c r="L16" s="183">
        <v>10</v>
      </c>
      <c r="M16" s="183">
        <v>11</v>
      </c>
      <c r="N16" s="183">
        <v>12</v>
      </c>
      <c r="O16" s="183">
        <v>13</v>
      </c>
      <c r="P16" s="183">
        <v>14</v>
      </c>
      <c r="Q16" s="183">
        <v>15</v>
      </c>
      <c r="R16" s="183">
        <v>16</v>
      </c>
      <c r="S16" s="183">
        <v>17</v>
      </c>
      <c r="T16" s="183">
        <v>18</v>
      </c>
      <c r="U16" s="183">
        <v>19</v>
      </c>
      <c r="V16" s="183">
        <v>20</v>
      </c>
      <c r="W16" s="183">
        <v>21</v>
      </c>
      <c r="X16" s="183">
        <v>22</v>
      </c>
      <c r="Y16" s="183">
        <v>23</v>
      </c>
      <c r="Z16" s="183">
        <v>24</v>
      </c>
      <c r="AA16" s="183">
        <v>25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</row>
    <row r="17" spans="1:86" ht="16" x14ac:dyDescent="0.2">
      <c r="A17" s="49" t="s">
        <v>29</v>
      </c>
      <c r="B17" s="43">
        <v>2184000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/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</row>
    <row r="18" spans="1:86" ht="16" x14ac:dyDescent="0.2">
      <c r="A18" s="49" t="s">
        <v>16</v>
      </c>
      <c r="B18" s="43"/>
      <c r="C18" s="43">
        <v>82000</v>
      </c>
      <c r="D18" s="43">
        <v>82000</v>
      </c>
      <c r="E18" s="43">
        <v>82000</v>
      </c>
      <c r="F18" s="43">
        <v>82000</v>
      </c>
      <c r="G18" s="43">
        <v>82000</v>
      </c>
      <c r="H18" s="43">
        <v>82000</v>
      </c>
      <c r="I18" s="43">
        <v>82000</v>
      </c>
      <c r="J18" s="43">
        <v>82000</v>
      </c>
      <c r="K18" s="43">
        <v>82000</v>
      </c>
      <c r="L18" s="43">
        <v>82000</v>
      </c>
      <c r="M18" s="43">
        <v>82000</v>
      </c>
      <c r="N18" s="43">
        <v>82000</v>
      </c>
      <c r="O18" s="43">
        <v>82000</v>
      </c>
      <c r="P18" s="43">
        <v>82000</v>
      </c>
      <c r="Q18" s="43">
        <v>82000</v>
      </c>
      <c r="R18" s="43">
        <v>82000</v>
      </c>
      <c r="S18" s="43">
        <v>82000</v>
      </c>
      <c r="T18" s="43">
        <v>82000</v>
      </c>
      <c r="U18" s="43">
        <v>82000</v>
      </c>
      <c r="V18" s="43">
        <v>82000</v>
      </c>
      <c r="W18" s="43">
        <v>82000</v>
      </c>
      <c r="X18" s="43">
        <v>82000</v>
      </c>
      <c r="Y18" s="43">
        <v>82000</v>
      </c>
      <c r="Z18" s="43">
        <v>82000</v>
      </c>
      <c r="AA18" s="43">
        <v>82000</v>
      </c>
    </row>
    <row r="19" spans="1:86" ht="16" x14ac:dyDescent="0.2">
      <c r="A19" s="49" t="s">
        <v>51</v>
      </c>
      <c r="B19" s="43"/>
      <c r="C19" s="43">
        <f>$B$10*$C$7</f>
        <v>315250</v>
      </c>
      <c r="D19" s="43">
        <f t="shared" ref="D19:AA19" si="0">$B$10*$C$7</f>
        <v>315250</v>
      </c>
      <c r="E19" s="43">
        <f t="shared" si="0"/>
        <v>315250</v>
      </c>
      <c r="F19" s="43">
        <f t="shared" si="0"/>
        <v>315250</v>
      </c>
      <c r="G19" s="43">
        <f t="shared" si="0"/>
        <v>315250</v>
      </c>
      <c r="H19" s="43">
        <f t="shared" si="0"/>
        <v>315250</v>
      </c>
      <c r="I19" s="43">
        <f t="shared" si="0"/>
        <v>315250</v>
      </c>
      <c r="J19" s="43">
        <f t="shared" si="0"/>
        <v>315250</v>
      </c>
      <c r="K19" s="43">
        <f t="shared" si="0"/>
        <v>315250</v>
      </c>
      <c r="L19" s="43">
        <f t="shared" si="0"/>
        <v>315250</v>
      </c>
      <c r="M19" s="43">
        <f t="shared" si="0"/>
        <v>315250</v>
      </c>
      <c r="N19" s="43">
        <f t="shared" si="0"/>
        <v>315250</v>
      </c>
      <c r="O19" s="43">
        <f t="shared" si="0"/>
        <v>315250</v>
      </c>
      <c r="P19" s="43">
        <f t="shared" si="0"/>
        <v>315250</v>
      </c>
      <c r="Q19" s="43">
        <f t="shared" si="0"/>
        <v>315250</v>
      </c>
      <c r="R19" s="43">
        <f t="shared" si="0"/>
        <v>315250</v>
      </c>
      <c r="S19" s="43">
        <f t="shared" si="0"/>
        <v>315250</v>
      </c>
      <c r="T19" s="43">
        <f t="shared" si="0"/>
        <v>315250</v>
      </c>
      <c r="U19" s="43">
        <f t="shared" si="0"/>
        <v>315250</v>
      </c>
      <c r="V19" s="43">
        <f t="shared" si="0"/>
        <v>315250</v>
      </c>
      <c r="W19" s="43">
        <f t="shared" si="0"/>
        <v>315250</v>
      </c>
      <c r="X19" s="43">
        <f t="shared" si="0"/>
        <v>315250</v>
      </c>
      <c r="Y19" s="43">
        <f t="shared" si="0"/>
        <v>315250</v>
      </c>
      <c r="Z19" s="43">
        <f t="shared" si="0"/>
        <v>315250</v>
      </c>
      <c r="AA19" s="43">
        <f t="shared" si="0"/>
        <v>315250</v>
      </c>
    </row>
    <row r="20" spans="1:86" ht="16" x14ac:dyDescent="0.2">
      <c r="A20" s="49" t="s">
        <v>52</v>
      </c>
      <c r="B20" s="43"/>
      <c r="C20" s="43">
        <f>$B$10*$C$8</f>
        <v>12125</v>
      </c>
      <c r="D20" s="43">
        <f t="shared" ref="D20:AA20" si="1">$B$10*$C$8</f>
        <v>12125</v>
      </c>
      <c r="E20" s="43">
        <f t="shared" si="1"/>
        <v>12125</v>
      </c>
      <c r="F20" s="43">
        <f t="shared" si="1"/>
        <v>12125</v>
      </c>
      <c r="G20" s="43">
        <f t="shared" si="1"/>
        <v>12125</v>
      </c>
      <c r="H20" s="43">
        <f t="shared" si="1"/>
        <v>12125</v>
      </c>
      <c r="I20" s="43">
        <f t="shared" si="1"/>
        <v>12125</v>
      </c>
      <c r="J20" s="43">
        <f t="shared" si="1"/>
        <v>12125</v>
      </c>
      <c r="K20" s="43">
        <f t="shared" si="1"/>
        <v>12125</v>
      </c>
      <c r="L20" s="43">
        <f t="shared" si="1"/>
        <v>12125</v>
      </c>
      <c r="M20" s="43">
        <f t="shared" si="1"/>
        <v>12125</v>
      </c>
      <c r="N20" s="43">
        <f t="shared" si="1"/>
        <v>12125</v>
      </c>
      <c r="O20" s="43">
        <f t="shared" si="1"/>
        <v>12125</v>
      </c>
      <c r="P20" s="43">
        <f t="shared" si="1"/>
        <v>12125</v>
      </c>
      <c r="Q20" s="43">
        <f t="shared" si="1"/>
        <v>12125</v>
      </c>
      <c r="R20" s="43">
        <f t="shared" si="1"/>
        <v>12125</v>
      </c>
      <c r="S20" s="43">
        <f t="shared" si="1"/>
        <v>12125</v>
      </c>
      <c r="T20" s="43">
        <f t="shared" si="1"/>
        <v>12125</v>
      </c>
      <c r="U20" s="43">
        <f t="shared" si="1"/>
        <v>12125</v>
      </c>
      <c r="V20" s="43">
        <f t="shared" si="1"/>
        <v>12125</v>
      </c>
      <c r="W20" s="43">
        <f t="shared" si="1"/>
        <v>12125</v>
      </c>
      <c r="X20" s="43">
        <f t="shared" si="1"/>
        <v>12125</v>
      </c>
      <c r="Y20" s="43">
        <f t="shared" si="1"/>
        <v>12125</v>
      </c>
      <c r="Z20" s="43">
        <f t="shared" si="1"/>
        <v>12125</v>
      </c>
      <c r="AA20" s="43">
        <f t="shared" si="1"/>
        <v>12125</v>
      </c>
    </row>
    <row r="21" spans="1:86" s="52" customFormat="1" ht="16" x14ac:dyDescent="0.2">
      <c r="A21" s="50" t="s">
        <v>53</v>
      </c>
      <c r="B21" s="51">
        <f>B17</f>
        <v>2184000</v>
      </c>
      <c r="C21" s="51">
        <f>SUM(C18:C19)</f>
        <v>397250</v>
      </c>
      <c r="D21" s="51">
        <f t="shared" ref="D21:AA21" si="2">SUM(D18:D19)</f>
        <v>397250</v>
      </c>
      <c r="E21" s="51">
        <f t="shared" si="2"/>
        <v>397250</v>
      </c>
      <c r="F21" s="51">
        <f t="shared" si="2"/>
        <v>397250</v>
      </c>
      <c r="G21" s="51">
        <f t="shared" si="2"/>
        <v>397250</v>
      </c>
      <c r="H21" s="51">
        <f t="shared" si="2"/>
        <v>397250</v>
      </c>
      <c r="I21" s="51">
        <f t="shared" si="2"/>
        <v>397250</v>
      </c>
      <c r="J21" s="51">
        <f t="shared" si="2"/>
        <v>397250</v>
      </c>
      <c r="K21" s="51">
        <f t="shared" si="2"/>
        <v>397250</v>
      </c>
      <c r="L21" s="51">
        <f t="shared" si="2"/>
        <v>397250</v>
      </c>
      <c r="M21" s="51">
        <f t="shared" si="2"/>
        <v>397250</v>
      </c>
      <c r="N21" s="51">
        <f t="shared" si="2"/>
        <v>397250</v>
      </c>
      <c r="O21" s="51">
        <f t="shared" si="2"/>
        <v>397250</v>
      </c>
      <c r="P21" s="51">
        <f t="shared" si="2"/>
        <v>397250</v>
      </c>
      <c r="Q21" s="51">
        <f t="shared" si="2"/>
        <v>397250</v>
      </c>
      <c r="R21" s="51">
        <f t="shared" si="2"/>
        <v>397250</v>
      </c>
      <c r="S21" s="51">
        <f t="shared" si="2"/>
        <v>397250</v>
      </c>
      <c r="T21" s="51">
        <f t="shared" si="2"/>
        <v>397250</v>
      </c>
      <c r="U21" s="51">
        <f t="shared" si="2"/>
        <v>397250</v>
      </c>
      <c r="V21" s="51">
        <f t="shared" si="2"/>
        <v>397250</v>
      </c>
      <c r="W21" s="51">
        <f t="shared" si="2"/>
        <v>397250</v>
      </c>
      <c r="X21" s="51">
        <f t="shared" si="2"/>
        <v>397250</v>
      </c>
      <c r="Y21" s="51">
        <f t="shared" si="2"/>
        <v>397250</v>
      </c>
      <c r="Z21" s="51">
        <f t="shared" si="2"/>
        <v>397250</v>
      </c>
      <c r="AA21" s="51">
        <f t="shared" si="2"/>
        <v>397250</v>
      </c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</row>
    <row r="22" spans="1:86" s="52" customFormat="1" ht="16" x14ac:dyDescent="0.2">
      <c r="A22" s="50" t="s">
        <v>54</v>
      </c>
      <c r="B22" s="51">
        <f>B17</f>
        <v>2184000</v>
      </c>
      <c r="C22" s="51">
        <f>C18+C20</f>
        <v>94125</v>
      </c>
      <c r="D22" s="51">
        <f t="shared" ref="D22:AA22" si="3">D18+D20</f>
        <v>94125</v>
      </c>
      <c r="E22" s="51">
        <f t="shared" si="3"/>
        <v>94125</v>
      </c>
      <c r="F22" s="51">
        <f t="shared" si="3"/>
        <v>94125</v>
      </c>
      <c r="G22" s="51">
        <f t="shared" si="3"/>
        <v>94125</v>
      </c>
      <c r="H22" s="51">
        <f t="shared" si="3"/>
        <v>94125</v>
      </c>
      <c r="I22" s="51">
        <f t="shared" si="3"/>
        <v>94125</v>
      </c>
      <c r="J22" s="51">
        <f t="shared" si="3"/>
        <v>94125</v>
      </c>
      <c r="K22" s="51">
        <f t="shared" si="3"/>
        <v>94125</v>
      </c>
      <c r="L22" s="51">
        <f t="shared" si="3"/>
        <v>94125</v>
      </c>
      <c r="M22" s="51">
        <f t="shared" si="3"/>
        <v>94125</v>
      </c>
      <c r="N22" s="51">
        <f t="shared" si="3"/>
        <v>94125</v>
      </c>
      <c r="O22" s="51">
        <f t="shared" si="3"/>
        <v>94125</v>
      </c>
      <c r="P22" s="51">
        <f t="shared" si="3"/>
        <v>94125</v>
      </c>
      <c r="Q22" s="51">
        <f t="shared" si="3"/>
        <v>94125</v>
      </c>
      <c r="R22" s="51">
        <f t="shared" si="3"/>
        <v>94125</v>
      </c>
      <c r="S22" s="51">
        <f t="shared" si="3"/>
        <v>94125</v>
      </c>
      <c r="T22" s="51">
        <f t="shared" si="3"/>
        <v>94125</v>
      </c>
      <c r="U22" s="51">
        <f t="shared" si="3"/>
        <v>94125</v>
      </c>
      <c r="V22" s="51">
        <f t="shared" si="3"/>
        <v>94125</v>
      </c>
      <c r="W22" s="51">
        <f t="shared" si="3"/>
        <v>94125</v>
      </c>
      <c r="X22" s="51">
        <f t="shared" si="3"/>
        <v>94125</v>
      </c>
      <c r="Y22" s="51">
        <f t="shared" si="3"/>
        <v>94125</v>
      </c>
      <c r="Z22" s="51">
        <f t="shared" si="3"/>
        <v>94125</v>
      </c>
      <c r="AA22" s="51">
        <f t="shared" si="3"/>
        <v>94125</v>
      </c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</row>
    <row r="23" spans="1:86" ht="16" x14ac:dyDescent="0.2">
      <c r="A23" s="49" t="s">
        <v>30</v>
      </c>
      <c r="B23" s="53"/>
      <c r="C23" s="43">
        <v>426024</v>
      </c>
      <c r="D23" s="43">
        <v>426024</v>
      </c>
      <c r="E23" s="43">
        <v>426024</v>
      </c>
      <c r="F23" s="43">
        <v>426024</v>
      </c>
      <c r="G23" s="43">
        <v>426024</v>
      </c>
      <c r="H23" s="43">
        <v>426024</v>
      </c>
      <c r="I23" s="43">
        <v>426024</v>
      </c>
      <c r="J23" s="43">
        <v>426024</v>
      </c>
      <c r="K23" s="43">
        <v>426024</v>
      </c>
      <c r="L23" s="43">
        <v>426024</v>
      </c>
      <c r="M23" s="43">
        <v>426024</v>
      </c>
      <c r="N23" s="43">
        <v>426024</v>
      </c>
      <c r="O23" s="43">
        <v>426024</v>
      </c>
      <c r="P23" s="43">
        <v>426024</v>
      </c>
      <c r="Q23" s="43">
        <v>426024</v>
      </c>
      <c r="R23" s="43">
        <v>426024</v>
      </c>
      <c r="S23" s="43">
        <v>426024</v>
      </c>
      <c r="T23" s="43">
        <v>426024</v>
      </c>
      <c r="U23" s="43">
        <v>426024</v>
      </c>
      <c r="V23" s="43">
        <v>426024</v>
      </c>
      <c r="W23" s="43">
        <v>426024</v>
      </c>
      <c r="X23" s="43">
        <v>426024</v>
      </c>
      <c r="Y23" s="43">
        <v>426024</v>
      </c>
      <c r="Z23" s="43">
        <v>426024</v>
      </c>
      <c r="AA23" s="43">
        <v>426024</v>
      </c>
    </row>
    <row r="24" spans="1:86" s="52" customFormat="1" ht="16" x14ac:dyDescent="0.2">
      <c r="A24" s="50" t="s">
        <v>10</v>
      </c>
      <c r="B24" s="96">
        <f t="shared" ref="B24:AA24" si="4">SUM(B23)</f>
        <v>0</v>
      </c>
      <c r="C24" s="96">
        <f t="shared" si="4"/>
        <v>426024</v>
      </c>
      <c r="D24" s="96">
        <f t="shared" si="4"/>
        <v>426024</v>
      </c>
      <c r="E24" s="96">
        <f t="shared" si="4"/>
        <v>426024</v>
      </c>
      <c r="F24" s="96">
        <f t="shared" si="4"/>
        <v>426024</v>
      </c>
      <c r="G24" s="96">
        <f t="shared" si="4"/>
        <v>426024</v>
      </c>
      <c r="H24" s="96">
        <f t="shared" si="4"/>
        <v>426024</v>
      </c>
      <c r="I24" s="96">
        <f t="shared" si="4"/>
        <v>426024</v>
      </c>
      <c r="J24" s="96">
        <f t="shared" si="4"/>
        <v>426024</v>
      </c>
      <c r="K24" s="96">
        <f t="shared" si="4"/>
        <v>426024</v>
      </c>
      <c r="L24" s="96">
        <f t="shared" si="4"/>
        <v>426024</v>
      </c>
      <c r="M24" s="96">
        <f t="shared" si="4"/>
        <v>426024</v>
      </c>
      <c r="N24" s="96">
        <f t="shared" si="4"/>
        <v>426024</v>
      </c>
      <c r="O24" s="96">
        <f t="shared" si="4"/>
        <v>426024</v>
      </c>
      <c r="P24" s="96">
        <f t="shared" si="4"/>
        <v>426024</v>
      </c>
      <c r="Q24" s="96">
        <f t="shared" si="4"/>
        <v>426024</v>
      </c>
      <c r="R24" s="96">
        <f t="shared" si="4"/>
        <v>426024</v>
      </c>
      <c r="S24" s="96">
        <f t="shared" si="4"/>
        <v>426024</v>
      </c>
      <c r="T24" s="96">
        <f t="shared" si="4"/>
        <v>426024</v>
      </c>
      <c r="U24" s="96">
        <f t="shared" si="4"/>
        <v>426024</v>
      </c>
      <c r="V24" s="96">
        <f t="shared" si="4"/>
        <v>426024</v>
      </c>
      <c r="W24" s="96">
        <f t="shared" si="4"/>
        <v>426024</v>
      </c>
      <c r="X24" s="96">
        <f t="shared" si="4"/>
        <v>426024</v>
      </c>
      <c r="Y24" s="96">
        <f t="shared" si="4"/>
        <v>426024</v>
      </c>
      <c r="Z24" s="96">
        <f t="shared" si="4"/>
        <v>426024</v>
      </c>
      <c r="AA24" s="96">
        <f t="shared" si="4"/>
        <v>426024</v>
      </c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</row>
    <row r="25" spans="1:86" s="59" customFormat="1" ht="16" x14ac:dyDescent="0.2">
      <c r="A25" s="57" t="s">
        <v>55</v>
      </c>
      <c r="B25" s="58">
        <f t="shared" ref="B25:AA25" si="5">B24-B21</f>
        <v>-2184000</v>
      </c>
      <c r="C25" s="58">
        <f t="shared" si="5"/>
        <v>28774</v>
      </c>
      <c r="D25" s="58">
        <f t="shared" si="5"/>
        <v>28774</v>
      </c>
      <c r="E25" s="58">
        <f t="shared" si="5"/>
        <v>28774</v>
      </c>
      <c r="F25" s="58">
        <f t="shared" si="5"/>
        <v>28774</v>
      </c>
      <c r="G25" s="58">
        <f t="shared" si="5"/>
        <v>28774</v>
      </c>
      <c r="H25" s="58">
        <f t="shared" si="5"/>
        <v>28774</v>
      </c>
      <c r="I25" s="58">
        <f t="shared" si="5"/>
        <v>28774</v>
      </c>
      <c r="J25" s="58">
        <f t="shared" si="5"/>
        <v>28774</v>
      </c>
      <c r="K25" s="58">
        <f t="shared" si="5"/>
        <v>28774</v>
      </c>
      <c r="L25" s="58">
        <f t="shared" si="5"/>
        <v>28774</v>
      </c>
      <c r="M25" s="58">
        <f t="shared" si="5"/>
        <v>28774</v>
      </c>
      <c r="N25" s="58">
        <f t="shared" si="5"/>
        <v>28774</v>
      </c>
      <c r="O25" s="58">
        <f t="shared" si="5"/>
        <v>28774</v>
      </c>
      <c r="P25" s="58">
        <f t="shared" si="5"/>
        <v>28774</v>
      </c>
      <c r="Q25" s="58">
        <f t="shared" si="5"/>
        <v>28774</v>
      </c>
      <c r="R25" s="58">
        <f t="shared" si="5"/>
        <v>28774</v>
      </c>
      <c r="S25" s="58">
        <f t="shared" si="5"/>
        <v>28774</v>
      </c>
      <c r="T25" s="58">
        <f t="shared" si="5"/>
        <v>28774</v>
      </c>
      <c r="U25" s="58">
        <f t="shared" si="5"/>
        <v>28774</v>
      </c>
      <c r="V25" s="58">
        <f t="shared" si="5"/>
        <v>28774</v>
      </c>
      <c r="W25" s="58">
        <f t="shared" si="5"/>
        <v>28774</v>
      </c>
      <c r="X25" s="58">
        <f t="shared" si="5"/>
        <v>28774</v>
      </c>
      <c r="Y25" s="58">
        <f t="shared" si="5"/>
        <v>28774</v>
      </c>
      <c r="Z25" s="58">
        <f t="shared" si="5"/>
        <v>28774</v>
      </c>
      <c r="AA25" s="58">
        <f t="shared" si="5"/>
        <v>28774</v>
      </c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</row>
    <row r="26" spans="1:86" s="59" customFormat="1" ht="16" x14ac:dyDescent="0.2">
      <c r="A26" s="57" t="s">
        <v>56</v>
      </c>
      <c r="B26" s="58">
        <f t="shared" ref="B26:AA26" si="6">B24-B22</f>
        <v>-2184000</v>
      </c>
      <c r="C26" s="58">
        <f t="shared" si="6"/>
        <v>331899</v>
      </c>
      <c r="D26" s="58">
        <f t="shared" si="6"/>
        <v>331899</v>
      </c>
      <c r="E26" s="58">
        <f t="shared" si="6"/>
        <v>331899</v>
      </c>
      <c r="F26" s="58">
        <f t="shared" si="6"/>
        <v>331899</v>
      </c>
      <c r="G26" s="58">
        <f t="shared" si="6"/>
        <v>331899</v>
      </c>
      <c r="H26" s="58">
        <f t="shared" si="6"/>
        <v>331899</v>
      </c>
      <c r="I26" s="58">
        <f t="shared" si="6"/>
        <v>331899</v>
      </c>
      <c r="J26" s="58">
        <f t="shared" si="6"/>
        <v>331899</v>
      </c>
      <c r="K26" s="58">
        <f t="shared" si="6"/>
        <v>331899</v>
      </c>
      <c r="L26" s="58">
        <f t="shared" si="6"/>
        <v>331899</v>
      </c>
      <c r="M26" s="58">
        <f t="shared" si="6"/>
        <v>331899</v>
      </c>
      <c r="N26" s="58">
        <f t="shared" si="6"/>
        <v>331899</v>
      </c>
      <c r="O26" s="58">
        <f t="shared" si="6"/>
        <v>331899</v>
      </c>
      <c r="P26" s="58">
        <f t="shared" si="6"/>
        <v>331899</v>
      </c>
      <c r="Q26" s="58">
        <f t="shared" si="6"/>
        <v>331899</v>
      </c>
      <c r="R26" s="58">
        <f t="shared" si="6"/>
        <v>331899</v>
      </c>
      <c r="S26" s="58">
        <f t="shared" si="6"/>
        <v>331899</v>
      </c>
      <c r="T26" s="58">
        <f t="shared" si="6"/>
        <v>331899</v>
      </c>
      <c r="U26" s="58">
        <f t="shared" si="6"/>
        <v>331899</v>
      </c>
      <c r="V26" s="58">
        <f t="shared" si="6"/>
        <v>331899</v>
      </c>
      <c r="W26" s="58">
        <f t="shared" si="6"/>
        <v>331899</v>
      </c>
      <c r="X26" s="58">
        <f t="shared" si="6"/>
        <v>331899</v>
      </c>
      <c r="Y26" s="58">
        <f t="shared" si="6"/>
        <v>331899</v>
      </c>
      <c r="Z26" s="58">
        <f t="shared" si="6"/>
        <v>331899</v>
      </c>
      <c r="AA26" s="58">
        <f t="shared" si="6"/>
        <v>331899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</row>
    <row r="27" spans="1:86" ht="16" x14ac:dyDescent="0.2">
      <c r="A27" s="123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86" ht="16" x14ac:dyDescent="0.2">
      <c r="A28" s="125"/>
      <c r="B28" s="126" t="s">
        <v>57</v>
      </c>
      <c r="C28" s="126" t="s">
        <v>58</v>
      </c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86" ht="16" x14ac:dyDescent="0.2">
      <c r="A29" s="187" t="s">
        <v>37</v>
      </c>
      <c r="B29" s="265">
        <f>NPV(0.035,C25:AA25)+ B25</f>
        <v>-1709760.8991215606</v>
      </c>
      <c r="C29" s="265">
        <f t="array" ref="C29">NPV(0.035,C26:AA26)+B26</f>
        <v>3286198.2116651572</v>
      </c>
      <c r="D29" s="127"/>
      <c r="E29" s="127"/>
      <c r="F29" s="127"/>
      <c r="G29" s="127"/>
      <c r="H29" s="127"/>
      <c r="I29" s="127"/>
      <c r="J29" s="127"/>
      <c r="K29" s="127"/>
      <c r="L29" s="127"/>
      <c r="M29" s="128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</row>
    <row r="30" spans="1:86" ht="16" x14ac:dyDescent="0.2">
      <c r="A30" s="190" t="s">
        <v>38</v>
      </c>
      <c r="B30" s="191">
        <f>IRR(B25:AA25)</f>
        <v>-7.188835193717269E-2</v>
      </c>
      <c r="C30" s="192">
        <f>IRR(B26:AA26)</f>
        <v>0.14704530219100498</v>
      </c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</row>
    <row r="31" spans="1:86" ht="15.75" customHeight="1" x14ac:dyDescent="0.2">
      <c r="A31" s="188" t="s">
        <v>39</v>
      </c>
      <c r="B31" s="189">
        <f t="array" ref="B31">(NPV(0.035, C24:AA24))/(NPV(0.035,C21:AA21))</f>
        <v>1.072432976714915</v>
      </c>
      <c r="C31" s="189">
        <f t="array" ref="C31">(NPV(0.035,C24:AA24))/(NPV(0.035,C22:AA22))</f>
        <v>4.5261513944223104</v>
      </c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</row>
    <row r="32" spans="1:86" s="45" customFormat="1" ht="15.75" customHeight="1" x14ac:dyDescent="0.2">
      <c r="A32" s="134"/>
      <c r="B32" s="135"/>
      <c r="C32" s="135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</row>
    <row r="33" spans="1:86" s="45" customFormat="1" ht="15.75" customHeight="1" x14ac:dyDescent="0.2">
      <c r="A33" s="132"/>
      <c r="B33" s="133"/>
      <c r="C33" s="133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spans="1:86" ht="15.75" customHeight="1" x14ac:dyDescent="0.25">
      <c r="A34" s="151" t="s">
        <v>93</v>
      </c>
      <c r="B34" s="131"/>
      <c r="C34" s="131"/>
    </row>
    <row r="35" spans="1:86" ht="15.75" customHeight="1" x14ac:dyDescent="0.2">
      <c r="A35" s="153" t="s">
        <v>101</v>
      </c>
      <c r="B35" s="131"/>
      <c r="C35" s="131"/>
    </row>
    <row r="36" spans="1:86" ht="15.75" customHeight="1" x14ac:dyDescent="0.2">
      <c r="A36" s="153"/>
      <c r="B36" s="131"/>
      <c r="C36" s="131"/>
    </row>
    <row r="37" spans="1:86" ht="15.75" customHeight="1" x14ac:dyDescent="0.2">
      <c r="A37" s="180" t="s">
        <v>25</v>
      </c>
      <c r="B37" s="180">
        <v>4122.5</v>
      </c>
      <c r="C37" s="154"/>
      <c r="D37" s="277" t="s">
        <v>92</v>
      </c>
      <c r="E37" s="277"/>
      <c r="F37" s="277"/>
      <c r="G37" s="179">
        <v>60</v>
      </c>
    </row>
    <row r="38" spans="1:86" s="45" customFormat="1" ht="15.75" customHeight="1" x14ac:dyDescent="0.2">
      <c r="A38" s="48"/>
      <c r="B38" s="48"/>
      <c r="C38" s="154"/>
      <c r="D38" s="98"/>
      <c r="E38" s="98"/>
      <c r="F38" s="98"/>
      <c r="G38" s="72"/>
    </row>
    <row r="39" spans="1:86" ht="15.75" customHeight="1" x14ac:dyDescent="0.2">
      <c r="A39" s="155" t="s">
        <v>35</v>
      </c>
      <c r="C39" s="47"/>
      <c r="D39" s="47"/>
    </row>
    <row r="40" spans="1:86" ht="16" x14ac:dyDescent="0.2"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86" s="74" customFormat="1" ht="16" x14ac:dyDescent="0.2">
      <c r="A41" s="275" t="s">
        <v>88</v>
      </c>
      <c r="B41" s="276" t="s">
        <v>2</v>
      </c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</row>
    <row r="42" spans="1:86" s="184" customFormat="1" ht="16" x14ac:dyDescent="0.15">
      <c r="A42" s="275"/>
      <c r="B42" s="172">
        <v>0</v>
      </c>
      <c r="C42" s="172">
        <v>1</v>
      </c>
      <c r="D42" s="172">
        <v>2</v>
      </c>
      <c r="E42" s="172">
        <v>3</v>
      </c>
      <c r="F42" s="172">
        <v>4</v>
      </c>
      <c r="G42" s="172">
        <v>5</v>
      </c>
      <c r="H42" s="172">
        <v>6</v>
      </c>
      <c r="I42" s="172">
        <v>7</v>
      </c>
      <c r="J42" s="172">
        <v>8</v>
      </c>
      <c r="K42" s="172">
        <v>9</v>
      </c>
      <c r="L42" s="172">
        <v>10</v>
      </c>
      <c r="M42" s="172">
        <v>11</v>
      </c>
      <c r="N42" s="172">
        <v>12</v>
      </c>
      <c r="O42" s="172">
        <v>13</v>
      </c>
      <c r="P42" s="172">
        <v>14</v>
      </c>
      <c r="Q42" s="172">
        <v>15</v>
      </c>
      <c r="R42" s="172">
        <v>16</v>
      </c>
      <c r="S42" s="172">
        <v>17</v>
      </c>
      <c r="T42" s="172">
        <v>18</v>
      </c>
      <c r="U42" s="172">
        <v>19</v>
      </c>
      <c r="V42" s="172">
        <v>20</v>
      </c>
      <c r="W42" s="172">
        <v>21</v>
      </c>
      <c r="X42" s="172">
        <v>22</v>
      </c>
      <c r="Y42" s="172">
        <v>23</v>
      </c>
      <c r="Z42" s="172">
        <v>24</v>
      </c>
      <c r="AA42" s="172">
        <v>25</v>
      </c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</row>
    <row r="43" spans="1:86" s="197" customFormat="1" ht="16" x14ac:dyDescent="0.15">
      <c r="A43" s="195" t="s">
        <v>29</v>
      </c>
      <c r="B43" s="194">
        <v>2184000</v>
      </c>
      <c r="C43" s="194">
        <v>0</v>
      </c>
      <c r="D43" s="194">
        <v>0</v>
      </c>
      <c r="E43" s="194">
        <v>0</v>
      </c>
      <c r="F43" s="194">
        <v>0</v>
      </c>
      <c r="G43" s="194">
        <v>0</v>
      </c>
      <c r="H43" s="194">
        <v>0</v>
      </c>
      <c r="I43" s="194">
        <v>0</v>
      </c>
      <c r="J43" s="194">
        <v>0</v>
      </c>
      <c r="K43" s="194">
        <v>0</v>
      </c>
      <c r="L43" s="194">
        <v>0</v>
      </c>
      <c r="M43" s="194"/>
      <c r="N43" s="194">
        <v>0</v>
      </c>
      <c r="O43" s="194">
        <v>0</v>
      </c>
      <c r="P43" s="194">
        <v>0</v>
      </c>
      <c r="Q43" s="194">
        <v>0</v>
      </c>
      <c r="R43" s="194">
        <v>0</v>
      </c>
      <c r="S43" s="194">
        <v>0</v>
      </c>
      <c r="T43" s="194">
        <v>0</v>
      </c>
      <c r="U43" s="194">
        <v>0</v>
      </c>
      <c r="V43" s="194">
        <v>0</v>
      </c>
      <c r="W43" s="194">
        <v>0</v>
      </c>
      <c r="X43" s="194">
        <v>0</v>
      </c>
      <c r="Y43" s="194">
        <v>0</v>
      </c>
      <c r="Z43" s="194">
        <v>0</v>
      </c>
      <c r="AA43" s="194">
        <v>0</v>
      </c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</row>
    <row r="44" spans="1:86" ht="16" x14ac:dyDescent="0.2">
      <c r="A44" s="49" t="s">
        <v>16</v>
      </c>
      <c r="B44" s="43"/>
      <c r="C44" s="43">
        <v>82000</v>
      </c>
      <c r="D44" s="43">
        <v>82000</v>
      </c>
      <c r="E44" s="43">
        <v>82000</v>
      </c>
      <c r="F44" s="43">
        <v>82000</v>
      </c>
      <c r="G44" s="43">
        <v>82000</v>
      </c>
      <c r="H44" s="43">
        <v>82000</v>
      </c>
      <c r="I44" s="43">
        <v>82000</v>
      </c>
      <c r="J44" s="43">
        <v>82000</v>
      </c>
      <c r="K44" s="43">
        <v>82000</v>
      </c>
      <c r="L44" s="43">
        <v>82000</v>
      </c>
      <c r="M44" s="43">
        <v>82000</v>
      </c>
      <c r="N44" s="43">
        <v>82000</v>
      </c>
      <c r="O44" s="43">
        <v>82000</v>
      </c>
      <c r="P44" s="43">
        <v>82000</v>
      </c>
      <c r="Q44" s="43">
        <v>82000</v>
      </c>
      <c r="R44" s="43">
        <v>82000</v>
      </c>
      <c r="S44" s="43">
        <v>82000</v>
      </c>
      <c r="T44" s="43">
        <v>82000</v>
      </c>
      <c r="U44" s="43">
        <v>82000</v>
      </c>
      <c r="V44" s="43">
        <v>82000</v>
      </c>
      <c r="W44" s="43">
        <v>82000</v>
      </c>
      <c r="X44" s="43">
        <v>82000</v>
      </c>
      <c r="Y44" s="43">
        <v>82000</v>
      </c>
      <c r="Z44" s="43">
        <v>82000</v>
      </c>
      <c r="AA44" s="43">
        <v>82000</v>
      </c>
    </row>
    <row r="45" spans="1:86" s="52" customFormat="1" ht="16" x14ac:dyDescent="0.2">
      <c r="A45" s="50" t="s">
        <v>8</v>
      </c>
      <c r="B45" s="51">
        <f>B43</f>
        <v>2184000</v>
      </c>
      <c r="C45" s="51">
        <f>SUM(C44)</f>
        <v>82000</v>
      </c>
      <c r="D45" s="51">
        <f t="shared" ref="D45:AA45" si="7">SUM(D44)</f>
        <v>82000</v>
      </c>
      <c r="E45" s="51">
        <f t="shared" si="7"/>
        <v>82000</v>
      </c>
      <c r="F45" s="51">
        <f t="shared" si="7"/>
        <v>82000</v>
      </c>
      <c r="G45" s="51">
        <f t="shared" si="7"/>
        <v>82000</v>
      </c>
      <c r="H45" s="51">
        <f t="shared" si="7"/>
        <v>82000</v>
      </c>
      <c r="I45" s="51">
        <f t="shared" si="7"/>
        <v>82000</v>
      </c>
      <c r="J45" s="51">
        <f t="shared" si="7"/>
        <v>82000</v>
      </c>
      <c r="K45" s="51">
        <f t="shared" si="7"/>
        <v>82000</v>
      </c>
      <c r="L45" s="51">
        <f t="shared" si="7"/>
        <v>82000</v>
      </c>
      <c r="M45" s="51">
        <f t="shared" si="7"/>
        <v>82000</v>
      </c>
      <c r="N45" s="51">
        <f t="shared" si="7"/>
        <v>82000</v>
      </c>
      <c r="O45" s="51">
        <f t="shared" si="7"/>
        <v>82000</v>
      </c>
      <c r="P45" s="51">
        <f t="shared" si="7"/>
        <v>82000</v>
      </c>
      <c r="Q45" s="51">
        <f t="shared" si="7"/>
        <v>82000</v>
      </c>
      <c r="R45" s="51">
        <f t="shared" si="7"/>
        <v>82000</v>
      </c>
      <c r="S45" s="51">
        <f t="shared" si="7"/>
        <v>82000</v>
      </c>
      <c r="T45" s="51">
        <f t="shared" si="7"/>
        <v>82000</v>
      </c>
      <c r="U45" s="51">
        <f t="shared" si="7"/>
        <v>82000</v>
      </c>
      <c r="V45" s="51">
        <f t="shared" si="7"/>
        <v>82000</v>
      </c>
      <c r="W45" s="51">
        <f t="shared" si="7"/>
        <v>82000</v>
      </c>
      <c r="X45" s="51">
        <f t="shared" si="7"/>
        <v>82000</v>
      </c>
      <c r="Y45" s="51">
        <f t="shared" si="7"/>
        <v>82000</v>
      </c>
      <c r="Z45" s="51">
        <f t="shared" si="7"/>
        <v>82000</v>
      </c>
      <c r="AA45" s="51">
        <f t="shared" si="7"/>
        <v>82000</v>
      </c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</row>
    <row r="46" spans="1:86" ht="16" x14ac:dyDescent="0.2">
      <c r="A46" s="49" t="s">
        <v>30</v>
      </c>
      <c r="B46" s="53"/>
      <c r="C46" s="43">
        <v>426024</v>
      </c>
      <c r="D46" s="43">
        <v>426024</v>
      </c>
      <c r="E46" s="43">
        <v>426024</v>
      </c>
      <c r="F46" s="43">
        <v>426024</v>
      </c>
      <c r="G46" s="43">
        <v>426024</v>
      </c>
      <c r="H46" s="43">
        <v>426024</v>
      </c>
      <c r="I46" s="43">
        <v>426024</v>
      </c>
      <c r="J46" s="43">
        <v>426024</v>
      </c>
      <c r="K46" s="43">
        <v>426024</v>
      </c>
      <c r="L46" s="43">
        <v>426024</v>
      </c>
      <c r="M46" s="43">
        <v>426024</v>
      </c>
      <c r="N46" s="43">
        <v>426024</v>
      </c>
      <c r="O46" s="43">
        <v>426024</v>
      </c>
      <c r="P46" s="43">
        <v>426024</v>
      </c>
      <c r="Q46" s="43">
        <v>426024</v>
      </c>
      <c r="R46" s="43">
        <v>426024</v>
      </c>
      <c r="S46" s="43">
        <v>426024</v>
      </c>
      <c r="T46" s="43">
        <v>426024</v>
      </c>
      <c r="U46" s="43">
        <v>426024</v>
      </c>
      <c r="V46" s="43">
        <v>426024</v>
      </c>
      <c r="W46" s="43">
        <v>426024</v>
      </c>
      <c r="X46" s="43">
        <v>426024</v>
      </c>
      <c r="Y46" s="43">
        <v>426024</v>
      </c>
      <c r="Z46" s="43">
        <v>426024</v>
      </c>
      <c r="AA46" s="43">
        <v>426024</v>
      </c>
    </row>
    <row r="47" spans="1:86" ht="16" x14ac:dyDescent="0.2">
      <c r="A47" s="49" t="s">
        <v>36</v>
      </c>
      <c r="B47" s="53"/>
      <c r="C47" s="43">
        <f>$B$37*$G$37</f>
        <v>247350</v>
      </c>
      <c r="D47" s="43">
        <f t="shared" ref="D47:AA47" si="8">$B$37*$G$37</f>
        <v>247350</v>
      </c>
      <c r="E47" s="43">
        <f t="shared" si="8"/>
        <v>247350</v>
      </c>
      <c r="F47" s="43">
        <f t="shared" si="8"/>
        <v>247350</v>
      </c>
      <c r="G47" s="43">
        <f t="shared" si="8"/>
        <v>247350</v>
      </c>
      <c r="H47" s="43">
        <f t="shared" si="8"/>
        <v>247350</v>
      </c>
      <c r="I47" s="43">
        <f t="shared" si="8"/>
        <v>247350</v>
      </c>
      <c r="J47" s="43">
        <f t="shared" si="8"/>
        <v>247350</v>
      </c>
      <c r="K47" s="43">
        <f t="shared" si="8"/>
        <v>247350</v>
      </c>
      <c r="L47" s="43">
        <f t="shared" si="8"/>
        <v>247350</v>
      </c>
      <c r="M47" s="43">
        <f t="shared" si="8"/>
        <v>247350</v>
      </c>
      <c r="N47" s="43">
        <f t="shared" si="8"/>
        <v>247350</v>
      </c>
      <c r="O47" s="43">
        <f t="shared" si="8"/>
        <v>247350</v>
      </c>
      <c r="P47" s="43">
        <f t="shared" si="8"/>
        <v>247350</v>
      </c>
      <c r="Q47" s="43">
        <f t="shared" si="8"/>
        <v>247350</v>
      </c>
      <c r="R47" s="43">
        <f t="shared" si="8"/>
        <v>247350</v>
      </c>
      <c r="S47" s="43">
        <f t="shared" si="8"/>
        <v>247350</v>
      </c>
      <c r="T47" s="43">
        <f t="shared" si="8"/>
        <v>247350</v>
      </c>
      <c r="U47" s="43">
        <f t="shared" si="8"/>
        <v>247350</v>
      </c>
      <c r="V47" s="43">
        <f t="shared" si="8"/>
        <v>247350</v>
      </c>
      <c r="W47" s="43">
        <f t="shared" si="8"/>
        <v>247350</v>
      </c>
      <c r="X47" s="43">
        <f t="shared" si="8"/>
        <v>247350</v>
      </c>
      <c r="Y47" s="43">
        <f t="shared" si="8"/>
        <v>247350</v>
      </c>
      <c r="Z47" s="43">
        <f t="shared" si="8"/>
        <v>247350</v>
      </c>
      <c r="AA47" s="43">
        <f t="shared" si="8"/>
        <v>247350</v>
      </c>
    </row>
    <row r="48" spans="1:86" s="52" customFormat="1" ht="16" x14ac:dyDescent="0.2">
      <c r="A48" s="50" t="s">
        <v>102</v>
      </c>
      <c r="B48" s="96">
        <f t="shared" ref="B48:AA48" si="9">SUM(B46:B47)</f>
        <v>0</v>
      </c>
      <c r="C48" s="96">
        <f t="shared" si="9"/>
        <v>673374</v>
      </c>
      <c r="D48" s="96">
        <f t="shared" si="9"/>
        <v>673374</v>
      </c>
      <c r="E48" s="96">
        <f t="shared" si="9"/>
        <v>673374</v>
      </c>
      <c r="F48" s="96">
        <f t="shared" si="9"/>
        <v>673374</v>
      </c>
      <c r="G48" s="96">
        <f t="shared" si="9"/>
        <v>673374</v>
      </c>
      <c r="H48" s="96">
        <f t="shared" si="9"/>
        <v>673374</v>
      </c>
      <c r="I48" s="96">
        <f t="shared" si="9"/>
        <v>673374</v>
      </c>
      <c r="J48" s="96">
        <f t="shared" si="9"/>
        <v>673374</v>
      </c>
      <c r="K48" s="96">
        <f t="shared" si="9"/>
        <v>673374</v>
      </c>
      <c r="L48" s="96">
        <f t="shared" si="9"/>
        <v>673374</v>
      </c>
      <c r="M48" s="96">
        <f t="shared" si="9"/>
        <v>673374</v>
      </c>
      <c r="N48" s="96">
        <f t="shared" si="9"/>
        <v>673374</v>
      </c>
      <c r="O48" s="96">
        <f t="shared" si="9"/>
        <v>673374</v>
      </c>
      <c r="P48" s="96">
        <f t="shared" si="9"/>
        <v>673374</v>
      </c>
      <c r="Q48" s="96">
        <f t="shared" si="9"/>
        <v>673374</v>
      </c>
      <c r="R48" s="96">
        <f t="shared" si="9"/>
        <v>673374</v>
      </c>
      <c r="S48" s="96">
        <f t="shared" si="9"/>
        <v>673374</v>
      </c>
      <c r="T48" s="96">
        <f t="shared" si="9"/>
        <v>673374</v>
      </c>
      <c r="U48" s="96">
        <f t="shared" si="9"/>
        <v>673374</v>
      </c>
      <c r="V48" s="96">
        <f t="shared" si="9"/>
        <v>673374</v>
      </c>
      <c r="W48" s="96">
        <f t="shared" si="9"/>
        <v>673374</v>
      </c>
      <c r="X48" s="96">
        <f t="shared" si="9"/>
        <v>673374</v>
      </c>
      <c r="Y48" s="96">
        <f t="shared" si="9"/>
        <v>673374</v>
      </c>
      <c r="Z48" s="96">
        <f t="shared" si="9"/>
        <v>673374</v>
      </c>
      <c r="AA48" s="96">
        <f t="shared" si="9"/>
        <v>673374</v>
      </c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</row>
    <row r="49" spans="1:86" s="62" customFormat="1" ht="16" x14ac:dyDescent="0.2">
      <c r="A49" s="160" t="s">
        <v>11</v>
      </c>
      <c r="B49" s="161">
        <f t="shared" ref="B49:AA49" si="10">B48-B45</f>
        <v>-2184000</v>
      </c>
      <c r="C49" s="161">
        <f t="shared" si="10"/>
        <v>591374</v>
      </c>
      <c r="D49" s="161">
        <f t="shared" si="10"/>
        <v>591374</v>
      </c>
      <c r="E49" s="161">
        <f t="shared" si="10"/>
        <v>591374</v>
      </c>
      <c r="F49" s="161">
        <f t="shared" si="10"/>
        <v>591374</v>
      </c>
      <c r="G49" s="161">
        <f t="shared" si="10"/>
        <v>591374</v>
      </c>
      <c r="H49" s="161">
        <f t="shared" si="10"/>
        <v>591374</v>
      </c>
      <c r="I49" s="161">
        <f t="shared" si="10"/>
        <v>591374</v>
      </c>
      <c r="J49" s="161">
        <f t="shared" si="10"/>
        <v>591374</v>
      </c>
      <c r="K49" s="161">
        <f t="shared" si="10"/>
        <v>591374</v>
      </c>
      <c r="L49" s="161">
        <f t="shared" si="10"/>
        <v>591374</v>
      </c>
      <c r="M49" s="161">
        <f t="shared" si="10"/>
        <v>591374</v>
      </c>
      <c r="N49" s="161">
        <f t="shared" si="10"/>
        <v>591374</v>
      </c>
      <c r="O49" s="161">
        <f t="shared" si="10"/>
        <v>591374</v>
      </c>
      <c r="P49" s="161">
        <f t="shared" si="10"/>
        <v>591374</v>
      </c>
      <c r="Q49" s="161">
        <f t="shared" si="10"/>
        <v>591374</v>
      </c>
      <c r="R49" s="161">
        <f t="shared" si="10"/>
        <v>591374</v>
      </c>
      <c r="S49" s="161">
        <f t="shared" si="10"/>
        <v>591374</v>
      </c>
      <c r="T49" s="161">
        <f t="shared" si="10"/>
        <v>591374</v>
      </c>
      <c r="U49" s="161">
        <f t="shared" si="10"/>
        <v>591374</v>
      </c>
      <c r="V49" s="161">
        <f t="shared" si="10"/>
        <v>591374</v>
      </c>
      <c r="W49" s="161">
        <f t="shared" si="10"/>
        <v>591374</v>
      </c>
      <c r="X49" s="161">
        <f t="shared" si="10"/>
        <v>591374</v>
      </c>
      <c r="Y49" s="161">
        <f t="shared" si="10"/>
        <v>591374</v>
      </c>
      <c r="Z49" s="161">
        <f t="shared" si="10"/>
        <v>591374</v>
      </c>
      <c r="AA49" s="161">
        <f t="shared" si="10"/>
        <v>591374</v>
      </c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</row>
    <row r="50" spans="1:86" ht="16" x14ac:dyDescent="0.2">
      <c r="A50" s="104" t="s">
        <v>37</v>
      </c>
      <c r="B50" s="193">
        <f t="array" ref="B50">NPV(0.035,C49:AA49)+ B49</f>
        <v>7562739.2104985844</v>
      </c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7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</row>
    <row r="51" spans="1:86" ht="16" x14ac:dyDescent="0.2">
      <c r="A51" s="63" t="s">
        <v>38</v>
      </c>
      <c r="B51" s="95">
        <f>IRR(B49:AA49)</f>
        <v>0.27008895836522084</v>
      </c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</row>
    <row r="52" spans="1:86" ht="15.75" customHeight="1" x14ac:dyDescent="0.2">
      <c r="A52" s="106" t="s">
        <v>39</v>
      </c>
      <c r="B52" s="163">
        <f t="array" ref="B52">(NPV(0.035, C48:AA48))/(NPV(0.035,C45:AA45))</f>
        <v>8.2118780487804912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</row>
    <row r="53" spans="1:86" ht="15.75" customHeight="1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</sheetData>
  <mergeCells count="5">
    <mergeCell ref="A15:A16"/>
    <mergeCell ref="B15:AA15"/>
    <mergeCell ref="D37:F37"/>
    <mergeCell ref="A41:A42"/>
    <mergeCell ref="B41:A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DT152"/>
  <sheetViews>
    <sheetView showGridLines="0" zoomScale="107" workbookViewId="0">
      <selection activeCell="AQ113" sqref="AQ113:DM142"/>
    </sheetView>
  </sheetViews>
  <sheetFormatPr baseColWidth="10" defaultColWidth="12.6640625" defaultRowHeight="15.75" customHeight="1" x14ac:dyDescent="0.2"/>
  <cols>
    <col min="1" max="1" width="26.6640625" style="13" customWidth="1"/>
    <col min="2" max="2" width="15.33203125" style="13" bestFit="1" customWidth="1"/>
    <col min="3" max="3" width="14.1640625" style="13" customWidth="1"/>
    <col min="4" max="4" width="15.5" style="13" customWidth="1"/>
    <col min="5" max="5" width="16" style="13" customWidth="1"/>
    <col min="6" max="6" width="14.5" style="13" bestFit="1" customWidth="1"/>
    <col min="7" max="9" width="13.1640625" style="13" bestFit="1" customWidth="1"/>
    <col min="10" max="42" width="13" style="13" bestFit="1" customWidth="1"/>
    <col min="43" max="16384" width="12.6640625" style="13"/>
  </cols>
  <sheetData>
    <row r="2" spans="1:78" ht="30" customHeight="1" x14ac:dyDescent="0.2">
      <c r="A2" s="35" t="s">
        <v>105</v>
      </c>
    </row>
    <row r="3" spans="1:78" ht="15.75" customHeight="1" x14ac:dyDescent="0.2">
      <c r="A3" s="19" t="s">
        <v>1</v>
      </c>
    </row>
    <row r="4" spans="1:78" ht="15.75" customHeight="1" x14ac:dyDescent="0.2">
      <c r="A4" s="19"/>
    </row>
    <row r="5" spans="1:78" ht="15.75" customHeight="1" x14ac:dyDescent="0.25">
      <c r="A5" s="151" t="s">
        <v>91</v>
      </c>
    </row>
    <row r="6" spans="1:78" ht="16" x14ac:dyDescent="0.2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78" ht="23" customHeight="1" x14ac:dyDescent="0.2">
      <c r="A7" s="243" t="s">
        <v>59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</row>
    <row r="8" spans="1:78" ht="16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78" ht="16" x14ac:dyDescent="0.2">
      <c r="A9" s="79" t="s">
        <v>28</v>
      </c>
      <c r="B9" s="47"/>
      <c r="E9" s="47"/>
      <c r="F9" s="47"/>
      <c r="G9" s="47"/>
      <c r="H9" s="47"/>
      <c r="I9" s="47"/>
      <c r="J9" s="47"/>
      <c r="K9" s="47"/>
      <c r="L9" s="47"/>
    </row>
    <row r="10" spans="1:78" ht="16" x14ac:dyDescent="0.2">
      <c r="A10" s="155" t="s">
        <v>30</v>
      </c>
      <c r="B10" s="211">
        <v>426024</v>
      </c>
      <c r="C10" s="48"/>
      <c r="D10" s="71"/>
      <c r="E10" s="47"/>
      <c r="F10" s="47"/>
      <c r="G10" s="47"/>
      <c r="H10" s="47"/>
      <c r="I10" s="47"/>
      <c r="J10" s="47"/>
      <c r="K10" s="47"/>
      <c r="L10" s="47"/>
    </row>
    <row r="11" spans="1:78" ht="16" customHeight="1" x14ac:dyDescent="0.2">
      <c r="A11" s="169" t="s">
        <v>25</v>
      </c>
      <c r="B11" s="145">
        <v>4122.5</v>
      </c>
      <c r="H11" s="47"/>
      <c r="I11" s="47"/>
      <c r="J11" s="47"/>
      <c r="K11" s="47"/>
      <c r="L11" s="47"/>
    </row>
    <row r="12" spans="1:78" ht="16" customHeight="1" x14ac:dyDescent="0.2">
      <c r="A12" s="48"/>
      <c r="B12" s="235"/>
      <c r="H12" s="47"/>
      <c r="I12" s="47"/>
      <c r="J12" s="47"/>
      <c r="K12" s="47"/>
      <c r="L12" s="47"/>
    </row>
    <row r="13" spans="1:78" s="45" customFormat="1" ht="16" customHeight="1" x14ac:dyDescent="0.2">
      <c r="A13" s="287" t="s">
        <v>92</v>
      </c>
      <c r="B13" s="287"/>
      <c r="C13" s="185">
        <v>60</v>
      </c>
      <c r="D13" s="234"/>
      <c r="E13" s="234"/>
      <c r="F13" s="48"/>
      <c r="G13" s="48"/>
      <c r="H13" s="48"/>
      <c r="I13" s="48"/>
      <c r="J13" s="48"/>
      <c r="K13" s="48"/>
      <c r="L13" s="48"/>
    </row>
    <row r="14" spans="1:78" s="45" customFormat="1" ht="16" customHeight="1" x14ac:dyDescent="0.2">
      <c r="A14" s="237"/>
      <c r="B14" s="237"/>
      <c r="D14" s="234"/>
      <c r="E14" s="234"/>
      <c r="F14" s="48"/>
      <c r="G14" s="48"/>
      <c r="H14" s="48"/>
      <c r="I14" s="48"/>
      <c r="J14" s="48"/>
      <c r="K14" s="48"/>
      <c r="L14" s="48"/>
    </row>
    <row r="15" spans="1:78" s="200" customFormat="1" ht="16" x14ac:dyDescent="0.2">
      <c r="A15" s="275" t="s">
        <v>87</v>
      </c>
      <c r="B15" s="288" t="s">
        <v>2</v>
      </c>
      <c r="C15" s="288"/>
      <c r="D15" s="288"/>
      <c r="E15" s="288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80"/>
      <c r="AC15" s="80"/>
      <c r="AD15" s="80"/>
      <c r="AE15" s="80"/>
      <c r="AF15" s="80"/>
      <c r="AG15" s="80"/>
      <c r="AH15" s="80"/>
      <c r="AI15" s="300"/>
      <c r="AJ15" s="301"/>
      <c r="AK15" s="301"/>
      <c r="AL15" s="301"/>
      <c r="AM15" s="301"/>
      <c r="AN15" s="301"/>
      <c r="AO15" s="301"/>
      <c r="AP15" s="302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</row>
    <row r="16" spans="1:78" s="202" customFormat="1" ht="16" x14ac:dyDescent="0.15">
      <c r="A16" s="275"/>
      <c r="B16" s="201">
        <v>0</v>
      </c>
      <c r="C16" s="201">
        <v>1</v>
      </c>
      <c r="D16" s="201">
        <v>2</v>
      </c>
      <c r="E16" s="201">
        <v>3</v>
      </c>
      <c r="F16" s="201">
        <v>4</v>
      </c>
      <c r="G16" s="201">
        <v>5</v>
      </c>
      <c r="H16" s="201">
        <v>6</v>
      </c>
      <c r="I16" s="201">
        <v>7</v>
      </c>
      <c r="J16" s="201">
        <v>8</v>
      </c>
      <c r="K16" s="201">
        <v>9</v>
      </c>
      <c r="L16" s="201">
        <v>10</v>
      </c>
      <c r="M16" s="201">
        <v>11</v>
      </c>
      <c r="N16" s="201">
        <v>12</v>
      </c>
      <c r="O16" s="201">
        <v>13</v>
      </c>
      <c r="P16" s="201">
        <v>14</v>
      </c>
      <c r="Q16" s="201">
        <v>15</v>
      </c>
      <c r="R16" s="201">
        <v>16</v>
      </c>
      <c r="S16" s="201">
        <v>17</v>
      </c>
      <c r="T16" s="201">
        <v>18</v>
      </c>
      <c r="U16" s="201">
        <v>19</v>
      </c>
      <c r="V16" s="201">
        <v>20</v>
      </c>
      <c r="W16" s="201">
        <v>21</v>
      </c>
      <c r="X16" s="201">
        <v>22</v>
      </c>
      <c r="Y16" s="201">
        <v>23</v>
      </c>
      <c r="Z16" s="201">
        <v>24</v>
      </c>
      <c r="AA16" s="201">
        <v>25</v>
      </c>
      <c r="AB16" s="303"/>
      <c r="AC16" s="303"/>
      <c r="AD16" s="303"/>
      <c r="AE16" s="303"/>
      <c r="AF16" s="303"/>
      <c r="AG16" s="303"/>
      <c r="AH16" s="303"/>
      <c r="AI16" s="303"/>
      <c r="AJ16" s="303"/>
      <c r="AK16" s="303"/>
      <c r="AL16" s="303"/>
      <c r="AM16" s="303"/>
      <c r="AN16" s="303"/>
      <c r="AO16" s="303"/>
      <c r="AP16" s="303"/>
      <c r="AQ16" s="304"/>
      <c r="AR16" s="304"/>
      <c r="AS16" s="304"/>
      <c r="AT16" s="304"/>
      <c r="AU16" s="304"/>
      <c r="AV16" s="304"/>
      <c r="AW16" s="304"/>
      <c r="AX16" s="304"/>
      <c r="AY16" s="304"/>
      <c r="AZ16" s="304"/>
      <c r="BA16" s="304"/>
      <c r="BB16" s="304"/>
      <c r="BC16" s="304"/>
      <c r="BD16" s="304"/>
      <c r="BE16" s="304"/>
      <c r="BF16" s="304"/>
      <c r="BG16" s="304"/>
      <c r="BH16" s="304"/>
      <c r="BI16" s="304"/>
      <c r="BJ16" s="304"/>
      <c r="BK16" s="304"/>
      <c r="BL16" s="304"/>
      <c r="BM16" s="304"/>
      <c r="BN16" s="304"/>
      <c r="BO16" s="304"/>
      <c r="BP16" s="304"/>
      <c r="BQ16" s="304"/>
      <c r="BR16" s="304"/>
      <c r="BS16" s="304"/>
      <c r="BT16" s="304"/>
      <c r="BU16" s="304"/>
      <c r="BV16" s="304"/>
      <c r="BW16" s="304"/>
      <c r="BX16" s="304"/>
      <c r="BY16" s="304"/>
      <c r="BZ16" s="304"/>
    </row>
    <row r="17" spans="1:78" ht="16" x14ac:dyDescent="0.2">
      <c r="A17" s="49" t="s">
        <v>29</v>
      </c>
      <c r="B17" s="43">
        <v>2184000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/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</row>
    <row r="18" spans="1:78" ht="16" x14ac:dyDescent="0.2">
      <c r="A18" s="49" t="s">
        <v>16</v>
      </c>
      <c r="B18" s="43"/>
      <c r="C18" s="43">
        <v>82000</v>
      </c>
      <c r="D18" s="43">
        <v>82000</v>
      </c>
      <c r="E18" s="43">
        <v>82000</v>
      </c>
      <c r="F18" s="43">
        <v>82000</v>
      </c>
      <c r="G18" s="43">
        <v>82000</v>
      </c>
      <c r="H18" s="43">
        <v>82000</v>
      </c>
      <c r="I18" s="43">
        <v>82000</v>
      </c>
      <c r="J18" s="43">
        <v>82000</v>
      </c>
      <c r="K18" s="43">
        <v>82000</v>
      </c>
      <c r="L18" s="43">
        <v>82000</v>
      </c>
      <c r="M18" s="43">
        <v>82000</v>
      </c>
      <c r="N18" s="43">
        <v>82000</v>
      </c>
      <c r="O18" s="43">
        <v>82000</v>
      </c>
      <c r="P18" s="43">
        <v>82000</v>
      </c>
      <c r="Q18" s="43">
        <v>82000</v>
      </c>
      <c r="R18" s="43">
        <v>82000</v>
      </c>
      <c r="S18" s="43">
        <v>82000</v>
      </c>
      <c r="T18" s="43">
        <v>82000</v>
      </c>
      <c r="U18" s="43">
        <v>82000</v>
      </c>
      <c r="V18" s="43">
        <v>82000</v>
      </c>
      <c r="W18" s="43">
        <v>82000</v>
      </c>
      <c r="X18" s="43">
        <v>82000</v>
      </c>
      <c r="Y18" s="43">
        <v>82000</v>
      </c>
      <c r="Z18" s="43">
        <v>82000</v>
      </c>
      <c r="AA18" s="43">
        <v>82000</v>
      </c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</row>
    <row r="19" spans="1:78" s="52" customFormat="1" ht="16" x14ac:dyDescent="0.2">
      <c r="A19" s="122" t="s">
        <v>8</v>
      </c>
      <c r="B19" s="51">
        <f>B17</f>
        <v>2184000</v>
      </c>
      <c r="C19" s="51">
        <f>SUM(C18)</f>
        <v>82000</v>
      </c>
      <c r="D19" s="51">
        <f t="shared" ref="D19:AA19" si="0">SUM(D18)</f>
        <v>82000</v>
      </c>
      <c r="E19" s="51">
        <f t="shared" si="0"/>
        <v>82000</v>
      </c>
      <c r="F19" s="51">
        <f t="shared" si="0"/>
        <v>82000</v>
      </c>
      <c r="G19" s="51">
        <f t="shared" si="0"/>
        <v>82000</v>
      </c>
      <c r="H19" s="51">
        <f t="shared" si="0"/>
        <v>82000</v>
      </c>
      <c r="I19" s="51">
        <f t="shared" si="0"/>
        <v>82000</v>
      </c>
      <c r="J19" s="51">
        <f t="shared" si="0"/>
        <v>82000</v>
      </c>
      <c r="K19" s="51">
        <f t="shared" si="0"/>
        <v>82000</v>
      </c>
      <c r="L19" s="51">
        <f t="shared" si="0"/>
        <v>82000</v>
      </c>
      <c r="M19" s="51">
        <f t="shared" si="0"/>
        <v>82000</v>
      </c>
      <c r="N19" s="51">
        <f t="shared" si="0"/>
        <v>82000</v>
      </c>
      <c r="O19" s="51">
        <f t="shared" si="0"/>
        <v>82000</v>
      </c>
      <c r="P19" s="51">
        <f t="shared" si="0"/>
        <v>82000</v>
      </c>
      <c r="Q19" s="51">
        <f t="shared" si="0"/>
        <v>82000</v>
      </c>
      <c r="R19" s="51">
        <f t="shared" si="0"/>
        <v>82000</v>
      </c>
      <c r="S19" s="51">
        <f t="shared" si="0"/>
        <v>82000</v>
      </c>
      <c r="T19" s="51">
        <f t="shared" si="0"/>
        <v>82000</v>
      </c>
      <c r="U19" s="51">
        <f t="shared" si="0"/>
        <v>82000</v>
      </c>
      <c r="V19" s="51">
        <f t="shared" si="0"/>
        <v>82000</v>
      </c>
      <c r="W19" s="51">
        <f t="shared" si="0"/>
        <v>82000</v>
      </c>
      <c r="X19" s="51">
        <f t="shared" si="0"/>
        <v>82000</v>
      </c>
      <c r="Y19" s="51">
        <f t="shared" si="0"/>
        <v>82000</v>
      </c>
      <c r="Z19" s="51">
        <f t="shared" si="0"/>
        <v>82000</v>
      </c>
      <c r="AA19" s="51">
        <f t="shared" si="0"/>
        <v>82000</v>
      </c>
      <c r="AB19" s="305"/>
      <c r="AC19" s="305"/>
      <c r="AD19" s="305"/>
      <c r="AE19" s="305"/>
      <c r="AF19" s="305"/>
      <c r="AG19" s="305"/>
      <c r="AH19" s="305"/>
      <c r="AI19" s="305"/>
      <c r="AJ19" s="305"/>
      <c r="AK19" s="305"/>
      <c r="AL19" s="305"/>
      <c r="AM19" s="305"/>
      <c r="AN19" s="305"/>
      <c r="AO19" s="305"/>
      <c r="AP19" s="30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</row>
    <row r="20" spans="1:78" ht="16" x14ac:dyDescent="0.2">
      <c r="A20" s="49" t="s">
        <v>30</v>
      </c>
      <c r="B20" s="53"/>
      <c r="C20" s="43">
        <v>426024</v>
      </c>
      <c r="D20" s="43">
        <v>426024</v>
      </c>
      <c r="E20" s="43">
        <v>426024</v>
      </c>
      <c r="F20" s="43">
        <v>426024</v>
      </c>
      <c r="G20" s="43">
        <v>426024</v>
      </c>
      <c r="H20" s="43">
        <v>426024</v>
      </c>
      <c r="I20" s="43">
        <v>426024</v>
      </c>
      <c r="J20" s="43">
        <v>426024</v>
      </c>
      <c r="K20" s="43">
        <v>426024</v>
      </c>
      <c r="L20" s="43">
        <v>426024</v>
      </c>
      <c r="M20" s="43">
        <v>426024</v>
      </c>
      <c r="N20" s="43">
        <v>426024</v>
      </c>
      <c r="O20" s="43">
        <v>426024</v>
      </c>
      <c r="P20" s="43">
        <v>426024</v>
      </c>
      <c r="Q20" s="43">
        <v>426024</v>
      </c>
      <c r="R20" s="43">
        <v>426024</v>
      </c>
      <c r="S20" s="43">
        <v>426024</v>
      </c>
      <c r="T20" s="43">
        <v>426024</v>
      </c>
      <c r="U20" s="43">
        <v>426024</v>
      </c>
      <c r="V20" s="43">
        <v>426024</v>
      </c>
      <c r="W20" s="43">
        <v>426024</v>
      </c>
      <c r="X20" s="43">
        <v>426024</v>
      </c>
      <c r="Y20" s="43">
        <v>426024</v>
      </c>
      <c r="Z20" s="43">
        <v>426024</v>
      </c>
      <c r="AA20" s="43">
        <v>426024</v>
      </c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</row>
    <row r="21" spans="1:78" s="52" customFormat="1" ht="16" x14ac:dyDescent="0.2">
      <c r="A21" s="54" t="s">
        <v>10</v>
      </c>
      <c r="B21" s="55"/>
      <c r="C21" s="56">
        <f>SUM(C20)</f>
        <v>426024</v>
      </c>
      <c r="D21" s="56">
        <f t="shared" ref="D21:AA21" si="1">SUM(D20)</f>
        <v>426024</v>
      </c>
      <c r="E21" s="56">
        <f t="shared" si="1"/>
        <v>426024</v>
      </c>
      <c r="F21" s="56">
        <f t="shared" si="1"/>
        <v>426024</v>
      </c>
      <c r="G21" s="56">
        <f t="shared" si="1"/>
        <v>426024</v>
      </c>
      <c r="H21" s="56">
        <f t="shared" si="1"/>
        <v>426024</v>
      </c>
      <c r="I21" s="56">
        <f t="shared" si="1"/>
        <v>426024</v>
      </c>
      <c r="J21" s="56">
        <f t="shared" si="1"/>
        <v>426024</v>
      </c>
      <c r="K21" s="56">
        <f t="shared" si="1"/>
        <v>426024</v>
      </c>
      <c r="L21" s="56">
        <f t="shared" si="1"/>
        <v>426024</v>
      </c>
      <c r="M21" s="56">
        <f t="shared" si="1"/>
        <v>426024</v>
      </c>
      <c r="N21" s="56">
        <f t="shared" si="1"/>
        <v>426024</v>
      </c>
      <c r="O21" s="56">
        <f t="shared" si="1"/>
        <v>426024</v>
      </c>
      <c r="P21" s="56">
        <f t="shared" si="1"/>
        <v>426024</v>
      </c>
      <c r="Q21" s="56">
        <f t="shared" si="1"/>
        <v>426024</v>
      </c>
      <c r="R21" s="56">
        <f t="shared" si="1"/>
        <v>426024</v>
      </c>
      <c r="S21" s="56">
        <f t="shared" si="1"/>
        <v>426024</v>
      </c>
      <c r="T21" s="56">
        <f t="shared" si="1"/>
        <v>426024</v>
      </c>
      <c r="U21" s="56">
        <f t="shared" si="1"/>
        <v>426024</v>
      </c>
      <c r="V21" s="56">
        <f t="shared" si="1"/>
        <v>426024</v>
      </c>
      <c r="W21" s="56">
        <f t="shared" si="1"/>
        <v>426024</v>
      </c>
      <c r="X21" s="56">
        <f t="shared" si="1"/>
        <v>426024</v>
      </c>
      <c r="Y21" s="56">
        <f t="shared" si="1"/>
        <v>426024</v>
      </c>
      <c r="Z21" s="56">
        <f t="shared" si="1"/>
        <v>426024</v>
      </c>
      <c r="AA21" s="56">
        <f t="shared" si="1"/>
        <v>426024</v>
      </c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</row>
    <row r="22" spans="1:78" s="59" customFormat="1" ht="16" x14ac:dyDescent="0.2">
      <c r="A22" s="57" t="s">
        <v>11</v>
      </c>
      <c r="B22" s="58">
        <f>-B19</f>
        <v>-2184000</v>
      </c>
      <c r="C22" s="58">
        <f>C21-C19</f>
        <v>344024</v>
      </c>
      <c r="D22" s="58">
        <f t="shared" ref="D22:AA22" si="2">D21-D19</f>
        <v>344024</v>
      </c>
      <c r="E22" s="58">
        <f t="shared" si="2"/>
        <v>344024</v>
      </c>
      <c r="F22" s="58">
        <f t="shared" si="2"/>
        <v>344024</v>
      </c>
      <c r="G22" s="58">
        <f t="shared" si="2"/>
        <v>344024</v>
      </c>
      <c r="H22" s="58">
        <f t="shared" si="2"/>
        <v>344024</v>
      </c>
      <c r="I22" s="58">
        <f t="shared" si="2"/>
        <v>344024</v>
      </c>
      <c r="J22" s="58">
        <f t="shared" si="2"/>
        <v>344024</v>
      </c>
      <c r="K22" s="58">
        <f t="shared" si="2"/>
        <v>344024</v>
      </c>
      <c r="L22" s="58">
        <f t="shared" si="2"/>
        <v>344024</v>
      </c>
      <c r="M22" s="58">
        <f t="shared" si="2"/>
        <v>344024</v>
      </c>
      <c r="N22" s="58">
        <f t="shared" si="2"/>
        <v>344024</v>
      </c>
      <c r="O22" s="58">
        <f t="shared" si="2"/>
        <v>344024</v>
      </c>
      <c r="P22" s="58">
        <f t="shared" si="2"/>
        <v>344024</v>
      </c>
      <c r="Q22" s="58">
        <f t="shared" si="2"/>
        <v>344024</v>
      </c>
      <c r="R22" s="58">
        <f t="shared" si="2"/>
        <v>344024</v>
      </c>
      <c r="S22" s="58">
        <f t="shared" si="2"/>
        <v>344024</v>
      </c>
      <c r="T22" s="58">
        <f t="shared" si="2"/>
        <v>344024</v>
      </c>
      <c r="U22" s="58">
        <f t="shared" si="2"/>
        <v>344024</v>
      </c>
      <c r="V22" s="58">
        <f t="shared" si="2"/>
        <v>344024</v>
      </c>
      <c r="W22" s="58">
        <f t="shared" si="2"/>
        <v>344024</v>
      </c>
      <c r="X22" s="58">
        <f t="shared" si="2"/>
        <v>344024</v>
      </c>
      <c r="Y22" s="58">
        <f t="shared" si="2"/>
        <v>344024</v>
      </c>
      <c r="Z22" s="58">
        <f t="shared" si="2"/>
        <v>344024</v>
      </c>
      <c r="AA22" s="58">
        <f t="shared" si="2"/>
        <v>344024</v>
      </c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305"/>
      <c r="AN22" s="305"/>
      <c r="AO22" s="305"/>
      <c r="AP22" s="30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</row>
    <row r="23" spans="1:78" s="62" customFormat="1" ht="16" x14ac:dyDescent="0.2">
      <c r="A23" s="60" t="s">
        <v>31</v>
      </c>
      <c r="B23" s="61">
        <f t="array" ref="B23">NPV(0.05,C22:AA22)+B22</f>
        <v>2664655.1853889776</v>
      </c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4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</row>
    <row r="24" spans="1:78" ht="16" x14ac:dyDescent="0.2">
      <c r="A24" s="105" t="s">
        <v>32</v>
      </c>
      <c r="B24" s="221">
        <f t="array" ref="B24">(300*B17)/NPV(0.05, C22:AA22)</f>
        <v>135.13025260579286</v>
      </c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</row>
    <row r="25" spans="1:78" ht="15.75" customHeight="1" x14ac:dyDescent="0.2">
      <c r="A25" s="64" t="s">
        <v>33</v>
      </c>
      <c r="B25" s="266">
        <f>IRR(B22:AA22)</f>
        <v>0.15304074776101051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78" ht="16" x14ac:dyDescent="0.2">
      <c r="A26" s="104" t="s">
        <v>39</v>
      </c>
      <c r="B26" s="221">
        <f t="array" ref="B26">(NPV(0.05,C20:AA20))/(NPV(0.05,C19:AA19))</f>
        <v>5.1954146341463403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78" ht="16" x14ac:dyDescent="0.2">
      <c r="A27" s="212"/>
      <c r="B27" s="213"/>
      <c r="C27" s="102"/>
      <c r="D27" s="102"/>
      <c r="E27" s="10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78" ht="16" x14ac:dyDescent="0.2">
      <c r="A28" s="123"/>
      <c r="B28" s="15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78" ht="15.75" customHeight="1" x14ac:dyDescent="0.2">
      <c r="A29" s="79" t="s">
        <v>35</v>
      </c>
      <c r="C29" s="48"/>
      <c r="D29" s="71"/>
      <c r="E29" s="45"/>
    </row>
    <row r="30" spans="1:78" ht="15.75" customHeight="1" x14ac:dyDescent="0.2">
      <c r="A30" s="47"/>
      <c r="C30" s="45"/>
      <c r="D30" s="45"/>
      <c r="E30" s="45"/>
    </row>
    <row r="31" spans="1:78" ht="16" x14ac:dyDescent="0.2">
      <c r="A31" s="275" t="s">
        <v>88</v>
      </c>
      <c r="B31" s="276" t="s">
        <v>2</v>
      </c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</row>
    <row r="32" spans="1:78" s="171" customFormat="1" ht="16" x14ac:dyDescent="0.2">
      <c r="A32" s="275"/>
      <c r="B32" s="183">
        <v>0</v>
      </c>
      <c r="C32" s="183">
        <v>1</v>
      </c>
      <c r="D32" s="183">
        <v>2</v>
      </c>
      <c r="E32" s="183">
        <v>3</v>
      </c>
      <c r="F32" s="183">
        <v>4</v>
      </c>
      <c r="G32" s="183">
        <v>5</v>
      </c>
      <c r="H32" s="183">
        <v>6</v>
      </c>
      <c r="I32" s="183">
        <v>7</v>
      </c>
      <c r="J32" s="183">
        <v>8</v>
      </c>
      <c r="K32" s="183">
        <v>9</v>
      </c>
      <c r="L32" s="183">
        <v>10</v>
      </c>
      <c r="M32" s="183">
        <v>11</v>
      </c>
      <c r="N32" s="183">
        <v>12</v>
      </c>
      <c r="O32" s="183">
        <v>13</v>
      </c>
      <c r="P32" s="183">
        <v>14</v>
      </c>
      <c r="Q32" s="183">
        <v>15</v>
      </c>
      <c r="R32" s="183">
        <v>16</v>
      </c>
      <c r="S32" s="183">
        <v>17</v>
      </c>
      <c r="T32" s="183">
        <v>18</v>
      </c>
      <c r="U32" s="183">
        <v>19</v>
      </c>
      <c r="V32" s="183">
        <v>20</v>
      </c>
      <c r="W32" s="183">
        <v>21</v>
      </c>
      <c r="X32" s="183">
        <v>22</v>
      </c>
      <c r="Y32" s="183">
        <v>23</v>
      </c>
      <c r="Z32" s="183">
        <v>24</v>
      </c>
      <c r="AA32" s="183">
        <v>25</v>
      </c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</row>
    <row r="33" spans="1:77" ht="16" x14ac:dyDescent="0.2">
      <c r="A33" s="49" t="s">
        <v>29</v>
      </c>
      <c r="B33" s="43">
        <v>2184000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/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</row>
    <row r="34" spans="1:77" ht="16" x14ac:dyDescent="0.2">
      <c r="A34" s="49" t="s">
        <v>16</v>
      </c>
      <c r="B34" s="43"/>
      <c r="C34" s="43">
        <v>82000</v>
      </c>
      <c r="D34" s="43">
        <v>82000</v>
      </c>
      <c r="E34" s="43">
        <v>82000</v>
      </c>
      <c r="F34" s="43">
        <v>82000</v>
      </c>
      <c r="G34" s="43">
        <v>82000</v>
      </c>
      <c r="H34" s="43">
        <v>82000</v>
      </c>
      <c r="I34" s="43">
        <v>82000</v>
      </c>
      <c r="J34" s="43">
        <v>82000</v>
      </c>
      <c r="K34" s="43">
        <v>82000</v>
      </c>
      <c r="L34" s="43">
        <v>82000</v>
      </c>
      <c r="M34" s="43">
        <v>82000</v>
      </c>
      <c r="N34" s="43">
        <v>82000</v>
      </c>
      <c r="O34" s="43">
        <v>82000</v>
      </c>
      <c r="P34" s="43">
        <v>82000</v>
      </c>
      <c r="Q34" s="43">
        <v>82000</v>
      </c>
      <c r="R34" s="43">
        <v>82000</v>
      </c>
      <c r="S34" s="43">
        <v>82000</v>
      </c>
      <c r="T34" s="43">
        <v>82000</v>
      </c>
      <c r="U34" s="43">
        <v>82000</v>
      </c>
      <c r="V34" s="43">
        <v>82000</v>
      </c>
      <c r="W34" s="43">
        <v>82000</v>
      </c>
      <c r="X34" s="43">
        <v>82000</v>
      </c>
      <c r="Y34" s="43">
        <v>82000</v>
      </c>
      <c r="Z34" s="43">
        <v>82000</v>
      </c>
      <c r="AA34" s="43">
        <v>82000</v>
      </c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</row>
    <row r="35" spans="1:77" s="52" customFormat="1" ht="16" x14ac:dyDescent="0.2">
      <c r="A35" s="50" t="s">
        <v>8</v>
      </c>
      <c r="B35" s="51">
        <f>B33</f>
        <v>2184000</v>
      </c>
      <c r="C35" s="51">
        <f>SUM(C34)</f>
        <v>82000</v>
      </c>
      <c r="D35" s="51">
        <f t="shared" ref="D35:AA35" si="3">SUM(D34)</f>
        <v>82000</v>
      </c>
      <c r="E35" s="51">
        <f t="shared" si="3"/>
        <v>82000</v>
      </c>
      <c r="F35" s="51">
        <f t="shared" si="3"/>
        <v>82000</v>
      </c>
      <c r="G35" s="51">
        <f t="shared" si="3"/>
        <v>82000</v>
      </c>
      <c r="H35" s="51">
        <f t="shared" si="3"/>
        <v>82000</v>
      </c>
      <c r="I35" s="51">
        <f t="shared" si="3"/>
        <v>82000</v>
      </c>
      <c r="J35" s="51">
        <f t="shared" si="3"/>
        <v>82000</v>
      </c>
      <c r="K35" s="51">
        <f t="shared" si="3"/>
        <v>82000</v>
      </c>
      <c r="L35" s="51">
        <f t="shared" si="3"/>
        <v>82000</v>
      </c>
      <c r="M35" s="51">
        <f t="shared" si="3"/>
        <v>82000</v>
      </c>
      <c r="N35" s="51">
        <f t="shared" si="3"/>
        <v>82000</v>
      </c>
      <c r="O35" s="51">
        <f t="shared" si="3"/>
        <v>82000</v>
      </c>
      <c r="P35" s="51">
        <f t="shared" si="3"/>
        <v>82000</v>
      </c>
      <c r="Q35" s="51">
        <f t="shared" si="3"/>
        <v>82000</v>
      </c>
      <c r="R35" s="51">
        <f t="shared" si="3"/>
        <v>82000</v>
      </c>
      <c r="S35" s="51">
        <f t="shared" si="3"/>
        <v>82000</v>
      </c>
      <c r="T35" s="51">
        <f t="shared" si="3"/>
        <v>82000</v>
      </c>
      <c r="U35" s="51">
        <f t="shared" si="3"/>
        <v>82000</v>
      </c>
      <c r="V35" s="51">
        <f t="shared" si="3"/>
        <v>82000</v>
      </c>
      <c r="W35" s="51">
        <f t="shared" si="3"/>
        <v>82000</v>
      </c>
      <c r="X35" s="51">
        <f t="shared" si="3"/>
        <v>82000</v>
      </c>
      <c r="Y35" s="51">
        <f t="shared" si="3"/>
        <v>82000</v>
      </c>
      <c r="Z35" s="51">
        <f t="shared" si="3"/>
        <v>82000</v>
      </c>
      <c r="AA35" s="51">
        <f t="shared" si="3"/>
        <v>82000</v>
      </c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</row>
    <row r="36" spans="1:77" ht="16" x14ac:dyDescent="0.2">
      <c r="A36" s="49" t="s">
        <v>30</v>
      </c>
      <c r="B36" s="53"/>
      <c r="C36" s="43">
        <v>426024</v>
      </c>
      <c r="D36" s="43">
        <v>426024</v>
      </c>
      <c r="E36" s="43">
        <v>426024</v>
      </c>
      <c r="F36" s="43">
        <v>426024</v>
      </c>
      <c r="G36" s="43">
        <v>426024</v>
      </c>
      <c r="H36" s="43">
        <v>426024</v>
      </c>
      <c r="I36" s="43">
        <v>426024</v>
      </c>
      <c r="J36" s="43">
        <v>426024</v>
      </c>
      <c r="K36" s="43">
        <v>426024</v>
      </c>
      <c r="L36" s="43">
        <v>426024</v>
      </c>
      <c r="M36" s="43">
        <v>426024</v>
      </c>
      <c r="N36" s="43">
        <v>426024</v>
      </c>
      <c r="O36" s="43">
        <v>426024</v>
      </c>
      <c r="P36" s="43">
        <v>426024</v>
      </c>
      <c r="Q36" s="43">
        <v>426024</v>
      </c>
      <c r="R36" s="43">
        <v>426024</v>
      </c>
      <c r="S36" s="43">
        <v>426024</v>
      </c>
      <c r="T36" s="43">
        <v>426024</v>
      </c>
      <c r="U36" s="43">
        <v>426024</v>
      </c>
      <c r="V36" s="43">
        <v>426024</v>
      </c>
      <c r="W36" s="43">
        <v>426024</v>
      </c>
      <c r="X36" s="43">
        <v>426024</v>
      </c>
      <c r="Y36" s="43">
        <v>426024</v>
      </c>
      <c r="Z36" s="43">
        <v>426024</v>
      </c>
      <c r="AA36" s="43">
        <v>426024</v>
      </c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</row>
    <row r="37" spans="1:77" ht="16" x14ac:dyDescent="0.2">
      <c r="A37" s="49" t="s">
        <v>106</v>
      </c>
      <c r="B37" s="53"/>
      <c r="C37" s="43">
        <f>4122.5*60</f>
        <v>247350</v>
      </c>
      <c r="D37" s="43">
        <f t="shared" ref="D37:AA37" si="4">4122.5*60</f>
        <v>247350</v>
      </c>
      <c r="E37" s="43">
        <f t="shared" si="4"/>
        <v>247350</v>
      </c>
      <c r="F37" s="43">
        <f t="shared" si="4"/>
        <v>247350</v>
      </c>
      <c r="G37" s="43">
        <f t="shared" si="4"/>
        <v>247350</v>
      </c>
      <c r="H37" s="43">
        <f t="shared" si="4"/>
        <v>247350</v>
      </c>
      <c r="I37" s="43">
        <f t="shared" si="4"/>
        <v>247350</v>
      </c>
      <c r="J37" s="43">
        <f t="shared" si="4"/>
        <v>247350</v>
      </c>
      <c r="K37" s="43">
        <f t="shared" si="4"/>
        <v>247350</v>
      </c>
      <c r="L37" s="43">
        <f t="shared" si="4"/>
        <v>247350</v>
      </c>
      <c r="M37" s="43">
        <f t="shared" si="4"/>
        <v>247350</v>
      </c>
      <c r="N37" s="43">
        <f t="shared" si="4"/>
        <v>247350</v>
      </c>
      <c r="O37" s="43">
        <f t="shared" si="4"/>
        <v>247350</v>
      </c>
      <c r="P37" s="43">
        <f t="shared" si="4"/>
        <v>247350</v>
      </c>
      <c r="Q37" s="43">
        <f t="shared" si="4"/>
        <v>247350</v>
      </c>
      <c r="R37" s="43">
        <f t="shared" si="4"/>
        <v>247350</v>
      </c>
      <c r="S37" s="43">
        <f t="shared" si="4"/>
        <v>247350</v>
      </c>
      <c r="T37" s="43">
        <f t="shared" si="4"/>
        <v>247350</v>
      </c>
      <c r="U37" s="43">
        <f t="shared" si="4"/>
        <v>247350</v>
      </c>
      <c r="V37" s="43">
        <f t="shared" si="4"/>
        <v>247350</v>
      </c>
      <c r="W37" s="43">
        <f t="shared" si="4"/>
        <v>247350</v>
      </c>
      <c r="X37" s="43">
        <f t="shared" si="4"/>
        <v>247350</v>
      </c>
      <c r="Y37" s="43">
        <f t="shared" si="4"/>
        <v>247350</v>
      </c>
      <c r="Z37" s="43">
        <f t="shared" si="4"/>
        <v>247350</v>
      </c>
      <c r="AA37" s="43">
        <f t="shared" si="4"/>
        <v>247350</v>
      </c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</row>
    <row r="38" spans="1:77" s="52" customFormat="1" ht="16" x14ac:dyDescent="0.2">
      <c r="A38" s="50" t="s">
        <v>10</v>
      </c>
      <c r="B38" s="96">
        <f t="shared" ref="B38:AA38" si="5">SUM(B36:B37)</f>
        <v>0</v>
      </c>
      <c r="C38" s="96">
        <f t="shared" si="5"/>
        <v>673374</v>
      </c>
      <c r="D38" s="96">
        <f t="shared" si="5"/>
        <v>673374</v>
      </c>
      <c r="E38" s="96">
        <f t="shared" si="5"/>
        <v>673374</v>
      </c>
      <c r="F38" s="96">
        <f t="shared" si="5"/>
        <v>673374</v>
      </c>
      <c r="G38" s="96">
        <f t="shared" si="5"/>
        <v>673374</v>
      </c>
      <c r="H38" s="96">
        <f t="shared" si="5"/>
        <v>673374</v>
      </c>
      <c r="I38" s="96">
        <f t="shared" si="5"/>
        <v>673374</v>
      </c>
      <c r="J38" s="96">
        <f t="shared" si="5"/>
        <v>673374</v>
      </c>
      <c r="K38" s="96">
        <f t="shared" si="5"/>
        <v>673374</v>
      </c>
      <c r="L38" s="96">
        <f t="shared" si="5"/>
        <v>673374</v>
      </c>
      <c r="M38" s="96">
        <f t="shared" si="5"/>
        <v>673374</v>
      </c>
      <c r="N38" s="96">
        <f t="shared" si="5"/>
        <v>673374</v>
      </c>
      <c r="O38" s="96">
        <f t="shared" si="5"/>
        <v>673374</v>
      </c>
      <c r="P38" s="96">
        <f t="shared" si="5"/>
        <v>673374</v>
      </c>
      <c r="Q38" s="96">
        <f t="shared" si="5"/>
        <v>673374</v>
      </c>
      <c r="R38" s="96">
        <f t="shared" si="5"/>
        <v>673374</v>
      </c>
      <c r="S38" s="96">
        <f t="shared" si="5"/>
        <v>673374</v>
      </c>
      <c r="T38" s="96">
        <f t="shared" si="5"/>
        <v>673374</v>
      </c>
      <c r="U38" s="96">
        <f t="shared" si="5"/>
        <v>673374</v>
      </c>
      <c r="V38" s="96">
        <f t="shared" si="5"/>
        <v>673374</v>
      </c>
      <c r="W38" s="96">
        <f t="shared" si="5"/>
        <v>673374</v>
      </c>
      <c r="X38" s="96">
        <f t="shared" si="5"/>
        <v>673374</v>
      </c>
      <c r="Y38" s="96">
        <f t="shared" si="5"/>
        <v>673374</v>
      </c>
      <c r="Z38" s="96">
        <f t="shared" si="5"/>
        <v>673374</v>
      </c>
      <c r="AA38" s="96">
        <f t="shared" si="5"/>
        <v>673374</v>
      </c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</row>
    <row r="39" spans="1:77" s="59" customFormat="1" ht="16" x14ac:dyDescent="0.2">
      <c r="A39" s="57" t="s">
        <v>11</v>
      </c>
      <c r="B39" s="58">
        <f>-B35</f>
        <v>-2184000</v>
      </c>
      <c r="C39" s="58">
        <f t="shared" ref="C39:AA39" si="6">C38-C35</f>
        <v>591374</v>
      </c>
      <c r="D39" s="58">
        <f t="shared" si="6"/>
        <v>591374</v>
      </c>
      <c r="E39" s="58">
        <f t="shared" si="6"/>
        <v>591374</v>
      </c>
      <c r="F39" s="58">
        <f t="shared" si="6"/>
        <v>591374</v>
      </c>
      <c r="G39" s="58">
        <f t="shared" si="6"/>
        <v>591374</v>
      </c>
      <c r="H39" s="58">
        <f t="shared" si="6"/>
        <v>591374</v>
      </c>
      <c r="I39" s="58">
        <f t="shared" si="6"/>
        <v>591374</v>
      </c>
      <c r="J39" s="58">
        <f t="shared" si="6"/>
        <v>591374</v>
      </c>
      <c r="K39" s="58">
        <f t="shared" si="6"/>
        <v>591374</v>
      </c>
      <c r="L39" s="58">
        <f t="shared" si="6"/>
        <v>591374</v>
      </c>
      <c r="M39" s="58">
        <f t="shared" si="6"/>
        <v>591374</v>
      </c>
      <c r="N39" s="58">
        <f t="shared" si="6"/>
        <v>591374</v>
      </c>
      <c r="O39" s="58">
        <f t="shared" si="6"/>
        <v>591374</v>
      </c>
      <c r="P39" s="58">
        <f t="shared" si="6"/>
        <v>591374</v>
      </c>
      <c r="Q39" s="58">
        <f t="shared" si="6"/>
        <v>591374</v>
      </c>
      <c r="R39" s="58">
        <f t="shared" si="6"/>
        <v>591374</v>
      </c>
      <c r="S39" s="58">
        <f t="shared" si="6"/>
        <v>591374</v>
      </c>
      <c r="T39" s="58">
        <f t="shared" si="6"/>
        <v>591374</v>
      </c>
      <c r="U39" s="58">
        <f t="shared" si="6"/>
        <v>591374</v>
      </c>
      <c r="V39" s="58">
        <f t="shared" si="6"/>
        <v>591374</v>
      </c>
      <c r="W39" s="58">
        <f t="shared" si="6"/>
        <v>591374</v>
      </c>
      <c r="X39" s="58">
        <f t="shared" si="6"/>
        <v>591374</v>
      </c>
      <c r="Y39" s="58">
        <f t="shared" si="6"/>
        <v>591374</v>
      </c>
      <c r="Z39" s="58">
        <f t="shared" si="6"/>
        <v>591374</v>
      </c>
      <c r="AA39" s="58">
        <f t="shared" si="6"/>
        <v>591374</v>
      </c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</row>
    <row r="40" spans="1:77" s="62" customFormat="1" ht="16" x14ac:dyDescent="0.2">
      <c r="A40" s="60" t="s">
        <v>37</v>
      </c>
      <c r="B40" s="61">
        <f t="array" ref="B40">NPV(0.035,C39:AA39)+ B39</f>
        <v>7562739.2104985844</v>
      </c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20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</row>
    <row r="41" spans="1:77" ht="16" x14ac:dyDescent="0.2">
      <c r="A41" s="104" t="s">
        <v>32</v>
      </c>
      <c r="B41" s="221">
        <f t="array" ref="B41">(300*B33)/NPV(0.035, C39:AA39)</f>
        <v>67.222481883403532</v>
      </c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6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</row>
    <row r="42" spans="1:77" ht="16" x14ac:dyDescent="0.2">
      <c r="A42" s="63" t="s">
        <v>38</v>
      </c>
      <c r="B42" s="222">
        <f>IRR(B39:AA39)</f>
        <v>0.27008895836522084</v>
      </c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</row>
    <row r="43" spans="1:77" ht="15.75" customHeight="1" x14ac:dyDescent="0.2">
      <c r="A43" s="106" t="s">
        <v>39</v>
      </c>
      <c r="B43" s="223">
        <f t="array" ref="B43">(NPV(0.035, C38:AA38))/(NPV(0.035,C35:AA35))</f>
        <v>8.2118780487804912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</row>
    <row r="44" spans="1:77" ht="16" x14ac:dyDescent="0.2">
      <c r="A44" s="212"/>
      <c r="B44" s="224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</row>
    <row r="45" spans="1:77" ht="16" x14ac:dyDescent="0.2">
      <c r="A45" s="123"/>
      <c r="B45" s="206"/>
    </row>
    <row r="47" spans="1:77" s="45" customFormat="1" ht="23" customHeight="1" x14ac:dyDescent="0.2">
      <c r="A47" s="243" t="s">
        <v>60</v>
      </c>
      <c r="B47" s="13"/>
      <c r="C47" s="13"/>
    </row>
    <row r="49" spans="1:89" ht="16" x14ac:dyDescent="0.2">
      <c r="A49" s="79" t="s">
        <v>28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</row>
    <row r="50" spans="1:89" s="45" customFormat="1" ht="16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</row>
    <row r="51" spans="1:89" ht="16" x14ac:dyDescent="0.2">
      <c r="A51" s="226" t="s">
        <v>61</v>
      </c>
      <c r="B51" s="226">
        <v>2</v>
      </c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</row>
    <row r="52" spans="1:89" ht="16" x14ac:dyDescent="0.2">
      <c r="A52" s="229" t="s">
        <v>62</v>
      </c>
      <c r="B52" s="229">
        <f>B51*B53</f>
        <v>8000</v>
      </c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</row>
    <row r="53" spans="1:89" ht="16" x14ac:dyDescent="0.2">
      <c r="A53" s="226" t="s">
        <v>63</v>
      </c>
      <c r="B53" s="226">
        <v>4000</v>
      </c>
      <c r="C53" s="208"/>
      <c r="D53" s="208"/>
      <c r="E53" s="208"/>
      <c r="F53" s="208"/>
      <c r="G53" s="48"/>
      <c r="H53" s="48"/>
      <c r="I53" s="48"/>
      <c r="J53" s="208"/>
      <c r="K53" s="208"/>
      <c r="L53" s="208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</row>
    <row r="54" spans="1:89" ht="16" x14ac:dyDescent="0.2">
      <c r="A54" s="230" t="s">
        <v>64</v>
      </c>
      <c r="B54" s="230">
        <f>2191</f>
        <v>2191</v>
      </c>
      <c r="C54" s="208"/>
      <c r="D54" s="226" t="s">
        <v>17</v>
      </c>
      <c r="E54" s="226"/>
      <c r="F54" s="208"/>
      <c r="G54" s="48"/>
      <c r="H54" s="48"/>
      <c r="I54" s="48"/>
      <c r="J54" s="208"/>
      <c r="K54" s="208"/>
      <c r="L54" s="208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</row>
    <row r="55" spans="1:89" ht="16" x14ac:dyDescent="0.2">
      <c r="A55" s="227" t="s">
        <v>65</v>
      </c>
      <c r="B55" s="227">
        <f>2191*1000*2</f>
        <v>4382000</v>
      </c>
      <c r="C55" s="208"/>
      <c r="D55" s="230" t="s">
        <v>19</v>
      </c>
      <c r="E55" s="230">
        <v>743</v>
      </c>
      <c r="F55" s="208"/>
      <c r="G55" s="48"/>
      <c r="H55" s="45"/>
      <c r="I55" s="48"/>
      <c r="J55" s="208"/>
      <c r="K55" s="208"/>
      <c r="L55" s="208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</row>
    <row r="56" spans="1:89" ht="16" x14ac:dyDescent="0.2">
      <c r="A56" s="230" t="s">
        <v>66</v>
      </c>
      <c r="B56" s="230">
        <f>132</f>
        <v>132</v>
      </c>
      <c r="C56" s="208"/>
      <c r="D56" s="226" t="s">
        <v>21</v>
      </c>
      <c r="E56" s="226">
        <v>7.4299999999999995E-4</v>
      </c>
      <c r="F56" s="208"/>
      <c r="G56" s="45"/>
      <c r="H56" s="48"/>
      <c r="I56" s="48"/>
      <c r="J56" s="208"/>
      <c r="K56" s="208"/>
      <c r="L56" s="208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</row>
    <row r="57" spans="1:89" ht="16" x14ac:dyDescent="0.2">
      <c r="A57" s="227" t="s">
        <v>67</v>
      </c>
      <c r="B57" s="227">
        <f>B56*2*1000</f>
        <v>264000</v>
      </c>
      <c r="C57" s="208"/>
      <c r="D57" s="230" t="s">
        <v>23</v>
      </c>
      <c r="E57" s="230">
        <v>0.74299999999999999</v>
      </c>
      <c r="F57" s="208"/>
      <c r="G57" s="48"/>
      <c r="H57" s="48"/>
      <c r="I57" s="48"/>
      <c r="J57" s="208"/>
      <c r="K57" s="208"/>
      <c r="L57" s="208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</row>
    <row r="58" spans="1:89" ht="16" x14ac:dyDescent="0.2">
      <c r="A58" s="230" t="s">
        <v>68</v>
      </c>
      <c r="B58" s="230">
        <f>175</f>
        <v>175</v>
      </c>
      <c r="C58" s="208"/>
      <c r="D58" s="227" t="s">
        <v>25</v>
      </c>
      <c r="E58" s="227">
        <f>E57*8000</f>
        <v>5944</v>
      </c>
      <c r="F58" s="208"/>
      <c r="G58" s="48"/>
      <c r="H58" s="48"/>
      <c r="I58" s="48"/>
      <c r="J58" s="208"/>
      <c r="K58" s="208"/>
      <c r="L58" s="208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</row>
    <row r="59" spans="1:89" ht="16" x14ac:dyDescent="0.2">
      <c r="A59" s="227" t="s">
        <v>69</v>
      </c>
      <c r="B59" s="227">
        <f>B58*8000</f>
        <v>1400000</v>
      </c>
      <c r="C59" s="208"/>
      <c r="D59" s="285" t="s">
        <v>70</v>
      </c>
      <c r="E59" s="285"/>
      <c r="F59" s="208"/>
      <c r="G59" s="48"/>
      <c r="H59" s="48"/>
      <c r="I59" s="48"/>
      <c r="J59" s="208"/>
      <c r="K59" s="208"/>
      <c r="L59" s="208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</row>
    <row r="60" spans="1:89" ht="16" x14ac:dyDescent="0.2">
      <c r="A60" s="230" t="s">
        <v>71</v>
      </c>
      <c r="B60" s="230">
        <f>743</f>
        <v>743</v>
      </c>
      <c r="C60" s="208"/>
      <c r="D60" s="208"/>
      <c r="E60" s="208"/>
      <c r="F60" s="208"/>
      <c r="G60" s="48"/>
      <c r="H60" s="48"/>
      <c r="I60" s="48"/>
      <c r="J60" s="208"/>
      <c r="K60" s="208"/>
      <c r="L60" s="208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</row>
    <row r="61" spans="1:89" ht="16" x14ac:dyDescent="0.2">
      <c r="A61" s="207"/>
      <c r="B61" s="208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</row>
    <row r="62" spans="1:89" ht="16" x14ac:dyDescent="0.2">
      <c r="A62" s="286" t="s">
        <v>92</v>
      </c>
      <c r="B62" s="286"/>
      <c r="C62" s="179">
        <v>60</v>
      </c>
      <c r="E62" s="208"/>
      <c r="F62" s="208"/>
      <c r="G62" s="208"/>
      <c r="H62" s="208"/>
      <c r="I62" s="208"/>
      <c r="J62" s="208"/>
      <c r="K62" s="208"/>
      <c r="L62" s="208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</row>
    <row r="63" spans="1:89" ht="16" x14ac:dyDescent="0.2"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</row>
    <row r="64" spans="1:89" ht="16" x14ac:dyDescent="0.2">
      <c r="A64" s="275" t="s">
        <v>87</v>
      </c>
      <c r="B64" s="276" t="s">
        <v>2</v>
      </c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306"/>
      <c r="AH64" s="306"/>
      <c r="AI64" s="48"/>
      <c r="AJ64" s="45"/>
      <c r="AK64" s="45"/>
      <c r="AL64" s="45"/>
      <c r="AM64" s="45"/>
      <c r="AN64" s="45"/>
      <c r="AO64" s="45"/>
      <c r="AP64" s="306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</row>
    <row r="65" spans="1:89" s="171" customFormat="1" ht="16" x14ac:dyDescent="0.2">
      <c r="A65" s="275"/>
      <c r="B65" s="183">
        <v>0</v>
      </c>
      <c r="C65" s="183">
        <v>1</v>
      </c>
      <c r="D65" s="183">
        <v>2</v>
      </c>
      <c r="E65" s="183">
        <v>3</v>
      </c>
      <c r="F65" s="183">
        <v>4</v>
      </c>
      <c r="G65" s="183">
        <v>5</v>
      </c>
      <c r="H65" s="183">
        <v>6</v>
      </c>
      <c r="I65" s="183">
        <v>7</v>
      </c>
      <c r="J65" s="183">
        <v>8</v>
      </c>
      <c r="K65" s="183">
        <v>9</v>
      </c>
      <c r="L65" s="183">
        <v>10</v>
      </c>
      <c r="M65" s="183">
        <v>11</v>
      </c>
      <c r="N65" s="183">
        <v>12</v>
      </c>
      <c r="O65" s="183">
        <v>13</v>
      </c>
      <c r="P65" s="183">
        <v>14</v>
      </c>
      <c r="Q65" s="183">
        <v>15</v>
      </c>
      <c r="R65" s="183">
        <v>16</v>
      </c>
      <c r="S65" s="183">
        <v>17</v>
      </c>
      <c r="T65" s="183">
        <v>18</v>
      </c>
      <c r="U65" s="183">
        <v>19</v>
      </c>
      <c r="V65" s="183">
        <v>20</v>
      </c>
      <c r="W65" s="183">
        <v>21</v>
      </c>
      <c r="X65" s="183">
        <v>22</v>
      </c>
      <c r="Y65" s="183">
        <v>23</v>
      </c>
      <c r="Z65" s="183">
        <v>24</v>
      </c>
      <c r="AA65" s="183">
        <v>25</v>
      </c>
      <c r="AB65" s="183">
        <v>26</v>
      </c>
      <c r="AC65" s="183">
        <v>27</v>
      </c>
      <c r="AD65" s="183">
        <v>28</v>
      </c>
      <c r="AE65" s="183">
        <v>29</v>
      </c>
      <c r="AF65" s="183">
        <v>30</v>
      </c>
      <c r="AG65" s="307"/>
      <c r="AH65" s="307"/>
      <c r="AI65" s="307"/>
      <c r="AJ65" s="307"/>
      <c r="AK65" s="307"/>
      <c r="AL65" s="307"/>
      <c r="AM65" s="307"/>
      <c r="AN65" s="307"/>
      <c r="AO65" s="307"/>
      <c r="AP65" s="307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</row>
    <row r="66" spans="1:89" ht="16" x14ac:dyDescent="0.2">
      <c r="A66" s="49" t="s">
        <v>29</v>
      </c>
      <c r="B66" s="43">
        <f>$B$55</f>
        <v>4382000</v>
      </c>
      <c r="C66" s="43">
        <v>0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/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305"/>
      <c r="AH66" s="305"/>
      <c r="AI66" s="305"/>
      <c r="AJ66" s="305"/>
      <c r="AK66" s="305"/>
      <c r="AL66" s="305"/>
      <c r="AM66" s="305"/>
      <c r="AN66" s="305"/>
      <c r="AO66" s="305"/>
      <c r="AP66" s="30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</row>
    <row r="67" spans="1:89" ht="16" x14ac:dyDescent="0.2">
      <c r="A67" s="49" t="s">
        <v>16</v>
      </c>
      <c r="B67" s="43"/>
      <c r="C67" s="43">
        <f t="shared" ref="C67:AF67" si="7">$B$57</f>
        <v>264000</v>
      </c>
      <c r="D67" s="43">
        <f t="shared" si="7"/>
        <v>264000</v>
      </c>
      <c r="E67" s="43">
        <f t="shared" si="7"/>
        <v>264000</v>
      </c>
      <c r="F67" s="43">
        <f t="shared" si="7"/>
        <v>264000</v>
      </c>
      <c r="G67" s="43">
        <f t="shared" si="7"/>
        <v>264000</v>
      </c>
      <c r="H67" s="43">
        <f t="shared" si="7"/>
        <v>264000</v>
      </c>
      <c r="I67" s="43">
        <f t="shared" si="7"/>
        <v>264000</v>
      </c>
      <c r="J67" s="43">
        <f t="shared" si="7"/>
        <v>264000</v>
      </c>
      <c r="K67" s="43">
        <f t="shared" si="7"/>
        <v>264000</v>
      </c>
      <c r="L67" s="43">
        <f t="shared" si="7"/>
        <v>264000</v>
      </c>
      <c r="M67" s="43">
        <f t="shared" si="7"/>
        <v>264000</v>
      </c>
      <c r="N67" s="43">
        <f t="shared" si="7"/>
        <v>264000</v>
      </c>
      <c r="O67" s="43">
        <f t="shared" si="7"/>
        <v>264000</v>
      </c>
      <c r="P67" s="43">
        <f t="shared" si="7"/>
        <v>264000</v>
      </c>
      <c r="Q67" s="43">
        <f t="shared" si="7"/>
        <v>264000</v>
      </c>
      <c r="R67" s="43">
        <f t="shared" si="7"/>
        <v>264000</v>
      </c>
      <c r="S67" s="43">
        <f t="shared" si="7"/>
        <v>264000</v>
      </c>
      <c r="T67" s="43">
        <f t="shared" si="7"/>
        <v>264000</v>
      </c>
      <c r="U67" s="43">
        <f t="shared" si="7"/>
        <v>264000</v>
      </c>
      <c r="V67" s="43">
        <f t="shared" si="7"/>
        <v>264000</v>
      </c>
      <c r="W67" s="43">
        <f t="shared" si="7"/>
        <v>264000</v>
      </c>
      <c r="X67" s="43">
        <f t="shared" si="7"/>
        <v>264000</v>
      </c>
      <c r="Y67" s="43">
        <f t="shared" si="7"/>
        <v>264000</v>
      </c>
      <c r="Z67" s="43">
        <f t="shared" si="7"/>
        <v>264000</v>
      </c>
      <c r="AA67" s="43">
        <f t="shared" si="7"/>
        <v>264000</v>
      </c>
      <c r="AB67" s="43">
        <f t="shared" si="7"/>
        <v>264000</v>
      </c>
      <c r="AC67" s="43">
        <f t="shared" si="7"/>
        <v>264000</v>
      </c>
      <c r="AD67" s="43">
        <f t="shared" si="7"/>
        <v>264000</v>
      </c>
      <c r="AE67" s="43">
        <f t="shared" si="7"/>
        <v>264000</v>
      </c>
      <c r="AF67" s="43">
        <f t="shared" si="7"/>
        <v>264000</v>
      </c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</row>
    <row r="68" spans="1:89" s="52" customFormat="1" ht="16" x14ac:dyDescent="0.2">
      <c r="A68" s="50" t="s">
        <v>8</v>
      </c>
      <c r="B68" s="51">
        <f>B66</f>
        <v>4382000</v>
      </c>
      <c r="C68" s="51">
        <f t="shared" ref="C68:AF68" si="8">SUM(C66:C67)</f>
        <v>264000</v>
      </c>
      <c r="D68" s="51">
        <f t="shared" si="8"/>
        <v>264000</v>
      </c>
      <c r="E68" s="51">
        <f t="shared" si="8"/>
        <v>264000</v>
      </c>
      <c r="F68" s="51">
        <f t="shared" si="8"/>
        <v>264000</v>
      </c>
      <c r="G68" s="51">
        <f t="shared" si="8"/>
        <v>264000</v>
      </c>
      <c r="H68" s="51">
        <f t="shared" si="8"/>
        <v>264000</v>
      </c>
      <c r="I68" s="51">
        <f t="shared" si="8"/>
        <v>264000</v>
      </c>
      <c r="J68" s="51">
        <f t="shared" si="8"/>
        <v>264000</v>
      </c>
      <c r="K68" s="51">
        <f t="shared" si="8"/>
        <v>264000</v>
      </c>
      <c r="L68" s="51">
        <f t="shared" si="8"/>
        <v>264000</v>
      </c>
      <c r="M68" s="51">
        <f t="shared" si="8"/>
        <v>264000</v>
      </c>
      <c r="N68" s="51">
        <f t="shared" si="8"/>
        <v>264000</v>
      </c>
      <c r="O68" s="51">
        <f t="shared" si="8"/>
        <v>264000</v>
      </c>
      <c r="P68" s="51">
        <f t="shared" si="8"/>
        <v>264000</v>
      </c>
      <c r="Q68" s="51">
        <f t="shared" si="8"/>
        <v>264000</v>
      </c>
      <c r="R68" s="51">
        <f t="shared" si="8"/>
        <v>264000</v>
      </c>
      <c r="S68" s="51">
        <f t="shared" si="8"/>
        <v>264000</v>
      </c>
      <c r="T68" s="51">
        <f t="shared" si="8"/>
        <v>264000</v>
      </c>
      <c r="U68" s="51">
        <f t="shared" si="8"/>
        <v>264000</v>
      </c>
      <c r="V68" s="51">
        <f t="shared" si="8"/>
        <v>264000</v>
      </c>
      <c r="W68" s="51">
        <f t="shared" si="8"/>
        <v>264000</v>
      </c>
      <c r="X68" s="51">
        <f t="shared" si="8"/>
        <v>264000</v>
      </c>
      <c r="Y68" s="51">
        <f t="shared" si="8"/>
        <v>264000</v>
      </c>
      <c r="Z68" s="51">
        <f t="shared" si="8"/>
        <v>264000</v>
      </c>
      <c r="AA68" s="51">
        <f t="shared" si="8"/>
        <v>264000</v>
      </c>
      <c r="AB68" s="51">
        <f t="shared" si="8"/>
        <v>264000</v>
      </c>
      <c r="AC68" s="51">
        <f t="shared" si="8"/>
        <v>264000</v>
      </c>
      <c r="AD68" s="51">
        <f t="shared" si="8"/>
        <v>264000</v>
      </c>
      <c r="AE68" s="51">
        <f t="shared" si="8"/>
        <v>264000</v>
      </c>
      <c r="AF68" s="51">
        <f t="shared" si="8"/>
        <v>264000</v>
      </c>
      <c r="AG68" s="305"/>
      <c r="AH68" s="305"/>
      <c r="AI68" s="305"/>
      <c r="AJ68" s="305"/>
      <c r="AK68" s="305"/>
      <c r="AL68" s="305"/>
      <c r="AM68" s="305"/>
      <c r="AN68" s="305"/>
      <c r="AO68" s="305"/>
      <c r="AP68" s="30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</row>
    <row r="69" spans="1:89" ht="16" x14ac:dyDescent="0.2">
      <c r="A69" s="49" t="s">
        <v>30</v>
      </c>
      <c r="B69" s="53"/>
      <c r="C69" s="43">
        <f t="shared" ref="C69:AF69" si="9">$B$59</f>
        <v>1400000</v>
      </c>
      <c r="D69" s="43">
        <f t="shared" si="9"/>
        <v>1400000</v>
      </c>
      <c r="E69" s="43">
        <f t="shared" si="9"/>
        <v>1400000</v>
      </c>
      <c r="F69" s="43">
        <f t="shared" si="9"/>
        <v>1400000</v>
      </c>
      <c r="G69" s="43">
        <f t="shared" si="9"/>
        <v>1400000</v>
      </c>
      <c r="H69" s="43">
        <f t="shared" si="9"/>
        <v>1400000</v>
      </c>
      <c r="I69" s="43">
        <f t="shared" si="9"/>
        <v>1400000</v>
      </c>
      <c r="J69" s="43">
        <f t="shared" si="9"/>
        <v>1400000</v>
      </c>
      <c r="K69" s="43">
        <f t="shared" si="9"/>
        <v>1400000</v>
      </c>
      <c r="L69" s="43">
        <f t="shared" si="9"/>
        <v>1400000</v>
      </c>
      <c r="M69" s="43">
        <f t="shared" si="9"/>
        <v>1400000</v>
      </c>
      <c r="N69" s="43">
        <f t="shared" si="9"/>
        <v>1400000</v>
      </c>
      <c r="O69" s="43">
        <f t="shared" si="9"/>
        <v>1400000</v>
      </c>
      <c r="P69" s="43">
        <f t="shared" si="9"/>
        <v>1400000</v>
      </c>
      <c r="Q69" s="43">
        <f t="shared" si="9"/>
        <v>1400000</v>
      </c>
      <c r="R69" s="43">
        <f t="shared" si="9"/>
        <v>1400000</v>
      </c>
      <c r="S69" s="43">
        <f t="shared" si="9"/>
        <v>1400000</v>
      </c>
      <c r="T69" s="43">
        <f t="shared" si="9"/>
        <v>1400000</v>
      </c>
      <c r="U69" s="43">
        <f t="shared" si="9"/>
        <v>1400000</v>
      </c>
      <c r="V69" s="43">
        <f t="shared" si="9"/>
        <v>1400000</v>
      </c>
      <c r="W69" s="43">
        <f t="shared" si="9"/>
        <v>1400000</v>
      </c>
      <c r="X69" s="43">
        <f t="shared" si="9"/>
        <v>1400000</v>
      </c>
      <c r="Y69" s="43">
        <f t="shared" si="9"/>
        <v>1400000</v>
      </c>
      <c r="Z69" s="43">
        <f t="shared" si="9"/>
        <v>1400000</v>
      </c>
      <c r="AA69" s="43">
        <f t="shared" si="9"/>
        <v>1400000</v>
      </c>
      <c r="AB69" s="43">
        <f t="shared" si="9"/>
        <v>1400000</v>
      </c>
      <c r="AC69" s="43">
        <f t="shared" si="9"/>
        <v>1400000</v>
      </c>
      <c r="AD69" s="43">
        <f t="shared" si="9"/>
        <v>1400000</v>
      </c>
      <c r="AE69" s="43">
        <f t="shared" si="9"/>
        <v>1400000</v>
      </c>
      <c r="AF69" s="43">
        <f t="shared" si="9"/>
        <v>1400000</v>
      </c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spans="1:89" s="52" customFormat="1" ht="16" x14ac:dyDescent="0.2">
      <c r="A70" s="54" t="s">
        <v>10</v>
      </c>
      <c r="B70" s="55"/>
      <c r="C70" s="56">
        <f>C69</f>
        <v>1400000</v>
      </c>
      <c r="D70" s="56">
        <f t="shared" ref="D70:AF70" si="10">D69</f>
        <v>1400000</v>
      </c>
      <c r="E70" s="56">
        <f t="shared" si="10"/>
        <v>1400000</v>
      </c>
      <c r="F70" s="56">
        <f t="shared" si="10"/>
        <v>1400000</v>
      </c>
      <c r="G70" s="56">
        <f t="shared" si="10"/>
        <v>1400000</v>
      </c>
      <c r="H70" s="56">
        <f t="shared" si="10"/>
        <v>1400000</v>
      </c>
      <c r="I70" s="56">
        <f t="shared" si="10"/>
        <v>1400000</v>
      </c>
      <c r="J70" s="56">
        <f t="shared" si="10"/>
        <v>1400000</v>
      </c>
      <c r="K70" s="56">
        <f t="shared" si="10"/>
        <v>1400000</v>
      </c>
      <c r="L70" s="56">
        <f t="shared" si="10"/>
        <v>1400000</v>
      </c>
      <c r="M70" s="56">
        <f t="shared" si="10"/>
        <v>1400000</v>
      </c>
      <c r="N70" s="56">
        <f t="shared" si="10"/>
        <v>1400000</v>
      </c>
      <c r="O70" s="56">
        <f t="shared" si="10"/>
        <v>1400000</v>
      </c>
      <c r="P70" s="56">
        <f t="shared" si="10"/>
        <v>1400000</v>
      </c>
      <c r="Q70" s="56">
        <f t="shared" si="10"/>
        <v>1400000</v>
      </c>
      <c r="R70" s="56">
        <f t="shared" si="10"/>
        <v>1400000</v>
      </c>
      <c r="S70" s="56">
        <f t="shared" si="10"/>
        <v>1400000</v>
      </c>
      <c r="T70" s="56">
        <f t="shared" si="10"/>
        <v>1400000</v>
      </c>
      <c r="U70" s="56">
        <f t="shared" si="10"/>
        <v>1400000</v>
      </c>
      <c r="V70" s="56">
        <f t="shared" si="10"/>
        <v>1400000</v>
      </c>
      <c r="W70" s="56">
        <f t="shared" si="10"/>
        <v>1400000</v>
      </c>
      <c r="X70" s="56">
        <f t="shared" si="10"/>
        <v>1400000</v>
      </c>
      <c r="Y70" s="56">
        <f t="shared" si="10"/>
        <v>1400000</v>
      </c>
      <c r="Z70" s="56">
        <f t="shared" si="10"/>
        <v>1400000</v>
      </c>
      <c r="AA70" s="56">
        <f t="shared" si="10"/>
        <v>1400000</v>
      </c>
      <c r="AB70" s="56">
        <f t="shared" si="10"/>
        <v>1400000</v>
      </c>
      <c r="AC70" s="56">
        <f t="shared" si="10"/>
        <v>1400000</v>
      </c>
      <c r="AD70" s="56">
        <f t="shared" si="10"/>
        <v>1400000</v>
      </c>
      <c r="AE70" s="56">
        <f t="shared" si="10"/>
        <v>1400000</v>
      </c>
      <c r="AF70" s="56">
        <f t="shared" si="10"/>
        <v>1400000</v>
      </c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</row>
    <row r="71" spans="1:89" s="59" customFormat="1" ht="16" x14ac:dyDescent="0.2">
      <c r="A71" s="57" t="s">
        <v>11</v>
      </c>
      <c r="B71" s="58">
        <f>-B68</f>
        <v>-4382000</v>
      </c>
      <c r="C71" s="58">
        <f t="shared" ref="C71:AF71" si="11">C69-C68</f>
        <v>1136000</v>
      </c>
      <c r="D71" s="58">
        <f t="shared" si="11"/>
        <v>1136000</v>
      </c>
      <c r="E71" s="58">
        <f t="shared" si="11"/>
        <v>1136000</v>
      </c>
      <c r="F71" s="58">
        <f t="shared" si="11"/>
        <v>1136000</v>
      </c>
      <c r="G71" s="58">
        <f t="shared" si="11"/>
        <v>1136000</v>
      </c>
      <c r="H71" s="58">
        <f t="shared" si="11"/>
        <v>1136000</v>
      </c>
      <c r="I71" s="58">
        <f t="shared" si="11"/>
        <v>1136000</v>
      </c>
      <c r="J71" s="58">
        <f t="shared" si="11"/>
        <v>1136000</v>
      </c>
      <c r="K71" s="58">
        <f t="shared" si="11"/>
        <v>1136000</v>
      </c>
      <c r="L71" s="58">
        <f t="shared" si="11"/>
        <v>1136000</v>
      </c>
      <c r="M71" s="58">
        <f t="shared" si="11"/>
        <v>1136000</v>
      </c>
      <c r="N71" s="58">
        <f t="shared" si="11"/>
        <v>1136000</v>
      </c>
      <c r="O71" s="58">
        <f t="shared" si="11"/>
        <v>1136000</v>
      </c>
      <c r="P71" s="58">
        <f t="shared" si="11"/>
        <v>1136000</v>
      </c>
      <c r="Q71" s="58">
        <f t="shared" si="11"/>
        <v>1136000</v>
      </c>
      <c r="R71" s="58">
        <f t="shared" si="11"/>
        <v>1136000</v>
      </c>
      <c r="S71" s="58">
        <f t="shared" si="11"/>
        <v>1136000</v>
      </c>
      <c r="T71" s="58">
        <f t="shared" si="11"/>
        <v>1136000</v>
      </c>
      <c r="U71" s="58">
        <f t="shared" si="11"/>
        <v>1136000</v>
      </c>
      <c r="V71" s="58">
        <f t="shared" si="11"/>
        <v>1136000</v>
      </c>
      <c r="W71" s="58">
        <f t="shared" si="11"/>
        <v>1136000</v>
      </c>
      <c r="X71" s="58">
        <f t="shared" si="11"/>
        <v>1136000</v>
      </c>
      <c r="Y71" s="58">
        <f t="shared" si="11"/>
        <v>1136000</v>
      </c>
      <c r="Z71" s="58">
        <f t="shared" si="11"/>
        <v>1136000</v>
      </c>
      <c r="AA71" s="58">
        <f t="shared" si="11"/>
        <v>1136000</v>
      </c>
      <c r="AB71" s="58">
        <f t="shared" si="11"/>
        <v>1136000</v>
      </c>
      <c r="AC71" s="58">
        <f t="shared" si="11"/>
        <v>1136000</v>
      </c>
      <c r="AD71" s="58">
        <f t="shared" si="11"/>
        <v>1136000</v>
      </c>
      <c r="AE71" s="58">
        <f t="shared" si="11"/>
        <v>1136000</v>
      </c>
      <c r="AF71" s="58">
        <f t="shared" si="11"/>
        <v>1136000</v>
      </c>
      <c r="AG71" s="305"/>
      <c r="AH71" s="305"/>
      <c r="AI71" s="305"/>
      <c r="AJ71" s="305"/>
      <c r="AK71" s="305"/>
      <c r="AL71" s="305"/>
      <c r="AM71" s="305"/>
      <c r="AN71" s="305"/>
      <c r="AO71" s="305"/>
      <c r="AP71" s="30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</row>
    <row r="72" spans="1:89" s="62" customFormat="1" ht="16" x14ac:dyDescent="0.2">
      <c r="A72" s="60" t="s">
        <v>31</v>
      </c>
      <c r="B72" s="61">
        <f t="array" ref="B72">NPV(0.05,C71:AF71)+B71</f>
        <v>13081104.36653889</v>
      </c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4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83"/>
      <c r="AH72" s="83"/>
      <c r="AI72" s="83"/>
      <c r="AJ72" s="83"/>
      <c r="AK72" s="83"/>
      <c r="AL72" s="84"/>
      <c r="AM72" s="83"/>
      <c r="AN72" s="83"/>
      <c r="AO72" s="83"/>
      <c r="AP72" s="83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</row>
    <row r="73" spans="1:89" ht="16" x14ac:dyDescent="0.2">
      <c r="A73" s="105" t="s">
        <v>32</v>
      </c>
      <c r="B73" s="232">
        <f t="array" ref="B73">(360*B66)/NPV(0.05, C71:AF71)</f>
        <v>90.334454109012327</v>
      </c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</row>
    <row r="74" spans="1:89" ht="16" x14ac:dyDescent="0.2">
      <c r="A74" s="64" t="s">
        <v>33</v>
      </c>
      <c r="B74" s="233">
        <f>IRR(B71:AF71)</f>
        <v>0.25898347115126552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</row>
    <row r="75" spans="1:89" ht="16" x14ac:dyDescent="0.2">
      <c r="A75" s="106" t="s">
        <v>39</v>
      </c>
      <c r="B75" s="232">
        <f t="array" ref="B75">(NPV(0.05, C69:AF69))/(NPV(0.05, C68:AF68))</f>
        <v>5.3030303030303028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</row>
    <row r="76" spans="1:89" ht="16" x14ac:dyDescent="0.2">
      <c r="A76" s="212"/>
      <c r="B76" s="224"/>
      <c r="C76" s="92"/>
      <c r="D76" s="92"/>
      <c r="E76" s="92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</row>
    <row r="77" spans="1:89" ht="16" x14ac:dyDescent="0.2">
      <c r="A77" s="123"/>
      <c r="B77" s="206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</row>
    <row r="78" spans="1:89" ht="16" x14ac:dyDescent="0.2">
      <c r="A78" s="79" t="s">
        <v>35</v>
      </c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</row>
    <row r="79" spans="1:89" ht="16" x14ac:dyDescent="0.2"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</row>
    <row r="80" spans="1:89" ht="16" x14ac:dyDescent="0.2">
      <c r="A80" s="275" t="s">
        <v>88</v>
      </c>
      <c r="B80" s="276" t="s">
        <v>2</v>
      </c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  <c r="AE80" s="276"/>
      <c r="AF80" s="276"/>
      <c r="AG80" s="86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</row>
    <row r="81" spans="1:89" ht="16" x14ac:dyDescent="0.2">
      <c r="A81" s="275"/>
      <c r="B81" s="75">
        <v>0</v>
      </c>
      <c r="C81" s="75">
        <v>1</v>
      </c>
      <c r="D81" s="75">
        <v>2</v>
      </c>
      <c r="E81" s="75">
        <v>3</v>
      </c>
      <c r="F81" s="75">
        <v>4</v>
      </c>
      <c r="G81" s="75">
        <v>5</v>
      </c>
      <c r="H81" s="75">
        <v>6</v>
      </c>
      <c r="I81" s="75">
        <v>7</v>
      </c>
      <c r="J81" s="75">
        <v>8</v>
      </c>
      <c r="K81" s="75">
        <v>9</v>
      </c>
      <c r="L81" s="75">
        <v>10</v>
      </c>
      <c r="M81" s="75">
        <v>11</v>
      </c>
      <c r="N81" s="75">
        <v>12</v>
      </c>
      <c r="O81" s="75">
        <v>13</v>
      </c>
      <c r="P81" s="75">
        <v>14</v>
      </c>
      <c r="Q81" s="75">
        <v>15</v>
      </c>
      <c r="R81" s="75">
        <v>16</v>
      </c>
      <c r="S81" s="75">
        <v>17</v>
      </c>
      <c r="T81" s="75">
        <v>18</v>
      </c>
      <c r="U81" s="75">
        <v>19</v>
      </c>
      <c r="V81" s="75">
        <v>20</v>
      </c>
      <c r="W81" s="75">
        <v>21</v>
      </c>
      <c r="X81" s="75">
        <v>22</v>
      </c>
      <c r="Y81" s="75">
        <v>23</v>
      </c>
      <c r="Z81" s="75">
        <v>24</v>
      </c>
      <c r="AA81" s="75">
        <v>25</v>
      </c>
      <c r="AB81" s="75">
        <v>26</v>
      </c>
      <c r="AC81" s="75">
        <v>27</v>
      </c>
      <c r="AD81" s="75">
        <v>28</v>
      </c>
      <c r="AE81" s="75">
        <v>29</v>
      </c>
      <c r="AF81" s="75">
        <v>30</v>
      </c>
      <c r="AG81" s="307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</row>
    <row r="82" spans="1:89" ht="16" x14ac:dyDescent="0.2">
      <c r="A82" s="49" t="s">
        <v>29</v>
      </c>
      <c r="B82" s="43">
        <f>$B$55</f>
        <v>4382000</v>
      </c>
      <c r="C82" s="43">
        <v>0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/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30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</row>
    <row r="83" spans="1:89" ht="16" x14ac:dyDescent="0.2">
      <c r="A83" s="49" t="s">
        <v>16</v>
      </c>
      <c r="B83" s="43"/>
      <c r="C83" s="43">
        <f t="shared" ref="C83:AF83" si="12">$B$57</f>
        <v>264000</v>
      </c>
      <c r="D83" s="43">
        <f t="shared" si="12"/>
        <v>264000</v>
      </c>
      <c r="E83" s="43">
        <f t="shared" si="12"/>
        <v>264000</v>
      </c>
      <c r="F83" s="43">
        <f t="shared" si="12"/>
        <v>264000</v>
      </c>
      <c r="G83" s="43">
        <f t="shared" si="12"/>
        <v>264000</v>
      </c>
      <c r="H83" s="43">
        <f t="shared" si="12"/>
        <v>264000</v>
      </c>
      <c r="I83" s="43">
        <f t="shared" si="12"/>
        <v>264000</v>
      </c>
      <c r="J83" s="43">
        <f t="shared" si="12"/>
        <v>264000</v>
      </c>
      <c r="K83" s="43">
        <f t="shared" si="12"/>
        <v>264000</v>
      </c>
      <c r="L83" s="43">
        <f t="shared" si="12"/>
        <v>264000</v>
      </c>
      <c r="M83" s="43">
        <f t="shared" si="12"/>
        <v>264000</v>
      </c>
      <c r="N83" s="43">
        <f t="shared" si="12"/>
        <v>264000</v>
      </c>
      <c r="O83" s="43">
        <f t="shared" si="12"/>
        <v>264000</v>
      </c>
      <c r="P83" s="43">
        <f t="shared" si="12"/>
        <v>264000</v>
      </c>
      <c r="Q83" s="43">
        <f t="shared" si="12"/>
        <v>264000</v>
      </c>
      <c r="R83" s="43">
        <f t="shared" si="12"/>
        <v>264000</v>
      </c>
      <c r="S83" s="43">
        <f t="shared" si="12"/>
        <v>264000</v>
      </c>
      <c r="T83" s="43">
        <f t="shared" si="12"/>
        <v>264000</v>
      </c>
      <c r="U83" s="43">
        <f t="shared" si="12"/>
        <v>264000</v>
      </c>
      <c r="V83" s="43">
        <f t="shared" si="12"/>
        <v>264000</v>
      </c>
      <c r="W83" s="43">
        <f t="shared" si="12"/>
        <v>264000</v>
      </c>
      <c r="X83" s="43">
        <f t="shared" si="12"/>
        <v>264000</v>
      </c>
      <c r="Y83" s="43">
        <f t="shared" si="12"/>
        <v>264000</v>
      </c>
      <c r="Z83" s="43">
        <f t="shared" si="12"/>
        <v>264000</v>
      </c>
      <c r="AA83" s="43">
        <f t="shared" si="12"/>
        <v>264000</v>
      </c>
      <c r="AB83" s="43">
        <f t="shared" si="12"/>
        <v>264000</v>
      </c>
      <c r="AC83" s="43">
        <f t="shared" si="12"/>
        <v>264000</v>
      </c>
      <c r="AD83" s="43">
        <f t="shared" si="12"/>
        <v>264000</v>
      </c>
      <c r="AE83" s="43">
        <f t="shared" si="12"/>
        <v>264000</v>
      </c>
      <c r="AF83" s="43">
        <f t="shared" si="12"/>
        <v>264000</v>
      </c>
      <c r="AG83" s="8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</row>
    <row r="84" spans="1:89" s="52" customFormat="1" ht="16" x14ac:dyDescent="0.2">
      <c r="A84" s="50" t="s">
        <v>8</v>
      </c>
      <c r="B84" s="51">
        <f>B82</f>
        <v>4382000</v>
      </c>
      <c r="C84" s="51">
        <f t="shared" ref="C84:AF84" si="13">SUM(C82:C83)</f>
        <v>264000</v>
      </c>
      <c r="D84" s="51">
        <f t="shared" si="13"/>
        <v>264000</v>
      </c>
      <c r="E84" s="51">
        <f t="shared" si="13"/>
        <v>264000</v>
      </c>
      <c r="F84" s="51">
        <f t="shared" si="13"/>
        <v>264000</v>
      </c>
      <c r="G84" s="51">
        <f t="shared" si="13"/>
        <v>264000</v>
      </c>
      <c r="H84" s="51">
        <f t="shared" si="13"/>
        <v>264000</v>
      </c>
      <c r="I84" s="51">
        <f t="shared" si="13"/>
        <v>264000</v>
      </c>
      <c r="J84" s="51">
        <f t="shared" si="13"/>
        <v>264000</v>
      </c>
      <c r="K84" s="51">
        <f t="shared" si="13"/>
        <v>264000</v>
      </c>
      <c r="L84" s="51">
        <f t="shared" si="13"/>
        <v>264000</v>
      </c>
      <c r="M84" s="51">
        <f t="shared" si="13"/>
        <v>264000</v>
      </c>
      <c r="N84" s="51">
        <f t="shared" si="13"/>
        <v>264000</v>
      </c>
      <c r="O84" s="51">
        <f t="shared" si="13"/>
        <v>264000</v>
      </c>
      <c r="P84" s="51">
        <f t="shared" si="13"/>
        <v>264000</v>
      </c>
      <c r="Q84" s="51">
        <f t="shared" si="13"/>
        <v>264000</v>
      </c>
      <c r="R84" s="51">
        <f t="shared" si="13"/>
        <v>264000</v>
      </c>
      <c r="S84" s="51">
        <f t="shared" si="13"/>
        <v>264000</v>
      </c>
      <c r="T84" s="51">
        <f t="shared" si="13"/>
        <v>264000</v>
      </c>
      <c r="U84" s="51">
        <f t="shared" si="13"/>
        <v>264000</v>
      </c>
      <c r="V84" s="51">
        <f t="shared" si="13"/>
        <v>264000</v>
      </c>
      <c r="W84" s="51">
        <f t="shared" si="13"/>
        <v>264000</v>
      </c>
      <c r="X84" s="51">
        <f t="shared" si="13"/>
        <v>264000</v>
      </c>
      <c r="Y84" s="51">
        <f t="shared" si="13"/>
        <v>264000</v>
      </c>
      <c r="Z84" s="51">
        <f t="shared" si="13"/>
        <v>264000</v>
      </c>
      <c r="AA84" s="51">
        <f t="shared" si="13"/>
        <v>264000</v>
      </c>
      <c r="AB84" s="51">
        <f t="shared" si="13"/>
        <v>264000</v>
      </c>
      <c r="AC84" s="51">
        <f t="shared" si="13"/>
        <v>264000</v>
      </c>
      <c r="AD84" s="51">
        <f t="shared" si="13"/>
        <v>264000</v>
      </c>
      <c r="AE84" s="51">
        <f t="shared" si="13"/>
        <v>264000</v>
      </c>
      <c r="AF84" s="51">
        <f t="shared" si="13"/>
        <v>264000</v>
      </c>
      <c r="AG84" s="30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</row>
    <row r="85" spans="1:89" ht="16" x14ac:dyDescent="0.2">
      <c r="A85" s="49" t="s">
        <v>30</v>
      </c>
      <c r="B85" s="53"/>
      <c r="C85" s="43">
        <f t="shared" ref="C85:AF85" si="14">$B$59</f>
        <v>1400000</v>
      </c>
      <c r="D85" s="43">
        <f t="shared" si="14"/>
        <v>1400000</v>
      </c>
      <c r="E85" s="43">
        <f t="shared" si="14"/>
        <v>1400000</v>
      </c>
      <c r="F85" s="43">
        <f t="shared" si="14"/>
        <v>1400000</v>
      </c>
      <c r="G85" s="43">
        <f t="shared" si="14"/>
        <v>1400000</v>
      </c>
      <c r="H85" s="43">
        <f t="shared" si="14"/>
        <v>1400000</v>
      </c>
      <c r="I85" s="43">
        <f t="shared" si="14"/>
        <v>1400000</v>
      </c>
      <c r="J85" s="43">
        <f t="shared" si="14"/>
        <v>1400000</v>
      </c>
      <c r="K85" s="43">
        <f t="shared" si="14"/>
        <v>1400000</v>
      </c>
      <c r="L85" s="43">
        <f t="shared" si="14"/>
        <v>1400000</v>
      </c>
      <c r="M85" s="43">
        <f t="shared" si="14"/>
        <v>1400000</v>
      </c>
      <c r="N85" s="43">
        <f t="shared" si="14"/>
        <v>1400000</v>
      </c>
      <c r="O85" s="43">
        <f t="shared" si="14"/>
        <v>1400000</v>
      </c>
      <c r="P85" s="43">
        <f t="shared" si="14"/>
        <v>1400000</v>
      </c>
      <c r="Q85" s="43">
        <f t="shared" si="14"/>
        <v>1400000</v>
      </c>
      <c r="R85" s="43">
        <f t="shared" si="14"/>
        <v>1400000</v>
      </c>
      <c r="S85" s="43">
        <f t="shared" si="14"/>
        <v>1400000</v>
      </c>
      <c r="T85" s="43">
        <f t="shared" si="14"/>
        <v>1400000</v>
      </c>
      <c r="U85" s="43">
        <f t="shared" si="14"/>
        <v>1400000</v>
      </c>
      <c r="V85" s="43">
        <f t="shared" si="14"/>
        <v>1400000</v>
      </c>
      <c r="W85" s="43">
        <f t="shared" si="14"/>
        <v>1400000</v>
      </c>
      <c r="X85" s="43">
        <f t="shared" si="14"/>
        <v>1400000</v>
      </c>
      <c r="Y85" s="43">
        <f t="shared" si="14"/>
        <v>1400000</v>
      </c>
      <c r="Z85" s="43">
        <f t="shared" si="14"/>
        <v>1400000</v>
      </c>
      <c r="AA85" s="43">
        <f t="shared" si="14"/>
        <v>1400000</v>
      </c>
      <c r="AB85" s="43">
        <f t="shared" si="14"/>
        <v>1400000</v>
      </c>
      <c r="AC85" s="43">
        <f t="shared" si="14"/>
        <v>1400000</v>
      </c>
      <c r="AD85" s="43">
        <f t="shared" si="14"/>
        <v>1400000</v>
      </c>
      <c r="AE85" s="43">
        <f t="shared" si="14"/>
        <v>1400000</v>
      </c>
      <c r="AF85" s="43">
        <f t="shared" si="14"/>
        <v>1400000</v>
      </c>
      <c r="AG85" s="8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</row>
    <row r="86" spans="1:89" ht="16" x14ac:dyDescent="0.2">
      <c r="A86" s="49" t="s">
        <v>106</v>
      </c>
      <c r="B86" s="158"/>
      <c r="C86" s="158">
        <f>$E$58*$C$62</f>
        <v>356640</v>
      </c>
      <c r="D86" s="158">
        <f t="shared" ref="D86:AF86" si="15">$E$58*$C$62</f>
        <v>356640</v>
      </c>
      <c r="E86" s="158">
        <f t="shared" si="15"/>
        <v>356640</v>
      </c>
      <c r="F86" s="158">
        <f t="shared" si="15"/>
        <v>356640</v>
      </c>
      <c r="G86" s="158">
        <f t="shared" si="15"/>
        <v>356640</v>
      </c>
      <c r="H86" s="158">
        <f t="shared" si="15"/>
        <v>356640</v>
      </c>
      <c r="I86" s="158">
        <f t="shared" si="15"/>
        <v>356640</v>
      </c>
      <c r="J86" s="158">
        <f t="shared" si="15"/>
        <v>356640</v>
      </c>
      <c r="K86" s="158">
        <f t="shared" si="15"/>
        <v>356640</v>
      </c>
      <c r="L86" s="158">
        <f t="shared" si="15"/>
        <v>356640</v>
      </c>
      <c r="M86" s="158">
        <f t="shared" si="15"/>
        <v>356640</v>
      </c>
      <c r="N86" s="158">
        <f t="shared" si="15"/>
        <v>356640</v>
      </c>
      <c r="O86" s="158">
        <f t="shared" si="15"/>
        <v>356640</v>
      </c>
      <c r="P86" s="158">
        <f t="shared" si="15"/>
        <v>356640</v>
      </c>
      <c r="Q86" s="158">
        <f t="shared" si="15"/>
        <v>356640</v>
      </c>
      <c r="R86" s="158">
        <f t="shared" si="15"/>
        <v>356640</v>
      </c>
      <c r="S86" s="158">
        <f t="shared" si="15"/>
        <v>356640</v>
      </c>
      <c r="T86" s="158">
        <f t="shared" si="15"/>
        <v>356640</v>
      </c>
      <c r="U86" s="158">
        <f t="shared" si="15"/>
        <v>356640</v>
      </c>
      <c r="V86" s="158">
        <f t="shared" si="15"/>
        <v>356640</v>
      </c>
      <c r="W86" s="158">
        <f t="shared" si="15"/>
        <v>356640</v>
      </c>
      <c r="X86" s="158">
        <f t="shared" si="15"/>
        <v>356640</v>
      </c>
      <c r="Y86" s="158">
        <f t="shared" si="15"/>
        <v>356640</v>
      </c>
      <c r="Z86" s="158">
        <f t="shared" si="15"/>
        <v>356640</v>
      </c>
      <c r="AA86" s="158">
        <f t="shared" si="15"/>
        <v>356640</v>
      </c>
      <c r="AB86" s="158">
        <f t="shared" si="15"/>
        <v>356640</v>
      </c>
      <c r="AC86" s="158">
        <f t="shared" si="15"/>
        <v>356640</v>
      </c>
      <c r="AD86" s="158">
        <f t="shared" si="15"/>
        <v>356640</v>
      </c>
      <c r="AE86" s="158">
        <f t="shared" si="15"/>
        <v>356640</v>
      </c>
      <c r="AF86" s="158">
        <f t="shared" si="15"/>
        <v>356640</v>
      </c>
      <c r="AG86" s="30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</row>
    <row r="87" spans="1:89" s="52" customFormat="1" ht="16" x14ac:dyDescent="0.2">
      <c r="A87" s="50" t="s">
        <v>10</v>
      </c>
      <c r="B87" s="238"/>
      <c r="C87" s="96">
        <f t="shared" ref="C87:AF87" si="16">SUM(C85:C86)</f>
        <v>1756640</v>
      </c>
      <c r="D87" s="96">
        <f t="shared" si="16"/>
        <v>1756640</v>
      </c>
      <c r="E87" s="96">
        <f t="shared" si="16"/>
        <v>1756640</v>
      </c>
      <c r="F87" s="96">
        <f t="shared" si="16"/>
        <v>1756640</v>
      </c>
      <c r="G87" s="96">
        <f t="shared" si="16"/>
        <v>1756640</v>
      </c>
      <c r="H87" s="96">
        <f t="shared" si="16"/>
        <v>1756640</v>
      </c>
      <c r="I87" s="96">
        <f t="shared" si="16"/>
        <v>1756640</v>
      </c>
      <c r="J87" s="96">
        <f t="shared" si="16"/>
        <v>1756640</v>
      </c>
      <c r="K87" s="96">
        <f t="shared" si="16"/>
        <v>1756640</v>
      </c>
      <c r="L87" s="96">
        <f t="shared" si="16"/>
        <v>1756640</v>
      </c>
      <c r="M87" s="96">
        <f t="shared" si="16"/>
        <v>1756640</v>
      </c>
      <c r="N87" s="96">
        <f t="shared" si="16"/>
        <v>1756640</v>
      </c>
      <c r="O87" s="96">
        <f t="shared" si="16"/>
        <v>1756640</v>
      </c>
      <c r="P87" s="96">
        <f t="shared" si="16"/>
        <v>1756640</v>
      </c>
      <c r="Q87" s="96">
        <f t="shared" si="16"/>
        <v>1756640</v>
      </c>
      <c r="R87" s="96">
        <f t="shared" si="16"/>
        <v>1756640</v>
      </c>
      <c r="S87" s="96">
        <f t="shared" si="16"/>
        <v>1756640</v>
      </c>
      <c r="T87" s="96">
        <f t="shared" si="16"/>
        <v>1756640</v>
      </c>
      <c r="U87" s="96">
        <f t="shared" si="16"/>
        <v>1756640</v>
      </c>
      <c r="V87" s="96">
        <f t="shared" si="16"/>
        <v>1756640</v>
      </c>
      <c r="W87" s="96">
        <f t="shared" si="16"/>
        <v>1756640</v>
      </c>
      <c r="X87" s="96">
        <f t="shared" si="16"/>
        <v>1756640</v>
      </c>
      <c r="Y87" s="96">
        <f t="shared" si="16"/>
        <v>1756640</v>
      </c>
      <c r="Z87" s="96">
        <f t="shared" si="16"/>
        <v>1756640</v>
      </c>
      <c r="AA87" s="96">
        <f t="shared" si="16"/>
        <v>1756640</v>
      </c>
      <c r="AB87" s="96">
        <f t="shared" si="16"/>
        <v>1756640</v>
      </c>
      <c r="AC87" s="96">
        <f t="shared" si="16"/>
        <v>1756640</v>
      </c>
      <c r="AD87" s="96">
        <f t="shared" si="16"/>
        <v>1756640</v>
      </c>
      <c r="AE87" s="96">
        <f t="shared" si="16"/>
        <v>1756640</v>
      </c>
      <c r="AF87" s="96">
        <f t="shared" si="16"/>
        <v>1756640</v>
      </c>
      <c r="AG87" s="83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</row>
    <row r="88" spans="1:89" s="59" customFormat="1" ht="16" x14ac:dyDescent="0.2">
      <c r="A88" s="57" t="s">
        <v>11</v>
      </c>
      <c r="B88" s="239">
        <f t="shared" ref="B88:AF88" si="17">B87-B84</f>
        <v>-4382000</v>
      </c>
      <c r="C88" s="239">
        <f t="shared" si="17"/>
        <v>1492640</v>
      </c>
      <c r="D88" s="239">
        <f t="shared" si="17"/>
        <v>1492640</v>
      </c>
      <c r="E88" s="239">
        <f t="shared" si="17"/>
        <v>1492640</v>
      </c>
      <c r="F88" s="239">
        <f t="shared" si="17"/>
        <v>1492640</v>
      </c>
      <c r="G88" s="239">
        <f t="shared" si="17"/>
        <v>1492640</v>
      </c>
      <c r="H88" s="239">
        <f t="shared" si="17"/>
        <v>1492640</v>
      </c>
      <c r="I88" s="239">
        <f t="shared" si="17"/>
        <v>1492640</v>
      </c>
      <c r="J88" s="239">
        <f t="shared" si="17"/>
        <v>1492640</v>
      </c>
      <c r="K88" s="239">
        <f t="shared" si="17"/>
        <v>1492640</v>
      </c>
      <c r="L88" s="239">
        <f t="shared" si="17"/>
        <v>1492640</v>
      </c>
      <c r="M88" s="239">
        <f t="shared" si="17"/>
        <v>1492640</v>
      </c>
      <c r="N88" s="239">
        <f t="shared" si="17"/>
        <v>1492640</v>
      </c>
      <c r="O88" s="239">
        <f t="shared" si="17"/>
        <v>1492640</v>
      </c>
      <c r="P88" s="239">
        <f t="shared" si="17"/>
        <v>1492640</v>
      </c>
      <c r="Q88" s="239">
        <f t="shared" si="17"/>
        <v>1492640</v>
      </c>
      <c r="R88" s="239">
        <f t="shared" si="17"/>
        <v>1492640</v>
      </c>
      <c r="S88" s="239">
        <f t="shared" si="17"/>
        <v>1492640</v>
      </c>
      <c r="T88" s="239">
        <f t="shared" si="17"/>
        <v>1492640</v>
      </c>
      <c r="U88" s="239">
        <f t="shared" si="17"/>
        <v>1492640</v>
      </c>
      <c r="V88" s="239">
        <f t="shared" si="17"/>
        <v>1492640</v>
      </c>
      <c r="W88" s="239">
        <f t="shared" si="17"/>
        <v>1492640</v>
      </c>
      <c r="X88" s="239">
        <f t="shared" si="17"/>
        <v>1492640</v>
      </c>
      <c r="Y88" s="239">
        <f t="shared" si="17"/>
        <v>1492640</v>
      </c>
      <c r="Z88" s="239">
        <f t="shared" si="17"/>
        <v>1492640</v>
      </c>
      <c r="AA88" s="239">
        <f t="shared" si="17"/>
        <v>1492640</v>
      </c>
      <c r="AB88" s="239">
        <f t="shared" si="17"/>
        <v>1492640</v>
      </c>
      <c r="AC88" s="239">
        <f t="shared" si="17"/>
        <v>1492640</v>
      </c>
      <c r="AD88" s="239">
        <f t="shared" si="17"/>
        <v>1492640</v>
      </c>
      <c r="AE88" s="239">
        <f t="shared" si="17"/>
        <v>1492640</v>
      </c>
      <c r="AF88" s="239">
        <f t="shared" si="17"/>
        <v>1492640</v>
      </c>
      <c r="AG88" s="8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</row>
    <row r="89" spans="1:89" s="62" customFormat="1" ht="16" x14ac:dyDescent="0.2">
      <c r="A89" s="60" t="s">
        <v>37</v>
      </c>
      <c r="B89" s="240">
        <f t="array" ref="B89">NPV(0.035, C88:AF88)+B88</f>
        <v>23070702.662816618</v>
      </c>
      <c r="C89" s="259"/>
      <c r="D89" s="259"/>
      <c r="E89" s="259"/>
      <c r="F89" s="259"/>
      <c r="G89" s="259"/>
      <c r="H89" s="259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  <c r="AC89" s="259"/>
      <c r="AD89" s="259"/>
      <c r="AE89" s="259"/>
      <c r="AF89" s="259"/>
      <c r="AG89" s="86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</row>
    <row r="90" spans="1:89" ht="16" x14ac:dyDescent="0.2">
      <c r="A90" s="104" t="s">
        <v>32</v>
      </c>
      <c r="B90" s="223">
        <f t="array" ref="B90">(360*B82)/NPV(0.035, C88:AF88)</f>
        <v>57.463194767219619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86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</row>
    <row r="91" spans="1:89" ht="16" x14ac:dyDescent="0.2">
      <c r="A91" s="63" t="s">
        <v>38</v>
      </c>
      <c r="B91" s="222">
        <f>IRR(B88:AF88)</f>
        <v>0.34057814603853487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</row>
    <row r="92" spans="1:89" ht="16" x14ac:dyDescent="0.2">
      <c r="A92" s="106" t="s">
        <v>39</v>
      </c>
      <c r="B92" s="232">
        <f t="array" ref="B92">(NPV(0.035, C87:AF87))/(NPV(0.035, C84:AF84))</f>
        <v>6.6539393939393943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spans="1:89" ht="16" x14ac:dyDescent="0.2">
      <c r="A93" s="212"/>
      <c r="B93" s="224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</row>
    <row r="94" spans="1:89" ht="16" x14ac:dyDescent="0.2">
      <c r="A94" s="123"/>
      <c r="B94" s="206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</row>
    <row r="95" spans="1:89" ht="16" x14ac:dyDescent="0.2">
      <c r="A95" s="123"/>
      <c r="B95" s="206"/>
    </row>
    <row r="96" spans="1:89" ht="25" customHeight="1" x14ac:dyDescent="0.2">
      <c r="A96" s="242" t="s">
        <v>72</v>
      </c>
      <c r="D96" s="205"/>
      <c r="E96" s="205"/>
      <c r="F96" s="205"/>
    </row>
    <row r="97" spans="1:12" ht="16" x14ac:dyDescent="0.2">
      <c r="D97" s="205"/>
      <c r="E97" s="205"/>
      <c r="F97" s="205"/>
    </row>
    <row r="98" spans="1:12" ht="16" x14ac:dyDescent="0.2">
      <c r="A98" s="79" t="s">
        <v>28</v>
      </c>
      <c r="B98" s="47"/>
      <c r="C98" s="47"/>
      <c r="D98" s="209"/>
      <c r="E98" s="209"/>
      <c r="F98" s="209"/>
      <c r="G98" s="47"/>
      <c r="H98" s="47"/>
      <c r="I98" s="47"/>
      <c r="J98" s="47"/>
      <c r="K98" s="47"/>
      <c r="L98" s="47"/>
    </row>
    <row r="99" spans="1:12" ht="16" x14ac:dyDescent="0.2">
      <c r="A99" s="47"/>
      <c r="B99" s="47"/>
      <c r="C99" s="47"/>
      <c r="D99" s="209"/>
      <c r="E99" s="209"/>
      <c r="F99" s="209"/>
      <c r="G99" s="47"/>
      <c r="H99" s="47"/>
      <c r="I99" s="47"/>
      <c r="J99" s="47"/>
      <c r="K99" s="47"/>
      <c r="L99" s="47"/>
    </row>
    <row r="100" spans="1:12" ht="16" x14ac:dyDescent="0.2">
      <c r="A100" s="226" t="s">
        <v>73</v>
      </c>
      <c r="B100" s="139">
        <v>2</v>
      </c>
      <c r="C100" s="47"/>
      <c r="D100" s="244" t="s">
        <v>17</v>
      </c>
      <c r="E100" s="244"/>
      <c r="F100" s="209"/>
      <c r="G100" s="48"/>
      <c r="H100" s="48"/>
      <c r="I100" s="47"/>
      <c r="J100" s="47"/>
      <c r="K100" s="47"/>
      <c r="L100" s="47"/>
    </row>
    <row r="101" spans="1:12" ht="16" x14ac:dyDescent="0.2">
      <c r="A101" s="229" t="s">
        <v>74</v>
      </c>
      <c r="B101" s="229">
        <f>B100*B102</f>
        <v>3000</v>
      </c>
      <c r="C101" s="47"/>
      <c r="D101" s="248" t="s">
        <v>19</v>
      </c>
      <c r="E101" s="249">
        <v>850</v>
      </c>
      <c r="F101" s="209"/>
      <c r="G101" s="48"/>
      <c r="H101" s="45"/>
      <c r="I101" s="47"/>
      <c r="J101" s="47"/>
      <c r="K101" s="47"/>
      <c r="L101" s="47"/>
    </row>
    <row r="102" spans="1:12" ht="16" x14ac:dyDescent="0.2">
      <c r="A102" s="226" t="s">
        <v>75</v>
      </c>
      <c r="B102" s="139">
        <v>1500</v>
      </c>
      <c r="C102" s="47"/>
      <c r="D102" s="244" t="s">
        <v>21</v>
      </c>
      <c r="E102" s="245">
        <v>8.4999999999999995E-4</v>
      </c>
      <c r="F102" s="209"/>
      <c r="G102" s="45"/>
      <c r="H102" s="48"/>
      <c r="I102" s="47"/>
      <c r="J102" s="47"/>
      <c r="K102" s="47"/>
      <c r="L102" s="47"/>
    </row>
    <row r="103" spans="1:12" ht="16" x14ac:dyDescent="0.2">
      <c r="A103" s="230" t="s">
        <v>64</v>
      </c>
      <c r="B103" s="171">
        <v>2295</v>
      </c>
      <c r="C103" s="47"/>
      <c r="D103" s="248" t="s">
        <v>23</v>
      </c>
      <c r="E103" s="249">
        <v>0.85</v>
      </c>
      <c r="F103" s="209"/>
      <c r="G103" s="48"/>
      <c r="H103" s="48"/>
      <c r="I103" s="47"/>
      <c r="J103" s="47"/>
      <c r="K103" s="47"/>
      <c r="L103" s="47"/>
    </row>
    <row r="104" spans="1:12" ht="16" x14ac:dyDescent="0.2">
      <c r="A104" s="227" t="s">
        <v>65</v>
      </c>
      <c r="B104" s="228">
        <f>B103*B100*1000</f>
        <v>4590000</v>
      </c>
      <c r="C104" s="47"/>
      <c r="D104" s="227" t="s">
        <v>25</v>
      </c>
      <c r="E104" s="246">
        <f>E103*B101</f>
        <v>2550</v>
      </c>
      <c r="F104" s="209"/>
      <c r="G104" s="48"/>
      <c r="H104" s="48"/>
      <c r="I104" s="47"/>
      <c r="J104" s="47"/>
      <c r="K104" s="47"/>
      <c r="L104" s="47"/>
    </row>
    <row r="105" spans="1:12" ht="16" x14ac:dyDescent="0.2">
      <c r="A105" s="230" t="s">
        <v>66</v>
      </c>
      <c r="B105" s="171">
        <v>92</v>
      </c>
      <c r="C105" s="47"/>
      <c r="D105" s="289" t="s">
        <v>76</v>
      </c>
      <c r="E105" s="289"/>
      <c r="F105" s="209"/>
      <c r="G105" s="48"/>
      <c r="H105" s="48"/>
      <c r="I105" s="47"/>
      <c r="J105" s="47"/>
      <c r="K105" s="47"/>
      <c r="L105" s="47"/>
    </row>
    <row r="106" spans="1:12" ht="16" x14ac:dyDescent="0.2">
      <c r="A106" s="227" t="s">
        <v>77</v>
      </c>
      <c r="B106" s="228">
        <f>1000*B100*B105</f>
        <v>184000</v>
      </c>
      <c r="C106" s="47"/>
      <c r="D106" s="209"/>
      <c r="E106" s="209"/>
      <c r="F106" s="209"/>
      <c r="G106" s="48"/>
      <c r="H106" s="48"/>
      <c r="I106" s="47"/>
      <c r="J106" s="47"/>
      <c r="K106" s="47"/>
      <c r="L106" s="47"/>
    </row>
    <row r="107" spans="1:12" ht="16" x14ac:dyDescent="0.2">
      <c r="A107" s="230" t="s">
        <v>68</v>
      </c>
      <c r="B107" s="171">
        <v>87.84</v>
      </c>
      <c r="C107" s="47"/>
      <c r="D107" s="209"/>
      <c r="E107" s="209"/>
      <c r="F107" s="209"/>
      <c r="G107" s="48"/>
      <c r="H107" s="48"/>
      <c r="I107" s="47"/>
      <c r="J107" s="47"/>
      <c r="K107" s="47"/>
      <c r="L107" s="47"/>
    </row>
    <row r="108" spans="1:12" ht="16" x14ac:dyDescent="0.2">
      <c r="A108" s="227" t="s">
        <v>69</v>
      </c>
      <c r="B108" s="228">
        <f>B107*B101</f>
        <v>263520</v>
      </c>
      <c r="C108" s="47"/>
      <c r="D108" s="209"/>
      <c r="E108" s="209"/>
      <c r="F108" s="209"/>
      <c r="G108" s="48"/>
      <c r="H108" s="48"/>
      <c r="I108" s="47"/>
      <c r="J108" s="47"/>
      <c r="K108" s="47"/>
      <c r="L108" s="47"/>
    </row>
    <row r="109" spans="1:12" ht="16" x14ac:dyDescent="0.2">
      <c r="A109" s="230" t="s">
        <v>78</v>
      </c>
      <c r="B109" s="247">
        <v>850</v>
      </c>
      <c r="C109" s="47"/>
      <c r="D109" s="209"/>
      <c r="E109" s="209"/>
      <c r="F109" s="209"/>
      <c r="G109" s="48"/>
      <c r="H109" s="48"/>
      <c r="I109" s="47"/>
      <c r="J109" s="47"/>
      <c r="K109" s="47"/>
      <c r="L109" s="47"/>
    </row>
    <row r="110" spans="1:12" s="45" customFormat="1" ht="16" x14ac:dyDescent="0.2">
      <c r="A110" s="80"/>
      <c r="C110" s="48"/>
      <c r="D110" s="48"/>
      <c r="E110" s="48"/>
      <c r="F110" s="48"/>
      <c r="G110" s="48"/>
      <c r="H110" s="48"/>
      <c r="I110" s="48"/>
      <c r="J110" s="48"/>
      <c r="K110" s="48"/>
      <c r="L110" s="48"/>
    </row>
    <row r="111" spans="1:12" ht="16" x14ac:dyDescent="0.2">
      <c r="A111" s="286" t="s">
        <v>92</v>
      </c>
      <c r="B111" s="286"/>
      <c r="C111" s="236">
        <v>60</v>
      </c>
      <c r="D111" s="47"/>
      <c r="E111" s="47"/>
      <c r="F111" s="47"/>
      <c r="G111" s="47"/>
      <c r="H111" s="47"/>
      <c r="I111" s="47"/>
      <c r="J111" s="47"/>
      <c r="K111" s="47"/>
      <c r="L111" s="47"/>
    </row>
    <row r="112" spans="1:12" ht="16" x14ac:dyDescent="0.2"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</row>
    <row r="113" spans="1:117" ht="16" x14ac:dyDescent="0.2">
      <c r="A113" s="275" t="s">
        <v>87</v>
      </c>
      <c r="B113" s="279" t="s">
        <v>2</v>
      </c>
      <c r="C113" s="279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  <c r="AA113" s="279"/>
      <c r="AB113" s="279"/>
      <c r="AC113" s="279"/>
      <c r="AD113" s="279"/>
      <c r="AE113" s="279"/>
      <c r="AF113" s="279"/>
      <c r="AG113" s="279"/>
      <c r="AH113" s="279"/>
      <c r="AI113" s="279"/>
      <c r="AJ113" s="279"/>
      <c r="AK113" s="279"/>
      <c r="AL113" s="279"/>
      <c r="AM113" s="279"/>
      <c r="AN113" s="279"/>
      <c r="AO113" s="279"/>
      <c r="AP113" s="279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</row>
    <row r="114" spans="1:117" s="171" customFormat="1" ht="16" x14ac:dyDescent="0.2">
      <c r="A114" s="275"/>
      <c r="B114" s="214">
        <v>0</v>
      </c>
      <c r="C114" s="214">
        <v>1</v>
      </c>
      <c r="D114" s="214">
        <v>2</v>
      </c>
      <c r="E114" s="214">
        <v>3</v>
      </c>
      <c r="F114" s="214">
        <v>4</v>
      </c>
      <c r="G114" s="214">
        <v>5</v>
      </c>
      <c r="H114" s="214">
        <v>6</v>
      </c>
      <c r="I114" s="214">
        <v>7</v>
      </c>
      <c r="J114" s="214">
        <v>8</v>
      </c>
      <c r="K114" s="214">
        <v>9</v>
      </c>
      <c r="L114" s="214">
        <v>10</v>
      </c>
      <c r="M114" s="214">
        <v>11</v>
      </c>
      <c r="N114" s="214">
        <v>12</v>
      </c>
      <c r="O114" s="214">
        <v>13</v>
      </c>
      <c r="P114" s="214">
        <v>14</v>
      </c>
      <c r="Q114" s="214">
        <v>15</v>
      </c>
      <c r="R114" s="214">
        <v>16</v>
      </c>
      <c r="S114" s="214">
        <v>17</v>
      </c>
      <c r="T114" s="214">
        <v>18</v>
      </c>
      <c r="U114" s="214">
        <v>19</v>
      </c>
      <c r="V114" s="214">
        <v>20</v>
      </c>
      <c r="W114" s="214">
        <v>21</v>
      </c>
      <c r="X114" s="214">
        <v>22</v>
      </c>
      <c r="Y114" s="214">
        <v>23</v>
      </c>
      <c r="Z114" s="214">
        <v>24</v>
      </c>
      <c r="AA114" s="214">
        <v>25</v>
      </c>
      <c r="AB114" s="214">
        <v>26</v>
      </c>
      <c r="AC114" s="214">
        <v>27</v>
      </c>
      <c r="AD114" s="214">
        <v>28</v>
      </c>
      <c r="AE114" s="214">
        <v>29</v>
      </c>
      <c r="AF114" s="214">
        <v>30</v>
      </c>
      <c r="AG114" s="214">
        <v>31</v>
      </c>
      <c r="AH114" s="214">
        <v>32</v>
      </c>
      <c r="AI114" s="214">
        <v>33</v>
      </c>
      <c r="AJ114" s="214">
        <v>34</v>
      </c>
      <c r="AK114" s="214">
        <v>35</v>
      </c>
      <c r="AL114" s="214">
        <v>36</v>
      </c>
      <c r="AM114" s="214">
        <v>37</v>
      </c>
      <c r="AN114" s="214">
        <v>38</v>
      </c>
      <c r="AO114" s="214">
        <v>39</v>
      </c>
      <c r="AP114" s="214">
        <v>40</v>
      </c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</row>
    <row r="115" spans="1:117" ht="16" x14ac:dyDescent="0.2">
      <c r="A115" s="49" t="s">
        <v>29</v>
      </c>
      <c r="B115" s="43">
        <v>4590000</v>
      </c>
      <c r="C115" s="43">
        <v>0</v>
      </c>
      <c r="D115" s="43">
        <v>0</v>
      </c>
      <c r="E115" s="43">
        <v>0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/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/>
      <c r="AM115" s="43">
        <v>0</v>
      </c>
      <c r="AN115" s="43">
        <v>0</v>
      </c>
      <c r="AO115" s="43">
        <v>0</v>
      </c>
      <c r="AP115" s="43">
        <v>0</v>
      </c>
      <c r="AQ115" s="72"/>
      <c r="AR115" s="72"/>
      <c r="AS115" s="72"/>
      <c r="AT115" s="72"/>
      <c r="AU115" s="72"/>
      <c r="AV115" s="72"/>
      <c r="AW115" s="72"/>
      <c r="AX115" s="72"/>
      <c r="AY115" s="72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</row>
    <row r="116" spans="1:117" ht="16" x14ac:dyDescent="0.2">
      <c r="A116" s="49" t="s">
        <v>16</v>
      </c>
      <c r="B116" s="43"/>
      <c r="C116" s="43">
        <v>184000</v>
      </c>
      <c r="D116" s="43">
        <v>184000</v>
      </c>
      <c r="E116" s="43">
        <v>184000</v>
      </c>
      <c r="F116" s="43">
        <v>184000</v>
      </c>
      <c r="G116" s="43">
        <v>184000</v>
      </c>
      <c r="H116" s="43">
        <v>184000</v>
      </c>
      <c r="I116" s="43">
        <v>184000</v>
      </c>
      <c r="J116" s="43">
        <v>184000</v>
      </c>
      <c r="K116" s="43">
        <v>184000</v>
      </c>
      <c r="L116" s="43">
        <v>184000</v>
      </c>
      <c r="M116" s="43">
        <v>184000</v>
      </c>
      <c r="N116" s="43">
        <v>184000</v>
      </c>
      <c r="O116" s="43">
        <v>184000</v>
      </c>
      <c r="P116" s="43">
        <v>184000</v>
      </c>
      <c r="Q116" s="43">
        <v>184000</v>
      </c>
      <c r="R116" s="43">
        <v>184000</v>
      </c>
      <c r="S116" s="43">
        <v>184000</v>
      </c>
      <c r="T116" s="43">
        <v>184000</v>
      </c>
      <c r="U116" s="43">
        <v>184000</v>
      </c>
      <c r="V116" s="43">
        <v>184000</v>
      </c>
      <c r="W116" s="43">
        <v>184000</v>
      </c>
      <c r="X116" s="43">
        <v>184000</v>
      </c>
      <c r="Y116" s="43">
        <v>184000</v>
      </c>
      <c r="Z116" s="43">
        <v>184000</v>
      </c>
      <c r="AA116" s="43">
        <v>184000</v>
      </c>
      <c r="AB116" s="43">
        <v>184000</v>
      </c>
      <c r="AC116" s="43">
        <v>184000</v>
      </c>
      <c r="AD116" s="43">
        <v>184000</v>
      </c>
      <c r="AE116" s="43">
        <v>184000</v>
      </c>
      <c r="AF116" s="43">
        <v>184000</v>
      </c>
      <c r="AG116" s="43">
        <v>184000</v>
      </c>
      <c r="AH116" s="43">
        <v>184000</v>
      </c>
      <c r="AI116" s="43">
        <v>184000</v>
      </c>
      <c r="AJ116" s="43">
        <v>184000</v>
      </c>
      <c r="AK116" s="43">
        <v>184000</v>
      </c>
      <c r="AL116" s="43">
        <v>184000</v>
      </c>
      <c r="AM116" s="43">
        <v>184000</v>
      </c>
      <c r="AN116" s="43">
        <v>184000</v>
      </c>
      <c r="AO116" s="43">
        <v>184000</v>
      </c>
      <c r="AP116" s="43">
        <v>184000</v>
      </c>
      <c r="AQ116" s="72"/>
      <c r="AR116" s="72"/>
      <c r="AS116" s="72"/>
      <c r="AT116" s="72"/>
      <c r="AU116" s="72"/>
      <c r="AV116" s="72"/>
      <c r="AW116" s="72"/>
      <c r="AX116" s="72"/>
      <c r="AY116" s="72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</row>
    <row r="117" spans="1:117" s="52" customFormat="1" ht="16" x14ac:dyDescent="0.2">
      <c r="A117" s="50" t="s">
        <v>8</v>
      </c>
      <c r="B117" s="51">
        <f>B115</f>
        <v>4590000</v>
      </c>
      <c r="C117" s="51">
        <f>SUM(C116)</f>
        <v>184000</v>
      </c>
      <c r="D117" s="51">
        <f t="shared" ref="D117:AP117" si="18">SUM(D116)</f>
        <v>184000</v>
      </c>
      <c r="E117" s="51">
        <f t="shared" si="18"/>
        <v>184000</v>
      </c>
      <c r="F117" s="51">
        <f t="shared" si="18"/>
        <v>184000</v>
      </c>
      <c r="G117" s="51">
        <f t="shared" si="18"/>
        <v>184000</v>
      </c>
      <c r="H117" s="51">
        <f t="shared" si="18"/>
        <v>184000</v>
      </c>
      <c r="I117" s="51">
        <f t="shared" si="18"/>
        <v>184000</v>
      </c>
      <c r="J117" s="51">
        <f t="shared" si="18"/>
        <v>184000</v>
      </c>
      <c r="K117" s="51">
        <f t="shared" si="18"/>
        <v>184000</v>
      </c>
      <c r="L117" s="51">
        <f t="shared" si="18"/>
        <v>184000</v>
      </c>
      <c r="M117" s="51">
        <f t="shared" si="18"/>
        <v>184000</v>
      </c>
      <c r="N117" s="51">
        <f t="shared" si="18"/>
        <v>184000</v>
      </c>
      <c r="O117" s="51">
        <f t="shared" si="18"/>
        <v>184000</v>
      </c>
      <c r="P117" s="51">
        <f t="shared" si="18"/>
        <v>184000</v>
      </c>
      <c r="Q117" s="51">
        <f t="shared" si="18"/>
        <v>184000</v>
      </c>
      <c r="R117" s="51">
        <f t="shared" si="18"/>
        <v>184000</v>
      </c>
      <c r="S117" s="51">
        <f t="shared" si="18"/>
        <v>184000</v>
      </c>
      <c r="T117" s="51">
        <f t="shared" si="18"/>
        <v>184000</v>
      </c>
      <c r="U117" s="51">
        <f t="shared" si="18"/>
        <v>184000</v>
      </c>
      <c r="V117" s="51">
        <f t="shared" si="18"/>
        <v>184000</v>
      </c>
      <c r="W117" s="51">
        <f t="shared" si="18"/>
        <v>184000</v>
      </c>
      <c r="X117" s="51">
        <f t="shared" si="18"/>
        <v>184000</v>
      </c>
      <c r="Y117" s="51">
        <f t="shared" si="18"/>
        <v>184000</v>
      </c>
      <c r="Z117" s="51">
        <f t="shared" si="18"/>
        <v>184000</v>
      </c>
      <c r="AA117" s="51">
        <f t="shared" si="18"/>
        <v>184000</v>
      </c>
      <c r="AB117" s="51">
        <f t="shared" si="18"/>
        <v>184000</v>
      </c>
      <c r="AC117" s="51">
        <f t="shared" si="18"/>
        <v>184000</v>
      </c>
      <c r="AD117" s="51">
        <f t="shared" si="18"/>
        <v>184000</v>
      </c>
      <c r="AE117" s="51">
        <f t="shared" si="18"/>
        <v>184000</v>
      </c>
      <c r="AF117" s="51">
        <f t="shared" si="18"/>
        <v>184000</v>
      </c>
      <c r="AG117" s="51">
        <f t="shared" si="18"/>
        <v>184000</v>
      </c>
      <c r="AH117" s="51">
        <f t="shared" si="18"/>
        <v>184000</v>
      </c>
      <c r="AI117" s="51">
        <f t="shared" si="18"/>
        <v>184000</v>
      </c>
      <c r="AJ117" s="51">
        <f t="shared" si="18"/>
        <v>184000</v>
      </c>
      <c r="AK117" s="51">
        <f t="shared" si="18"/>
        <v>184000</v>
      </c>
      <c r="AL117" s="51">
        <f t="shared" si="18"/>
        <v>184000</v>
      </c>
      <c r="AM117" s="51">
        <f t="shared" si="18"/>
        <v>184000</v>
      </c>
      <c r="AN117" s="51">
        <f t="shared" si="18"/>
        <v>184000</v>
      </c>
      <c r="AO117" s="51">
        <f t="shared" si="18"/>
        <v>184000</v>
      </c>
      <c r="AP117" s="51">
        <f t="shared" si="18"/>
        <v>184000</v>
      </c>
      <c r="AQ117" s="72"/>
      <c r="AR117" s="72"/>
      <c r="AS117" s="72"/>
      <c r="AT117" s="72"/>
      <c r="AU117" s="72"/>
      <c r="AV117" s="72"/>
      <c r="AW117" s="72"/>
      <c r="AX117" s="72"/>
      <c r="AY117" s="72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</row>
    <row r="118" spans="1:117" ht="16" x14ac:dyDescent="0.2">
      <c r="A118" s="49" t="s">
        <v>30</v>
      </c>
      <c r="B118" s="53"/>
      <c r="C118" s="43">
        <v>263520</v>
      </c>
      <c r="D118" s="43">
        <v>263520</v>
      </c>
      <c r="E118" s="43">
        <v>263520</v>
      </c>
      <c r="F118" s="43">
        <v>263520</v>
      </c>
      <c r="G118" s="43">
        <v>263520</v>
      </c>
      <c r="H118" s="43">
        <v>263520</v>
      </c>
      <c r="I118" s="43">
        <v>263520</v>
      </c>
      <c r="J118" s="43">
        <v>263520</v>
      </c>
      <c r="K118" s="43">
        <v>263520</v>
      </c>
      <c r="L118" s="43">
        <v>263520</v>
      </c>
      <c r="M118" s="43">
        <v>263520</v>
      </c>
      <c r="N118" s="43">
        <v>263520</v>
      </c>
      <c r="O118" s="43">
        <v>263520</v>
      </c>
      <c r="P118" s="43">
        <v>263520</v>
      </c>
      <c r="Q118" s="43">
        <v>263520</v>
      </c>
      <c r="R118" s="43">
        <v>263520</v>
      </c>
      <c r="S118" s="43">
        <v>263520</v>
      </c>
      <c r="T118" s="43">
        <v>263520</v>
      </c>
      <c r="U118" s="43">
        <v>263520</v>
      </c>
      <c r="V118" s="43">
        <v>263520</v>
      </c>
      <c r="W118" s="43">
        <v>263520</v>
      </c>
      <c r="X118" s="43">
        <v>263520</v>
      </c>
      <c r="Y118" s="43">
        <v>263520</v>
      </c>
      <c r="Z118" s="43">
        <v>263520</v>
      </c>
      <c r="AA118" s="43">
        <v>263520</v>
      </c>
      <c r="AB118" s="43">
        <v>263520</v>
      </c>
      <c r="AC118" s="43">
        <v>263520</v>
      </c>
      <c r="AD118" s="43">
        <v>263520</v>
      </c>
      <c r="AE118" s="43">
        <v>263520</v>
      </c>
      <c r="AF118" s="43">
        <v>263520</v>
      </c>
      <c r="AG118" s="43">
        <v>263520</v>
      </c>
      <c r="AH118" s="43">
        <v>263520</v>
      </c>
      <c r="AI118" s="43">
        <v>263520</v>
      </c>
      <c r="AJ118" s="43">
        <v>263520</v>
      </c>
      <c r="AK118" s="43">
        <v>263520</v>
      </c>
      <c r="AL118" s="43">
        <v>263520</v>
      </c>
      <c r="AM118" s="43">
        <v>263520</v>
      </c>
      <c r="AN118" s="43">
        <v>263520</v>
      </c>
      <c r="AO118" s="43">
        <v>263520</v>
      </c>
      <c r="AP118" s="43">
        <v>263520</v>
      </c>
      <c r="AQ118" s="72"/>
      <c r="AR118" s="72"/>
      <c r="AS118" s="72"/>
      <c r="AT118" s="72"/>
      <c r="AU118" s="72"/>
      <c r="AV118" s="72"/>
      <c r="AW118" s="72"/>
      <c r="AX118" s="72"/>
      <c r="AY118" s="72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</row>
    <row r="119" spans="1:117" ht="16" x14ac:dyDescent="0.2">
      <c r="A119" s="231" t="s">
        <v>10</v>
      </c>
      <c r="B119" s="53"/>
      <c r="C119" s="43">
        <f>C118</f>
        <v>263520</v>
      </c>
      <c r="D119" s="43">
        <f t="shared" ref="D119:AP119" si="19">D118</f>
        <v>263520</v>
      </c>
      <c r="E119" s="43">
        <f t="shared" si="19"/>
        <v>263520</v>
      </c>
      <c r="F119" s="43">
        <f t="shared" si="19"/>
        <v>263520</v>
      </c>
      <c r="G119" s="43">
        <f t="shared" si="19"/>
        <v>263520</v>
      </c>
      <c r="H119" s="43">
        <f t="shared" si="19"/>
        <v>263520</v>
      </c>
      <c r="I119" s="43">
        <f t="shared" si="19"/>
        <v>263520</v>
      </c>
      <c r="J119" s="43">
        <f t="shared" si="19"/>
        <v>263520</v>
      </c>
      <c r="K119" s="43">
        <f t="shared" si="19"/>
        <v>263520</v>
      </c>
      <c r="L119" s="43">
        <f t="shared" si="19"/>
        <v>263520</v>
      </c>
      <c r="M119" s="43">
        <f t="shared" si="19"/>
        <v>263520</v>
      </c>
      <c r="N119" s="43">
        <f t="shared" si="19"/>
        <v>263520</v>
      </c>
      <c r="O119" s="43">
        <f t="shared" si="19"/>
        <v>263520</v>
      </c>
      <c r="P119" s="43">
        <f t="shared" si="19"/>
        <v>263520</v>
      </c>
      <c r="Q119" s="43">
        <f t="shared" si="19"/>
        <v>263520</v>
      </c>
      <c r="R119" s="43">
        <f t="shared" si="19"/>
        <v>263520</v>
      </c>
      <c r="S119" s="43">
        <f t="shared" si="19"/>
        <v>263520</v>
      </c>
      <c r="T119" s="43">
        <f t="shared" si="19"/>
        <v>263520</v>
      </c>
      <c r="U119" s="43">
        <f t="shared" si="19"/>
        <v>263520</v>
      </c>
      <c r="V119" s="43">
        <f t="shared" si="19"/>
        <v>263520</v>
      </c>
      <c r="W119" s="43">
        <f t="shared" si="19"/>
        <v>263520</v>
      </c>
      <c r="X119" s="43">
        <f t="shared" si="19"/>
        <v>263520</v>
      </c>
      <c r="Y119" s="43">
        <f t="shared" si="19"/>
        <v>263520</v>
      </c>
      <c r="Z119" s="43">
        <f t="shared" si="19"/>
        <v>263520</v>
      </c>
      <c r="AA119" s="43">
        <f t="shared" si="19"/>
        <v>263520</v>
      </c>
      <c r="AB119" s="43">
        <f t="shared" si="19"/>
        <v>263520</v>
      </c>
      <c r="AC119" s="43">
        <f t="shared" si="19"/>
        <v>263520</v>
      </c>
      <c r="AD119" s="43">
        <f t="shared" si="19"/>
        <v>263520</v>
      </c>
      <c r="AE119" s="43">
        <f t="shared" si="19"/>
        <v>263520</v>
      </c>
      <c r="AF119" s="43">
        <f t="shared" si="19"/>
        <v>263520</v>
      </c>
      <c r="AG119" s="43">
        <f t="shared" si="19"/>
        <v>263520</v>
      </c>
      <c r="AH119" s="43">
        <f t="shared" si="19"/>
        <v>263520</v>
      </c>
      <c r="AI119" s="43">
        <f t="shared" si="19"/>
        <v>263520</v>
      </c>
      <c r="AJ119" s="43">
        <f t="shared" si="19"/>
        <v>263520</v>
      </c>
      <c r="AK119" s="43">
        <f t="shared" si="19"/>
        <v>263520</v>
      </c>
      <c r="AL119" s="43">
        <f t="shared" si="19"/>
        <v>263520</v>
      </c>
      <c r="AM119" s="43">
        <f t="shared" si="19"/>
        <v>263520</v>
      </c>
      <c r="AN119" s="43">
        <f t="shared" si="19"/>
        <v>263520</v>
      </c>
      <c r="AO119" s="43">
        <f t="shared" si="19"/>
        <v>263520</v>
      </c>
      <c r="AP119" s="43">
        <f t="shared" si="19"/>
        <v>263520</v>
      </c>
      <c r="AQ119" s="72"/>
      <c r="AR119" s="72"/>
      <c r="AS119" s="72"/>
      <c r="AT119" s="72"/>
      <c r="AU119" s="72"/>
      <c r="AV119" s="72"/>
      <c r="AW119" s="72"/>
      <c r="AX119" s="72"/>
      <c r="AY119" s="72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</row>
    <row r="120" spans="1:117" s="52" customFormat="1" ht="16" x14ac:dyDescent="0.2">
      <c r="A120" s="256" t="s">
        <v>11</v>
      </c>
      <c r="B120" s="257">
        <f t="shared" ref="B120" si="20">B118-B117</f>
        <v>-4590000</v>
      </c>
      <c r="C120" s="257">
        <f>C119-C117</f>
        <v>79520</v>
      </c>
      <c r="D120" s="257">
        <f t="shared" ref="D120:AP120" si="21">D119-D117</f>
        <v>79520</v>
      </c>
      <c r="E120" s="257">
        <f t="shared" si="21"/>
        <v>79520</v>
      </c>
      <c r="F120" s="257">
        <f t="shared" si="21"/>
        <v>79520</v>
      </c>
      <c r="G120" s="257">
        <f t="shared" si="21"/>
        <v>79520</v>
      </c>
      <c r="H120" s="257">
        <f t="shared" si="21"/>
        <v>79520</v>
      </c>
      <c r="I120" s="257">
        <f t="shared" si="21"/>
        <v>79520</v>
      </c>
      <c r="J120" s="257">
        <f t="shared" si="21"/>
        <v>79520</v>
      </c>
      <c r="K120" s="257">
        <f t="shared" si="21"/>
        <v>79520</v>
      </c>
      <c r="L120" s="257">
        <f t="shared" si="21"/>
        <v>79520</v>
      </c>
      <c r="M120" s="257">
        <f t="shared" si="21"/>
        <v>79520</v>
      </c>
      <c r="N120" s="257">
        <f t="shared" si="21"/>
        <v>79520</v>
      </c>
      <c r="O120" s="257">
        <f t="shared" si="21"/>
        <v>79520</v>
      </c>
      <c r="P120" s="257">
        <f t="shared" si="21"/>
        <v>79520</v>
      </c>
      <c r="Q120" s="257">
        <f t="shared" si="21"/>
        <v>79520</v>
      </c>
      <c r="R120" s="257">
        <f t="shared" si="21"/>
        <v>79520</v>
      </c>
      <c r="S120" s="257">
        <f t="shared" si="21"/>
        <v>79520</v>
      </c>
      <c r="T120" s="257">
        <f t="shared" si="21"/>
        <v>79520</v>
      </c>
      <c r="U120" s="257">
        <f t="shared" si="21"/>
        <v>79520</v>
      </c>
      <c r="V120" s="257">
        <f t="shared" si="21"/>
        <v>79520</v>
      </c>
      <c r="W120" s="257">
        <f t="shared" si="21"/>
        <v>79520</v>
      </c>
      <c r="X120" s="257">
        <f t="shared" si="21"/>
        <v>79520</v>
      </c>
      <c r="Y120" s="257">
        <f t="shared" si="21"/>
        <v>79520</v>
      </c>
      <c r="Z120" s="257">
        <f t="shared" si="21"/>
        <v>79520</v>
      </c>
      <c r="AA120" s="257">
        <f t="shared" si="21"/>
        <v>79520</v>
      </c>
      <c r="AB120" s="257">
        <f t="shared" si="21"/>
        <v>79520</v>
      </c>
      <c r="AC120" s="257">
        <f t="shared" si="21"/>
        <v>79520</v>
      </c>
      <c r="AD120" s="257">
        <f t="shared" si="21"/>
        <v>79520</v>
      </c>
      <c r="AE120" s="257">
        <f t="shared" si="21"/>
        <v>79520</v>
      </c>
      <c r="AF120" s="257">
        <f t="shared" si="21"/>
        <v>79520</v>
      </c>
      <c r="AG120" s="257">
        <f t="shared" si="21"/>
        <v>79520</v>
      </c>
      <c r="AH120" s="257">
        <f t="shared" si="21"/>
        <v>79520</v>
      </c>
      <c r="AI120" s="257">
        <f t="shared" si="21"/>
        <v>79520</v>
      </c>
      <c r="AJ120" s="257">
        <f t="shared" si="21"/>
        <v>79520</v>
      </c>
      <c r="AK120" s="257">
        <f t="shared" si="21"/>
        <v>79520</v>
      </c>
      <c r="AL120" s="257">
        <f t="shared" si="21"/>
        <v>79520</v>
      </c>
      <c r="AM120" s="257">
        <f t="shared" si="21"/>
        <v>79520</v>
      </c>
      <c r="AN120" s="257">
        <f t="shared" si="21"/>
        <v>79520</v>
      </c>
      <c r="AO120" s="257">
        <f t="shared" si="21"/>
        <v>79520</v>
      </c>
      <c r="AP120" s="257">
        <f t="shared" si="21"/>
        <v>79520</v>
      </c>
      <c r="AQ120" s="72"/>
      <c r="AR120" s="72"/>
      <c r="AS120" s="72"/>
      <c r="AT120" s="72"/>
      <c r="AU120" s="72"/>
      <c r="AV120" s="72"/>
      <c r="AW120" s="72"/>
      <c r="AX120" s="72"/>
      <c r="AY120" s="72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</row>
    <row r="121" spans="1:117" s="59" customFormat="1" ht="16" x14ac:dyDescent="0.2">
      <c r="A121" s="104" t="s">
        <v>31</v>
      </c>
      <c r="B121" s="193">
        <f t="array" ref="B121">NPV(0.05,C120:AP120)+B120</f>
        <v>-3225509.4531303626</v>
      </c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5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254"/>
      <c r="Y121" s="254"/>
      <c r="Z121" s="254"/>
      <c r="AA121" s="254"/>
      <c r="AB121" s="254"/>
      <c r="AC121" s="254"/>
      <c r="AD121" s="254"/>
      <c r="AE121" s="254"/>
      <c r="AF121" s="254"/>
      <c r="AG121" s="254"/>
      <c r="AH121" s="254"/>
      <c r="AI121" s="254"/>
      <c r="AJ121" s="254"/>
      <c r="AK121" s="254"/>
      <c r="AL121" s="255"/>
      <c r="AM121" s="254"/>
      <c r="AN121" s="254"/>
      <c r="AO121" s="254"/>
      <c r="AP121" s="254"/>
      <c r="AQ121" s="72"/>
      <c r="AR121" s="72"/>
      <c r="AS121" s="72"/>
      <c r="AT121" s="72"/>
      <c r="AU121" s="72"/>
      <c r="AV121" s="72"/>
      <c r="AW121" s="72"/>
      <c r="AX121" s="72"/>
      <c r="AY121" s="72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</row>
    <row r="122" spans="1:117" s="62" customFormat="1" ht="16" x14ac:dyDescent="0.2">
      <c r="A122" s="63" t="s">
        <v>32</v>
      </c>
      <c r="B122" s="241">
        <f t="array" ref="B122">(480*B115)/NPV(0.05,C120:AP120)</f>
        <v>1614.6685699321979</v>
      </c>
      <c r="C122" s="258"/>
      <c r="D122" s="258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  <c r="AA122" s="258"/>
      <c r="AB122" s="258"/>
      <c r="AC122" s="258"/>
      <c r="AD122" s="258"/>
      <c r="AE122" s="258"/>
      <c r="AF122" s="258"/>
      <c r="AG122" s="258"/>
      <c r="AH122" s="258"/>
      <c r="AI122" s="258"/>
      <c r="AJ122" s="258"/>
      <c r="AK122" s="258"/>
      <c r="AL122" s="258"/>
      <c r="AM122" s="258"/>
      <c r="AN122" s="258"/>
      <c r="AO122" s="258"/>
      <c r="AP122" s="258"/>
      <c r="AQ122" s="72"/>
      <c r="AR122" s="72"/>
      <c r="AS122" s="72"/>
      <c r="AT122" s="72"/>
      <c r="AU122" s="72"/>
      <c r="AV122" s="72"/>
      <c r="AW122" s="72"/>
      <c r="AX122" s="72"/>
      <c r="AY122" s="72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</row>
    <row r="123" spans="1:117" ht="16" x14ac:dyDescent="0.2">
      <c r="A123" s="106" t="s">
        <v>33</v>
      </c>
      <c r="B123" s="261">
        <f>IRR(B120:AP120)</f>
        <v>-1.6815958941497788E-2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72"/>
      <c r="AR123" s="72"/>
      <c r="AS123" s="72"/>
      <c r="AT123" s="72"/>
      <c r="AU123" s="72"/>
      <c r="AV123" s="72"/>
      <c r="AW123" s="72"/>
      <c r="AX123" s="72"/>
      <c r="AY123" s="72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</row>
    <row r="124" spans="1:117" ht="16" x14ac:dyDescent="0.2">
      <c r="A124" s="64" t="s">
        <v>79</v>
      </c>
      <c r="B124" s="260">
        <f t="array" ref="B124">(NPV(0.05, C118:AP118))/(NPV(0.05, C117:AP117))</f>
        <v>1.4321739130434783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72"/>
      <c r="AR124" s="72"/>
      <c r="AS124" s="72"/>
      <c r="AT124" s="72"/>
      <c r="AU124" s="72"/>
      <c r="AV124" s="72"/>
      <c r="AW124" s="72"/>
      <c r="AX124" s="72"/>
      <c r="AY124" s="72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</row>
    <row r="125" spans="1:117" ht="16" x14ac:dyDescent="0.2">
      <c r="A125" s="106" t="s">
        <v>80</v>
      </c>
      <c r="B125" s="223">
        <f t="array" ref="B125">(NPV(0.05, C118:AP118))/(NPV(0.05, C117:AP117)+B117)</f>
        <v>0.58365867375147618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72"/>
      <c r="AR125" s="72"/>
      <c r="AS125" s="72"/>
      <c r="AT125" s="72"/>
      <c r="AU125" s="72"/>
      <c r="AV125" s="72"/>
      <c r="AW125" s="72"/>
      <c r="AX125" s="72"/>
      <c r="AY125" s="72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</row>
    <row r="126" spans="1:117" ht="16" x14ac:dyDescent="0.2">
      <c r="A126" s="251"/>
      <c r="B126" s="252"/>
      <c r="C126" s="253"/>
      <c r="D126" s="253"/>
      <c r="E126" s="253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  <c r="AM126" s="218"/>
      <c r="AN126" s="218"/>
      <c r="AO126" s="218"/>
      <c r="AP126" s="218"/>
      <c r="AQ126" s="72"/>
      <c r="AR126" s="72"/>
      <c r="AS126" s="72"/>
      <c r="AT126" s="72"/>
      <c r="AU126" s="72"/>
      <c r="AV126" s="72"/>
      <c r="AW126" s="72"/>
      <c r="AX126" s="72"/>
      <c r="AY126" s="72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</row>
    <row r="127" spans="1:117" ht="16" x14ac:dyDescent="0.2">
      <c r="A127" s="210"/>
      <c r="B127" s="250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  <c r="AM127" s="218"/>
      <c r="AN127" s="218"/>
      <c r="AO127" s="218"/>
      <c r="AP127" s="218"/>
      <c r="AQ127" s="72"/>
      <c r="AR127" s="72"/>
      <c r="AS127" s="72"/>
      <c r="AT127" s="72"/>
      <c r="AU127" s="72"/>
      <c r="AV127" s="72"/>
      <c r="AW127" s="72"/>
      <c r="AX127" s="72"/>
      <c r="AY127" s="72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</row>
    <row r="128" spans="1:117" ht="16" x14ac:dyDescent="0.2">
      <c r="A128" s="79" t="s">
        <v>35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72"/>
      <c r="AR128" s="72"/>
      <c r="AS128" s="72"/>
      <c r="AT128" s="72"/>
      <c r="AU128" s="72"/>
      <c r="AV128" s="72"/>
      <c r="AW128" s="72"/>
      <c r="AX128" s="72"/>
      <c r="AY128" s="72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</row>
    <row r="129" spans="1:117" ht="16" x14ac:dyDescent="0.2"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</row>
    <row r="130" spans="1:117" ht="16" x14ac:dyDescent="0.2">
      <c r="A130" s="275" t="s">
        <v>88</v>
      </c>
      <c r="B130" s="276" t="s">
        <v>2</v>
      </c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6"/>
      <c r="AE130" s="276"/>
      <c r="AF130" s="276"/>
      <c r="AG130" s="276"/>
      <c r="AH130" s="276"/>
      <c r="AI130" s="276"/>
      <c r="AJ130" s="276"/>
      <c r="AK130" s="276"/>
      <c r="AL130" s="276"/>
      <c r="AM130" s="276"/>
      <c r="AN130" s="276"/>
      <c r="AO130" s="276"/>
      <c r="AP130" s="276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</row>
    <row r="131" spans="1:117" s="171" customFormat="1" ht="16" x14ac:dyDescent="0.2">
      <c r="A131" s="275"/>
      <c r="B131" s="183">
        <v>0</v>
      </c>
      <c r="C131" s="183">
        <v>1</v>
      </c>
      <c r="D131" s="183">
        <v>2</v>
      </c>
      <c r="E131" s="183">
        <v>3</v>
      </c>
      <c r="F131" s="183">
        <v>4</v>
      </c>
      <c r="G131" s="183">
        <v>5</v>
      </c>
      <c r="H131" s="183">
        <v>6</v>
      </c>
      <c r="I131" s="183">
        <v>7</v>
      </c>
      <c r="J131" s="183">
        <v>8</v>
      </c>
      <c r="K131" s="183">
        <v>9</v>
      </c>
      <c r="L131" s="183">
        <v>10</v>
      </c>
      <c r="M131" s="183">
        <v>11</v>
      </c>
      <c r="N131" s="183">
        <v>12</v>
      </c>
      <c r="O131" s="183">
        <v>13</v>
      </c>
      <c r="P131" s="183">
        <v>14</v>
      </c>
      <c r="Q131" s="183">
        <v>15</v>
      </c>
      <c r="R131" s="183">
        <v>16</v>
      </c>
      <c r="S131" s="183">
        <v>17</v>
      </c>
      <c r="T131" s="183">
        <v>18</v>
      </c>
      <c r="U131" s="183">
        <v>19</v>
      </c>
      <c r="V131" s="183">
        <v>20</v>
      </c>
      <c r="W131" s="183">
        <v>21</v>
      </c>
      <c r="X131" s="183">
        <v>22</v>
      </c>
      <c r="Y131" s="183">
        <v>23</v>
      </c>
      <c r="Z131" s="183">
        <v>24</v>
      </c>
      <c r="AA131" s="183">
        <v>25</v>
      </c>
      <c r="AB131" s="183">
        <v>26</v>
      </c>
      <c r="AC131" s="183">
        <v>27</v>
      </c>
      <c r="AD131" s="183">
        <v>28</v>
      </c>
      <c r="AE131" s="183">
        <v>29</v>
      </c>
      <c r="AF131" s="183">
        <v>30</v>
      </c>
      <c r="AG131" s="183">
        <v>31</v>
      </c>
      <c r="AH131" s="183">
        <v>32</v>
      </c>
      <c r="AI131" s="183">
        <v>33</v>
      </c>
      <c r="AJ131" s="183">
        <v>34</v>
      </c>
      <c r="AK131" s="183">
        <v>35</v>
      </c>
      <c r="AL131" s="183">
        <v>36</v>
      </c>
      <c r="AM131" s="183">
        <v>37</v>
      </c>
      <c r="AN131" s="183">
        <v>38</v>
      </c>
      <c r="AO131" s="183">
        <v>39</v>
      </c>
      <c r="AP131" s="183">
        <v>40</v>
      </c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</row>
    <row r="132" spans="1:117" ht="16" x14ac:dyDescent="0.2">
      <c r="A132" s="49" t="s">
        <v>29</v>
      </c>
      <c r="B132" s="43">
        <f>B104</f>
        <v>4590000</v>
      </c>
      <c r="C132" s="43">
        <v>0</v>
      </c>
      <c r="D132" s="43">
        <v>0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/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/>
      <c r="AM132" s="43">
        <v>0</v>
      </c>
      <c r="AN132" s="43">
        <v>0</v>
      </c>
      <c r="AO132" s="43">
        <v>0</v>
      </c>
      <c r="AP132" s="43">
        <v>0</v>
      </c>
      <c r="AQ132" s="72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</row>
    <row r="133" spans="1:117" ht="16" x14ac:dyDescent="0.2">
      <c r="A133" s="49" t="s">
        <v>16</v>
      </c>
      <c r="B133" s="43"/>
      <c r="C133" s="43">
        <f t="shared" ref="C133:AP133" si="22">$B$106</f>
        <v>184000</v>
      </c>
      <c r="D133" s="43">
        <f t="shared" si="22"/>
        <v>184000</v>
      </c>
      <c r="E133" s="43">
        <f t="shared" si="22"/>
        <v>184000</v>
      </c>
      <c r="F133" s="43">
        <f t="shared" si="22"/>
        <v>184000</v>
      </c>
      <c r="G133" s="43">
        <f t="shared" si="22"/>
        <v>184000</v>
      </c>
      <c r="H133" s="43">
        <f t="shared" si="22"/>
        <v>184000</v>
      </c>
      <c r="I133" s="43">
        <f t="shared" si="22"/>
        <v>184000</v>
      </c>
      <c r="J133" s="43">
        <f t="shared" si="22"/>
        <v>184000</v>
      </c>
      <c r="K133" s="43">
        <f t="shared" si="22"/>
        <v>184000</v>
      </c>
      <c r="L133" s="43">
        <f t="shared" si="22"/>
        <v>184000</v>
      </c>
      <c r="M133" s="43">
        <f t="shared" si="22"/>
        <v>184000</v>
      </c>
      <c r="N133" s="43">
        <f t="shared" si="22"/>
        <v>184000</v>
      </c>
      <c r="O133" s="43">
        <f t="shared" si="22"/>
        <v>184000</v>
      </c>
      <c r="P133" s="43">
        <f t="shared" si="22"/>
        <v>184000</v>
      </c>
      <c r="Q133" s="43">
        <f t="shared" si="22"/>
        <v>184000</v>
      </c>
      <c r="R133" s="43">
        <f t="shared" si="22"/>
        <v>184000</v>
      </c>
      <c r="S133" s="43">
        <f t="shared" si="22"/>
        <v>184000</v>
      </c>
      <c r="T133" s="43">
        <f t="shared" si="22"/>
        <v>184000</v>
      </c>
      <c r="U133" s="43">
        <f t="shared" si="22"/>
        <v>184000</v>
      </c>
      <c r="V133" s="43">
        <f t="shared" si="22"/>
        <v>184000</v>
      </c>
      <c r="W133" s="43">
        <f t="shared" si="22"/>
        <v>184000</v>
      </c>
      <c r="X133" s="43">
        <f t="shared" si="22"/>
        <v>184000</v>
      </c>
      <c r="Y133" s="43">
        <f t="shared" si="22"/>
        <v>184000</v>
      </c>
      <c r="Z133" s="43">
        <f t="shared" si="22"/>
        <v>184000</v>
      </c>
      <c r="AA133" s="43">
        <f t="shared" si="22"/>
        <v>184000</v>
      </c>
      <c r="AB133" s="43">
        <f t="shared" si="22"/>
        <v>184000</v>
      </c>
      <c r="AC133" s="43">
        <f t="shared" si="22"/>
        <v>184000</v>
      </c>
      <c r="AD133" s="43">
        <f t="shared" si="22"/>
        <v>184000</v>
      </c>
      <c r="AE133" s="43">
        <f t="shared" si="22"/>
        <v>184000</v>
      </c>
      <c r="AF133" s="43">
        <f t="shared" si="22"/>
        <v>184000</v>
      </c>
      <c r="AG133" s="43">
        <f t="shared" si="22"/>
        <v>184000</v>
      </c>
      <c r="AH133" s="43">
        <f t="shared" si="22"/>
        <v>184000</v>
      </c>
      <c r="AI133" s="43">
        <f t="shared" si="22"/>
        <v>184000</v>
      </c>
      <c r="AJ133" s="43">
        <f t="shared" si="22"/>
        <v>184000</v>
      </c>
      <c r="AK133" s="43">
        <f t="shared" si="22"/>
        <v>184000</v>
      </c>
      <c r="AL133" s="43">
        <f t="shared" si="22"/>
        <v>184000</v>
      </c>
      <c r="AM133" s="43">
        <f t="shared" si="22"/>
        <v>184000</v>
      </c>
      <c r="AN133" s="43">
        <f t="shared" si="22"/>
        <v>184000</v>
      </c>
      <c r="AO133" s="43">
        <f t="shared" si="22"/>
        <v>184000</v>
      </c>
      <c r="AP133" s="43">
        <f t="shared" si="22"/>
        <v>184000</v>
      </c>
      <c r="AQ133" s="72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</row>
    <row r="134" spans="1:117" s="52" customFormat="1" ht="16" x14ac:dyDescent="0.2">
      <c r="A134" s="50" t="s">
        <v>8</v>
      </c>
      <c r="B134" s="51">
        <f>B132</f>
        <v>4590000</v>
      </c>
      <c r="C134" s="51">
        <f t="shared" ref="C134:AP134" si="23">SUM(C132:C133)</f>
        <v>184000</v>
      </c>
      <c r="D134" s="51">
        <f t="shared" si="23"/>
        <v>184000</v>
      </c>
      <c r="E134" s="51">
        <f t="shared" si="23"/>
        <v>184000</v>
      </c>
      <c r="F134" s="51">
        <f t="shared" si="23"/>
        <v>184000</v>
      </c>
      <c r="G134" s="51">
        <f t="shared" si="23"/>
        <v>184000</v>
      </c>
      <c r="H134" s="51">
        <f t="shared" si="23"/>
        <v>184000</v>
      </c>
      <c r="I134" s="51">
        <f t="shared" si="23"/>
        <v>184000</v>
      </c>
      <c r="J134" s="51">
        <f t="shared" si="23"/>
        <v>184000</v>
      </c>
      <c r="K134" s="51">
        <f t="shared" si="23"/>
        <v>184000</v>
      </c>
      <c r="L134" s="51">
        <f t="shared" si="23"/>
        <v>184000</v>
      </c>
      <c r="M134" s="51">
        <f t="shared" si="23"/>
        <v>184000</v>
      </c>
      <c r="N134" s="51">
        <f t="shared" si="23"/>
        <v>184000</v>
      </c>
      <c r="O134" s="51">
        <f t="shared" si="23"/>
        <v>184000</v>
      </c>
      <c r="P134" s="51">
        <f t="shared" si="23"/>
        <v>184000</v>
      </c>
      <c r="Q134" s="51">
        <f t="shared" si="23"/>
        <v>184000</v>
      </c>
      <c r="R134" s="51">
        <f t="shared" si="23"/>
        <v>184000</v>
      </c>
      <c r="S134" s="51">
        <f t="shared" si="23"/>
        <v>184000</v>
      </c>
      <c r="T134" s="51">
        <f t="shared" si="23"/>
        <v>184000</v>
      </c>
      <c r="U134" s="51">
        <f t="shared" si="23"/>
        <v>184000</v>
      </c>
      <c r="V134" s="51">
        <f t="shared" si="23"/>
        <v>184000</v>
      </c>
      <c r="W134" s="51">
        <f t="shared" si="23"/>
        <v>184000</v>
      </c>
      <c r="X134" s="51">
        <f t="shared" si="23"/>
        <v>184000</v>
      </c>
      <c r="Y134" s="51">
        <f t="shared" si="23"/>
        <v>184000</v>
      </c>
      <c r="Z134" s="51">
        <f t="shared" si="23"/>
        <v>184000</v>
      </c>
      <c r="AA134" s="51">
        <f t="shared" si="23"/>
        <v>184000</v>
      </c>
      <c r="AB134" s="51">
        <f t="shared" si="23"/>
        <v>184000</v>
      </c>
      <c r="AC134" s="51">
        <f t="shared" si="23"/>
        <v>184000</v>
      </c>
      <c r="AD134" s="51">
        <f t="shared" si="23"/>
        <v>184000</v>
      </c>
      <c r="AE134" s="51">
        <f t="shared" si="23"/>
        <v>184000</v>
      </c>
      <c r="AF134" s="51">
        <f t="shared" si="23"/>
        <v>184000</v>
      </c>
      <c r="AG134" s="51">
        <f t="shared" si="23"/>
        <v>184000</v>
      </c>
      <c r="AH134" s="51">
        <f t="shared" si="23"/>
        <v>184000</v>
      </c>
      <c r="AI134" s="51">
        <f t="shared" si="23"/>
        <v>184000</v>
      </c>
      <c r="AJ134" s="51">
        <f t="shared" si="23"/>
        <v>184000</v>
      </c>
      <c r="AK134" s="51">
        <f t="shared" si="23"/>
        <v>184000</v>
      </c>
      <c r="AL134" s="51">
        <f t="shared" si="23"/>
        <v>184000</v>
      </c>
      <c r="AM134" s="51">
        <f t="shared" si="23"/>
        <v>184000</v>
      </c>
      <c r="AN134" s="51">
        <f t="shared" si="23"/>
        <v>184000</v>
      </c>
      <c r="AO134" s="51">
        <f t="shared" si="23"/>
        <v>184000</v>
      </c>
      <c r="AP134" s="51">
        <f t="shared" si="23"/>
        <v>184000</v>
      </c>
      <c r="AQ134" s="72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</row>
    <row r="135" spans="1:117" ht="16" x14ac:dyDescent="0.2">
      <c r="A135" s="49" t="s">
        <v>30</v>
      </c>
      <c r="B135" s="53"/>
      <c r="C135" s="43">
        <v>426024</v>
      </c>
      <c r="D135" s="43">
        <v>426024</v>
      </c>
      <c r="E135" s="43">
        <v>426024</v>
      </c>
      <c r="F135" s="43">
        <v>426024</v>
      </c>
      <c r="G135" s="43">
        <v>426024</v>
      </c>
      <c r="H135" s="43">
        <v>426024</v>
      </c>
      <c r="I135" s="43">
        <v>426024</v>
      </c>
      <c r="J135" s="43">
        <v>426024</v>
      </c>
      <c r="K135" s="43">
        <v>426024</v>
      </c>
      <c r="L135" s="43">
        <v>426024</v>
      </c>
      <c r="M135" s="43">
        <v>426024</v>
      </c>
      <c r="N135" s="43">
        <v>426024</v>
      </c>
      <c r="O135" s="43">
        <v>426024</v>
      </c>
      <c r="P135" s="43">
        <v>426024</v>
      </c>
      <c r="Q135" s="43">
        <v>426024</v>
      </c>
      <c r="R135" s="43">
        <v>426024</v>
      </c>
      <c r="S135" s="43">
        <v>426024</v>
      </c>
      <c r="T135" s="43">
        <v>426024</v>
      </c>
      <c r="U135" s="43">
        <v>426024</v>
      </c>
      <c r="V135" s="43">
        <v>426024</v>
      </c>
      <c r="W135" s="43">
        <v>426024</v>
      </c>
      <c r="X135" s="43">
        <v>426024</v>
      </c>
      <c r="Y135" s="43">
        <v>426024</v>
      </c>
      <c r="Z135" s="43">
        <v>426024</v>
      </c>
      <c r="AA135" s="43">
        <v>426024</v>
      </c>
      <c r="AB135" s="43">
        <v>426024</v>
      </c>
      <c r="AC135" s="43">
        <v>426024</v>
      </c>
      <c r="AD135" s="43">
        <v>426024</v>
      </c>
      <c r="AE135" s="43">
        <v>426024</v>
      </c>
      <c r="AF135" s="43">
        <v>426024</v>
      </c>
      <c r="AG135" s="43">
        <v>426024</v>
      </c>
      <c r="AH135" s="43">
        <v>426024</v>
      </c>
      <c r="AI135" s="43">
        <v>426024</v>
      </c>
      <c r="AJ135" s="43">
        <v>426024</v>
      </c>
      <c r="AK135" s="43">
        <v>426024</v>
      </c>
      <c r="AL135" s="43">
        <v>426024</v>
      </c>
      <c r="AM135" s="43">
        <v>426024</v>
      </c>
      <c r="AN135" s="43">
        <v>426024</v>
      </c>
      <c r="AO135" s="43">
        <v>426024</v>
      </c>
      <c r="AP135" s="43">
        <v>426024</v>
      </c>
      <c r="AQ135" s="72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</row>
    <row r="136" spans="1:117" ht="16" x14ac:dyDescent="0.2">
      <c r="A136" s="49" t="s">
        <v>106</v>
      </c>
      <c r="B136" s="53"/>
      <c r="C136" s="43">
        <f>$E$104*$C$111</f>
        <v>153000</v>
      </c>
      <c r="D136" s="43">
        <f t="shared" ref="D136:AP136" si="24">$E$104*$C$111</f>
        <v>153000</v>
      </c>
      <c r="E136" s="43">
        <f t="shared" si="24"/>
        <v>153000</v>
      </c>
      <c r="F136" s="43">
        <f t="shared" si="24"/>
        <v>153000</v>
      </c>
      <c r="G136" s="43">
        <f t="shared" si="24"/>
        <v>153000</v>
      </c>
      <c r="H136" s="43">
        <f t="shared" si="24"/>
        <v>153000</v>
      </c>
      <c r="I136" s="43">
        <f t="shared" si="24"/>
        <v>153000</v>
      </c>
      <c r="J136" s="43">
        <f t="shared" si="24"/>
        <v>153000</v>
      </c>
      <c r="K136" s="43">
        <f t="shared" si="24"/>
        <v>153000</v>
      </c>
      <c r="L136" s="43">
        <f t="shared" si="24"/>
        <v>153000</v>
      </c>
      <c r="M136" s="43">
        <f t="shared" si="24"/>
        <v>153000</v>
      </c>
      <c r="N136" s="43">
        <f t="shared" si="24"/>
        <v>153000</v>
      </c>
      <c r="O136" s="43">
        <f t="shared" si="24"/>
        <v>153000</v>
      </c>
      <c r="P136" s="43">
        <f t="shared" si="24"/>
        <v>153000</v>
      </c>
      <c r="Q136" s="43">
        <f t="shared" si="24"/>
        <v>153000</v>
      </c>
      <c r="R136" s="43">
        <f t="shared" si="24"/>
        <v>153000</v>
      </c>
      <c r="S136" s="43">
        <f t="shared" si="24"/>
        <v>153000</v>
      </c>
      <c r="T136" s="43">
        <f t="shared" si="24"/>
        <v>153000</v>
      </c>
      <c r="U136" s="43">
        <f t="shared" si="24"/>
        <v>153000</v>
      </c>
      <c r="V136" s="43">
        <f t="shared" si="24"/>
        <v>153000</v>
      </c>
      <c r="W136" s="43">
        <f t="shared" si="24"/>
        <v>153000</v>
      </c>
      <c r="X136" s="43">
        <f t="shared" si="24"/>
        <v>153000</v>
      </c>
      <c r="Y136" s="43">
        <f t="shared" si="24"/>
        <v>153000</v>
      </c>
      <c r="Z136" s="43">
        <f t="shared" si="24"/>
        <v>153000</v>
      </c>
      <c r="AA136" s="43">
        <f t="shared" si="24"/>
        <v>153000</v>
      </c>
      <c r="AB136" s="43">
        <f t="shared" si="24"/>
        <v>153000</v>
      </c>
      <c r="AC136" s="43">
        <f t="shared" si="24"/>
        <v>153000</v>
      </c>
      <c r="AD136" s="43">
        <f t="shared" si="24"/>
        <v>153000</v>
      </c>
      <c r="AE136" s="43">
        <f t="shared" si="24"/>
        <v>153000</v>
      </c>
      <c r="AF136" s="43">
        <f t="shared" si="24"/>
        <v>153000</v>
      </c>
      <c r="AG136" s="43">
        <f t="shared" si="24"/>
        <v>153000</v>
      </c>
      <c r="AH136" s="43">
        <f t="shared" si="24"/>
        <v>153000</v>
      </c>
      <c r="AI136" s="43">
        <f t="shared" si="24"/>
        <v>153000</v>
      </c>
      <c r="AJ136" s="43">
        <f t="shared" si="24"/>
        <v>153000</v>
      </c>
      <c r="AK136" s="43">
        <f t="shared" si="24"/>
        <v>153000</v>
      </c>
      <c r="AL136" s="43">
        <f t="shared" si="24"/>
        <v>153000</v>
      </c>
      <c r="AM136" s="43">
        <f t="shared" si="24"/>
        <v>153000</v>
      </c>
      <c r="AN136" s="43">
        <f t="shared" si="24"/>
        <v>153000</v>
      </c>
      <c r="AO136" s="43">
        <f t="shared" si="24"/>
        <v>153000</v>
      </c>
      <c r="AP136" s="43">
        <f t="shared" si="24"/>
        <v>153000</v>
      </c>
      <c r="AQ136" s="72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</row>
    <row r="137" spans="1:117" s="52" customFormat="1" ht="16" x14ac:dyDescent="0.2">
      <c r="A137" s="50" t="s">
        <v>10</v>
      </c>
      <c r="B137" s="96">
        <f t="shared" ref="B137:AP137" si="25">SUM(B135:B136)</f>
        <v>0</v>
      </c>
      <c r="C137" s="96">
        <f t="shared" si="25"/>
        <v>579024</v>
      </c>
      <c r="D137" s="96">
        <f t="shared" si="25"/>
        <v>579024</v>
      </c>
      <c r="E137" s="96">
        <f t="shared" si="25"/>
        <v>579024</v>
      </c>
      <c r="F137" s="96">
        <f t="shared" si="25"/>
        <v>579024</v>
      </c>
      <c r="G137" s="96">
        <f t="shared" si="25"/>
        <v>579024</v>
      </c>
      <c r="H137" s="96">
        <f t="shared" si="25"/>
        <v>579024</v>
      </c>
      <c r="I137" s="96">
        <f t="shared" si="25"/>
        <v>579024</v>
      </c>
      <c r="J137" s="96">
        <f t="shared" si="25"/>
        <v>579024</v>
      </c>
      <c r="K137" s="96">
        <f t="shared" si="25"/>
        <v>579024</v>
      </c>
      <c r="L137" s="96">
        <f t="shared" si="25"/>
        <v>579024</v>
      </c>
      <c r="M137" s="96">
        <f t="shared" si="25"/>
        <v>579024</v>
      </c>
      <c r="N137" s="96">
        <f t="shared" si="25"/>
        <v>579024</v>
      </c>
      <c r="O137" s="96">
        <f t="shared" si="25"/>
        <v>579024</v>
      </c>
      <c r="P137" s="96">
        <f t="shared" si="25"/>
        <v>579024</v>
      </c>
      <c r="Q137" s="96">
        <f t="shared" si="25"/>
        <v>579024</v>
      </c>
      <c r="R137" s="96">
        <f t="shared" si="25"/>
        <v>579024</v>
      </c>
      <c r="S137" s="96">
        <f t="shared" si="25"/>
        <v>579024</v>
      </c>
      <c r="T137" s="96">
        <f t="shared" si="25"/>
        <v>579024</v>
      </c>
      <c r="U137" s="96">
        <f t="shared" si="25"/>
        <v>579024</v>
      </c>
      <c r="V137" s="96">
        <f t="shared" si="25"/>
        <v>579024</v>
      </c>
      <c r="W137" s="96">
        <f t="shared" si="25"/>
        <v>579024</v>
      </c>
      <c r="X137" s="96">
        <f t="shared" si="25"/>
        <v>579024</v>
      </c>
      <c r="Y137" s="96">
        <f t="shared" si="25"/>
        <v>579024</v>
      </c>
      <c r="Z137" s="96">
        <f t="shared" si="25"/>
        <v>579024</v>
      </c>
      <c r="AA137" s="96">
        <f t="shared" si="25"/>
        <v>579024</v>
      </c>
      <c r="AB137" s="96">
        <f t="shared" si="25"/>
        <v>579024</v>
      </c>
      <c r="AC137" s="96">
        <f t="shared" si="25"/>
        <v>579024</v>
      </c>
      <c r="AD137" s="96">
        <f t="shared" si="25"/>
        <v>579024</v>
      </c>
      <c r="AE137" s="96">
        <f t="shared" si="25"/>
        <v>579024</v>
      </c>
      <c r="AF137" s="96">
        <f t="shared" si="25"/>
        <v>579024</v>
      </c>
      <c r="AG137" s="96">
        <f t="shared" si="25"/>
        <v>579024</v>
      </c>
      <c r="AH137" s="96">
        <f t="shared" si="25"/>
        <v>579024</v>
      </c>
      <c r="AI137" s="96">
        <f t="shared" si="25"/>
        <v>579024</v>
      </c>
      <c r="AJ137" s="96">
        <f t="shared" si="25"/>
        <v>579024</v>
      </c>
      <c r="AK137" s="96">
        <f t="shared" si="25"/>
        <v>579024</v>
      </c>
      <c r="AL137" s="96">
        <f t="shared" si="25"/>
        <v>579024</v>
      </c>
      <c r="AM137" s="96">
        <f t="shared" si="25"/>
        <v>579024</v>
      </c>
      <c r="AN137" s="96">
        <f t="shared" si="25"/>
        <v>579024</v>
      </c>
      <c r="AO137" s="96">
        <f t="shared" si="25"/>
        <v>579024</v>
      </c>
      <c r="AP137" s="96">
        <f t="shared" si="25"/>
        <v>579024</v>
      </c>
      <c r="AQ137" s="72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</row>
    <row r="138" spans="1:117" s="59" customFormat="1" ht="16" x14ac:dyDescent="0.2">
      <c r="A138" s="57" t="s">
        <v>11</v>
      </c>
      <c r="B138" s="58">
        <f t="shared" ref="B138:AP138" si="26">B137-B134</f>
        <v>-4590000</v>
      </c>
      <c r="C138" s="58">
        <f t="shared" si="26"/>
        <v>395024</v>
      </c>
      <c r="D138" s="58">
        <f t="shared" si="26"/>
        <v>395024</v>
      </c>
      <c r="E138" s="58">
        <f t="shared" si="26"/>
        <v>395024</v>
      </c>
      <c r="F138" s="58">
        <f t="shared" si="26"/>
        <v>395024</v>
      </c>
      <c r="G138" s="58">
        <f t="shared" si="26"/>
        <v>395024</v>
      </c>
      <c r="H138" s="58">
        <f t="shared" si="26"/>
        <v>395024</v>
      </c>
      <c r="I138" s="58">
        <f t="shared" si="26"/>
        <v>395024</v>
      </c>
      <c r="J138" s="58">
        <f t="shared" si="26"/>
        <v>395024</v>
      </c>
      <c r="K138" s="58">
        <f t="shared" si="26"/>
        <v>395024</v>
      </c>
      <c r="L138" s="58">
        <f t="shared" si="26"/>
        <v>395024</v>
      </c>
      <c r="M138" s="58">
        <f t="shared" si="26"/>
        <v>395024</v>
      </c>
      <c r="N138" s="58">
        <f t="shared" si="26"/>
        <v>395024</v>
      </c>
      <c r="O138" s="58">
        <f t="shared" si="26"/>
        <v>395024</v>
      </c>
      <c r="P138" s="58">
        <f t="shared" si="26"/>
        <v>395024</v>
      </c>
      <c r="Q138" s="58">
        <f t="shared" si="26"/>
        <v>395024</v>
      </c>
      <c r="R138" s="58">
        <f t="shared" si="26"/>
        <v>395024</v>
      </c>
      <c r="S138" s="58">
        <f t="shared" si="26"/>
        <v>395024</v>
      </c>
      <c r="T138" s="58">
        <f t="shared" si="26"/>
        <v>395024</v>
      </c>
      <c r="U138" s="58">
        <f t="shared" si="26"/>
        <v>395024</v>
      </c>
      <c r="V138" s="58">
        <f t="shared" si="26"/>
        <v>395024</v>
      </c>
      <c r="W138" s="58">
        <f t="shared" si="26"/>
        <v>395024</v>
      </c>
      <c r="X138" s="58">
        <f t="shared" si="26"/>
        <v>395024</v>
      </c>
      <c r="Y138" s="58">
        <f t="shared" si="26"/>
        <v>395024</v>
      </c>
      <c r="Z138" s="58">
        <f t="shared" si="26"/>
        <v>395024</v>
      </c>
      <c r="AA138" s="58">
        <f t="shared" si="26"/>
        <v>395024</v>
      </c>
      <c r="AB138" s="58">
        <f t="shared" si="26"/>
        <v>395024</v>
      </c>
      <c r="AC138" s="58">
        <f t="shared" si="26"/>
        <v>395024</v>
      </c>
      <c r="AD138" s="58">
        <f t="shared" si="26"/>
        <v>395024</v>
      </c>
      <c r="AE138" s="58">
        <f t="shared" si="26"/>
        <v>395024</v>
      </c>
      <c r="AF138" s="58">
        <f t="shared" si="26"/>
        <v>395024</v>
      </c>
      <c r="AG138" s="58">
        <f t="shared" si="26"/>
        <v>395024</v>
      </c>
      <c r="AH138" s="58">
        <f t="shared" si="26"/>
        <v>395024</v>
      </c>
      <c r="AI138" s="58">
        <f t="shared" si="26"/>
        <v>395024</v>
      </c>
      <c r="AJ138" s="58">
        <f t="shared" si="26"/>
        <v>395024</v>
      </c>
      <c r="AK138" s="58">
        <f t="shared" si="26"/>
        <v>395024</v>
      </c>
      <c r="AL138" s="58">
        <f t="shared" si="26"/>
        <v>395024</v>
      </c>
      <c r="AM138" s="58">
        <f t="shared" si="26"/>
        <v>395024</v>
      </c>
      <c r="AN138" s="58">
        <f t="shared" si="26"/>
        <v>395024</v>
      </c>
      <c r="AO138" s="58">
        <f t="shared" si="26"/>
        <v>395024</v>
      </c>
      <c r="AP138" s="58">
        <f t="shared" si="26"/>
        <v>395024</v>
      </c>
      <c r="AQ138" s="72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</row>
    <row r="139" spans="1:117" s="62" customFormat="1" ht="16" x14ac:dyDescent="0.2">
      <c r="A139" s="60" t="s">
        <v>37</v>
      </c>
      <c r="B139" s="61">
        <f t="array" ref="B139">NPV(0.035,C138:AP138)+ B138</f>
        <v>3845766.09496863</v>
      </c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4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  <c r="AA139" s="203"/>
      <c r="AB139" s="203"/>
      <c r="AC139" s="203"/>
      <c r="AD139" s="203"/>
      <c r="AE139" s="203"/>
      <c r="AF139" s="203"/>
      <c r="AG139" s="203"/>
      <c r="AH139" s="203"/>
      <c r="AI139" s="203"/>
      <c r="AJ139" s="203"/>
      <c r="AK139" s="203"/>
      <c r="AL139" s="204"/>
      <c r="AM139" s="203"/>
      <c r="AN139" s="203"/>
      <c r="AO139" s="203"/>
      <c r="AP139" s="203"/>
      <c r="AQ139" s="72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</row>
    <row r="140" spans="1:117" ht="16" x14ac:dyDescent="0.2">
      <c r="A140" s="104" t="s">
        <v>32</v>
      </c>
      <c r="B140" s="221">
        <f t="array" ref="B140">(480*B132/NPV(0.035,C138:AP138))</f>
        <v>261.17367115170032</v>
      </c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7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7"/>
      <c r="AM140" s="156"/>
      <c r="AN140" s="156"/>
      <c r="AO140" s="156"/>
      <c r="AP140" s="156"/>
      <c r="AQ140" s="72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</row>
    <row r="141" spans="1:117" ht="16" x14ac:dyDescent="0.2">
      <c r="A141" s="63" t="s">
        <v>38</v>
      </c>
      <c r="B141" s="222">
        <f>IRR(B138:AP138)</f>
        <v>8.2442654390515235E-2</v>
      </c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72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</row>
    <row r="142" spans="1:117" ht="16" x14ac:dyDescent="0.2">
      <c r="A142" s="106" t="s">
        <v>39</v>
      </c>
      <c r="B142" s="223">
        <f t="array" ref="B142">(NPV(0.035, C137:AP137))/(NPV(0.035,C134:AP134))</f>
        <v>3.1468695652173913</v>
      </c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159"/>
      <c r="Y142" s="159"/>
      <c r="Z142" s="159"/>
      <c r="AA142" s="159"/>
      <c r="AB142" s="159"/>
      <c r="AC142" s="159"/>
      <c r="AD142" s="159"/>
      <c r="AE142" s="159"/>
      <c r="AF142" s="159"/>
      <c r="AG142" s="159"/>
      <c r="AH142" s="159"/>
      <c r="AI142" s="159"/>
      <c r="AJ142" s="159"/>
      <c r="AK142" s="159"/>
      <c r="AL142" s="159"/>
      <c r="AM142" s="159"/>
      <c r="AN142" s="159"/>
      <c r="AO142" s="159"/>
      <c r="AP142" s="159"/>
      <c r="AQ142" s="72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</row>
    <row r="143" spans="1:117" ht="15.75" customHeight="1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</row>
    <row r="145" spans="1:124" ht="15.75" customHeight="1" x14ac:dyDescent="0.25">
      <c r="A145" s="151" t="s">
        <v>93</v>
      </c>
    </row>
    <row r="146" spans="1:124" ht="15.75" customHeight="1" x14ac:dyDescent="0.2"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</row>
    <row r="147" spans="1:124" ht="16" x14ac:dyDescent="0.2">
      <c r="A147" s="280" t="s">
        <v>81</v>
      </c>
      <c r="B147" s="282" t="s">
        <v>82</v>
      </c>
      <c r="C147" s="283"/>
      <c r="D147" s="283"/>
      <c r="E147" s="290"/>
      <c r="F147" s="284" t="s">
        <v>83</v>
      </c>
      <c r="G147" s="283"/>
      <c r="H147" s="283"/>
      <c r="I147" s="283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</row>
    <row r="148" spans="1:124" s="264" customFormat="1" ht="16" x14ac:dyDescent="0.2">
      <c r="A148" s="281"/>
      <c r="B148" s="262" t="s">
        <v>31</v>
      </c>
      <c r="C148" s="262" t="s">
        <v>32</v>
      </c>
      <c r="D148" s="262" t="s">
        <v>84</v>
      </c>
      <c r="E148" s="291" t="s">
        <v>33</v>
      </c>
      <c r="F148" s="263" t="s">
        <v>37</v>
      </c>
      <c r="G148" s="263" t="s">
        <v>32</v>
      </c>
      <c r="H148" s="263" t="s">
        <v>84</v>
      </c>
      <c r="I148" s="263" t="s">
        <v>38</v>
      </c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</row>
    <row r="149" spans="1:124" s="171" customFormat="1" ht="16" x14ac:dyDescent="0.2">
      <c r="A149" s="172" t="s">
        <v>58</v>
      </c>
      <c r="B149" s="292">
        <f>B23</f>
        <v>2664655.1853889776</v>
      </c>
      <c r="C149" s="292">
        <f>B24</f>
        <v>135.13025260579286</v>
      </c>
      <c r="D149" s="292">
        <f>B26</f>
        <v>5.1954146341463403</v>
      </c>
      <c r="E149" s="296">
        <v>0.15304074776101032</v>
      </c>
      <c r="F149" s="293">
        <v>7562739.2104985863</v>
      </c>
      <c r="G149" s="293">
        <v>67.222481883403532</v>
      </c>
      <c r="H149" s="293">
        <v>8.2118780487804894</v>
      </c>
      <c r="I149" s="298">
        <v>0.27008895836522079</v>
      </c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</row>
    <row r="150" spans="1:124" ht="16" x14ac:dyDescent="0.2">
      <c r="A150" s="117" t="s">
        <v>85</v>
      </c>
      <c r="B150" s="294">
        <f>B72</f>
        <v>13081104.36653889</v>
      </c>
      <c r="C150" s="294">
        <f>B73</f>
        <v>90.334454109012327</v>
      </c>
      <c r="D150" s="294">
        <f>B75</f>
        <v>5.3030303030303028</v>
      </c>
      <c r="E150" s="297">
        <v>0.25898347115126558</v>
      </c>
      <c r="F150" s="295">
        <v>23070702.662816618</v>
      </c>
      <c r="G150" s="295">
        <v>57.463194767219619</v>
      </c>
      <c r="H150" s="295">
        <v>6.6539393939393952</v>
      </c>
      <c r="I150" s="299">
        <v>0.34057814603853498</v>
      </c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</row>
    <row r="151" spans="1:124" s="171" customFormat="1" ht="16" x14ac:dyDescent="0.2">
      <c r="A151" s="172" t="s">
        <v>86</v>
      </c>
      <c r="B151" s="292">
        <f>B121</f>
        <v>-3225509.4531303626</v>
      </c>
      <c r="C151" s="292">
        <f>B122</f>
        <v>1614.6685699321979</v>
      </c>
      <c r="D151" s="292">
        <f>B124</f>
        <v>1.4321739130434783</v>
      </c>
      <c r="E151" s="296">
        <v>-1.6815958941547398E-2</v>
      </c>
      <c r="F151" s="293">
        <v>3845766.0949686319</v>
      </c>
      <c r="G151" s="293">
        <f>B140</f>
        <v>261.17367115170032</v>
      </c>
      <c r="H151" s="293">
        <v>3.1468695652173913</v>
      </c>
      <c r="I151" s="298">
        <v>8.2442654390484205E-2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</row>
    <row r="152" spans="1:124" ht="15.75" customHeight="1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</row>
  </sheetData>
  <mergeCells count="21">
    <mergeCell ref="A111:B111"/>
    <mergeCell ref="A113:A114"/>
    <mergeCell ref="A64:A65"/>
    <mergeCell ref="B64:AF64"/>
    <mergeCell ref="A80:A81"/>
    <mergeCell ref="B80:AF80"/>
    <mergeCell ref="D105:E105"/>
    <mergeCell ref="B31:AA31"/>
    <mergeCell ref="D59:E59"/>
    <mergeCell ref="A62:B62"/>
    <mergeCell ref="A13:B13"/>
    <mergeCell ref="AI15:AP15"/>
    <mergeCell ref="A15:A16"/>
    <mergeCell ref="B15:AA15"/>
    <mergeCell ref="A31:A32"/>
    <mergeCell ref="B113:AP113"/>
    <mergeCell ref="A130:A131"/>
    <mergeCell ref="A147:A148"/>
    <mergeCell ref="B147:E147"/>
    <mergeCell ref="F147:I147"/>
    <mergeCell ref="B130:AP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2022-10-16T13:21:55Z</dcterms:modified>
</cp:coreProperties>
</file>