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C:\Users\maxim\Documents\Max\personal\Tounamnet Database\new_trials\Git\"/>
    </mc:Choice>
  </mc:AlternateContent>
  <xr:revisionPtr revIDLastSave="0" documentId="13_ncr:1_{40742E6E-F0F7-4685-AA2C-4433A5EB53F4}" xr6:coauthVersionLast="47" xr6:coauthVersionMax="47" xr10:uidLastSave="{00000000-0000-0000-0000-000000000000}"/>
  <bookViews>
    <workbookView xWindow="-108" yWindow="-108" windowWidth="23256" windowHeight="12456" tabRatio="638" activeTab="3" xr2:uid="{00000000-000D-0000-FFFF-FFFF00000000}"/>
  </bookViews>
  <sheets>
    <sheet name="Rules" sheetId="9" r:id="rId1"/>
    <sheet name="Extra_Details" sheetId="11" r:id="rId2"/>
    <sheet name="Countries" sheetId="5" r:id="rId3"/>
    <sheet name="Team_Sheet(s)" sheetId="7" r:id="rId4"/>
    <sheet name="Fixtures" sheetId="1" r:id="rId5"/>
    <sheet name="Benchmark" sheetId="8" r:id="rId6"/>
    <sheet name="Demo" sheetId="3" r:id="rId7"/>
    <sheet name="Results" sheetId="2" r:id="rId8"/>
    <sheet name="Points_Table" sheetId="4" r:id="rId9"/>
  </sheets>
  <definedNames>
    <definedName name="_xlnm._FilterDatabase" localSheetId="2" hidden="1">'Countries'!$A$1:$B$43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4" i="8" l="1" a="1"/>
  <c r="N34" i="8" s="1"/>
  <c r="N35" i="8" a="1"/>
  <c r="N35" i="8" s="1"/>
  <c r="N34" i="3" a="1"/>
  <c r="N34" i="3" s="1"/>
  <c r="N35" i="3" a="1"/>
  <c r="N35" i="3" s="1"/>
  <c r="E100" i="1" a="1"/>
  <c r="E100" i="1" s="1"/>
  <c r="D100" i="1" a="1"/>
  <c r="D100" i="1" s="1"/>
  <c r="E99" i="1" a="1"/>
  <c r="E99" i="1" s="1"/>
  <c r="D99" i="1" a="1"/>
  <c r="D99" i="1" s="1"/>
  <c r="D90" i="1" a="1"/>
  <c r="D90" i="1" s="1"/>
  <c r="E90" i="1" a="1"/>
  <c r="E90" i="1" s="1"/>
  <c r="D91" i="1" a="1"/>
  <c r="D91" i="1" s="1"/>
  <c r="E91" i="1" a="1"/>
  <c r="E91" i="1" s="1"/>
  <c r="D92" i="1" a="1"/>
  <c r="D92" i="1" s="1"/>
  <c r="E92" i="1" a="1"/>
  <c r="E92" i="1" s="1"/>
  <c r="D93" i="1" a="1"/>
  <c r="D93" i="1" s="1"/>
  <c r="E93" i="1" a="1"/>
  <c r="E93" i="1" s="1"/>
  <c r="D94" i="1" a="1"/>
  <c r="D94" i="1" s="1"/>
  <c r="D94" i="2" s="1"/>
  <c r="E94" i="1" a="1"/>
  <c r="E94" i="1" s="1"/>
  <c r="D95" i="1" a="1"/>
  <c r="D95" i="1" s="1"/>
  <c r="D95" i="2" s="1"/>
  <c r="E95" i="1" a="1"/>
  <c r="E95" i="1" s="1"/>
  <c r="D96" i="1" a="1"/>
  <c r="D96" i="1" s="1"/>
  <c r="E96" i="1" a="1"/>
  <c r="E96" i="1" s="1"/>
  <c r="G96" i="8" s="1"/>
  <c r="D97" i="1" a="1"/>
  <c r="D97" i="1" s="1"/>
  <c r="E97" i="1" a="1"/>
  <c r="E97" i="1" s="1"/>
  <c r="D98" i="1" a="1"/>
  <c r="D98" i="1" s="1"/>
  <c r="E98" i="1" a="1"/>
  <c r="E98" i="1" s="1"/>
  <c r="D101" i="1" a="1"/>
  <c r="D101" i="1" s="1"/>
  <c r="E101" i="1" a="1"/>
  <c r="E101" i="1" s="1"/>
  <c r="D102" i="1" a="1"/>
  <c r="D102" i="1" s="1"/>
  <c r="E102" i="1" a="1"/>
  <c r="E102" i="1" s="1"/>
  <c r="D103" i="1" a="1"/>
  <c r="D103" i="1" s="1"/>
  <c r="E103" i="1" a="1"/>
  <c r="E103" i="1" s="1"/>
  <c r="D104" i="1" a="1"/>
  <c r="D104" i="1" s="1"/>
  <c r="E104" i="1" a="1"/>
  <c r="E104" i="1" s="1"/>
  <c r="D105" i="1" a="1"/>
  <c r="D105" i="1" s="1"/>
  <c r="E105" i="1" a="1"/>
  <c r="E105" i="1" s="1"/>
  <c r="N33" i="3" a="1"/>
  <c r="N33" i="3" s="1"/>
  <c r="N30" i="3" a="1"/>
  <c r="N30" i="3" s="1"/>
  <c r="N27" i="3" a="1"/>
  <c r="N27" i="3" s="1"/>
  <c r="N24" i="3" a="1"/>
  <c r="N24" i="3" s="1"/>
  <c r="N21" i="3" a="1"/>
  <c r="N21" i="3" s="1"/>
  <c r="N20" i="3" a="1"/>
  <c r="N20" i="3" s="1"/>
  <c r="N7" i="3" a="1"/>
  <c r="N7" i="3" s="1"/>
  <c r="N8" i="3" a="1"/>
  <c r="N8" i="3"/>
  <c r="N9" i="3" a="1"/>
  <c r="N9" i="3" s="1"/>
  <c r="N10" i="3" a="1"/>
  <c r="N10" i="3" s="1"/>
  <c r="N11" i="3" a="1"/>
  <c r="N11" i="3" s="1"/>
  <c r="N12" i="3" a="1"/>
  <c r="N12" i="3" s="1"/>
  <c r="N13" i="3" a="1"/>
  <c r="N13" i="3" s="1"/>
  <c r="N14" i="3" a="1"/>
  <c r="N14" i="3" s="1"/>
  <c r="N15" i="3" a="1"/>
  <c r="N15" i="3" s="1"/>
  <c r="N16" i="3" a="1"/>
  <c r="N16" i="3" s="1"/>
  <c r="N17" i="3" a="1"/>
  <c r="N17" i="3"/>
  <c r="N6" i="3" a="1"/>
  <c r="N6" i="3" s="1"/>
  <c r="N33" i="8" a="1"/>
  <c r="N33" i="8" s="1"/>
  <c r="N27" i="8" a="1"/>
  <c r="N27" i="8" s="1"/>
  <c r="J3" i="3" a="1"/>
  <c r="J3" i="3" s="1"/>
  <c r="J4" i="3" a="1"/>
  <c r="J4" i="3" s="1"/>
  <c r="J5" i="3" a="1"/>
  <c r="J5" i="3" s="1"/>
  <c r="J6" i="3" a="1"/>
  <c r="J6" i="3" s="1"/>
  <c r="J7" i="3" a="1"/>
  <c r="J7" i="3" s="1"/>
  <c r="J8" i="3" a="1"/>
  <c r="J8" i="3" s="1"/>
  <c r="J9" i="3" a="1"/>
  <c r="J9" i="3" s="1"/>
  <c r="J10" i="3" a="1"/>
  <c r="J10" i="3" s="1"/>
  <c r="J11" i="3" a="1"/>
  <c r="J11" i="3" s="1"/>
  <c r="J12" i="3" a="1"/>
  <c r="J12" i="3" s="1"/>
  <c r="J13" i="3" a="1"/>
  <c r="J13" i="3" s="1"/>
  <c r="J14" i="3" a="1"/>
  <c r="J14" i="3" s="1"/>
  <c r="J15" i="3" a="1"/>
  <c r="J15" i="3" s="1"/>
  <c r="J16" i="3" a="1"/>
  <c r="J16" i="3" s="1"/>
  <c r="J17" i="3" a="1"/>
  <c r="J17" i="3" s="1"/>
  <c r="J18" i="3" a="1"/>
  <c r="J18" i="3" s="1"/>
  <c r="J19" i="3" a="1"/>
  <c r="J19" i="3" s="1"/>
  <c r="J20" i="3" a="1"/>
  <c r="J20" i="3" s="1"/>
  <c r="J21" i="3" a="1"/>
  <c r="J21" i="3" s="1"/>
  <c r="J22" i="3" a="1"/>
  <c r="J22" i="3" s="1"/>
  <c r="J23" i="3" a="1"/>
  <c r="J23" i="3"/>
  <c r="J24" i="3" a="1"/>
  <c r="J24" i="3" s="1"/>
  <c r="J25" i="3" a="1"/>
  <c r="J25" i="3" s="1"/>
  <c r="J26" i="3" a="1"/>
  <c r="J26" i="3" s="1"/>
  <c r="J27" i="3" a="1"/>
  <c r="J27" i="3" s="1"/>
  <c r="J28" i="3" a="1"/>
  <c r="J28" i="3" s="1"/>
  <c r="J29" i="3" a="1"/>
  <c r="J29" i="3" s="1"/>
  <c r="J30" i="3" a="1"/>
  <c r="J30" i="3" s="1"/>
  <c r="J31" i="3" a="1"/>
  <c r="J31" i="3"/>
  <c r="J32" i="3" a="1"/>
  <c r="J32" i="3" s="1"/>
  <c r="J33" i="3" a="1"/>
  <c r="J33" i="3" s="1"/>
  <c r="J34" i="3" a="1"/>
  <c r="J34" i="3" s="1"/>
  <c r="J35" i="3" a="1"/>
  <c r="J35" i="3" s="1"/>
  <c r="J36" i="3" a="1"/>
  <c r="J36" i="3" s="1"/>
  <c r="J37" i="3" a="1"/>
  <c r="J37" i="3" s="1"/>
  <c r="J38" i="3" a="1"/>
  <c r="J38" i="3" s="1"/>
  <c r="J39" i="3" a="1"/>
  <c r="J39" i="3" s="1"/>
  <c r="J40" i="3" a="1"/>
  <c r="J40" i="3" s="1"/>
  <c r="J41" i="3" a="1"/>
  <c r="J41" i="3" s="1"/>
  <c r="J42" i="3" a="1"/>
  <c r="J42" i="3" s="1"/>
  <c r="J43" i="3" a="1"/>
  <c r="J43" i="3" s="1"/>
  <c r="J44" i="3" a="1"/>
  <c r="J44" i="3" s="1"/>
  <c r="J45" i="3" a="1"/>
  <c r="J45" i="3" s="1"/>
  <c r="J46" i="3" a="1"/>
  <c r="J46" i="3" s="1"/>
  <c r="J47" i="3" a="1"/>
  <c r="J47" i="3" s="1"/>
  <c r="J48" i="3" a="1"/>
  <c r="J48" i="3" s="1"/>
  <c r="J49" i="3" a="1"/>
  <c r="J49" i="3" s="1"/>
  <c r="J50" i="3" a="1"/>
  <c r="J50" i="3" s="1"/>
  <c r="J51" i="3" a="1"/>
  <c r="J51" i="3" s="1"/>
  <c r="J52" i="3" a="1"/>
  <c r="J52" i="3" s="1"/>
  <c r="J53" i="3" a="1"/>
  <c r="J53" i="3" s="1"/>
  <c r="J54" i="3" a="1"/>
  <c r="J54" i="3" s="1"/>
  <c r="J55" i="3" a="1"/>
  <c r="J55" i="3" s="1"/>
  <c r="J56" i="3" a="1"/>
  <c r="J56" i="3" s="1"/>
  <c r="J57" i="3" a="1"/>
  <c r="J57" i="3" s="1"/>
  <c r="J58" i="3" a="1"/>
  <c r="J58" i="3" s="1"/>
  <c r="J59" i="3" a="1"/>
  <c r="J59" i="3"/>
  <c r="J60" i="3" a="1"/>
  <c r="J60" i="3" s="1"/>
  <c r="J61" i="3" a="1"/>
  <c r="J61" i="3" s="1"/>
  <c r="J62" i="3" a="1"/>
  <c r="J62" i="3" s="1"/>
  <c r="J63" i="3" a="1"/>
  <c r="J63" i="3" s="1"/>
  <c r="J64" i="3" a="1"/>
  <c r="J64" i="3" s="1"/>
  <c r="J65" i="3" a="1"/>
  <c r="J65" i="3" s="1"/>
  <c r="J66" i="3" a="1"/>
  <c r="J66" i="3" s="1"/>
  <c r="J67" i="3" a="1"/>
  <c r="J67" i="3"/>
  <c r="J68" i="3" a="1"/>
  <c r="J68" i="3" s="1"/>
  <c r="J69" i="3" a="1"/>
  <c r="J69" i="3" s="1"/>
  <c r="J70" i="3" a="1"/>
  <c r="J70" i="3" s="1"/>
  <c r="J71" i="3" a="1"/>
  <c r="J71" i="3" s="1"/>
  <c r="J72" i="3" a="1"/>
  <c r="J72" i="3" s="1"/>
  <c r="J73" i="3" a="1"/>
  <c r="J73" i="3" s="1"/>
  <c r="J74" i="3" a="1"/>
  <c r="J74" i="3" s="1"/>
  <c r="J75" i="3" a="1"/>
  <c r="J75" i="3" s="1"/>
  <c r="J76" i="3" a="1"/>
  <c r="J76" i="3" s="1"/>
  <c r="J77" i="3" a="1"/>
  <c r="J77" i="3" s="1"/>
  <c r="J78" i="3" a="1"/>
  <c r="J78" i="3" s="1"/>
  <c r="J79" i="3" a="1"/>
  <c r="J79" i="3" s="1"/>
  <c r="J80" i="3" a="1"/>
  <c r="J80" i="3" s="1"/>
  <c r="J81" i="3" a="1"/>
  <c r="J81" i="3" s="1"/>
  <c r="J82" i="3" a="1"/>
  <c r="J82" i="3" s="1"/>
  <c r="J83" i="3" a="1"/>
  <c r="J83" i="3" s="1"/>
  <c r="J84" i="3" a="1"/>
  <c r="J84" i="3" s="1"/>
  <c r="J85" i="3" a="1"/>
  <c r="J85" i="3" s="1"/>
  <c r="J86" i="3" a="1"/>
  <c r="J86" i="3" s="1"/>
  <c r="J87" i="3" a="1"/>
  <c r="J87" i="3" s="1"/>
  <c r="J88" i="3" a="1"/>
  <c r="J88" i="3" s="1"/>
  <c r="J89" i="3" a="1"/>
  <c r="J89" i="3" s="1"/>
  <c r="J90" i="3" a="1"/>
  <c r="J90" i="3" s="1"/>
  <c r="J91" i="3" a="1"/>
  <c r="J91" i="3" s="1"/>
  <c r="J92" i="3" a="1"/>
  <c r="J92" i="3" s="1"/>
  <c r="J93" i="3" a="1"/>
  <c r="J93" i="3" s="1"/>
  <c r="J94" i="3" a="1"/>
  <c r="J94" i="3" s="1"/>
  <c r="J95" i="3" a="1"/>
  <c r="J95" i="3"/>
  <c r="J96" i="3" a="1"/>
  <c r="J96" i="3" s="1"/>
  <c r="J97" i="3" a="1"/>
  <c r="J97" i="3" s="1"/>
  <c r="J98" i="3" a="1"/>
  <c r="J98" i="3" s="1"/>
  <c r="J99" i="3" a="1"/>
  <c r="J99" i="3" s="1"/>
  <c r="J100" i="3" a="1"/>
  <c r="J100" i="3" s="1"/>
  <c r="J101" i="3" a="1"/>
  <c r="J101" i="3" s="1"/>
  <c r="J102" i="3" a="1"/>
  <c r="J102" i="3" s="1"/>
  <c r="J103" i="3" a="1"/>
  <c r="J103" i="3"/>
  <c r="J104" i="3" a="1"/>
  <c r="J104" i="3" s="1"/>
  <c r="J105" i="3" a="1"/>
  <c r="J105" i="3" s="1"/>
  <c r="J2" i="3" a="1"/>
  <c r="J2" i="3" s="1"/>
  <c r="M30" i="8"/>
  <c r="N30" i="8" s="1" a="1"/>
  <c r="N30" i="8" s="1"/>
  <c r="M17" i="8" a="1"/>
  <c r="M17" i="8" s="1"/>
  <c r="N17" i="8" s="1" a="1"/>
  <c r="N17" i="8" s="1"/>
  <c r="M16" i="8" a="1"/>
  <c r="M16" i="8" s="1"/>
  <c r="N16" i="8" s="1" a="1"/>
  <c r="N16" i="8" s="1"/>
  <c r="M15" i="8" a="1"/>
  <c r="M15" i="8" s="1"/>
  <c r="N15" i="8" s="1" a="1"/>
  <c r="N15" i="8" s="1"/>
  <c r="M14" i="8" a="1"/>
  <c r="M14" i="8" s="1"/>
  <c r="N14" i="8" s="1" a="1"/>
  <c r="N14" i="8" s="1"/>
  <c r="M13" i="8" a="1"/>
  <c r="M13" i="8" s="1"/>
  <c r="N13" i="8" s="1" a="1"/>
  <c r="N13" i="8" s="1"/>
  <c r="M12" i="8" a="1"/>
  <c r="M12" i="8" s="1"/>
  <c r="N12" i="8" s="1" a="1"/>
  <c r="N12" i="8" s="1"/>
  <c r="M11" i="8" a="1"/>
  <c r="M11" i="8" s="1"/>
  <c r="N11" i="8" s="1" a="1"/>
  <c r="N11" i="8" s="1"/>
  <c r="M10" i="8" a="1"/>
  <c r="M10" i="8" s="1"/>
  <c r="N10" i="8" s="1" a="1"/>
  <c r="N10" i="8" s="1"/>
  <c r="M9" i="8" a="1"/>
  <c r="M9" i="8" s="1"/>
  <c r="N9" i="8" s="1" a="1"/>
  <c r="N9" i="8" s="1"/>
  <c r="M8" i="8" a="1"/>
  <c r="M8" i="8" s="1"/>
  <c r="N8" i="8" s="1" a="1"/>
  <c r="N8" i="8" s="1"/>
  <c r="M7" i="8" a="1"/>
  <c r="M7" i="8" s="1"/>
  <c r="N7" i="8" s="1" a="1"/>
  <c r="N7" i="8" s="1"/>
  <c r="M6" i="8" a="1"/>
  <c r="M6" i="8" s="1"/>
  <c r="N6" i="8" s="1" a="1"/>
  <c r="N6" i="8" s="1"/>
  <c r="H105" i="8"/>
  <c r="C105" i="8"/>
  <c r="B105" i="8"/>
  <c r="A105" i="8"/>
  <c r="H104" i="8"/>
  <c r="C104" i="8"/>
  <c r="B104" i="8"/>
  <c r="A104" i="8"/>
  <c r="H103" i="8"/>
  <c r="C103" i="8"/>
  <c r="B103" i="8"/>
  <c r="A103" i="8"/>
  <c r="H102" i="8"/>
  <c r="C102" i="8"/>
  <c r="B102" i="8"/>
  <c r="A102" i="8"/>
  <c r="H101" i="8"/>
  <c r="C101" i="8"/>
  <c r="B101" i="8"/>
  <c r="A101" i="8"/>
  <c r="H100" i="8"/>
  <c r="C100" i="8"/>
  <c r="B100" i="8"/>
  <c r="A100" i="8"/>
  <c r="H99" i="8"/>
  <c r="C99" i="8"/>
  <c r="B99" i="8"/>
  <c r="A99" i="8"/>
  <c r="H98" i="8"/>
  <c r="C98" i="8"/>
  <c r="B98" i="8"/>
  <c r="A98" i="8"/>
  <c r="H97" i="8"/>
  <c r="C97" i="8"/>
  <c r="B97" i="8"/>
  <c r="A97" i="8"/>
  <c r="H96" i="8"/>
  <c r="C96" i="8"/>
  <c r="B96" i="8"/>
  <c r="A96" i="8"/>
  <c r="H95" i="8"/>
  <c r="C95" i="8"/>
  <c r="B95" i="8"/>
  <c r="A95" i="8"/>
  <c r="H94" i="8"/>
  <c r="C94" i="8"/>
  <c r="B94" i="8"/>
  <c r="A94" i="8"/>
  <c r="H93" i="8"/>
  <c r="C93" i="8"/>
  <c r="B93" i="8"/>
  <c r="A93" i="8"/>
  <c r="H92" i="8"/>
  <c r="C92" i="8"/>
  <c r="B92" i="8"/>
  <c r="A92" i="8"/>
  <c r="H91" i="8"/>
  <c r="C91" i="8"/>
  <c r="B91" i="8"/>
  <c r="A91" i="8"/>
  <c r="H90" i="8"/>
  <c r="C90" i="8"/>
  <c r="B90" i="8"/>
  <c r="A90" i="8"/>
  <c r="H89" i="8"/>
  <c r="G89" i="8"/>
  <c r="D89" i="8"/>
  <c r="C89" i="8"/>
  <c r="B89" i="8"/>
  <c r="A89" i="8"/>
  <c r="H88" i="8"/>
  <c r="G88" i="8"/>
  <c r="D88" i="8"/>
  <c r="C88" i="8"/>
  <c r="B88" i="8"/>
  <c r="A88" i="8"/>
  <c r="H87" i="8"/>
  <c r="G87" i="8"/>
  <c r="D87" i="8"/>
  <c r="C87" i="8"/>
  <c r="B87" i="8"/>
  <c r="A87" i="8"/>
  <c r="H86" i="8"/>
  <c r="G86" i="8"/>
  <c r="D86" i="8"/>
  <c r="C86" i="8"/>
  <c r="B86" i="8"/>
  <c r="A86" i="8"/>
  <c r="H85" i="8"/>
  <c r="G85" i="8"/>
  <c r="D85" i="8"/>
  <c r="C85" i="8"/>
  <c r="B85" i="8"/>
  <c r="A85" i="8"/>
  <c r="H84" i="8"/>
  <c r="G84" i="8"/>
  <c r="D84" i="8"/>
  <c r="C84" i="8"/>
  <c r="B84" i="8"/>
  <c r="A84" i="8"/>
  <c r="H83" i="8"/>
  <c r="G83" i="8"/>
  <c r="D83" i="8"/>
  <c r="C83" i="8"/>
  <c r="B83" i="8"/>
  <c r="A83" i="8"/>
  <c r="H82" i="8"/>
  <c r="G82" i="8"/>
  <c r="D82" i="8"/>
  <c r="C82" i="8"/>
  <c r="B82" i="8"/>
  <c r="A82" i="8"/>
  <c r="H81" i="8"/>
  <c r="G81" i="8"/>
  <c r="D81" i="8"/>
  <c r="C81" i="8"/>
  <c r="B81" i="8"/>
  <c r="A81" i="8"/>
  <c r="H80" i="8"/>
  <c r="G80" i="8"/>
  <c r="D80" i="8"/>
  <c r="C80" i="8"/>
  <c r="B80" i="8"/>
  <c r="A80" i="8"/>
  <c r="H79" i="8"/>
  <c r="G79" i="8"/>
  <c r="D79" i="8"/>
  <c r="C79" i="8"/>
  <c r="B79" i="8"/>
  <c r="A79" i="8"/>
  <c r="H78" i="8"/>
  <c r="G78" i="8"/>
  <c r="D78" i="8"/>
  <c r="C78" i="8"/>
  <c r="B78" i="8"/>
  <c r="A78" i="8"/>
  <c r="H77" i="8"/>
  <c r="G77" i="8"/>
  <c r="D77" i="8"/>
  <c r="C77" i="8"/>
  <c r="B77" i="8"/>
  <c r="A77" i="8"/>
  <c r="H76" i="8"/>
  <c r="G76" i="8"/>
  <c r="D76" i="8"/>
  <c r="C76" i="8"/>
  <c r="B76" i="8"/>
  <c r="A76" i="8"/>
  <c r="H75" i="8"/>
  <c r="G75" i="8"/>
  <c r="D75" i="8"/>
  <c r="C75" i="8"/>
  <c r="B75" i="8"/>
  <c r="A75" i="8"/>
  <c r="H74" i="8"/>
  <c r="G74" i="8"/>
  <c r="D74" i="8"/>
  <c r="C74" i="8"/>
  <c r="B74" i="8"/>
  <c r="A74" i="8"/>
  <c r="H73" i="8"/>
  <c r="G73" i="8"/>
  <c r="D73" i="8"/>
  <c r="C73" i="8"/>
  <c r="B73" i="8"/>
  <c r="A73" i="8"/>
  <c r="H72" i="8"/>
  <c r="G72" i="8"/>
  <c r="D72" i="8"/>
  <c r="C72" i="8"/>
  <c r="B72" i="8"/>
  <c r="A72" i="8"/>
  <c r="H71" i="8"/>
  <c r="G71" i="8"/>
  <c r="D71" i="8"/>
  <c r="C71" i="8"/>
  <c r="B71" i="8"/>
  <c r="A71" i="8"/>
  <c r="H70" i="8"/>
  <c r="G70" i="8"/>
  <c r="D70" i="8"/>
  <c r="C70" i="8"/>
  <c r="B70" i="8"/>
  <c r="A70" i="8"/>
  <c r="H69" i="8"/>
  <c r="G69" i="8"/>
  <c r="D69" i="8"/>
  <c r="C69" i="8"/>
  <c r="B69" i="8"/>
  <c r="A69" i="8"/>
  <c r="H68" i="8"/>
  <c r="G68" i="8"/>
  <c r="D68" i="8"/>
  <c r="C68" i="8"/>
  <c r="B68" i="8"/>
  <c r="A68" i="8"/>
  <c r="H67" i="8"/>
  <c r="G67" i="8"/>
  <c r="D67" i="8"/>
  <c r="C67" i="8"/>
  <c r="B67" i="8"/>
  <c r="A67" i="8"/>
  <c r="H66" i="8"/>
  <c r="G66" i="8"/>
  <c r="D66" i="8"/>
  <c r="C66" i="8"/>
  <c r="B66" i="8"/>
  <c r="A66" i="8"/>
  <c r="H65" i="8"/>
  <c r="G65" i="8"/>
  <c r="D65" i="8"/>
  <c r="C65" i="8"/>
  <c r="B65" i="8"/>
  <c r="A65" i="8"/>
  <c r="H64" i="8"/>
  <c r="G64" i="8"/>
  <c r="D64" i="8"/>
  <c r="C64" i="8"/>
  <c r="B64" i="8"/>
  <c r="A64" i="8"/>
  <c r="H63" i="8"/>
  <c r="G63" i="8"/>
  <c r="D63" i="8"/>
  <c r="C63" i="8"/>
  <c r="B63" i="8"/>
  <c r="A63" i="8"/>
  <c r="H62" i="8"/>
  <c r="G62" i="8"/>
  <c r="D62" i="8"/>
  <c r="C62" i="8"/>
  <c r="B62" i="8"/>
  <c r="A62" i="8"/>
  <c r="H61" i="8"/>
  <c r="G61" i="8"/>
  <c r="D61" i="8"/>
  <c r="C61" i="8"/>
  <c r="B61" i="8"/>
  <c r="A61" i="8"/>
  <c r="H60" i="8"/>
  <c r="G60" i="8"/>
  <c r="D60" i="8"/>
  <c r="C60" i="8"/>
  <c r="B60" i="8"/>
  <c r="A60" i="8"/>
  <c r="H59" i="8"/>
  <c r="G59" i="8"/>
  <c r="D59" i="8"/>
  <c r="C59" i="8"/>
  <c r="B59" i="8"/>
  <c r="A59" i="8"/>
  <c r="H58" i="8"/>
  <c r="G58" i="8"/>
  <c r="D58" i="8"/>
  <c r="C58" i="8"/>
  <c r="B58" i="8"/>
  <c r="A58" i="8"/>
  <c r="H57" i="8"/>
  <c r="G57" i="8"/>
  <c r="D57" i="8"/>
  <c r="C57" i="8"/>
  <c r="B57" i="8"/>
  <c r="A57" i="8"/>
  <c r="H56" i="8"/>
  <c r="G56" i="8"/>
  <c r="D56" i="8"/>
  <c r="C56" i="8"/>
  <c r="B56" i="8"/>
  <c r="A56" i="8"/>
  <c r="H55" i="8"/>
  <c r="G55" i="8"/>
  <c r="D55" i="8"/>
  <c r="C55" i="8"/>
  <c r="B55" i="8"/>
  <c r="A55" i="8"/>
  <c r="H54" i="8"/>
  <c r="G54" i="8"/>
  <c r="D54" i="8"/>
  <c r="C54" i="8"/>
  <c r="B54" i="8"/>
  <c r="A54" i="8"/>
  <c r="H53" i="8"/>
  <c r="G53" i="8"/>
  <c r="D53" i="8"/>
  <c r="C53" i="8"/>
  <c r="B53" i="8"/>
  <c r="A53" i="8"/>
  <c r="H52" i="8"/>
  <c r="G52" i="8"/>
  <c r="D52" i="8"/>
  <c r="C52" i="8"/>
  <c r="B52" i="8"/>
  <c r="A52" i="8"/>
  <c r="H51" i="8"/>
  <c r="G51" i="8"/>
  <c r="D51" i="8"/>
  <c r="C51" i="8"/>
  <c r="B51" i="8"/>
  <c r="A51" i="8"/>
  <c r="H50" i="8"/>
  <c r="G50" i="8"/>
  <c r="D50" i="8"/>
  <c r="C50" i="8"/>
  <c r="B50" i="8"/>
  <c r="A50" i="8"/>
  <c r="H49" i="8"/>
  <c r="G49" i="8"/>
  <c r="D49" i="8"/>
  <c r="C49" i="8"/>
  <c r="B49" i="8"/>
  <c r="A49" i="8"/>
  <c r="H48" i="8"/>
  <c r="G48" i="8"/>
  <c r="D48" i="8"/>
  <c r="C48" i="8"/>
  <c r="B48" i="8"/>
  <c r="A48" i="8"/>
  <c r="H47" i="8"/>
  <c r="G47" i="8"/>
  <c r="D47" i="8"/>
  <c r="C47" i="8"/>
  <c r="B47" i="8"/>
  <c r="A47" i="8"/>
  <c r="H46" i="8"/>
  <c r="G46" i="8"/>
  <c r="D46" i="8"/>
  <c r="C46" i="8"/>
  <c r="B46" i="8"/>
  <c r="A46" i="8"/>
  <c r="H45" i="8"/>
  <c r="G45" i="8"/>
  <c r="D45" i="8"/>
  <c r="C45" i="8"/>
  <c r="B45" i="8"/>
  <c r="A45" i="8"/>
  <c r="H44" i="8"/>
  <c r="G44" i="8"/>
  <c r="D44" i="8"/>
  <c r="C44" i="8"/>
  <c r="B44" i="8"/>
  <c r="A44" i="8"/>
  <c r="H43" i="8"/>
  <c r="G43" i="8"/>
  <c r="D43" i="8"/>
  <c r="C43" i="8"/>
  <c r="B43" i="8"/>
  <c r="A43" i="8"/>
  <c r="H42" i="8"/>
  <c r="G42" i="8"/>
  <c r="D42" i="8"/>
  <c r="C42" i="8"/>
  <c r="B42" i="8"/>
  <c r="A42" i="8"/>
  <c r="H41" i="8"/>
  <c r="G41" i="8"/>
  <c r="D41" i="8"/>
  <c r="C41" i="8"/>
  <c r="B41" i="8"/>
  <c r="A41" i="8"/>
  <c r="H40" i="8"/>
  <c r="G40" i="8"/>
  <c r="D40" i="8"/>
  <c r="C40" i="8"/>
  <c r="B40" i="8"/>
  <c r="A40" i="8"/>
  <c r="H39" i="8"/>
  <c r="G39" i="8"/>
  <c r="D39" i="8"/>
  <c r="C39" i="8"/>
  <c r="B39" i="8"/>
  <c r="A39" i="8"/>
  <c r="H38" i="8"/>
  <c r="G38" i="8"/>
  <c r="D38" i="8"/>
  <c r="C38" i="8"/>
  <c r="B38" i="8"/>
  <c r="A38" i="8"/>
  <c r="H37" i="8"/>
  <c r="G37" i="8"/>
  <c r="D37" i="8"/>
  <c r="C37" i="8"/>
  <c r="B37" i="8"/>
  <c r="A37" i="8"/>
  <c r="H36" i="8"/>
  <c r="G36" i="8"/>
  <c r="D36" i="8"/>
  <c r="C36" i="8"/>
  <c r="B36" i="8"/>
  <c r="A36" i="8"/>
  <c r="H35" i="8"/>
  <c r="G35" i="8"/>
  <c r="D35" i="8"/>
  <c r="C35" i="8"/>
  <c r="B35" i="8"/>
  <c r="A35" i="8"/>
  <c r="H34" i="8"/>
  <c r="G34" i="8"/>
  <c r="D34" i="8"/>
  <c r="C34" i="8"/>
  <c r="B34" i="8"/>
  <c r="A34" i="8"/>
  <c r="H33" i="8"/>
  <c r="G33" i="8"/>
  <c r="D33" i="8"/>
  <c r="C33" i="8"/>
  <c r="B33" i="8"/>
  <c r="A33" i="8"/>
  <c r="H32" i="8"/>
  <c r="G32" i="8"/>
  <c r="D32" i="8"/>
  <c r="C32" i="8"/>
  <c r="B32" i="8"/>
  <c r="A32" i="8"/>
  <c r="H31" i="8"/>
  <c r="G31" i="8"/>
  <c r="D31" i="8"/>
  <c r="C31" i="8"/>
  <c r="B31" i="8"/>
  <c r="A31" i="8"/>
  <c r="H30" i="8"/>
  <c r="G30" i="8"/>
  <c r="D30" i="8"/>
  <c r="C30" i="8"/>
  <c r="B30" i="8"/>
  <c r="A30" i="8"/>
  <c r="H29" i="8"/>
  <c r="G29" i="8"/>
  <c r="D29" i="8"/>
  <c r="C29" i="8"/>
  <c r="B29" i="8"/>
  <c r="A29" i="8"/>
  <c r="H28" i="8"/>
  <c r="G28" i="8"/>
  <c r="D28" i="8"/>
  <c r="C28" i="8"/>
  <c r="B28" i="8"/>
  <c r="A28" i="8"/>
  <c r="H27" i="8"/>
  <c r="G27" i="8"/>
  <c r="D27" i="8"/>
  <c r="C27" i="8"/>
  <c r="B27" i="8"/>
  <c r="A27" i="8"/>
  <c r="H26" i="8"/>
  <c r="G26" i="8"/>
  <c r="D26" i="8"/>
  <c r="C26" i="8"/>
  <c r="B26" i="8"/>
  <c r="A26" i="8"/>
  <c r="H25" i="8"/>
  <c r="G25" i="8"/>
  <c r="D25" i="8"/>
  <c r="C25" i="8"/>
  <c r="B25" i="8"/>
  <c r="A25" i="8"/>
  <c r="H24" i="8"/>
  <c r="G24" i="8"/>
  <c r="D24" i="8"/>
  <c r="C24" i="8"/>
  <c r="B24" i="8"/>
  <c r="A24" i="8"/>
  <c r="H23" i="8"/>
  <c r="G23" i="8"/>
  <c r="D23" i="8"/>
  <c r="C23" i="8"/>
  <c r="B23" i="8"/>
  <c r="A23" i="8"/>
  <c r="H22" i="8"/>
  <c r="G22" i="8"/>
  <c r="D22" i="8"/>
  <c r="C22" i="8"/>
  <c r="B22" i="8"/>
  <c r="A22" i="8"/>
  <c r="H21" i="8"/>
  <c r="G21" i="8"/>
  <c r="D21" i="8"/>
  <c r="C21" i="8"/>
  <c r="B21" i="8"/>
  <c r="A21" i="8"/>
  <c r="H20" i="8"/>
  <c r="G20" i="8"/>
  <c r="D20" i="8"/>
  <c r="C20" i="8"/>
  <c r="B20" i="8"/>
  <c r="A20" i="8"/>
  <c r="H19" i="8"/>
  <c r="G19" i="8"/>
  <c r="D19" i="8"/>
  <c r="C19" i="8"/>
  <c r="B19" i="8"/>
  <c r="A19" i="8"/>
  <c r="H18" i="8"/>
  <c r="G18" i="8"/>
  <c r="D18" i="8"/>
  <c r="C18" i="8"/>
  <c r="B18" i="8"/>
  <c r="A18" i="8"/>
  <c r="H17" i="8"/>
  <c r="G17" i="8"/>
  <c r="D17" i="8"/>
  <c r="C17" i="8"/>
  <c r="B17" i="8"/>
  <c r="A17" i="8"/>
  <c r="H16" i="8"/>
  <c r="G16" i="8"/>
  <c r="D16" i="8"/>
  <c r="C16" i="8"/>
  <c r="B16" i="8"/>
  <c r="A16" i="8"/>
  <c r="H15" i="8"/>
  <c r="G15" i="8"/>
  <c r="D15" i="8"/>
  <c r="C15" i="8"/>
  <c r="B15" i="8"/>
  <c r="A15" i="8"/>
  <c r="H14" i="8"/>
  <c r="G14" i="8"/>
  <c r="D14" i="8"/>
  <c r="C14" i="8"/>
  <c r="B14" i="8"/>
  <c r="A14" i="8"/>
  <c r="H13" i="8"/>
  <c r="G13" i="8"/>
  <c r="D13" i="8"/>
  <c r="C13" i="8"/>
  <c r="B13" i="8"/>
  <c r="A13" i="8"/>
  <c r="H12" i="8"/>
  <c r="G12" i="8"/>
  <c r="D12" i="8"/>
  <c r="C12" i="8"/>
  <c r="B12" i="8"/>
  <c r="A12" i="8"/>
  <c r="H11" i="8"/>
  <c r="G11" i="8"/>
  <c r="D11" i="8"/>
  <c r="C11" i="8"/>
  <c r="B11" i="8"/>
  <c r="A11" i="8"/>
  <c r="H10" i="8"/>
  <c r="G10" i="8"/>
  <c r="D10" i="8"/>
  <c r="C10" i="8"/>
  <c r="B10" i="8"/>
  <c r="A10" i="8"/>
  <c r="H9" i="8"/>
  <c r="G9" i="8"/>
  <c r="D9" i="8"/>
  <c r="C9" i="8"/>
  <c r="B9" i="8"/>
  <c r="A9" i="8"/>
  <c r="H8" i="8"/>
  <c r="G8" i="8"/>
  <c r="D8" i="8"/>
  <c r="C8" i="8"/>
  <c r="B8" i="8"/>
  <c r="A8" i="8"/>
  <c r="H7" i="8"/>
  <c r="G7" i="8"/>
  <c r="D7" i="8"/>
  <c r="C7" i="8"/>
  <c r="B7" i="8"/>
  <c r="A7" i="8"/>
  <c r="H6" i="8"/>
  <c r="G6" i="8"/>
  <c r="D6" i="8"/>
  <c r="C6" i="8"/>
  <c r="B6" i="8"/>
  <c r="A6" i="8"/>
  <c r="H5" i="8"/>
  <c r="G5" i="8"/>
  <c r="D5" i="8"/>
  <c r="C5" i="8"/>
  <c r="B5" i="8"/>
  <c r="A5" i="8"/>
  <c r="H4" i="8"/>
  <c r="G4" i="8"/>
  <c r="D4" i="8"/>
  <c r="C4" i="8"/>
  <c r="B4" i="8"/>
  <c r="A4" i="8"/>
  <c r="H3" i="8"/>
  <c r="G3" i="8"/>
  <c r="D3" i="8"/>
  <c r="C3" i="8"/>
  <c r="B3" i="8"/>
  <c r="A3" i="8"/>
  <c r="H2" i="8"/>
  <c r="G2" i="8"/>
  <c r="D2" i="8"/>
  <c r="C2" i="8"/>
  <c r="B2" i="8"/>
  <c r="A2" i="8"/>
  <c r="C26" i="3"/>
  <c r="C27" i="2"/>
  <c r="C29" i="3"/>
  <c r="C30" i="2"/>
  <c r="C32" i="3"/>
  <c r="C33" i="2"/>
  <c r="C35" i="3"/>
  <c r="C36" i="2"/>
  <c r="C38" i="3"/>
  <c r="C39" i="2"/>
  <c r="C41" i="3"/>
  <c r="C42" i="2"/>
  <c r="C43" i="3"/>
  <c r="C44" i="3"/>
  <c r="C45" i="3"/>
  <c r="C46" i="3"/>
  <c r="C47" i="3"/>
  <c r="C49" i="3"/>
  <c r="C50" i="3"/>
  <c r="C51" i="2"/>
  <c r="C52" i="3"/>
  <c r="C53" i="3"/>
  <c r="C54" i="3"/>
  <c r="C55" i="3"/>
  <c r="C56" i="3"/>
  <c r="C58" i="3"/>
  <c r="C59" i="3"/>
  <c r="C60" i="2"/>
  <c r="C61" i="3"/>
  <c r="C63" i="2"/>
  <c r="C64" i="2"/>
  <c r="C65" i="2"/>
  <c r="C66" i="3"/>
  <c r="C67" i="2"/>
  <c r="C69" i="3"/>
  <c r="C70" i="2"/>
  <c r="C72" i="2"/>
  <c r="C73" i="2"/>
  <c r="C74" i="2"/>
  <c r="C75" i="3"/>
  <c r="C76" i="2"/>
  <c r="C78" i="3"/>
  <c r="C79" i="2"/>
  <c r="C81" i="2"/>
  <c r="C82" i="2"/>
  <c r="C83" i="2"/>
  <c r="C84" i="3"/>
  <c r="C85" i="2"/>
  <c r="C87" i="3"/>
  <c r="C88" i="2"/>
  <c r="C90" i="2"/>
  <c r="C91" i="2"/>
  <c r="C92" i="2"/>
  <c r="C93" i="3"/>
  <c r="C94" i="2"/>
  <c r="C96" i="3"/>
  <c r="C97" i="2"/>
  <c r="C99" i="2"/>
  <c r="C100" i="2"/>
  <c r="C101" i="2"/>
  <c r="C102" i="3"/>
  <c r="C103" i="2"/>
  <c r="C105" i="3"/>
  <c r="C4" i="3"/>
  <c r="C5" i="2"/>
  <c r="C7" i="3"/>
  <c r="C8" i="3"/>
  <c r="C10" i="3"/>
  <c r="C11" i="3"/>
  <c r="C13" i="3"/>
  <c r="C14" i="2"/>
  <c r="C16" i="3"/>
  <c r="C17" i="3"/>
  <c r="C19" i="3"/>
  <c r="C20" i="3"/>
  <c r="C22" i="3"/>
  <c r="C23" i="2"/>
  <c r="C25" i="3"/>
  <c r="C2" i="3"/>
  <c r="A62" i="3"/>
  <c r="B62" i="3"/>
  <c r="C62" i="3"/>
  <c r="D62" i="3"/>
  <c r="G62" i="3"/>
  <c r="H62" i="3"/>
  <c r="A63" i="3"/>
  <c r="B63" i="3"/>
  <c r="D63" i="3"/>
  <c r="G63" i="3"/>
  <c r="H63" i="3"/>
  <c r="A64" i="3"/>
  <c r="B64" i="3"/>
  <c r="C64" i="3"/>
  <c r="D64" i="3"/>
  <c r="G64" i="3"/>
  <c r="H64" i="3"/>
  <c r="A65" i="3"/>
  <c r="B65" i="3"/>
  <c r="C65" i="3"/>
  <c r="D65" i="3"/>
  <c r="G65" i="3"/>
  <c r="H65" i="3"/>
  <c r="A66" i="3"/>
  <c r="B66" i="3"/>
  <c r="D66" i="3"/>
  <c r="G66" i="3"/>
  <c r="H66" i="3"/>
  <c r="A67" i="3"/>
  <c r="B67" i="3"/>
  <c r="C67" i="3"/>
  <c r="D67" i="3"/>
  <c r="G67" i="3"/>
  <c r="H67" i="3"/>
  <c r="A68" i="3"/>
  <c r="B68" i="3"/>
  <c r="C68" i="3"/>
  <c r="D68" i="3"/>
  <c r="G68" i="3"/>
  <c r="H68" i="3"/>
  <c r="A69" i="3"/>
  <c r="B69" i="3"/>
  <c r="D69" i="3"/>
  <c r="G69" i="3"/>
  <c r="H69" i="3"/>
  <c r="A70" i="3"/>
  <c r="B70" i="3"/>
  <c r="C70" i="3"/>
  <c r="D70" i="3"/>
  <c r="G70" i="3"/>
  <c r="H70" i="3"/>
  <c r="A71" i="3"/>
  <c r="B71" i="3"/>
  <c r="C71" i="3"/>
  <c r="D71" i="3"/>
  <c r="G71" i="3"/>
  <c r="H71" i="3"/>
  <c r="A72" i="3"/>
  <c r="B72" i="3"/>
  <c r="D72" i="3"/>
  <c r="G72" i="3"/>
  <c r="H72" i="3"/>
  <c r="A73" i="3"/>
  <c r="B73" i="3"/>
  <c r="C73" i="3"/>
  <c r="D73" i="3"/>
  <c r="G73" i="3"/>
  <c r="H73" i="3"/>
  <c r="A74" i="3"/>
  <c r="B74" i="3"/>
  <c r="C74" i="3"/>
  <c r="D74" i="3"/>
  <c r="G74" i="3"/>
  <c r="H74" i="3"/>
  <c r="A75" i="3"/>
  <c r="B75" i="3"/>
  <c r="D75" i="3"/>
  <c r="G75" i="3"/>
  <c r="H75" i="3"/>
  <c r="A76" i="3"/>
  <c r="B76" i="3"/>
  <c r="C76" i="3"/>
  <c r="D76" i="3"/>
  <c r="G76" i="3"/>
  <c r="H76" i="3"/>
  <c r="A77" i="3"/>
  <c r="B77" i="3"/>
  <c r="C77" i="3"/>
  <c r="D77" i="3"/>
  <c r="G77" i="3"/>
  <c r="H77" i="3"/>
  <c r="A78" i="3"/>
  <c r="B78" i="3"/>
  <c r="D78" i="3"/>
  <c r="G78" i="3"/>
  <c r="H78" i="3"/>
  <c r="A79" i="3"/>
  <c r="B79" i="3"/>
  <c r="C79" i="3"/>
  <c r="D79" i="3"/>
  <c r="G79" i="3"/>
  <c r="H79" i="3"/>
  <c r="A80" i="3"/>
  <c r="B80" i="3"/>
  <c r="C80" i="3"/>
  <c r="D80" i="3"/>
  <c r="G80" i="3"/>
  <c r="H80" i="3"/>
  <c r="A81" i="3"/>
  <c r="B81" i="3"/>
  <c r="D81" i="3"/>
  <c r="G81" i="3"/>
  <c r="H81" i="3"/>
  <c r="A82" i="3"/>
  <c r="B82" i="3"/>
  <c r="C82" i="3"/>
  <c r="D82" i="3"/>
  <c r="G82" i="3"/>
  <c r="H82" i="3"/>
  <c r="A83" i="3"/>
  <c r="B83" i="3"/>
  <c r="C83" i="3"/>
  <c r="D83" i="3"/>
  <c r="G83" i="3"/>
  <c r="H83" i="3"/>
  <c r="A84" i="3"/>
  <c r="B84" i="3"/>
  <c r="D84" i="3"/>
  <c r="G84" i="3"/>
  <c r="H84" i="3"/>
  <c r="A85" i="3"/>
  <c r="B85" i="3"/>
  <c r="C85" i="3"/>
  <c r="D85" i="3"/>
  <c r="G85" i="3"/>
  <c r="H85" i="3"/>
  <c r="A86" i="3"/>
  <c r="B86" i="3"/>
  <c r="C86" i="3"/>
  <c r="D86" i="3"/>
  <c r="G86" i="3"/>
  <c r="H86" i="3"/>
  <c r="A87" i="3"/>
  <c r="B87" i="3"/>
  <c r="D87" i="3"/>
  <c r="G87" i="3"/>
  <c r="H87" i="3"/>
  <c r="A88" i="3"/>
  <c r="B88" i="3"/>
  <c r="C88" i="3"/>
  <c r="D88" i="3"/>
  <c r="G88" i="3"/>
  <c r="H88" i="3"/>
  <c r="A89" i="3"/>
  <c r="B89" i="3"/>
  <c r="C89" i="3"/>
  <c r="D89" i="3"/>
  <c r="G89" i="3"/>
  <c r="H89" i="3"/>
  <c r="A90" i="3"/>
  <c r="B90" i="3"/>
  <c r="H90" i="3"/>
  <c r="A91" i="3"/>
  <c r="B91" i="3"/>
  <c r="C91" i="3"/>
  <c r="H91" i="3"/>
  <c r="A92" i="3"/>
  <c r="B92" i="3"/>
  <c r="C92" i="3"/>
  <c r="H92" i="3"/>
  <c r="A93" i="3"/>
  <c r="B93" i="3"/>
  <c r="H93" i="3"/>
  <c r="A94" i="3"/>
  <c r="B94" i="3"/>
  <c r="C94" i="3"/>
  <c r="H94" i="3"/>
  <c r="A95" i="3"/>
  <c r="B95" i="3"/>
  <c r="C95" i="3"/>
  <c r="H95" i="3"/>
  <c r="A96" i="3"/>
  <c r="B96" i="3"/>
  <c r="H96" i="3"/>
  <c r="A97" i="3"/>
  <c r="B97" i="3"/>
  <c r="C97" i="3"/>
  <c r="H97" i="3"/>
  <c r="A98" i="3"/>
  <c r="B98" i="3"/>
  <c r="C98" i="3"/>
  <c r="H98" i="3"/>
  <c r="A99" i="3"/>
  <c r="B99" i="3"/>
  <c r="H99" i="3"/>
  <c r="A100" i="3"/>
  <c r="B100" i="3"/>
  <c r="C100" i="3"/>
  <c r="H100" i="3"/>
  <c r="A101" i="3"/>
  <c r="B101" i="3"/>
  <c r="C101" i="3"/>
  <c r="H101" i="3"/>
  <c r="A102" i="3"/>
  <c r="B102" i="3"/>
  <c r="H102" i="3"/>
  <c r="A103" i="3"/>
  <c r="B103" i="3"/>
  <c r="C103" i="3"/>
  <c r="H103" i="3"/>
  <c r="A104" i="3"/>
  <c r="B104" i="3"/>
  <c r="C104" i="3"/>
  <c r="H104" i="3"/>
  <c r="A105" i="3"/>
  <c r="B105" i="3"/>
  <c r="H105" i="3"/>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C62" i="2"/>
  <c r="D62" i="2"/>
  <c r="D63" i="2"/>
  <c r="D64" i="2"/>
  <c r="D65" i="2"/>
  <c r="C66" i="2"/>
  <c r="D66" i="2"/>
  <c r="D67" i="2"/>
  <c r="C68" i="2"/>
  <c r="D68" i="2"/>
  <c r="D69" i="2"/>
  <c r="D70" i="2"/>
  <c r="C71" i="2"/>
  <c r="D71" i="2"/>
  <c r="D72" i="2"/>
  <c r="D73" i="2"/>
  <c r="D74" i="2"/>
  <c r="C75" i="2"/>
  <c r="D75" i="2"/>
  <c r="D76" i="2"/>
  <c r="C77" i="2"/>
  <c r="D77" i="2"/>
  <c r="D78" i="2"/>
  <c r="D79" i="2"/>
  <c r="C80" i="2"/>
  <c r="D80" i="2"/>
  <c r="D81" i="2"/>
  <c r="D82" i="2"/>
  <c r="D83" i="2"/>
  <c r="C84" i="2"/>
  <c r="D84" i="2"/>
  <c r="D85" i="2"/>
  <c r="C86" i="2"/>
  <c r="D86" i="2"/>
  <c r="D87" i="2"/>
  <c r="D88" i="2"/>
  <c r="C89" i="2"/>
  <c r="D89" i="2"/>
  <c r="C93" i="2"/>
  <c r="C95" i="2"/>
  <c r="C98" i="2"/>
  <c r="C102" i="2"/>
  <c r="C104"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2" i="3"/>
  <c r="H3" i="3"/>
  <c r="H4" i="3"/>
  <c r="H5" i="3"/>
  <c r="H6" i="3"/>
  <c r="H7" i="3"/>
  <c r="H8" i="3"/>
  <c r="H9" i="3"/>
  <c r="H10" i="3"/>
  <c r="H11" i="3"/>
  <c r="H12" i="3"/>
  <c r="H13" i="3"/>
  <c r="H14" i="3"/>
  <c r="G61" i="3"/>
  <c r="D61" i="3"/>
  <c r="B61" i="3"/>
  <c r="A61" i="3"/>
  <c r="G60" i="3"/>
  <c r="D60" i="3"/>
  <c r="B60" i="3"/>
  <c r="A60" i="3"/>
  <c r="G59" i="3"/>
  <c r="D59" i="3"/>
  <c r="B59" i="3"/>
  <c r="A59" i="3"/>
  <c r="G58" i="3"/>
  <c r="D58" i="3"/>
  <c r="B58" i="3"/>
  <c r="A58" i="3"/>
  <c r="G57" i="3"/>
  <c r="D57" i="3"/>
  <c r="C57" i="3"/>
  <c r="B57" i="3"/>
  <c r="A57" i="3"/>
  <c r="G56" i="3"/>
  <c r="D56" i="3"/>
  <c r="B56" i="3"/>
  <c r="A56" i="3"/>
  <c r="G55" i="3"/>
  <c r="D55" i="3"/>
  <c r="B55" i="3"/>
  <c r="A55" i="3"/>
  <c r="G54" i="3"/>
  <c r="D54" i="3"/>
  <c r="B54" i="3"/>
  <c r="A54" i="3"/>
  <c r="G53" i="3"/>
  <c r="D53" i="3"/>
  <c r="B53" i="3"/>
  <c r="A53" i="3"/>
  <c r="G52" i="3"/>
  <c r="D52" i="3"/>
  <c r="B52" i="3"/>
  <c r="A52" i="3"/>
  <c r="G51" i="3"/>
  <c r="D51" i="3"/>
  <c r="B51" i="3"/>
  <c r="A51" i="3"/>
  <c r="G50" i="3"/>
  <c r="D50" i="3"/>
  <c r="B50" i="3"/>
  <c r="A50" i="3"/>
  <c r="G49" i="3"/>
  <c r="D49" i="3"/>
  <c r="B49" i="3"/>
  <c r="A49" i="3"/>
  <c r="G48" i="3"/>
  <c r="D48" i="3"/>
  <c r="C48" i="3"/>
  <c r="B48" i="3"/>
  <c r="A48" i="3"/>
  <c r="G47" i="3"/>
  <c r="D47" i="3"/>
  <c r="B47" i="3"/>
  <c r="A47" i="3"/>
  <c r="G46" i="3"/>
  <c r="D46" i="3"/>
  <c r="B46" i="3"/>
  <c r="A46" i="3"/>
  <c r="G45" i="3"/>
  <c r="D45" i="3"/>
  <c r="B45" i="3"/>
  <c r="A45" i="3"/>
  <c r="G44" i="3"/>
  <c r="D44" i="3"/>
  <c r="B44" i="3"/>
  <c r="A44" i="3"/>
  <c r="G43" i="3"/>
  <c r="D43" i="3"/>
  <c r="B43" i="3"/>
  <c r="A43" i="3"/>
  <c r="G42" i="3"/>
  <c r="D42" i="3"/>
  <c r="B42" i="3"/>
  <c r="A42" i="3"/>
  <c r="G41" i="3"/>
  <c r="D41" i="3"/>
  <c r="B41" i="3"/>
  <c r="A41" i="3"/>
  <c r="G40" i="3"/>
  <c r="D40" i="3"/>
  <c r="C40" i="3"/>
  <c r="B40" i="3"/>
  <c r="A40" i="3"/>
  <c r="G39" i="3"/>
  <c r="D39" i="3"/>
  <c r="B39" i="3"/>
  <c r="A39" i="3"/>
  <c r="G38" i="3"/>
  <c r="D38" i="3"/>
  <c r="B38" i="3"/>
  <c r="A38" i="3"/>
  <c r="G37" i="3"/>
  <c r="D37" i="3"/>
  <c r="C37" i="3"/>
  <c r="B37" i="3"/>
  <c r="A37" i="3"/>
  <c r="G36" i="3"/>
  <c r="D36" i="3"/>
  <c r="B36" i="3"/>
  <c r="A36" i="3"/>
  <c r="G35" i="3"/>
  <c r="D35" i="3"/>
  <c r="B35" i="3"/>
  <c r="A35" i="3"/>
  <c r="G34" i="3"/>
  <c r="D34" i="3"/>
  <c r="C34" i="3"/>
  <c r="B34" i="3"/>
  <c r="A34" i="3"/>
  <c r="G33" i="3"/>
  <c r="D33" i="3"/>
  <c r="B33" i="3"/>
  <c r="A33" i="3"/>
  <c r="G32" i="3"/>
  <c r="D32" i="3"/>
  <c r="B32" i="3"/>
  <c r="A32" i="3"/>
  <c r="G31" i="3"/>
  <c r="D31" i="3"/>
  <c r="C31" i="3"/>
  <c r="B31" i="3"/>
  <c r="A31" i="3"/>
  <c r="G30" i="3"/>
  <c r="D30" i="3"/>
  <c r="B30" i="3"/>
  <c r="A30" i="3"/>
  <c r="G29" i="3"/>
  <c r="D29" i="3"/>
  <c r="B29" i="3"/>
  <c r="A29" i="3"/>
  <c r="G28" i="3"/>
  <c r="D28" i="3"/>
  <c r="C28" i="3"/>
  <c r="B28" i="3"/>
  <c r="A28" i="3"/>
  <c r="G27" i="3"/>
  <c r="D27" i="3"/>
  <c r="B27" i="3"/>
  <c r="A27" i="3"/>
  <c r="G26" i="3"/>
  <c r="D26" i="3"/>
  <c r="B26" i="3"/>
  <c r="A26" i="3"/>
  <c r="G25" i="3"/>
  <c r="D25" i="3"/>
  <c r="B25" i="3"/>
  <c r="A25" i="3"/>
  <c r="G24" i="3"/>
  <c r="D24" i="3"/>
  <c r="C24" i="3"/>
  <c r="B24" i="3"/>
  <c r="A24" i="3"/>
  <c r="G23" i="3"/>
  <c r="D23" i="3"/>
  <c r="C23" i="3"/>
  <c r="B23" i="3"/>
  <c r="A23" i="3"/>
  <c r="G22" i="3"/>
  <c r="D22" i="3"/>
  <c r="B22" i="3"/>
  <c r="A22" i="3"/>
  <c r="G21" i="3"/>
  <c r="D21" i="3"/>
  <c r="C21" i="3"/>
  <c r="B21" i="3"/>
  <c r="A21" i="3"/>
  <c r="G20" i="3"/>
  <c r="D20" i="3"/>
  <c r="B20" i="3"/>
  <c r="A20" i="3"/>
  <c r="G19" i="3"/>
  <c r="D19" i="3"/>
  <c r="B19" i="3"/>
  <c r="A19" i="3"/>
  <c r="G18" i="3"/>
  <c r="D18" i="3"/>
  <c r="C18" i="3"/>
  <c r="B18" i="3"/>
  <c r="A18" i="3"/>
  <c r="G17" i="3"/>
  <c r="D17" i="3"/>
  <c r="B17" i="3"/>
  <c r="A17" i="3"/>
  <c r="G16" i="3"/>
  <c r="D16" i="3"/>
  <c r="B16" i="3"/>
  <c r="A16" i="3"/>
  <c r="G15" i="3"/>
  <c r="D15" i="3"/>
  <c r="C15" i="3"/>
  <c r="B15" i="3"/>
  <c r="A15" i="3"/>
  <c r="G14" i="3"/>
  <c r="D14" i="3"/>
  <c r="C14" i="3"/>
  <c r="B14" i="3"/>
  <c r="A14" i="3"/>
  <c r="G13" i="3"/>
  <c r="D13" i="3"/>
  <c r="B13" i="3"/>
  <c r="A13" i="3"/>
  <c r="G12" i="3"/>
  <c r="D12" i="3"/>
  <c r="C12" i="3"/>
  <c r="B12" i="3"/>
  <c r="A12" i="3"/>
  <c r="G11" i="3"/>
  <c r="D11" i="3"/>
  <c r="B11" i="3"/>
  <c r="A11" i="3"/>
  <c r="G10" i="3"/>
  <c r="D10" i="3"/>
  <c r="B10" i="3"/>
  <c r="A10" i="3"/>
  <c r="G9" i="3"/>
  <c r="D9" i="3"/>
  <c r="C9" i="3"/>
  <c r="B9" i="3"/>
  <c r="A9" i="3"/>
  <c r="G8" i="3"/>
  <c r="D8" i="3"/>
  <c r="B8" i="3"/>
  <c r="A8" i="3"/>
  <c r="G7" i="3"/>
  <c r="D7" i="3"/>
  <c r="B7" i="3"/>
  <c r="A7" i="3"/>
  <c r="G6" i="3"/>
  <c r="D6" i="3"/>
  <c r="C6" i="3"/>
  <c r="B6" i="3"/>
  <c r="A6" i="3"/>
  <c r="G5" i="3"/>
  <c r="D5" i="3"/>
  <c r="C5" i="3"/>
  <c r="B5" i="3"/>
  <c r="A5" i="3"/>
  <c r="G4" i="3"/>
  <c r="D4" i="3"/>
  <c r="B4" i="3"/>
  <c r="A4" i="3"/>
  <c r="G3" i="3"/>
  <c r="D3" i="3"/>
  <c r="C3" i="3"/>
  <c r="B3" i="3"/>
  <c r="A3" i="3"/>
  <c r="G2" i="3"/>
  <c r="D2" i="3"/>
  <c r="B2" i="3"/>
  <c r="A2" i="3"/>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C3" i="2"/>
  <c r="C6" i="2"/>
  <c r="C8" i="2"/>
  <c r="C9" i="2"/>
  <c r="C12" i="2"/>
  <c r="C15" i="2"/>
  <c r="C17" i="2"/>
  <c r="C18" i="2"/>
  <c r="C21" i="2"/>
  <c r="C24" i="2"/>
  <c r="C26" i="2"/>
  <c r="C28" i="2"/>
  <c r="C29" i="2"/>
  <c r="C31" i="2"/>
  <c r="C32" i="2"/>
  <c r="C34" i="2"/>
  <c r="C35" i="2"/>
  <c r="C37" i="2"/>
  <c r="C38" i="2"/>
  <c r="C40" i="2"/>
  <c r="C41" i="2"/>
  <c r="C48" i="2"/>
  <c r="C57" i="2"/>
  <c r="A61"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A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E5" i="4"/>
  <c r="I6" i="4" a="1"/>
  <c r="H6" i="4"/>
  <c r="K6" i="4" a="1"/>
  <c r="E6" i="4"/>
  <c r="F5" i="4"/>
  <c r="F6" i="4"/>
  <c r="K6" i="4" l="1"/>
  <c r="I6" i="4"/>
  <c r="F3" i="8"/>
  <c r="E5" i="8"/>
  <c r="E7" i="8"/>
  <c r="E9" i="8"/>
  <c r="E11" i="8"/>
  <c r="F13" i="8"/>
  <c r="F15" i="8"/>
  <c r="E17" i="8"/>
  <c r="E19" i="8"/>
  <c r="E21" i="8"/>
  <c r="E23" i="8"/>
  <c r="F25" i="8"/>
  <c r="F27" i="8"/>
  <c r="E29" i="8"/>
  <c r="F31" i="8"/>
  <c r="F33" i="8"/>
  <c r="F35" i="8"/>
  <c r="F37" i="8"/>
  <c r="F39" i="8"/>
  <c r="E41" i="8"/>
  <c r="F43" i="8"/>
  <c r="F45" i="8"/>
  <c r="F47" i="8"/>
  <c r="F49" i="8"/>
  <c r="F51" i="8"/>
  <c r="E53" i="8"/>
  <c r="F55" i="8"/>
  <c r="F57" i="8"/>
  <c r="F59" i="8"/>
  <c r="F61" i="8"/>
  <c r="F63" i="8"/>
  <c r="E65" i="8"/>
  <c r="E6" i="8"/>
  <c r="E8" i="8"/>
  <c r="E10" i="8"/>
  <c r="F12" i="8"/>
  <c r="E18" i="8"/>
  <c r="E20" i="8"/>
  <c r="E22" i="8"/>
  <c r="F24" i="8"/>
  <c r="F67" i="8"/>
  <c r="F69" i="8"/>
  <c r="F71" i="8"/>
  <c r="F73" i="8"/>
  <c r="F75" i="8"/>
  <c r="E77" i="8"/>
  <c r="F79" i="8"/>
  <c r="F81" i="8"/>
  <c r="F83" i="8"/>
  <c r="F85" i="8"/>
  <c r="F87" i="8"/>
  <c r="E89" i="8"/>
  <c r="E25" i="8"/>
  <c r="G97" i="2"/>
  <c r="G97" i="3"/>
  <c r="G94" i="2"/>
  <c r="G94" i="8"/>
  <c r="G94" i="3"/>
  <c r="E27" i="8"/>
  <c r="E30" i="8"/>
  <c r="F32" i="8"/>
  <c r="F34" i="8"/>
  <c r="F36" i="8"/>
  <c r="F38" i="8"/>
  <c r="F40" i="8"/>
  <c r="E42" i="8"/>
  <c r="F44" i="8"/>
  <c r="F46" i="8"/>
  <c r="F48" i="8"/>
  <c r="E50" i="8"/>
  <c r="F52" i="8"/>
  <c r="E54" i="8"/>
  <c r="F56" i="8"/>
  <c r="F58" i="8"/>
  <c r="F60" i="8"/>
  <c r="E62" i="8"/>
  <c r="F64" i="8"/>
  <c r="E66" i="8"/>
  <c r="F68" i="8"/>
  <c r="F70" i="8"/>
  <c r="F72" i="8"/>
  <c r="F74" i="8"/>
  <c r="F76" i="8"/>
  <c r="E78" i="8"/>
  <c r="F80" i="8"/>
  <c r="F82" i="8"/>
  <c r="F84" i="8"/>
  <c r="E86" i="8"/>
  <c r="F88" i="8"/>
  <c r="F19" i="8"/>
  <c r="E15" i="8"/>
  <c r="F9" i="8"/>
  <c r="E3" i="8"/>
  <c r="F7" i="8"/>
  <c r="F11" i="8"/>
  <c r="D94" i="8"/>
  <c r="E87" i="8"/>
  <c r="E13" i="8"/>
  <c r="D94" i="3"/>
  <c r="E85" i="8"/>
  <c r="E75" i="8"/>
  <c r="E73" i="8"/>
  <c r="E39" i="8"/>
  <c r="J39" i="8" s="1" a="1"/>
  <c r="J39" i="8" s="1"/>
  <c r="E37" i="8"/>
  <c r="M24" i="8" a="1"/>
  <c r="M24" i="8" s="1"/>
  <c r="N24" i="8" s="1" a="1"/>
  <c r="N24" i="8" s="1"/>
  <c r="D100" i="3"/>
  <c r="D100" i="2"/>
  <c r="D100" i="8"/>
  <c r="E31" i="8"/>
  <c r="J31" i="8" s="1" a="1"/>
  <c r="J31" i="8" s="1"/>
  <c r="E43" i="8"/>
  <c r="E57" i="8"/>
  <c r="E69" i="8"/>
  <c r="E79" i="8"/>
  <c r="F2" i="8"/>
  <c r="F6" i="8"/>
  <c r="F10" i="8"/>
  <c r="E16" i="8"/>
  <c r="F22" i="8"/>
  <c r="E26" i="8"/>
  <c r="G96" i="3"/>
  <c r="E63" i="8"/>
  <c r="E33" i="8"/>
  <c r="E47" i="8"/>
  <c r="E59" i="8"/>
  <c r="E67" i="8"/>
  <c r="J67" i="8" s="1" a="1"/>
  <c r="J67" i="8" s="1"/>
  <c r="E83" i="8"/>
  <c r="E61" i="8"/>
  <c r="F23" i="8"/>
  <c r="E51" i="8"/>
  <c r="G96" i="2"/>
  <c r="E4" i="8"/>
  <c r="F8" i="8"/>
  <c r="E12" i="8"/>
  <c r="F14" i="8"/>
  <c r="F18" i="8"/>
  <c r="J18" i="8" s="1" a="1"/>
  <c r="J18" i="8" s="1"/>
  <c r="F20" i="8"/>
  <c r="J20" i="8" s="1" a="1"/>
  <c r="J20" i="8" s="1"/>
  <c r="E24" i="8"/>
  <c r="E28" i="8"/>
  <c r="E35" i="8"/>
  <c r="E45" i="8"/>
  <c r="E55" i="8"/>
  <c r="E71" i="8"/>
  <c r="E81" i="8"/>
  <c r="F21" i="8"/>
  <c r="E49" i="8"/>
  <c r="D104" i="2"/>
  <c r="D104" i="3"/>
  <c r="D104" i="8"/>
  <c r="G104" i="2"/>
  <c r="G104" i="8"/>
  <c r="G104" i="3"/>
  <c r="G105" i="8"/>
  <c r="G105" i="2"/>
  <c r="G105" i="3"/>
  <c r="D105" i="2"/>
  <c r="D105" i="3"/>
  <c r="D105" i="8"/>
  <c r="G103" i="3"/>
  <c r="G103" i="8"/>
  <c r="G103" i="2"/>
  <c r="D103" i="8"/>
  <c r="D103" i="2"/>
  <c r="D103" i="3"/>
  <c r="G102" i="8"/>
  <c r="G102" i="3"/>
  <c r="G102" i="2"/>
  <c r="D102" i="2"/>
  <c r="D102" i="3"/>
  <c r="D102" i="8"/>
  <c r="G101" i="8"/>
  <c r="G101" i="2"/>
  <c r="G101" i="3"/>
  <c r="D101" i="2"/>
  <c r="D101" i="8"/>
  <c r="D101" i="3"/>
  <c r="G100" i="2"/>
  <c r="G100" i="3"/>
  <c r="G100" i="8"/>
  <c r="G99" i="8"/>
  <c r="G99" i="2"/>
  <c r="G99" i="3"/>
  <c r="D99" i="2"/>
  <c r="D99" i="8"/>
  <c r="D99" i="3"/>
  <c r="G98" i="8"/>
  <c r="G98" i="2"/>
  <c r="G98" i="3"/>
  <c r="D98" i="8"/>
  <c r="D98" i="3"/>
  <c r="D98" i="2"/>
  <c r="G97" i="8"/>
  <c r="D97" i="3"/>
  <c r="D97" i="2"/>
  <c r="D97" i="8"/>
  <c r="D96" i="3"/>
  <c r="D96" i="2"/>
  <c r="D96" i="8"/>
  <c r="F96" i="8" s="1"/>
  <c r="G95" i="2"/>
  <c r="G95" i="8"/>
  <c r="G95" i="3"/>
  <c r="D95" i="8"/>
  <c r="D95" i="3"/>
  <c r="G93" i="3"/>
  <c r="G93" i="2"/>
  <c r="G93" i="8"/>
  <c r="D93" i="8"/>
  <c r="D93" i="3"/>
  <c r="D93" i="2"/>
  <c r="G92" i="3"/>
  <c r="G92" i="2"/>
  <c r="G92" i="8"/>
  <c r="D92" i="8"/>
  <c r="D92" i="3"/>
  <c r="D92" i="2"/>
  <c r="E76" i="8"/>
  <c r="E40" i="8"/>
  <c r="E2" i="8"/>
  <c r="E48" i="8"/>
  <c r="F78" i="8"/>
  <c r="F66" i="8"/>
  <c r="F54" i="8"/>
  <c r="F42" i="8"/>
  <c r="F30" i="8"/>
  <c r="F89" i="8"/>
  <c r="F77" i="8"/>
  <c r="F65" i="8"/>
  <c r="F53" i="8"/>
  <c r="J53" i="8" s="1" a="1"/>
  <c r="J53" i="8" s="1"/>
  <c r="F41" i="8"/>
  <c r="F29" i="8"/>
  <c r="J29" i="8" s="1" a="1"/>
  <c r="J29" i="8" s="1"/>
  <c r="F17" i="8"/>
  <c r="F5" i="8"/>
  <c r="J5" i="8" s="1" a="1"/>
  <c r="J5" i="8" s="1"/>
  <c r="E82" i="8"/>
  <c r="E70" i="8"/>
  <c r="E58" i="8"/>
  <c r="J58" i="8" s="1" a="1"/>
  <c r="J58" i="8" s="1"/>
  <c r="E46" i="8"/>
  <c r="E34" i="8"/>
  <c r="E88" i="8"/>
  <c r="E64" i="8"/>
  <c r="E52" i="8"/>
  <c r="E14" i="8"/>
  <c r="E36" i="8"/>
  <c r="J36" i="8" s="1" a="1"/>
  <c r="J36" i="8" s="1"/>
  <c r="F28" i="8"/>
  <c r="F16" i="8"/>
  <c r="F4" i="8"/>
  <c r="E80" i="8"/>
  <c r="E68" i="8"/>
  <c r="E56" i="8"/>
  <c r="E44" i="8"/>
  <c r="E32" i="8"/>
  <c r="E74" i="8"/>
  <c r="E38" i="8"/>
  <c r="E84" i="8"/>
  <c r="E72" i="8"/>
  <c r="E60" i="8"/>
  <c r="F86" i="8"/>
  <c r="F62" i="8"/>
  <c r="F50" i="8"/>
  <c r="F26" i="8"/>
  <c r="G91" i="8"/>
  <c r="G91" i="2"/>
  <c r="G91" i="3"/>
  <c r="D91" i="2"/>
  <c r="D91" i="8"/>
  <c r="D91" i="3"/>
  <c r="G90" i="8"/>
  <c r="G90" i="2"/>
  <c r="G90" i="3"/>
  <c r="D90" i="2"/>
  <c r="D90" i="3"/>
  <c r="D90" i="8"/>
  <c r="M21" i="8" a="1"/>
  <c r="M21" i="8" s="1"/>
  <c r="N21" i="8" s="1" a="1"/>
  <c r="N21" i="8" s="1"/>
  <c r="M20" i="8" a="1"/>
  <c r="M20" i="8" s="1"/>
  <c r="N20" i="8" s="1" a="1"/>
  <c r="N20" i="8" s="1"/>
  <c r="C54" i="2"/>
  <c r="C45" i="2"/>
  <c r="C20" i="2"/>
  <c r="C11" i="2"/>
  <c r="C2" i="2"/>
  <c r="C27" i="3"/>
  <c r="C30" i="3"/>
  <c r="C33" i="3"/>
  <c r="C36" i="3"/>
  <c r="C39" i="3"/>
  <c r="C42" i="3"/>
  <c r="C51" i="3"/>
  <c r="C60" i="3"/>
  <c r="C105" i="2"/>
  <c r="C96" i="2"/>
  <c r="C87" i="2"/>
  <c r="C78" i="2"/>
  <c r="C69" i="2"/>
  <c r="C99" i="3"/>
  <c r="C90" i="3"/>
  <c r="C81" i="3"/>
  <c r="C72" i="3"/>
  <c r="C63" i="3"/>
  <c r="C59" i="2"/>
  <c r="C56" i="2"/>
  <c r="C53" i="2"/>
  <c r="C50" i="2"/>
  <c r="C47" i="2"/>
  <c r="C44" i="2"/>
  <c r="C61" i="2"/>
  <c r="C58" i="2"/>
  <c r="C55" i="2"/>
  <c r="C52" i="2"/>
  <c r="C49" i="2"/>
  <c r="C46" i="2"/>
  <c r="C43" i="2"/>
  <c r="C25" i="2"/>
  <c r="C22" i="2"/>
  <c r="C19" i="2"/>
  <c r="C16" i="2"/>
  <c r="C13" i="2"/>
  <c r="C10" i="2"/>
  <c r="C7" i="2"/>
  <c r="C4" i="2"/>
  <c r="G6" i="4" a="1"/>
  <c r="I5" i="4" a="1"/>
  <c r="H5" i="4"/>
  <c r="D6" i="4" a="1"/>
  <c r="J27" i="8" l="1" a="1"/>
  <c r="J27" i="8" s="1"/>
  <c r="J45" i="8" a="1"/>
  <c r="J45" i="8" s="1"/>
  <c r="J77" i="8" a="1"/>
  <c r="J77" i="8" s="1"/>
  <c r="I5" i="4"/>
  <c r="J57" i="8" a="1"/>
  <c r="J57" i="8" s="1"/>
  <c r="J15" i="8" a="1"/>
  <c r="J15" i="8" s="1"/>
  <c r="J61" i="8" a="1"/>
  <c r="J61" i="8" s="1"/>
  <c r="F99" i="8"/>
  <c r="J69" i="8" a="1"/>
  <c r="J69" i="8" s="1"/>
  <c r="J35" i="8" a="1"/>
  <c r="J35" i="8" s="1"/>
  <c r="J6" i="8" a="1"/>
  <c r="J6" i="8" s="1"/>
  <c r="J59" i="8" a="1"/>
  <c r="J59" i="8" s="1"/>
  <c r="J11" i="8" a="1"/>
  <c r="J11" i="8" s="1"/>
  <c r="D6" i="4"/>
  <c r="G6" i="4"/>
  <c r="J33" i="8" a="1"/>
  <c r="J33" i="8" s="1"/>
  <c r="J65" i="8" a="1"/>
  <c r="J65" i="8" s="1"/>
  <c r="E100" i="8"/>
  <c r="J7" i="8" a="1"/>
  <c r="J7" i="8" s="1"/>
  <c r="J55" i="8" a="1"/>
  <c r="J55" i="8" s="1"/>
  <c r="J51" i="8" a="1"/>
  <c r="J51" i="8" s="1"/>
  <c r="J3" i="8" a="1"/>
  <c r="J3" i="8" s="1"/>
  <c r="J9" i="8" a="1"/>
  <c r="J9" i="8" s="1"/>
  <c r="J24" i="8" a="1"/>
  <c r="J24" i="8" s="1"/>
  <c r="J74" i="8" a="1"/>
  <c r="J74" i="8" s="1"/>
  <c r="F94" i="8"/>
  <c r="J37" i="8" a="1"/>
  <c r="J37" i="8" s="1"/>
  <c r="F95" i="8"/>
  <c r="J19" i="8" a="1"/>
  <c r="J19" i="8" s="1"/>
  <c r="J10" i="8" a="1"/>
  <c r="J10" i="8" s="1"/>
  <c r="J47" i="8" a="1"/>
  <c r="J47" i="8" s="1"/>
  <c r="J75" i="8" a="1"/>
  <c r="J75" i="8" s="1"/>
  <c r="J25" i="8" a="1"/>
  <c r="J25" i="8" s="1"/>
  <c r="J17" i="8" a="1"/>
  <c r="J17" i="8" s="1"/>
  <c r="J48" i="8" a="1"/>
  <c r="J48" i="8" s="1"/>
  <c r="F101" i="8"/>
  <c r="J43" i="8" a="1"/>
  <c r="J43" i="8" s="1"/>
  <c r="J49" i="8" a="1"/>
  <c r="J49" i="8" s="1"/>
  <c r="J63" i="8" a="1"/>
  <c r="J63" i="8" s="1"/>
  <c r="J41" i="8" a="1"/>
  <c r="J41" i="8" s="1"/>
  <c r="J21" i="8" a="1"/>
  <c r="J21" i="8" s="1"/>
  <c r="J8" i="8" a="1"/>
  <c r="J8" i="8" s="1"/>
  <c r="J13" i="8" a="1"/>
  <c r="J13" i="8" s="1"/>
  <c r="J23" i="8" a="1"/>
  <c r="J23" i="8" s="1"/>
  <c r="J2" i="8" a="1"/>
  <c r="J2" i="8" s="1"/>
  <c r="J12" i="8" a="1"/>
  <c r="J12" i="8" s="1"/>
  <c r="J60" i="8" a="1"/>
  <c r="J60" i="8" s="1"/>
  <c r="J85" i="8" a="1"/>
  <c r="J85" i="8" s="1"/>
  <c r="J84" i="8" a="1"/>
  <c r="J84" i="8" s="1"/>
  <c r="J87" i="8" a="1"/>
  <c r="J87" i="8" s="1"/>
  <c r="J22" i="8" a="1"/>
  <c r="J22" i="8" s="1"/>
  <c r="J34" i="8" a="1"/>
  <c r="J34" i="8" s="1"/>
  <c r="J73" i="8" a="1"/>
  <c r="J73" i="8" s="1"/>
  <c r="J40" i="8" a="1"/>
  <c r="J40" i="8" s="1"/>
  <c r="J64" i="8" a="1"/>
  <c r="J64" i="8" s="1"/>
  <c r="J71" i="8" a="1"/>
  <c r="J71" i="8" s="1"/>
  <c r="J88" i="8" a="1"/>
  <c r="J88" i="8" s="1"/>
  <c r="J16" i="8" a="1"/>
  <c r="J16" i="8" s="1"/>
  <c r="J44" i="8" a="1"/>
  <c r="J44" i="8" s="1"/>
  <c r="F98" i="8"/>
  <c r="J68" i="8" a="1"/>
  <c r="J68" i="8" s="1"/>
  <c r="J38" i="8" a="1"/>
  <c r="J38" i="8" s="1"/>
  <c r="J81" i="8" a="1"/>
  <c r="J81" i="8" s="1"/>
  <c r="J83" i="8" a="1"/>
  <c r="J83" i="8" s="1"/>
  <c r="J79" i="8" a="1"/>
  <c r="J79" i="8" s="1"/>
  <c r="J89" i="8" a="1"/>
  <c r="J89" i="8" s="1"/>
  <c r="J46" i="8" a="1"/>
  <c r="J46" i="8" s="1"/>
  <c r="J56" i="8" a="1"/>
  <c r="J56" i="8" s="1"/>
  <c r="J70" i="8" a="1"/>
  <c r="J70" i="8" s="1"/>
  <c r="E93" i="8"/>
  <c r="E102" i="8"/>
  <c r="J52" i="8" a="1"/>
  <c r="J52" i="8" s="1"/>
  <c r="J76" i="8" a="1"/>
  <c r="J76" i="8" s="1"/>
  <c r="F100" i="8"/>
  <c r="E104" i="8"/>
  <c r="E105" i="8"/>
  <c r="E94" i="8"/>
  <c r="J82" i="8" a="1"/>
  <c r="J82" i="8" s="1"/>
  <c r="J28" i="8" a="1"/>
  <c r="J28" i="8" s="1"/>
  <c r="J50" i="8" a="1"/>
  <c r="J50" i="8" s="1"/>
  <c r="J72" i="8" a="1"/>
  <c r="J72" i="8" s="1"/>
  <c r="J14" i="8" a="1"/>
  <c r="J14" i="8" s="1"/>
  <c r="J66" i="8" a="1"/>
  <c r="J66" i="8" s="1"/>
  <c r="J42" i="8" a="1"/>
  <c r="J42" i="8" s="1"/>
  <c r="J32" i="8" a="1"/>
  <c r="J32" i="8" s="1"/>
  <c r="J86" i="8" a="1"/>
  <c r="J86" i="8" s="1"/>
  <c r="J62" i="8" a="1"/>
  <c r="J62" i="8" s="1"/>
  <c r="J4" i="8" a="1"/>
  <c r="J4" i="8" s="1"/>
  <c r="J26" i="8" a="1"/>
  <c r="J26" i="8" s="1"/>
  <c r="J80" i="8" a="1"/>
  <c r="J80" i="8" s="1"/>
  <c r="J78" i="8" a="1"/>
  <c r="J78" i="8" s="1"/>
  <c r="J54" i="8" a="1"/>
  <c r="J54" i="8" s="1"/>
  <c r="J30" i="8" a="1"/>
  <c r="J30" i="8" s="1"/>
  <c r="F102" i="8"/>
  <c r="F104" i="8"/>
  <c r="F93" i="8"/>
  <c r="F105" i="8"/>
  <c r="E101" i="8"/>
  <c r="F103" i="8"/>
  <c r="E103" i="8"/>
  <c r="E99" i="8"/>
  <c r="E98" i="8"/>
  <c r="E97" i="8"/>
  <c r="F97" i="8"/>
  <c r="E96" i="8"/>
  <c r="J96" i="8" s="1" a="1"/>
  <c r="J96" i="8" s="1"/>
  <c r="E95" i="8"/>
  <c r="E92" i="8"/>
  <c r="F92" i="8"/>
  <c r="F91" i="8"/>
  <c r="E91" i="8"/>
  <c r="F90" i="8"/>
  <c r="E90" i="8"/>
  <c r="L27" i="8"/>
  <c r="L24" i="8"/>
  <c r="J100" i="8" l="1" a="1"/>
  <c r="J100" i="8" s="1"/>
  <c r="J99" i="8" a="1"/>
  <c r="J99" i="8" s="1"/>
  <c r="J6" i="4"/>
  <c r="J95" i="8" a="1"/>
  <c r="J95" i="8" s="1"/>
  <c r="J94" i="8" a="1"/>
  <c r="J94" i="8" s="1"/>
  <c r="J102" i="8" a="1"/>
  <c r="J102" i="8" s="1"/>
  <c r="J101" i="8" a="1"/>
  <c r="J101" i="8" s="1"/>
  <c r="J90" i="8" a="1"/>
  <c r="J90" i="8" s="1"/>
  <c r="J93" i="8" a="1"/>
  <c r="J93" i="8" s="1"/>
  <c r="J105" i="8" a="1"/>
  <c r="J105" i="8" s="1"/>
  <c r="J98" i="8" a="1"/>
  <c r="J98" i="8" s="1"/>
  <c r="J91" i="8" a="1"/>
  <c r="J91" i="8" s="1"/>
  <c r="J97" i="8" a="1"/>
  <c r="J97" i="8" s="1"/>
  <c r="J104" i="8" a="1"/>
  <c r="J104" i="8" s="1"/>
  <c r="J103" i="8" a="1"/>
  <c r="J103" i="8" s="1"/>
  <c r="J92" i="8" a="1"/>
  <c r="J92" i="8" s="1"/>
  <c r="F11" i="5"/>
  <c r="F9" i="5"/>
  <c r="F7" i="5"/>
  <c r="F6" i="5"/>
  <c r="F8" i="5"/>
  <c r="F12" i="5"/>
  <c r="F5" i="5"/>
  <c r="F15" i="5"/>
  <c r="F10" i="5"/>
  <c r="F13" i="5"/>
  <c r="F4" i="5"/>
  <c r="F14" i="5"/>
  <c r="K5" i="4" a="1"/>
  <c r="G5" i="4" a="1"/>
  <c r="D5" i="4" a="1"/>
  <c r="D5" i="4" l="1"/>
  <c r="G5" i="4"/>
  <c r="K5" i="4"/>
  <c r="J5"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<sst xmlns="http://schemas.openxmlformats.org/spreadsheetml/2006/main" count="760" uniqueCount="262">
  <si>
    <t>Country</t>
  </si>
  <si>
    <t>Group</t>
  </si>
  <si>
    <t>Algeria</t>
  </si>
  <si>
    <t>J</t>
  </si>
  <si>
    <t>Argentina</t>
  </si>
  <si>
    <t>Australia</t>
  </si>
  <si>
    <t>D</t>
  </si>
  <si>
    <t>A</t>
  </si>
  <si>
    <t>B</t>
  </si>
  <si>
    <t>G</t>
  </si>
  <si>
    <t>C</t>
  </si>
  <si>
    <t>Brazil</t>
  </si>
  <si>
    <t>Canada</t>
  </si>
  <si>
    <t>E</t>
  </si>
  <si>
    <t>H</t>
  </si>
  <si>
    <t>F</t>
  </si>
  <si>
    <t>Colombia</t>
  </si>
  <si>
    <t>K</t>
  </si>
  <si>
    <t>Croatia</t>
  </si>
  <si>
    <t>L</t>
  </si>
  <si>
    <t>Curaçao</t>
  </si>
  <si>
    <t>I</t>
  </si>
  <si>
    <t>Egypt</t>
  </si>
  <si>
    <t>England</t>
  </si>
  <si>
    <t>Ecuador</t>
  </si>
  <si>
    <t>France</t>
  </si>
  <si>
    <t>Germany</t>
  </si>
  <si>
    <t>Ghana</t>
  </si>
  <si>
    <t>Haiti</t>
  </si>
  <si>
    <t>Japan</t>
  </si>
  <si>
    <t>Jordan</t>
  </si>
  <si>
    <t>Mexico</t>
  </si>
  <si>
    <t>Morocco</t>
  </si>
  <si>
    <t>Netherlands</t>
  </si>
  <si>
    <t>New Zealand</t>
  </si>
  <si>
    <t>Norway</t>
  </si>
  <si>
    <t>Panama</t>
  </si>
  <si>
    <t>Paraguay</t>
  </si>
  <si>
    <t>Portugal</t>
  </si>
  <si>
    <t>Qatar</t>
  </si>
  <si>
    <t>Saudi Arabia</t>
  </si>
  <si>
    <t>Scotland</t>
  </si>
  <si>
    <t>Senegal</t>
  </si>
  <si>
    <t>South Africa</t>
  </si>
  <si>
    <t>Spain</t>
  </si>
  <si>
    <t>Switzerland</t>
  </si>
  <si>
    <t>Tunisia</t>
  </si>
  <si>
    <t>Uruguay</t>
  </si>
  <si>
    <t>USA</t>
  </si>
  <si>
    <t>Uzbekistan</t>
  </si>
  <si>
    <t>GameID</t>
  </si>
  <si>
    <t>Date Time (GMT)</t>
  </si>
  <si>
    <t>Group/Stage</t>
  </si>
  <si>
    <t>Team1</t>
  </si>
  <si>
    <t>Team2</t>
  </si>
  <si>
    <t>Austria</t>
  </si>
  <si>
    <t>Round of 32</t>
  </si>
  <si>
    <t>Round of 16</t>
  </si>
  <si>
    <t>Final</t>
  </si>
  <si>
    <t>Score1</t>
  </si>
  <si>
    <t>Score2</t>
  </si>
  <si>
    <t>Winner</t>
  </si>
  <si>
    <t>Finalists</t>
  </si>
  <si>
    <t>Team 1</t>
  </si>
  <si>
    <t>Team 2</t>
  </si>
  <si>
    <t>Overall Winner</t>
  </si>
  <si>
    <t>Highest Goal Scoring Team</t>
  </si>
  <si>
    <t>Highest Goal Scorer</t>
  </si>
  <si>
    <t>Blank</t>
  </si>
  <si>
    <t>Points</t>
  </si>
  <si>
    <t>Results Table</t>
  </si>
  <si>
    <t>Name</t>
  </si>
  <si>
    <t>Group
results</t>
  </si>
  <si>
    <t>Group 
Winners</t>
  </si>
  <si>
    <t>Goal
Scorers</t>
  </si>
  <si>
    <t>Knock out
Scores</t>
  </si>
  <si>
    <t>Total</t>
  </si>
  <si>
    <t>point 
scoring
matches</t>
  </si>
  <si>
    <t>Group A</t>
  </si>
  <si>
    <t>Mexico City, Estadio Azteca</t>
  </si>
  <si>
    <t>Guadalajara, Estadio Akron</t>
  </si>
  <si>
    <t>Group B</t>
  </si>
  <si>
    <t>Bosnia and Herzegovina</t>
  </si>
  <si>
    <t>Toronto, BMO Field</t>
  </si>
  <si>
    <t>Group D</t>
  </si>
  <si>
    <t>Los Angeles, SoFi Stadium</t>
  </si>
  <si>
    <t>Group C</t>
  </si>
  <si>
    <t>Boston, Gillette Stadium</t>
  </si>
  <si>
    <t>San Francisco, Levi's Stadium</t>
  </si>
  <si>
    <t>New York/New Jersey, MetLife Stadium</t>
  </si>
  <si>
    <t>Vancouver, BC Place</t>
  </si>
  <si>
    <t>Group E</t>
  </si>
  <si>
    <t>Houston, NRG Stadium</t>
  </si>
  <si>
    <t>Group F</t>
  </si>
  <si>
    <t>Dallas, AT&amp;T Stadium</t>
  </si>
  <si>
    <t>Philadelphia, Lincoln Financial Field</t>
  </si>
  <si>
    <t>Sweden</t>
  </si>
  <si>
    <t>Monterrey, Estadio BBVA</t>
  </si>
  <si>
    <t>Group H</t>
  </si>
  <si>
    <t>Atlanta, Mercedes-Benz Stadium</t>
  </si>
  <si>
    <t>Group G</t>
  </si>
  <si>
    <t>Belgium</t>
  </si>
  <si>
    <t>Seattle, Lumen Field</t>
  </si>
  <si>
    <t>Miami, Hard Rock Stadium</t>
  </si>
  <si>
    <t>Group I</t>
  </si>
  <si>
    <t>Iraq</t>
  </si>
  <si>
    <t>Group J</t>
  </si>
  <si>
    <t>Kansas City, Arrowhead Stadium</t>
  </si>
  <si>
    <t>Group K</t>
  </si>
  <si>
    <t>Group L</t>
  </si>
  <si>
    <t>Runner-up Group A</t>
  </si>
  <si>
    <t>Runner-up Group B</t>
  </si>
  <si>
    <t>Winner Group E</t>
  </si>
  <si>
    <t>3rd Group A/B/C/D/F</t>
  </si>
  <si>
    <t>Winner Group F</t>
  </si>
  <si>
    <t>Runner-up Group C</t>
  </si>
  <si>
    <t>Winner Group C</t>
  </si>
  <si>
    <t>Runner-up Group F</t>
  </si>
  <si>
    <t>Winner Group I</t>
  </si>
  <si>
    <t>Winner Group J</t>
  </si>
  <si>
    <t>Runner-up Group H</t>
  </si>
  <si>
    <t>Winner Group G</t>
  </si>
  <si>
    <t>Winner Group A</t>
  </si>
  <si>
    <t>Winner Group L</t>
  </si>
  <si>
    <t>Runner-up Group E</t>
  </si>
  <si>
    <t>Winner Group D</t>
  </si>
  <si>
    <t>Winner Group B</t>
  </si>
  <si>
    <t>Runner-up Group I</t>
  </si>
  <si>
    <t>Runner-up Group J</t>
  </si>
  <si>
    <t>Winner Group K</t>
  </si>
  <si>
    <t>Runner-up Group L</t>
  </si>
  <si>
    <t>Runner-up Group G</t>
  </si>
  <si>
    <t>Winner Group H</t>
  </si>
  <si>
    <t>Runner-up Group D</t>
  </si>
  <si>
    <t>Quarter-final</t>
  </si>
  <si>
    <t>Semi-final</t>
  </si>
  <si>
    <t>Third-place play-off</t>
  </si>
  <si>
    <t>Türkiye</t>
  </si>
  <si>
    <t>Winer (90+)</t>
  </si>
  <si>
    <t>Position</t>
  </si>
  <si>
    <t>Shirt Number</t>
  </si>
  <si>
    <t>Player Name</t>
  </si>
  <si>
    <t>FIFA Ranking</t>
  </si>
  <si>
    <t>Other Predictions</t>
  </si>
  <si>
    <t>Total Goals Conceded by</t>
  </si>
  <si>
    <t>Benchmark</t>
  </si>
  <si>
    <t>Demo</t>
  </si>
  <si>
    <t>To check</t>
  </si>
  <si>
    <t>Count</t>
  </si>
  <si>
    <t>Jordan Pickford</t>
  </si>
  <si>
    <t>Goalkeeper</t>
  </si>
  <si>
    <t>Defender</t>
  </si>
  <si>
    <t>Declan Rice</t>
  </si>
  <si>
    <t>Midfielder</t>
  </si>
  <si>
    <t>John Stones</t>
  </si>
  <si>
    <t>Marc Guéhi</t>
  </si>
  <si>
    <t>Bukayo Saka</t>
  </si>
  <si>
    <t>Forward</t>
  </si>
  <si>
    <t>Harry Kane</t>
  </si>
  <si>
    <t>Jude Bellingham</t>
  </si>
  <si>
    <t>Ezri Konsa</t>
  </si>
  <si>
    <t>Ivan Toney</t>
  </si>
  <si>
    <t>Anthony Gordon</t>
  </si>
  <si>
    <t>Ollie Watkins</t>
  </si>
  <si>
    <t>Eberechi Eze</t>
  </si>
  <si>
    <t>Dean Henderson</t>
  </si>
  <si>
    <t>Kobbie Mainoo</t>
  </si>
  <si>
    <t>James Trafford</t>
  </si>
  <si>
    <t>Dan Burn</t>
  </si>
  <si>
    <t>Jarell Quansah</t>
  </si>
  <si>
    <t>Reece James</t>
  </si>
  <si>
    <t>Tino Livramento</t>
  </si>
  <si>
    <t>Nico O'Reilly</t>
  </si>
  <si>
    <t>Djed Spence</t>
  </si>
  <si>
    <t>Jordan Henderson</t>
  </si>
  <si>
    <t>Elliot Anderson</t>
  </si>
  <si>
    <t>Morgan Rogers</t>
  </si>
  <si>
    <t>Noni Madueke</t>
  </si>
  <si>
    <t>Marcus Rashford</t>
  </si>
  <si>
    <t>Game predictions</t>
  </si>
  <si>
    <t>Definition</t>
  </si>
  <si>
    <t>Category</t>
  </si>
  <si>
    <t>Correct Result</t>
  </si>
  <si>
    <t>Correct Forecast</t>
  </si>
  <si>
    <t>Predictions before the tournament starts</t>
  </si>
  <si>
    <t>Predicting a winning team or a draw but not exact score</t>
  </si>
  <si>
    <t>Predicting the exact score</t>
  </si>
  <si>
    <t>Incorrect Forecast</t>
  </si>
  <si>
    <t>Group Stage Winners</t>
  </si>
  <si>
    <t>Predicting a Group Winner</t>
  </si>
  <si>
    <t>For each of the below categories 'Points' are awarded for each  correct instance within the category</t>
  </si>
  <si>
    <t>Each game – points are awarded for the score when the game ends after 90 minutes(plus additional time where this is added to the 90 minutes). NOT after extra time in the knockout phases</t>
  </si>
  <si>
    <t>Predicting the 2 teams in the Final</t>
  </si>
  <si>
    <t>Predicting the Highest scoring Country (not including goals scored in penalty shootouts)</t>
  </si>
  <si>
    <t>Did not predict correct result or forecast</t>
  </si>
  <si>
    <t>Predicting the Tournament Winner</t>
  </si>
  <si>
    <t>Predicting the Highest goal scorer for selected Countries (not including goals scored in penalty shootouts)</t>
  </si>
  <si>
    <t>Predicting number of goals conceded by selected Countries (not including goals scored in penalty shootouts)</t>
  </si>
  <si>
    <t>Stadium</t>
  </si>
  <si>
    <t>https://en.wikipedia.org/wiki/2026_FIFA_World_Cup</t>
  </si>
  <si>
    <t>Tie-breaking criteria for World Cup groups</t>
  </si>
  <si>
    <t>If two or more teams in the same group are equal on points after the completion of the group stage, the following criteria, in the order below, shall be applied to determine the ranking:</t>
  </si>
  <si>
    <t>Step one</t>
  </si>
  <si>
    <t>greatest number of points obtained in the group matches between the teams concerned</t>
  </si>
  <si>
    <t>superior goal difference resulting from the group matches between the teams concerned</t>
  </si>
  <si>
    <t>greatest number of goals scored in all group matches between the teams concerned</t>
  </si>
  <si>
    <t>If no decision can be made through this procedure, the criteria below shall apply as follows to the two or more teams still equal on points:</t>
  </si>
  <si>
    <t>Step two</t>
  </si>
  <si>
    <t>superior goal difference in all group matches</t>
  </si>
  <si>
    <t>greatest number of goals scored in all group matches</t>
  </si>
  <si>
    <t>highest team conduct score (players and team officials) relating to the number of yellow and red cards obtained</t>
  </si>
  <si>
    <t>If no decision can be made through the procedures of step one and two above, the following shall apply:</t>
  </si>
  <si>
    <t>Step three</t>
  </si>
  <si>
    <t>the two or more teams still equal on points shall be ranked according to the most recent published edition of the FIFA/Coca‑Cola Men’s World Ranking</t>
  </si>
  <si>
    <t>How the eight best‑ranked teams finishing third are decided</t>
  </si>
  <si>
    <t>The eight best teams among those ranked third will be determined as follows:</t>
  </si>
  <si>
    <t>greatest number of points obtained in all group matches</t>
  </si>
  <si>
    <t>goal difference resulting from all group matches</t>
  </si>
  <si>
    <t>highest team conduct score (players and team officials) relating to the number of yellow and red cards obtained in all group matches</t>
  </si>
  <si>
    <t>https://www.fifa.com/en/tournaments/mens/worldcup/canadamexicousa2026/articles/groups-how-teams-qualify-tie-breakers</t>
  </si>
  <si>
    <t>3rd Group C/E/F/H/I</t>
  </si>
  <si>
    <t>3rd Group E/H/I/J/K</t>
  </si>
  <si>
    <t>3rd Group B/E/F/I/J</t>
  </si>
  <si>
    <t>3rd Group A/E/H/I/J</t>
  </si>
  <si>
    <t>Czechia</t>
  </si>
  <si>
    <t>3rd Group C/D/F/G/H</t>
  </si>
  <si>
    <t>3rd Group E/F/G/I/J</t>
  </si>
  <si>
    <t>Runner-up Group K</t>
  </si>
  <si>
    <t>3rd Group D/E/I/J/L</t>
  </si>
  <si>
    <t>Cabo Verde</t>
  </si>
  <si>
    <t>29/06/2026 17:00</t>
  </si>
  <si>
    <t>03/07/2026 03:00</t>
  </si>
  <si>
    <t>02/07/2026 19:00</t>
  </si>
  <si>
    <t>03/07/2026 18:00</t>
  </si>
  <si>
    <t>11/07/2026 21:00</t>
  </si>
  <si>
    <t>29/06/2026 20:30</t>
  </si>
  <si>
    <t>30/06/2026 01:00</t>
  </si>
  <si>
    <t>30/06/2026 21:00</t>
  </si>
  <si>
    <t>30/06/2026 17:00</t>
  </si>
  <si>
    <t>01/07/2026 01:00</t>
  </si>
  <si>
    <t>01/07/2026 16:00</t>
  </si>
  <si>
    <t>02/07/2026 00:00</t>
  </si>
  <si>
    <t>01/07/2026 20:00</t>
  </si>
  <si>
    <t>02/07/2026 23:00</t>
  </si>
  <si>
    <t>03/07/2026 22:00</t>
  </si>
  <si>
    <t>04/07/2026 01:30</t>
  </si>
  <si>
    <t>04/07/2026 21:00</t>
  </si>
  <si>
    <t>04/07/2026 17:00</t>
  </si>
  <si>
    <t>05/07/2026 20:00</t>
  </si>
  <si>
    <t>06/07/2026 00:00</t>
  </si>
  <si>
    <t>07/07/2026 00:00</t>
  </si>
  <si>
    <t>07/07/2026 16:00</t>
  </si>
  <si>
    <t>07/07/2026 20:00</t>
  </si>
  <si>
    <t>09/07/2026 20:00</t>
  </si>
  <si>
    <t>12/07/2026 01:00</t>
  </si>
  <si>
    <t>18/07/2026 21:00</t>
  </si>
  <si>
    <t>Korea Republic</t>
  </si>
  <si>
    <t>Congo DR</t>
  </si>
  <si>
    <t>Côte d'Ivoire</t>
  </si>
  <si>
    <t>IR Iran</t>
  </si>
  <si>
    <t>US</t>
  </si>
  <si>
    <t xml:space="preserve"> Squad(s)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</si>
</sst>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rgb="FF242424"/>
      <name val="Consolas"/>
      <family val="3"/>
    </font>
    <font>
      <b/>
      <sz val="16"/>
      <color theme="1"/>
      <name val="Calibri"/>
      <family val="2"/>
      <scheme val="minor"/>
    </font>
    <font>
      <sz val="18"/>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b/>
      <sz val="18"/>
      <color theme="1"/>
      <name val="Calibri"/>
      <family val="2"/>
      <scheme val="minor"/>
    </font>
    <font>
      <sz val="11"/>
      <color rgb="FF000000"/>
      <name val="Calibri"/>
      <family val="2"/>
      <scheme val="minor"/>
    </font>
    <font>
      <b/>
      <sz val="11"/>
      <color rgb="FF000000"/>
      <name val="Calibri"/>
      <family val="2"/>
      <scheme val="minor"/>
    </font>
    <font>
      <i/>
      <sz val="11"/>
      <color rgb="FF000000"/>
      <name val="Calibri"/>
      <family val="2"/>
      <scheme val="minor"/>
    </font>
    <font>
      <u/>
      <sz val="11"/>
      <color theme="10"/>
      <name val="Calibri"/>
      <family val="2"/>
      <scheme val="minor"/>
    </font>
    <font>
      <b/>
      <sz val="18"/>
      <color rgb="FF03122B"/>
      <name val="Inherit"/>
      <charset val="1"/>
    </font>
    <font>
      <sz val="13.5"/>
      <color rgb="FF03122B"/>
      <name val="FIFASans Regular"/>
      <charset val="1"/>
    </font>
    <font>
      <b/>
      <sz val="13.5"/>
      <color rgb="FF03122B"/>
      <name val="FIFASans Medium"/>
      <charset val="1"/>
    </font>
  </fonts>
  <fills count="3">
    <fill>
      <patternFill patternType="none"/>
    </fill>
    <fill>
      <patternFill patternType="gray125"/>
    </fill>
    <fill>
      <patternFill patternType="solid">
        <fgColor rgb="FFFFFFFF"/>
        <bgColor indexed="64"/>
      </patternFill>
    </fill>
  </fills>
  <borders count="32">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rgb="FF000000"/>
      </left>
      <right style="thin">
        <color indexed="64"/>
      </right>
      <top/>
      <bottom/>
      <diagonal/>
    </border>
    <border>
      <left/>
      <right/>
      <top/>
      <bottom style="thin">
        <color rgb="FF000000"/>
      </bottom>
      <diagonal/>
    </border>
    <border>
      <left style="thin">
        <color indexed="64"/>
      </left>
      <right style="thin">
        <color rgb="FF000000"/>
      </right>
      <top/>
      <bottom style="thin">
        <color rgb="FF000000"/>
      </bottom>
      <diagonal/>
    </border>
    <border>
      <left style="thin">
        <color rgb="FF000000"/>
      </left>
      <right style="thin">
        <color indexed="64"/>
      </right>
      <top/>
      <bottom style="thin">
        <color rgb="FF000000"/>
      </bottom>
      <diagonal/>
    </border>
    <border>
      <left style="thin">
        <color indexed="64"/>
      </left>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99">
    <xf numFmtId="0" fontId="0" fillId="0" borderId="0" xfId="0"/>
    <xf numFmtId="0" fontId="0" fillId="0" borderId="0" xfId="0" applyAlignment="1">
      <alignment wrapText="1"/>
    </xf>
    <xf numFmtId="0" fontId="1" fillId="0" borderId="0" xfId="0" applyFont="1"/>
    <xf numFmtId="49" fontId="0" fillId="0" borderId="0" xfId="0" applyNumberFormat="1"/>
    <xf numFmtId="49" fontId="0" fillId="0" borderId="0" xfId="0" applyNumberFormat="1" applyAlignment="1">
      <alignment horizontal="center"/>
    </xf>
    <xf numFmtId="0" fontId="0" fillId="0" borderId="0" xfId="0" applyAlignment="1">
      <alignment horizontal="center" wrapText="1"/>
    </xf>
    <xf numFmtId="0" fontId="0" fillId="0" borderId="0" xfId="0" applyAlignment="1">
      <alignment horizontal="center"/>
    </xf>
    <xf numFmtId="0" fontId="0" fillId="0" borderId="3" xfId="0" applyBorder="1"/>
    <xf numFmtId="0" fontId="0" fillId="0" borderId="4" xfId="0" applyBorder="1"/>
    <xf numFmtId="0" fontId="0" fillId="0" borderId="7" xfId="0" applyBorder="1"/>
    <xf numFmtId="0" fontId="0" fillId="0" borderId="8" xfId="0" applyBorder="1"/>
    <xf numFmtId="22" fontId="0" fillId="0" borderId="0" xfId="0" applyNumberFormat="1"/>
    <xf numFmtId="0" fontId="0" fillId="0" borderId="14" xfId="0" applyBorder="1"/>
    <xf numFmtId="0" fontId="0" fillId="0" borderId="18" xfId="0" applyBorder="1" applyAlignment="1">
      <alignment wrapText="1"/>
    </xf>
    <xf numFmtId="0" fontId="0" fillId="0" borderId="14" xfId="0" applyBorder="1" applyAlignment="1">
      <alignment wrapText="1"/>
    </xf>
    <xf numFmtId="0" fontId="0" fillId="0" borderId="19" xfId="0" applyBorder="1"/>
    <xf numFmtId="0" fontId="0" fillId="0" borderId="20" xfId="0" applyBorder="1"/>
    <xf numFmtId="0" fontId="0" fillId="0" borderId="21" xfId="0" applyBorder="1"/>
    <xf numFmtId="0" fontId="4" fillId="0" borderId="0" xfId="0" applyFont="1"/>
    <xf numFmtId="0" fontId="0" fillId="0" borderId="22" xfId="0" applyBorder="1"/>
    <xf numFmtId="0" fontId="5" fillId="0" borderId="0" xfId="0" applyFont="1"/>
    <xf numFmtId="0" fontId="5" fillId="0" borderId="0" xfId="0" applyFont="1" applyAlignment="1">
      <alignment horizontal="center"/>
    </xf>
    <xf numFmtId="0" fontId="4" fillId="0" borderId="0" xfId="0" applyFont="1" applyAlignment="1">
      <alignment horizontal="center"/>
    </xf>
    <xf numFmtId="0" fontId="2" fillId="0" borderId="0" xfId="0" applyFont="1"/>
    <xf numFmtId="22" fontId="4" fillId="0" borderId="0" xfId="0" applyNumberFormat="1" applyFont="1"/>
    <xf numFmtId="49" fontId="4" fillId="0" borderId="0" xfId="0" applyNumberFormat="1" applyFont="1" applyAlignment="1">
      <alignment horizontal="center"/>
    </xf>
    <xf numFmtId="49" fontId="4" fillId="0" borderId="0" xfId="0" applyNumberFormat="1" applyFont="1"/>
    <xf numFmtId="0" fontId="5" fillId="0" borderId="22" xfId="0" applyFont="1" applyBorder="1"/>
    <xf numFmtId="0" fontId="0" fillId="0" borderId="17" xfId="0" applyBorder="1" applyAlignment="1">
      <alignment horizontal="center"/>
    </xf>
    <xf numFmtId="0" fontId="0" fillId="0" borderId="24" xfId="0" applyBorder="1"/>
    <xf numFmtId="0" fontId="0" fillId="0" borderId="21" xfId="0" applyBorder="1" applyAlignment="1">
      <alignment horizontal="center"/>
    </xf>
    <xf numFmtId="0" fontId="4" fillId="0" borderId="26" xfId="0" applyFont="1" applyBorder="1" applyAlignment="1">
      <alignment horizontal="center"/>
    </xf>
    <xf numFmtId="0" fontId="4" fillId="0" borderId="27" xfId="0" applyFont="1" applyBorder="1" applyAlignment="1">
      <alignment horizontal="center"/>
    </xf>
    <xf numFmtId="0" fontId="8" fillId="0" borderId="0" xfId="0" applyFont="1" applyAlignment="1">
      <alignment horizontal="center"/>
    </xf>
    <xf numFmtId="0" fontId="9" fillId="0" borderId="0" xfId="0" applyFont="1" applyAlignment="1">
      <alignment horizontal="center" vertical="center"/>
    </xf>
    <xf numFmtId="0" fontId="8" fillId="0" borderId="0" xfId="0" applyFont="1" applyAlignment="1">
      <alignment horizontal="left" wrapText="1"/>
    </xf>
    <xf numFmtId="0" fontId="0" fillId="0" borderId="12" xfId="0" applyBorder="1" applyAlignment="1">
      <alignment horizontal="center"/>
    </xf>
    <xf numFmtId="0" fontId="4" fillId="0" borderId="7" xfId="0" applyFont="1" applyBorder="1" applyAlignment="1">
      <alignment horizontal="center"/>
    </xf>
    <xf numFmtId="0" fontId="0" fillId="0" borderId="29" xfId="0" applyBorder="1"/>
    <xf numFmtId="0" fontId="0" fillId="0" borderId="28" xfId="0" applyBorder="1" applyAlignment="1">
      <alignment horizontal="center"/>
    </xf>
    <xf numFmtId="0" fontId="0" fillId="0" borderId="30" xfId="0" applyBorder="1"/>
    <xf numFmtId="0" fontId="12" fillId="2" borderId="0" xfId="0" applyFont="1" applyFill="1" applyAlignment="1">
      <alignment wrapText="1"/>
    </xf>
    <xf numFmtId="0" fontId="13" fillId="2" borderId="0" xfId="0" applyFont="1" applyFill="1"/>
    <xf numFmtId="0" fontId="13" fillId="2" borderId="0" xfId="0" applyFont="1" applyFill="1" applyAlignment="1">
      <alignment wrapText="1"/>
    </xf>
    <xf numFmtId="0" fontId="11" fillId="2" borderId="0" xfId="1" applyFill="1" applyAlignment="1">
      <alignment wrapText="1"/>
    </xf>
    <xf numFmtId="0" fontId="14" fillId="2" borderId="0" xfId="0" applyFont="1" applyFill="1" applyAlignment="1">
      <alignment wrapText="1"/>
    </xf>
    <xf numFmtId="0" fontId="11" fillId="0" borderId="0" xfId="1"/>
    <xf numFmtId="49" fontId="0" fillId="0" borderId="0" xfId="0" applyNumberFormat="1" applyAlignment="1">
      <alignment wrapText="1"/>
    </xf>
    <xf numFmtId="22" fontId="0" fillId="0" borderId="0" xfId="0" applyNumberFormat="1" applyAlignment="1">
      <alignment horizontal="right"/>
    </xf>
    <xf numFmtId="0" fontId="8" fillId="0" borderId="0" xfId="0" applyFont="1"/>
    <xf numFmtId="22" fontId="0" fillId="0" borderId="0" xfId="0" applyNumberFormat="1" applyAlignment="1">
      <alignment horizontal="center"/>
    </xf>
    <xf numFmtId="0" fontId="3" fillId="0" borderId="0" xfId="0" applyFont="1" applyAlignment="1">
      <alignment vertical="center"/>
    </xf>
    <xf numFmtId="0" fontId="0" fillId="0" borderId="15" xfId="0" applyBorder="1"/>
    <xf numFmtId="0" fontId="0" fillId="0" borderId="31" xfId="0" applyBorder="1"/>
    <xf numFmtId="0" fontId="2" fillId="0" borderId="0" xfId="0" applyFont="1" applyAlignment="1">
      <alignment horizontal="center"/>
    </xf>
    <xf numFmtId="0" fontId="0" fillId="0" borderId="11" xfId="0" applyBorder="1" applyAlignment="1">
      <alignment horizontal="center" wrapText="1"/>
    </xf>
    <xf numFmtId="0" fontId="0" fillId="0" borderId="11" xfId="0" applyBorder="1" applyAlignment="1">
      <alignment horizontal="center" vertical="center" wrapText="1"/>
    </xf>
    <xf numFmtId="0" fontId="9" fillId="0" borderId="0" xfId="0" applyFont="1" applyAlignment="1">
      <alignment horizontal="center" vertical="center"/>
    </xf>
    <xf numFmtId="0" fontId="10" fillId="0" borderId="0" xfId="0" applyFont="1" applyAlignment="1">
      <alignment horizontal="center" vertical="center"/>
    </xf>
    <xf numFmtId="0" fontId="4" fillId="0" borderId="11" xfId="0" applyFont="1" applyBorder="1" applyAlignment="1">
      <alignment horizontal="center" wrapText="1"/>
    </xf>
    <xf numFmtId="0" fontId="9" fillId="0" borderId="0" xfId="0" applyFont="1" applyAlignment="1">
      <alignment horizontal="center" vertical="center" wrapText="1"/>
    </xf>
    <xf numFmtId="0" fontId="10" fillId="0" borderId="0" xfId="0" applyFont="1" applyAlignment="1">
      <alignment horizontal="center" wrapText="1"/>
    </xf>
    <xf numFmtId="0" fontId="4" fillId="0" borderId="15" xfId="0" applyFont="1" applyBorder="1" applyAlignment="1">
      <alignment horizontal="center"/>
    </xf>
    <xf numFmtId="0" fontId="4" fillId="0" borderId="16" xfId="0" applyFont="1"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4" fillId="0" borderId="23" xfId="0" applyFont="1" applyBorder="1" applyAlignment="1">
      <alignment horizontal="center"/>
    </xf>
    <xf numFmtId="0" fontId="0" fillId="0" borderId="23" xfId="0" applyBorder="1" applyAlignment="1">
      <alignment horizontal="center"/>
    </xf>
    <xf numFmtId="0" fontId="8" fillId="0" borderId="15" xfId="0" applyFont="1" applyBorder="1" applyAlignment="1">
      <alignment horizontal="center"/>
    </xf>
    <xf numFmtId="0" fontId="8" fillId="0" borderId="23" xfId="0" applyFont="1" applyBorder="1" applyAlignment="1">
      <alignment horizontal="center"/>
    </xf>
    <xf numFmtId="0" fontId="8" fillId="0" borderId="16"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7" fillId="0" borderId="15" xfId="0" applyFont="1" applyBorder="1" applyAlignment="1">
      <alignment horizontal="center"/>
    </xf>
    <xf numFmtId="0" fontId="7" fillId="0" borderId="23" xfId="0" applyFont="1" applyBorder="1" applyAlignment="1">
      <alignment horizontal="center"/>
    </xf>
    <xf numFmtId="0" fontId="7" fillId="0" borderId="16" xfId="0" applyFont="1" applyBorder="1" applyAlignment="1">
      <alignment horizontal="center"/>
    </xf>
    <xf numFmtId="0" fontId="5" fillId="0" borderId="15" xfId="0" applyFont="1" applyBorder="1" applyAlignment="1">
      <alignment horizontal="center"/>
    </xf>
    <xf numFmtId="0" fontId="5" fillId="0" borderId="23" xfId="0" applyFont="1" applyBorder="1" applyAlignment="1">
      <alignment horizontal="center"/>
    </xf>
    <xf numFmtId="0" fontId="5" fillId="0" borderId="16" xfId="0" applyFont="1" applyBorder="1" applyAlignment="1">
      <alignment horizontal="center"/>
    </xf>
    <xf numFmtId="0" fontId="3" fillId="0" borderId="0" xfId="0" applyFont="1" applyAlignment="1">
      <alignment horizontal="center" vertical="center"/>
    </xf>
    <xf numFmtId="0" fontId="3" fillId="0" borderId="25" xfId="0" applyFont="1" applyBorder="1" applyAlignment="1">
      <alignment horizontal="center" vertical="center"/>
    </xf>
    <xf numFmtId="0" fontId="4" fillId="0" borderId="1" xfId="0" applyFont="1" applyBorder="1" applyAlignment="1">
      <alignment horizontal="center"/>
    </xf>
    <xf numFmtId="0" fontId="4" fillId="0" borderId="2" xfId="0" applyFont="1" applyBorder="1" applyAlignment="1">
      <alignment horizontal="center"/>
    </xf>
    <xf numFmtId="0" fontId="4" fillId="0" borderId="25"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4" fillId="0" borderId="6" xfId="0" applyFon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7" xfId="0" applyBorder="1"/>
    <xf numFmtId="0" fontId="0" fillId="0" borderId="18" xfId="0" applyBorder="1"/>
    <xf numFmtId="0" fontId="0" fillId="0" borderId="28" xfId="0" applyBorder="1"/>
    <xf numFmtId="0" fontId="7" fillId="0" borderId="0" xfId="0" applyFont="1" applyBorder="1" applyAlignment="1"/>
    <xf numFmtId="0" fontId="0" fillId="0" borderId="0" xfId="0" applyBorder="1"/>
    <xf numFmtId="0" fontId="6" fillId="0" borderId="28" xfId="0" applyFont="1" applyBorder="1"/>
    <xf numFmtId="0" fontId="6" fillId="0" borderId="14" xfId="0" applyFont="1" applyBorder="1"/>
  </cellXfs>
  <cellStyles count="2">
    <cellStyle name="Hyperlink" xfId="1" builtinId="8"/>
    <cellStyle name="Normal" xfId="0" builtinId="0"/>
  </cellStyles>
  <dxfs count="43">
    <dxf>
      <fill>
        <patternFill>
          <bgColor theme="5"/>
        </patternFill>
      </fill>
    </dxf>
    <dxf>
      <fill>
        <patternFill patternType="solid">
          <bgColor rgb="FFFFFF00"/>
        </patternFill>
      </fill>
    </dxf>
    <dxf>
      <numFmt numFmtId="30" formatCode="@"/>
    </dxf>
    <dxf>
      <numFmt numFmtId="30" formatCode="@"/>
    </dxf>
    <dxf>
      <numFmt numFmtId="30" formatCode="@"/>
    </dxf>
    <dxf>
      <numFmt numFmtId="30" formatCode="@"/>
      <alignment horizontal="center" vertical="bottom" textRotation="0" wrapText="0" indent="0" justifyLastLine="0" shrinkToFit="0" readingOrder="0"/>
    </dxf>
    <dxf>
      <numFmt numFmtId="27" formatCode="dd/mm/yyyy\ hh:mm"/>
    </dxf>
    <dxf>
      <font>
        <b/>
      </font>
    </dxf>
    <dxf>
      <numFmt numFmtId="0" formatCode="General"/>
    </dxf>
    <dxf>
      <numFmt numFmtId="30" formatCode="@"/>
    </dxf>
    <dxf>
      <numFmt numFmtId="30" formatCode="@"/>
    </dxf>
    <dxf>
      <numFmt numFmtId="30" formatCode="@"/>
    </dxf>
    <dxf>
      <numFmt numFmtId="30" formatCode="@"/>
    </dxf>
    <dxf>
      <numFmt numFmtId="30" formatCode="@"/>
      <alignment horizontal="center" vertical="bottom" textRotation="0" wrapText="0" indent="0" justifyLastLine="0" shrinkToFit="0" readingOrder="0"/>
    </dxf>
    <dxf>
      <numFmt numFmtId="27" formatCode="dd/mm/yyyy\ hh:mm"/>
      <alignment horizontal="center" vertical="bottom" textRotation="0" wrapText="0" indent="0" justifyLastLine="0" shrinkToFit="0" readingOrder="0"/>
    </dxf>
    <dxf>
      <numFmt numFmtId="30" formatCode="@"/>
    </dxf>
    <dxf>
      <numFmt numFmtId="0" formatCode="General"/>
    </dxf>
    <dxf>
      <numFmt numFmtId="30" formatCode="@"/>
    </dxf>
    <dxf>
      <numFmt numFmtId="30" formatCode="@"/>
    </dxf>
    <dxf>
      <numFmt numFmtId="30" formatCode="@"/>
    </dxf>
    <dxf>
      <numFmt numFmtId="0" formatCode="General"/>
    </dxf>
    <dxf>
      <numFmt numFmtId="0" formatCode="General"/>
    </dxf>
    <dxf>
      <numFmt numFmtId="30" formatCode="@"/>
    </dxf>
    <dxf>
      <numFmt numFmtId="30" formatCode="@"/>
      <alignment horizontal="center" vertical="bottom" textRotation="0" wrapText="0" indent="0" justifyLastLine="0" shrinkToFit="0" readingOrder="0"/>
    </dxf>
    <dxf>
      <numFmt numFmtId="27" formatCode="dd/mm/yyyy\ hh:mm"/>
    </dxf>
    <dxf>
      <numFmt numFmtId="30" formatCode="@"/>
    </dxf>
    <dxf>
      <numFmt numFmtId="30" formatCode="@"/>
    </dxf>
    <dxf>
      <numFmt numFmtId="30" formatCode="@"/>
    </dxf>
    <dxf>
      <numFmt numFmtId="30" formatCode="@"/>
    </dxf>
    <dxf>
      <numFmt numFmtId="0" formatCode="General"/>
      <alignment horizontal="center" vertical="bottom" textRotation="0" wrapText="0" indent="0" justifyLastLine="0" shrinkToFit="0" readingOrder="0"/>
    </dxf>
    <dxf>
      <numFmt numFmtId="27" formatCode="dd/mm/yyyy\ hh:mm"/>
    </dxf>
    <dxf>
      <font>
        <b/>
      </font>
      <numFmt numFmtId="30" formatCode="@"/>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s>
  <tableStyles count="0" defaultTableStyle="TableStyleMedium2" defaultPivotStyle="PivotStyleMedium9"/>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1905</xdr:rowOff>
    </xdr:from>
    <xdr:to>
      <xdr:col>12</xdr:col>
      <xdr:colOff>0</xdr:colOff>
      <xdr:row>22</xdr:row>
      <xdr:rowOff>0</xdr:rowOff>
    </xdr:to>
    <xdr:sp macro="" textlink="">
      <xdr:nvSpPr>
        <xdr:cNvPr id="2" name="TextBox 1">
          <a:extLst>
            <a:ext uri="{FF2B5EF4-FFF2-40B4-BE49-F238E27FC236}">
              <a16:creationId xmlns:a16="http://schemas.microsoft.com/office/drawing/2014/main" id="{571AE888-EAB3-4B07-12E4-831145070CA2}"/>
            </a:ext>
          </a:extLst>
        </xdr:cNvPr>
        <xdr:cNvSpPr txBox="1"/>
      </xdr:nvSpPr>
      <xdr:spPr>
        <a:xfrm>
          <a:off x="609600" y="182880"/>
          <a:ext cx="6705600" cy="37985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800" b="1" u="sng"/>
            <a:t>Rules</a:t>
          </a:r>
        </a:p>
        <a:p>
          <a:endParaRPr lang="en-GB" sz="1200"/>
        </a:p>
        <a:p>
          <a:r>
            <a:rPr lang="en-GB" sz="1200"/>
            <a:t>Predict the score for each game during the tournament (score at full time). Predictions for games are required to be submitted at least 10 minutes before kick-off.</a:t>
          </a:r>
        </a:p>
        <a:p>
          <a:endParaRPr lang="en-GB" sz="1200"/>
        </a:p>
        <a:p>
          <a:r>
            <a:rPr lang="en-GB" sz="1200"/>
            <a:t>Before the first game is played, additional predictions are required such as finalists and group winners need to be made.</a:t>
          </a:r>
        </a:p>
        <a:p>
          <a:endParaRPr lang="en-GB" sz="1200"/>
        </a:p>
        <a:p>
          <a:r>
            <a:rPr lang="en-GB" sz="1200"/>
            <a:t>Initially, you can predict just the first phase of group games (and the extra predictions). Please predict at least the first game for every Country in their group - if you want to predict all the group games and then alter your prediction (at least 10 mins) before kickoff for the later games then that’ll be fine too. If you fail to make a prediction, you will not get any points.</a:t>
          </a:r>
        </a:p>
        <a:p>
          <a:endParaRPr lang="en-GB" sz="1200"/>
        </a:p>
        <a:p>
          <a:r>
            <a:rPr lang="en-GB" sz="1200"/>
            <a:t>As the competition progresses, predictions for the next phases (after the group stage) throughout the knock phase of the competition are needed. These games will be marked on the score at full time (NOT after extra time if the game is a draw at full time). Again, changes will be allowed to predictions up until 10 minutes before kick-off.</a:t>
          </a:r>
        </a:p>
        <a:p>
          <a:pPr marL="0" marR="0" lvl="0" indent="0" algn="ctr" defTabSz="914400" eaLnBrk="1" fontAlgn="auto" latinLnBrk="0" hangingPunct="1">
            <a:lnSpc>
              <a:spcPct val="100000"/>
            </a:lnSpc>
            <a:spcBef>
              <a:spcPts val="0"/>
            </a:spcBef>
            <a:spcAft>
              <a:spcPts val="0"/>
            </a:spcAft>
            <a:buClrTx/>
            <a:buSzTx/>
            <a:buFontTx/>
            <a:buNone/>
            <a:tabLst/>
            <a:defRPr/>
          </a:pPr>
          <a:r>
            <a:rPr lang="en-GB" sz="1400" b="1">
              <a:solidFill>
                <a:schemeClr val="dk1"/>
              </a:solidFill>
              <a:effectLst/>
              <a:latin typeface="+mn-lt"/>
              <a:ea typeface="+mn-ea"/>
              <a:cs typeface="+mn-cs"/>
            </a:rPr>
            <a:t>Points are awarded as follows:</a:t>
          </a:r>
          <a:endParaRPr lang="en-GB" sz="1400" b="1">
            <a:effectLst/>
          </a:endParaRPr>
        </a:p>
        <a:p>
          <a:endParaRPr lang="en-GB" sz="1100"/>
        </a:p>
      </xdr:txBody>
    </xdr:sp>
    <xdr:clientData/>
  </xdr:twoCellAnchor>
  <xdr:twoCellAnchor editAs="oneCell">
    <xdr:from>
      <xdr:col>12</xdr:col>
      <xdr:colOff>281940</xdr:colOff>
      <xdr:row>1</xdr:row>
      <xdr:rowOff>11430</xdr:rowOff>
    </xdr:from>
    <xdr:to>
      <xdr:col>16</xdr:col>
      <xdr:colOff>295275</xdr:colOff>
      <xdr:row>21</xdr:row>
      <xdr:rowOff>171958</xdr:rowOff>
    </xdr:to>
    <xdr:pic>
      <xdr:nvPicPr>
        <xdr:cNvPr id="6" name="Graphic 5">
          <a:extLst>
            <a:ext uri="{FF2B5EF4-FFF2-40B4-BE49-F238E27FC236}">
              <a16:creationId xmlns:a16="http://schemas.microsoft.com/office/drawing/2014/main" id="{4C28A467-06EB-D1C7-1EF9-71E43DBFD6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97140" y="192405"/>
          <a:ext cx="2451735" cy="37800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66675</xdr:rowOff>
    </xdr:from>
    <xdr:to>
      <xdr:col>1</xdr:col>
      <xdr:colOff>4815840</xdr:colOff>
      <xdr:row>26</xdr:row>
      <xdr:rowOff>68580</xdr:rowOff>
    </xdr:to>
    <xdr:pic>
      <xdr:nvPicPr>
        <xdr:cNvPr id="2" name="Picture 1">
          <a:extLst>
            <a:ext uri="{FF2B5EF4-FFF2-40B4-BE49-F238E27FC236}">
              <a16:creationId xmlns:a16="http://schemas.microsoft.com/office/drawing/2014/main" id="{5A3373CE-6743-4848-8F3B-3AA8041798DE}"/>
            </a:ext>
          </a:extLst>
        </xdr:cNvPr>
        <xdr:cNvPicPr>
          <a:picLocks noChangeAspect="1"/>
        </xdr:cNvPicPr>
      </xdr:nvPicPr>
      <xdr:blipFill>
        <a:blip xmlns:r="http://schemas.openxmlformats.org/officeDocument/2006/relationships" r:embed="rId1"/>
        <a:stretch>
          <a:fillRect/>
        </a:stretch>
      </xdr:blipFill>
      <xdr:spPr>
        <a:xfrm>
          <a:off x="609600" y="245745"/>
          <a:ext cx="4815840" cy="457390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CCC295-FA85-4FED-8FB0-483E298BD63F}" name="Countries" displayName="Countries" ref="A1:C49" totalsRowShown="0">
  <autoFilter ref="A1:C49" xr:uid="{78CCC295-FA85-4FED-8FB0-483E298BD63F}"/>
  <sortState xmlns:xlrd2="http://schemas.microsoft.com/office/spreadsheetml/2017/richdata2" ref="A2:C49">
    <sortCondition ref="B1:B49"/>
  </sortState>
  <tableColumns count="3">
    <tableColumn id="1" xr3:uid="{34FCF5D5-0A32-4FFC-9E88-E6E7DB80CEB6}" name="Country"/>
    <tableColumn id="2" xr3:uid="{2374AD66-F9B7-4907-BD26-52CDBB0EFAD1}" name="Group" dataDxfId="35"/>
    <tableColumn id="3" xr3:uid="{AA05DC3F-C229-4504-B470-C22FA6D0E8F5}" name="FIFA Ranking" dataDxfId="3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858895-D093-4119-A3F6-43F657CA833F}" name="England" displayName="England" ref="A3:C29" totalsRowShown="0" headerRowBorderDxfId="33" tableBorderDxfId="32">
  <autoFilter ref="A3:C29" xr:uid="{FC858895-D093-4119-A3F6-43F657CA833F}"/>
  <tableColumns count="3">
    <tableColumn id="1" xr3:uid="{315A1F22-2139-4A0C-B18D-328459A8162D}" name="Shirt Number"/>
    <tableColumn id="2" xr3:uid="{CD5A2037-5BB0-4CFF-A731-23C08D6A4471}" name="Player Name"/>
    <tableColumn id="3" xr3:uid="{8D76EE57-B201-4DCA-95B1-084104B68F0D}" name="Positio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09BBD8-AD53-451F-9E5D-06271E50664C}" name="Table2" displayName="Table2" ref="A1:F105" totalsRowShown="0" headerRowDxfId="31">
  <autoFilter ref="A1:F105" xr:uid="{9609BBD8-AD53-451F-9E5D-06271E50664C}"/>
  <sortState xmlns:xlrd2="http://schemas.microsoft.com/office/spreadsheetml/2017/richdata2" ref="A2:N105">
    <sortCondition ref="A1:A105"/>
  </sortState>
  <tableColumns count="6">
    <tableColumn id="1" xr3:uid="{78CB3271-502D-4B1D-B167-270DCE7ACE98}" name="GameID"/>
    <tableColumn id="2" xr3:uid="{63FB2144-E90A-47B8-860C-C295E97ED16C}" name="Date Time (GMT)" dataDxfId="30"/>
    <tableColumn id="3" xr3:uid="{0E7E0D04-13BD-447C-90B9-C3662B723B01}" name="Group/Stage" dataDxfId="29"/>
    <tableColumn id="4" xr3:uid="{F82211D0-25CD-43AE-8F3C-965488F40966}" name="Team1" dataDxfId="28"/>
    <tableColumn id="5" xr3:uid="{106E80E9-21B4-4291-9973-706721A3E17A}" name="Team2" dataDxfId="27"/>
    <tableColumn id="6" xr3:uid="{ACEFC9CC-5FE5-4384-BFB2-A5A4D010FC51}" name="Stadium" dataDxfId="2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0402D2-ABFA-4355-B9BF-C81B61099FC9}" name="Benchmark" displayName="Benchmark" ref="A1:J105" totalsRowShown="0" headerRowDxfId="25">
  <autoFilter ref="A1:J105" xr:uid="{4E6E6FCA-A3F6-4F60-9F6E-EF91CA27F865}"/>
  <tableColumns count="10">
    <tableColumn id="1" xr3:uid="{03E639C7-0A98-4E81-8918-A87D2E549A6B}" name="GameID">
      <calculatedColumnFormula>Fixtures!A2</calculatedColumnFormula>
    </tableColumn>
    <tableColumn id="2" xr3:uid="{F267EB4D-F7A2-4325-B460-277706056FF4}" name="Date Time (GMT)" dataDxfId="24">
      <calculatedColumnFormula>Fixtures!B2</calculatedColumnFormula>
    </tableColumn>
    <tableColumn id="3" xr3:uid="{6E034BDD-8FEC-4A67-8541-3AAA79514C5E}" name="Group/Stage" dataDxfId="23">
      <calculatedColumnFormula>Fixtures!C2</calculatedColumnFormula>
    </tableColumn>
    <tableColumn id="4" xr3:uid="{BEECCD7C-EACA-4FE6-974C-39B9B426FFB3}" name="Team1" dataDxfId="22">
      <calculatedColumnFormula>Fixtures!D2</calculatedColumnFormula>
    </tableColumn>
    <tableColumn id="5" xr3:uid="{170656E4-BA6D-48ED-AA80-D37ED3ADD89E}" name="Score1" dataDxfId="21">
      <calculatedColumnFormula>IF((_xlfn.XLOOKUP(Benchmark[[#This Row],[Team1]],Countries[Country],Countries[FIFA Ranking],,0)&lt;(_xlfn.XLOOKUP(Benchmark[[#This Row],[Team2]],Countries[Country],Countries[FIFA Ranking],,0))),1,0)</calculatedColumnFormula>
    </tableColumn>
    <tableColumn id="6" xr3:uid="{7F75D6E4-6F54-4855-A490-8033367EFB07}" name="Score2" dataDxfId="20">
      <calculatedColumnFormula>IF((_xlfn.XLOOKUP(Benchmark[[#This Row],[Team1]],Countries[Country],Countries[FIFA Ranking],,0)&gt;(_xlfn.XLOOKUP(Benchmark[[#This Row],[Team2]],Countries[Country],Countries[FIFA Ranking],,0))),1,0)</calculatedColumnFormula>
    </tableColumn>
    <tableColumn id="7" xr3:uid="{BF15AE39-42D7-4030-BCC1-8FAD8166A6E5}" name="Team2" dataDxfId="19">
      <calculatedColumnFormula>Fixtures!E2</calculatedColumnFormula>
    </tableColumn>
    <tableColumn id="8" xr3:uid="{179C2A65-4ADE-4332-9982-26507F896935}" name="Stadium" dataDxfId="18">
      <calculatedColumnFormula>Fixtures!F2</calculatedColumnFormula>
    </tableColumn>
    <tableColumn id="9" xr3:uid="{C2F98E2A-0A62-479F-9B2E-371F01BC64BC}" name="Blank" dataDxfId="17"/>
    <tableColumn id="10" xr3:uid="{454A94C2-DAF2-43DD-8D92-DB644938E9F7}" name="Points" dataDxfId="16">
      <calculatedColumnFormula array="1">_xlfn.IFS(OR(ISBLANK('Results'!E2),ISBLANK('Results'!F2)),0,OR(ISBLANK(E2),ISBLANK(F2)),0,AND(E2='Results'!E2,F2='Results'!F2),Rules!$K$29,_xlfn.XOR(AND(E2&gt;F2,'Results'!E2&gt;'Results'!F2),AND(E2&lt;F2,'Results'!E2&lt;'Results'!F2),AND(E2=F2,'Results'!E2='Results'!F2)),Rules!$K$30,TRUE,0)</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6E6FCA-A3F6-4F60-9F6E-EF91CA27F865}" name="Demo" displayName="Demo" ref="A1:J105" totalsRowShown="0" headerRowDxfId="15">
  <autoFilter ref="A1:J105" xr:uid="{4E6E6FCA-A3F6-4F60-9F6E-EF91CA27F865}"/>
  <tableColumns count="10">
    <tableColumn id="1" xr3:uid="{34EB17E8-35DB-469E-83FA-C627431362E4}" name="GameID">
      <calculatedColumnFormula>Fixtures!A2</calculatedColumnFormula>
    </tableColumn>
    <tableColumn id="2" xr3:uid="{D870BA7D-AA70-4715-9083-D133BA89F6F0}" name="Date Time (GMT)" dataDxfId="14">
      <calculatedColumnFormula>Fixtures!B2</calculatedColumnFormula>
    </tableColumn>
    <tableColumn id="3" xr3:uid="{AC5FC918-BD0B-443F-84A5-2151356FDD7F}" name="Group/Stage" dataDxfId="13">
      <calculatedColumnFormula>Fixtures!C2</calculatedColumnFormula>
    </tableColumn>
    <tableColumn id="4" xr3:uid="{8E0F2FDD-EFD6-4C8C-91F6-FA999DC1F586}" name="Team1" dataDxfId="12">
      <calculatedColumnFormula>Fixtures!D2</calculatedColumnFormula>
    </tableColumn>
    <tableColumn id="5" xr3:uid="{B96A3FCA-9A00-4A79-BACC-72CB4E692622}" name="Score1"/>
    <tableColumn id="6" xr3:uid="{80C42B7D-1662-43C9-BF0A-5EE6825409D9}" name="Score2"/>
    <tableColumn id="7" xr3:uid="{51DF744A-8705-4F7F-BD72-0FD861866AE0}" name="Team2" dataDxfId="11">
      <calculatedColumnFormula>Fixtures!E2</calculatedColumnFormula>
    </tableColumn>
    <tableColumn id="8" xr3:uid="{05C4602E-2A90-40B1-A75D-913A36E26383}" name="Stadium" dataDxfId="10">
      <calculatedColumnFormula>Fixtures!F2</calculatedColumnFormula>
    </tableColumn>
    <tableColumn id="9" xr3:uid="{C998F0FB-2930-4F4D-BC73-C6B371B415F5}" name="Blank" dataDxfId="9"/>
    <tableColumn id="10" xr3:uid="{11741A2B-116E-4C17-B6D8-7EC765A0A922}" name="Points" dataDxfId="8">
      <calculatedColumnFormula array="1">_xlfn.IFS(OR(ISBLANK('Results'!E2),ISBLANK('Results'!F2)),0,OR(ISBLANK(E2),ISBLANK(F2)),0,AND(E2='Results'!E2,F2='Results'!F2),Rules!$K$29,_xlfn.XOR(AND(E2&gt;F2,'Results'!E2&gt;'Results'!F2),AND(E2&lt;F2,'Results'!E2&lt;'Results'!F2),AND(E2=F2,'Results'!E2='Results'!F2)),Rules!$K$30,TRUE,0)</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2068FE2-F315-49DA-9DF6-7E09D0D47712}" name="Results" displayName="Results" ref="A1:H105" totalsRowShown="0" headerRowDxfId="7">
  <autoFilter ref="A1:H105" xr:uid="{C2068FE2-F315-49DA-9DF6-7E09D0D47712}"/>
  <tableColumns count="8">
    <tableColumn id="1" xr3:uid="{7B53271E-FAD3-48C8-928B-97128B365E52}" name="GameID">
      <calculatedColumnFormula>Fixtures!A2</calculatedColumnFormula>
    </tableColumn>
    <tableColumn id="2" xr3:uid="{30810131-5D7E-4E9D-927C-81BED28AF1E1}" name="Date Time (GMT)" dataDxfId="6">
      <calculatedColumnFormula>Fixtures!B2</calculatedColumnFormula>
    </tableColumn>
    <tableColumn id="3" xr3:uid="{18789E89-E446-4EBB-AD19-1F75770B22A0}" name="Group/Stage" dataDxfId="5">
      <calculatedColumnFormula>Fixtures!C2</calculatedColumnFormula>
    </tableColumn>
    <tableColumn id="4" xr3:uid="{100E556B-AEF3-475E-A62C-D32DE36FC098}" name="Team1" dataDxfId="4">
      <calculatedColumnFormula>Fixtures!D2</calculatedColumnFormula>
    </tableColumn>
    <tableColumn id="5" xr3:uid="{B6D24166-74AF-4E7C-A97A-EC713349FC43}" name="Score1"/>
    <tableColumn id="6" xr3:uid="{E33AA58F-B6A0-4028-A261-3C1EBC7C013A}" name="Score2"/>
    <tableColumn id="7" xr3:uid="{2B3897CC-7934-4712-B180-1878989E99DC}" name="Team2" dataDxfId="3">
      <calculatedColumnFormula>Fixtures!E2</calculatedColumnFormula>
    </tableColumn>
    <tableColumn id="8" xr3:uid="{2465A1BA-B859-47F5-9F67-0D6C0DD4B8AF}" name="Winer (90+)" dataDxfId="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952B472-BA99-4269-9D4E-D27A6AD5DC83}" name="Table7" displayName="Table7" ref="C4:K6" totalsRowShown="0" headerRowDxfId="42">
  <autoFilter ref="C4:K6" xr:uid="{1952B472-BA99-4269-9D4E-D27A6AD5DC83}"/>
  <sortState xmlns:xlrd2="http://schemas.microsoft.com/office/spreadsheetml/2017/richdata2" ref="C5:K6">
    <sortCondition descending="1" ref="J4:J6"/>
  </sortState>
  <tableColumns count="9">
    <tableColumn id="1" xr3:uid="{40D41F12-7B66-417B-A6CB-2BB1F37F89E7}" name="Name"/>
    <tableColumn id="2" xr3:uid="{461F3B23-9854-4F73-BADD-B92B8AD09F34}" name="Group_x000a_results" dataDxfId="41">
      <calculatedColumnFormula array="1">SUMPRODUCT(IFERROR(INDIRECT(C5&amp;"[Points]"),0)*--ISNUMBER(SEARCH("Group",INDIRECT(C5&amp;"[Group/Stage]"))))</calculatedColumnFormula>
    </tableColumn>
    <tableColumn id="3" xr3:uid="{5FA0682A-858C-4AA1-8183-BD707FC7A106}" name="Group _x000a_Winners" dataDxfId="40">
      <calculatedColumnFormula>SUM(INDIRECT(B5&amp;"!N6:N17"))</calculatedColumnFormula>
    </tableColumn>
    <tableColumn id="4" xr3:uid="{3674CD3F-9B39-4C1F-B35C-6366B18ED6C2}" name="Goal_x000a_Scorers" dataDxfId="39">
      <calculatedColumnFormula>SUM(INDIRECT(C5&amp;"!N27:N36"))</calculatedColumnFormula>
    </tableColumn>
    <tableColumn id="5" xr3:uid="{CF6950B7-7668-4D0A-AB5D-2EFA397F7FE5}" name="Knock out_x000a_Scores" dataDxfId="38">
      <calculatedColumnFormula array="1">SUMPRODUCT(IFERROR(INDIRECT(C5&amp;"[Points]"),0)*--NOT(ISNUMBER(SEARCH("Group",INDIRECT(C5&amp;"[Group/Stage]")))))</calculatedColumnFormula>
    </tableColumn>
    <tableColumn id="6" xr3:uid="{9994C979-4665-4358-B77E-492A86CA618B}" name="Finalists" dataDxfId="37">
      <calculatedColumnFormula>SUM(INDIRECT(C5&amp;"!N20:N21"))</calculatedColumnFormula>
    </tableColumn>
    <tableColumn id="9" xr3:uid="{789C7563-072A-4225-81DB-03A719AF8EEA}" name="Overall Winner" dataDxfId="36">
      <calculatedColumnFormula array="1">INDIRECT(C5&amp;"!N24")</calculatedColumnFormula>
    </tableColumn>
    <tableColumn id="7" xr3:uid="{4186961D-0842-44BB-BB6D-716D75171486}" name="Total">
      <calculatedColumnFormula>SUM(D5:I5)</calculatedColumnFormula>
    </tableColumn>
    <tableColumn id="8" xr3:uid="{EABFC3F0-0E20-4314-B75A-0109C6622F2D}" name="point _x000a_scoring_x000a_matches">
      <calculatedColumnFormula array="1">SUMPRODUCT(--(IFERROR(INDIRECT(C5&amp;"[Points]"),0)&gt;0))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fifa.com/en/tournaments/mens/worldcup/canadamexicousa2026/articles/groups-how-teams-qualify-tie-breakers" TargetMode="External"/><Relationship Id="rId2" Type="http://schemas.openxmlformats.org/officeDocument/2006/relationships/hyperlink" Target="https://en.wikipedia.org/wiki/2026_FIFA_World_Cup" TargetMode="External"/><Relationship Id="rId1" Type="http://schemas.openxmlformats.org/officeDocument/2006/relationships/hyperlink" Target="https://inside.fifa.com/fifa-world-ranking/me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7A19A-4470-468D-A9B6-88FFDE568415}">
  <sheetPr>
    <pageSetUpPr fitToPage="1"/>
  </sheetPr>
  <dimension ref="B24:L46"/>
  <sheetViews>
    <sheetView zoomScaleNormal="100" workbookViewId="0">
      <selection activeCell="R14" sqref="R14"/>
    </sheetView>
  </sheetViews>
  <sheetFormatPr defaultRowHeight="14.4"/>
  <sheetData>
    <row r="24" spans="2:12">
      <c r="B24" s="60" t="s">
        <v>179</v>
      </c>
      <c r="C24" s="60"/>
      <c r="D24" s="60"/>
      <c r="E24" s="60"/>
      <c r="F24" s="60"/>
      <c r="G24" s="60"/>
      <c r="H24" s="60"/>
      <c r="I24" s="60"/>
      <c r="J24" s="60"/>
      <c r="K24" s="60"/>
      <c r="L24" s="60"/>
    </row>
    <row r="25" spans="2:12">
      <c r="B25" s="61" t="s">
        <v>191</v>
      </c>
      <c r="C25" s="61"/>
      <c r="D25" s="61"/>
      <c r="E25" s="61"/>
      <c r="F25" s="61"/>
      <c r="G25" s="61"/>
      <c r="H25" s="61"/>
      <c r="I25" s="61"/>
      <c r="J25" s="61"/>
      <c r="K25" s="61"/>
      <c r="L25" s="61"/>
    </row>
    <row r="26" spans="2:12">
      <c r="B26" s="61"/>
      <c r="C26" s="61"/>
      <c r="D26" s="61"/>
      <c r="E26" s="61"/>
      <c r="F26" s="61"/>
      <c r="G26" s="61"/>
      <c r="H26" s="61"/>
      <c r="I26" s="61"/>
      <c r="J26" s="61"/>
      <c r="K26" s="61"/>
      <c r="L26" s="61"/>
    </row>
    <row r="27" spans="2:12">
      <c r="B27" s="35"/>
      <c r="C27" s="35"/>
      <c r="D27" s="35"/>
      <c r="E27" s="35"/>
      <c r="F27" s="35"/>
      <c r="G27" s="35"/>
      <c r="H27" s="35"/>
      <c r="I27" s="35"/>
      <c r="J27" s="35"/>
      <c r="K27" s="35"/>
      <c r="L27" s="35"/>
    </row>
    <row r="28" spans="2:12">
      <c r="B28" s="62" t="s">
        <v>181</v>
      </c>
      <c r="C28" s="63"/>
      <c r="D28" s="62" t="s">
        <v>180</v>
      </c>
      <c r="E28" s="66"/>
      <c r="F28" s="66"/>
      <c r="G28" s="66"/>
      <c r="H28" s="66"/>
      <c r="I28" s="66"/>
      <c r="J28" s="63"/>
      <c r="K28" s="62" t="s">
        <v>69</v>
      </c>
      <c r="L28" s="63"/>
    </row>
    <row r="29" spans="2:12">
      <c r="B29" s="64" t="s">
        <v>182</v>
      </c>
      <c r="C29" s="65"/>
      <c r="D29" s="64" t="s">
        <v>186</v>
      </c>
      <c r="E29" s="67"/>
      <c r="F29" s="67"/>
      <c r="G29" s="67"/>
      <c r="H29" s="67"/>
      <c r="I29" s="67"/>
      <c r="J29" s="65"/>
      <c r="K29" s="64">
        <v>5</v>
      </c>
      <c r="L29" s="65"/>
    </row>
    <row r="30" spans="2:12">
      <c r="B30" s="64" t="s">
        <v>183</v>
      </c>
      <c r="C30" s="65"/>
      <c r="D30" s="68" t="s">
        <v>185</v>
      </c>
      <c r="E30" s="69"/>
      <c r="F30" s="69"/>
      <c r="G30" s="69"/>
      <c r="H30" s="69"/>
      <c r="I30" s="69"/>
      <c r="J30" s="70"/>
      <c r="K30" s="64">
        <v>2</v>
      </c>
      <c r="L30" s="65"/>
    </row>
    <row r="31" spans="2:12">
      <c r="B31" s="64" t="s">
        <v>187</v>
      </c>
      <c r="C31" s="65"/>
      <c r="D31" s="68" t="s">
        <v>194</v>
      </c>
      <c r="E31" s="69"/>
      <c r="F31" s="69"/>
      <c r="G31" s="69"/>
      <c r="H31" s="69"/>
      <c r="I31" s="69"/>
      <c r="J31" s="70"/>
      <c r="K31" s="64">
        <v>0</v>
      </c>
      <c r="L31" s="65"/>
    </row>
    <row r="32" spans="2:12">
      <c r="B32" s="6"/>
      <c r="C32" s="6"/>
      <c r="D32" s="6"/>
      <c r="E32" s="33"/>
      <c r="F32" s="33"/>
      <c r="G32" s="33"/>
      <c r="H32" s="33"/>
      <c r="I32" s="33"/>
      <c r="J32" s="33"/>
      <c r="K32" s="6"/>
      <c r="L32" s="6"/>
    </row>
    <row r="33" spans="2:12">
      <c r="B33" s="6"/>
      <c r="C33" s="6"/>
      <c r="D33" s="6"/>
      <c r="E33" s="33"/>
      <c r="F33" s="33"/>
      <c r="G33" s="33"/>
      <c r="H33" s="33"/>
      <c r="I33" s="33"/>
      <c r="J33" s="33"/>
      <c r="K33" s="6"/>
      <c r="L33" s="6"/>
    </row>
    <row r="34" spans="2:12">
      <c r="B34" s="57" t="s">
        <v>184</v>
      </c>
      <c r="C34" s="57"/>
      <c r="D34" s="57"/>
      <c r="E34" s="57"/>
      <c r="F34" s="57"/>
      <c r="G34" s="57"/>
      <c r="H34" s="57"/>
      <c r="I34" s="57"/>
      <c r="J34" s="57"/>
      <c r="K34" s="57"/>
      <c r="L34" s="57"/>
    </row>
    <row r="35" spans="2:12">
      <c r="B35" s="58" t="s">
        <v>190</v>
      </c>
      <c r="C35" s="58"/>
      <c r="D35" s="58"/>
      <c r="E35" s="58"/>
      <c r="F35" s="58"/>
      <c r="G35" s="58"/>
      <c r="H35" s="58"/>
      <c r="I35" s="58"/>
      <c r="J35" s="58"/>
      <c r="K35" s="58"/>
      <c r="L35" s="58"/>
    </row>
    <row r="36" spans="2:12">
      <c r="B36" s="34"/>
      <c r="C36" s="34"/>
      <c r="D36" s="34"/>
      <c r="E36" s="34"/>
      <c r="F36" s="34"/>
      <c r="G36" s="34"/>
      <c r="H36" s="34"/>
      <c r="I36" s="34"/>
      <c r="J36" s="34"/>
      <c r="K36" s="34"/>
      <c r="L36" s="34"/>
    </row>
    <row r="37" spans="2:12">
      <c r="B37" s="59" t="s">
        <v>181</v>
      </c>
      <c r="C37" s="59"/>
      <c r="D37" s="59"/>
      <c r="E37" s="59" t="s">
        <v>180</v>
      </c>
      <c r="F37" s="59"/>
      <c r="G37" s="59"/>
      <c r="H37" s="59"/>
      <c r="I37" s="59"/>
      <c r="J37" s="59"/>
      <c r="K37" s="59" t="s">
        <v>69</v>
      </c>
      <c r="L37" s="59"/>
    </row>
    <row r="38" spans="2:12">
      <c r="B38" s="55" t="s">
        <v>188</v>
      </c>
      <c r="C38" s="55"/>
      <c r="D38" s="55"/>
      <c r="E38" s="55" t="s">
        <v>189</v>
      </c>
      <c r="F38" s="55"/>
      <c r="G38" s="55"/>
      <c r="H38" s="55"/>
      <c r="I38" s="55"/>
      <c r="J38" s="55"/>
      <c r="K38" s="55">
        <v>3</v>
      </c>
      <c r="L38" s="55"/>
    </row>
    <row r="39" spans="2:12">
      <c r="B39" s="55" t="s">
        <v>62</v>
      </c>
      <c r="C39" s="55"/>
      <c r="D39" s="55"/>
      <c r="E39" s="55" t="s">
        <v>192</v>
      </c>
      <c r="F39" s="55"/>
      <c r="G39" s="55"/>
      <c r="H39" s="55"/>
      <c r="I39" s="55"/>
      <c r="J39" s="55"/>
      <c r="K39" s="55">
        <v>5</v>
      </c>
      <c r="L39" s="55"/>
    </row>
    <row r="40" spans="2:12">
      <c r="B40" s="55" t="s">
        <v>65</v>
      </c>
      <c r="C40" s="55"/>
      <c r="D40" s="55"/>
      <c r="E40" s="55" t="s">
        <v>195</v>
      </c>
      <c r="F40" s="55"/>
      <c r="G40" s="55"/>
      <c r="H40" s="55"/>
      <c r="I40" s="55"/>
      <c r="J40" s="55"/>
      <c r="K40" s="55">
        <v>5</v>
      </c>
      <c r="L40" s="55"/>
    </row>
    <row r="41" spans="2:12">
      <c r="B41" s="56" t="s">
        <v>66</v>
      </c>
      <c r="C41" s="56"/>
      <c r="D41" s="56"/>
      <c r="E41" s="56" t="s">
        <v>193</v>
      </c>
      <c r="F41" s="56"/>
      <c r="G41" s="56"/>
      <c r="H41" s="56"/>
      <c r="I41" s="56"/>
      <c r="J41" s="56"/>
      <c r="K41" s="56">
        <v>5</v>
      </c>
      <c r="L41" s="56"/>
    </row>
    <row r="42" spans="2:12">
      <c r="B42" s="56"/>
      <c r="C42" s="56"/>
      <c r="D42" s="56"/>
      <c r="E42" s="56"/>
      <c r="F42" s="56"/>
      <c r="G42" s="56"/>
      <c r="H42" s="56"/>
      <c r="I42" s="56"/>
      <c r="J42" s="56"/>
      <c r="K42" s="56"/>
      <c r="L42" s="56"/>
    </row>
    <row r="43" spans="2:12">
      <c r="B43" s="56" t="s">
        <v>67</v>
      </c>
      <c r="C43" s="56"/>
      <c r="D43" s="56"/>
      <c r="E43" s="56" t="s">
        <v>196</v>
      </c>
      <c r="F43" s="56"/>
      <c r="G43" s="56"/>
      <c r="H43" s="56"/>
      <c r="I43" s="56"/>
      <c r="J43" s="56"/>
      <c r="K43" s="56">
        <v>3</v>
      </c>
      <c r="L43" s="56"/>
    </row>
    <row r="44" spans="2:12">
      <c r="B44" s="56"/>
      <c r="C44" s="56"/>
      <c r="D44" s="56"/>
      <c r="E44" s="56"/>
      <c r="F44" s="56"/>
      <c r="G44" s="56"/>
      <c r="H44" s="56"/>
      <c r="I44" s="56"/>
      <c r="J44" s="56"/>
      <c r="K44" s="56"/>
      <c r="L44" s="56"/>
    </row>
    <row r="45" spans="2:12">
      <c r="B45" s="56" t="s">
        <v>144</v>
      </c>
      <c r="C45" s="56"/>
      <c r="D45" s="56"/>
      <c r="E45" s="56" t="s">
        <v>197</v>
      </c>
      <c r="F45" s="56"/>
      <c r="G45" s="56"/>
      <c r="H45" s="56"/>
      <c r="I45" s="56"/>
      <c r="J45" s="56"/>
      <c r="K45" s="56">
        <v>3</v>
      </c>
      <c r="L45" s="56"/>
    </row>
    <row r="46" spans="2:12">
      <c r="B46" s="56"/>
      <c r="C46" s="56"/>
      <c r="D46" s="56"/>
      <c r="E46" s="56"/>
      <c r="F46" s="56"/>
      <c r="G46" s="56"/>
      <c r="H46" s="56"/>
      <c r="I46" s="56"/>
      <c r="J46" s="56"/>
      <c r="K46" s="56"/>
      <c r="L46" s="56"/>
    </row>
  </sheetData>
  <mergeCells count="37">
    <mergeCell ref="B24:L24"/>
    <mergeCell ref="B25:L26"/>
    <mergeCell ref="K28:L28"/>
    <mergeCell ref="K30:L30"/>
    <mergeCell ref="K31:L31"/>
    <mergeCell ref="D28:J28"/>
    <mergeCell ref="B29:C29"/>
    <mergeCell ref="B30:C30"/>
    <mergeCell ref="B31:C31"/>
    <mergeCell ref="D29:J29"/>
    <mergeCell ref="D30:J30"/>
    <mergeCell ref="D31:J31"/>
    <mergeCell ref="B28:C28"/>
    <mergeCell ref="K29:L29"/>
    <mergeCell ref="K45:L46"/>
    <mergeCell ref="K43:L44"/>
    <mergeCell ref="K41:L42"/>
    <mergeCell ref="K39:L39"/>
    <mergeCell ref="B34:L34"/>
    <mergeCell ref="B35:L35"/>
    <mergeCell ref="K38:L38"/>
    <mergeCell ref="K37:L37"/>
    <mergeCell ref="B37:D37"/>
    <mergeCell ref="B38:D38"/>
    <mergeCell ref="B40:D40"/>
    <mergeCell ref="E40:J40"/>
    <mergeCell ref="B39:D39"/>
    <mergeCell ref="E39:J39"/>
    <mergeCell ref="K40:L40"/>
    <mergeCell ref="E37:J37"/>
    <mergeCell ref="E38:J38"/>
    <mergeCell ref="E41:J42"/>
    <mergeCell ref="E43:J44"/>
    <mergeCell ref="E45:J46"/>
    <mergeCell ref="B45:D46"/>
    <mergeCell ref="B43:D44"/>
    <mergeCell ref="B41:D42"/>
  </mergeCells>
  <pageMargins left="0.23622047244094491" right="0.23622047244094491" top="0.74803149606299213" bottom="0.74803149606299213" header="0.31496062992125984" footer="0.31496062992125984"/>
  <pageSetup paperSize="9" fitToWidth="0" orientation="portrait" useFirstPageNumber="1"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69A50-AF4A-446E-B3DE-9AE072F9E3D5}">
  <dimension ref="B28:B56"/>
  <sheetViews>
    <sheetView workbookViewId="0">
      <selection activeCell="B19" sqref="B19"/>
    </sheetView>
  </sheetViews>
  <sheetFormatPr defaultRowHeight="14.4"/>
  <cols>
    <col min="2" max="2" width="91.109375" customWidth="1"/>
  </cols>
  <sheetData>
    <row r="28" spans="2:2">
      <c r="B28" s="46" t="s">
        <v>199</v>
      </c>
    </row>
    <row r="30" spans="2:2" ht="22.8">
      <c r="B30" s="41" t="s">
        <v>200</v>
      </c>
    </row>
    <row r="31" spans="2:2" ht="52.2">
      <c r="B31" s="43" t="s">
        <v>201</v>
      </c>
    </row>
    <row r="32" spans="2:2" ht="17.399999999999999">
      <c r="B32" s="45" t="s">
        <v>202</v>
      </c>
    </row>
    <row r="33" spans="2:2" ht="34.799999999999997">
      <c r="B33" s="43" t="s">
        <v>203</v>
      </c>
    </row>
    <row r="34" spans="2:2" ht="34.799999999999997">
      <c r="B34" s="43" t="s">
        <v>204</v>
      </c>
    </row>
    <row r="35" spans="2:2" ht="34.799999999999997">
      <c r="B35" s="43" t="s">
        <v>205</v>
      </c>
    </row>
    <row r="36" spans="2:2" ht="34.799999999999997">
      <c r="B36" s="43" t="s">
        <v>206</v>
      </c>
    </row>
    <row r="37" spans="2:2" ht="17.399999999999999">
      <c r="B37" s="45" t="s">
        <v>207</v>
      </c>
    </row>
    <row r="38" spans="2:2" ht="17.399999999999999">
      <c r="B38" s="43" t="s">
        <v>208</v>
      </c>
    </row>
    <row r="39" spans="2:2" ht="17.399999999999999">
      <c r="B39" s="43" t="s">
        <v>209</v>
      </c>
    </row>
    <row r="40" spans="2:2" ht="34.799999999999997">
      <c r="B40" s="43" t="s">
        <v>210</v>
      </c>
    </row>
    <row r="41" spans="2:2" ht="34.799999999999997">
      <c r="B41" s="43" t="s">
        <v>211</v>
      </c>
    </row>
    <row r="42" spans="2:2" ht="17.399999999999999">
      <c r="B42" s="45" t="s">
        <v>212</v>
      </c>
    </row>
    <row r="43" spans="2:2" ht="28.8">
      <c r="B43" s="44" t="s">
        <v>213</v>
      </c>
    </row>
    <row r="44" spans="2:2">
      <c r="B44" s="1"/>
    </row>
    <row r="45" spans="2:2">
      <c r="B45" s="1"/>
    </row>
    <row r="46" spans="2:2">
      <c r="B46" s="1"/>
    </row>
    <row r="48" spans="2:2" ht="45.6">
      <c r="B48" s="41" t="s">
        <v>214</v>
      </c>
    </row>
    <row r="49" spans="2:2" ht="17.399999999999999">
      <c r="B49" s="42" t="s">
        <v>215</v>
      </c>
    </row>
    <row r="50" spans="2:2" ht="17.399999999999999">
      <c r="B50" s="43" t="s">
        <v>216</v>
      </c>
    </row>
    <row r="51" spans="2:2" ht="17.399999999999999">
      <c r="B51" s="43" t="s">
        <v>217</v>
      </c>
    </row>
    <row r="52" spans="2:2" ht="17.399999999999999">
      <c r="B52" s="43" t="s">
        <v>209</v>
      </c>
    </row>
    <row r="53" spans="2:2" ht="34.799999999999997">
      <c r="B53" s="43" t="s">
        <v>218</v>
      </c>
    </row>
    <row r="54" spans="2:2">
      <c r="B54" s="44"/>
    </row>
    <row r="56" spans="2:2">
      <c r="B56" s="46" t="s">
        <v>219</v>
      </c>
    </row>
  </sheetData>
  <hyperlinks>
    <hyperlink ref="B43" r:id="rId1" xr:uid="{7C34E4D8-C69B-4110-9D75-397B55063545}"/>
    <hyperlink ref="B28" r:id="rId2" xr:uid="{DD06177A-B021-42A1-B42E-80B398FDFD79}"/>
    <hyperlink ref="B56" r:id="rId3" xr:uid="{8825D2AA-A4EB-4719-A064-F2096EEF80A4}"/>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AFDA7-222E-407D-8D38-1C6A84505A42}">
  <dimension ref="A1:F65"/>
  <sheetViews>
    <sheetView workbookViewId="0">
      <pane ySplit="1" topLeftCell="A2" activePane="bottomLeft" state="frozen"/>
      <selection pane="bottomLeft" activeCell="D17" sqref="D17"/>
    </sheetView>
  </sheetViews>
  <sheetFormatPr defaultColWidth="9" defaultRowHeight="14.4"/>
  <cols>
    <col min="1" max="1" width="20.5546875" bestFit="1" customWidth="1"/>
    <col min="2" max="2" width="12" style="6" bestFit="1" customWidth="1"/>
    <col min="3" max="3" width="19.21875" style="6" bestFit="1" customWidth="1"/>
    <col min="5" max="5" width="6" bestFit="1" customWidth="1"/>
    <col min="6" max="6" width="5.88671875" bestFit="1" customWidth="1"/>
  </cols>
  <sheetData>
    <row r="1" spans="1:6" ht="18">
      <c r="A1" s="20" t="s">
        <v>0</v>
      </c>
      <c r="B1" s="21" t="s">
        <v>1</v>
      </c>
      <c r="C1" s="21" t="s">
        <v>142</v>
      </c>
    </row>
    <row r="2" spans="1:6">
      <c r="A2" t="s">
        <v>31</v>
      </c>
      <c r="B2" s="6" t="s">
        <v>7</v>
      </c>
      <c r="C2" s="6">
        <v>14</v>
      </c>
      <c r="E2" s="71" t="s">
        <v>147</v>
      </c>
      <c r="F2" s="72"/>
    </row>
    <row r="3" spans="1:6">
      <c r="A3" t="s">
        <v>256</v>
      </c>
      <c r="B3" s="6" t="s">
        <v>7</v>
      </c>
      <c r="C3" s="6">
        <v>25</v>
      </c>
      <c r="E3" s="17" t="s">
        <v>1</v>
      </c>
      <c r="F3" s="30" t="s">
        <v>148</v>
      </c>
    </row>
    <row r="4" spans="1:6">
      <c r="A4" t="s">
        <v>43</v>
      </c>
      <c r="B4" s="6" t="s">
        <v>7</v>
      </c>
      <c r="C4" s="6">
        <v>60</v>
      </c>
      <c r="E4" s="15" t="s">
        <v>7</v>
      </c>
      <c r="F4" s="13">
        <f t="shared" ref="F4:F15" si="0">COUNTIF(B:B,E4)</f>
        <v>4</v>
      </c>
    </row>
    <row r="5" spans="1:6">
      <c r="A5" t="s">
        <v>224</v>
      </c>
      <c r="B5" s="6" t="s">
        <v>7</v>
      </c>
      <c r="C5" s="6">
        <v>40</v>
      </c>
      <c r="E5" s="16" t="s">
        <v>8</v>
      </c>
      <c r="F5" s="13">
        <f t="shared" si="0"/>
        <v>4</v>
      </c>
    </row>
    <row r="6" spans="1:6">
      <c r="A6" t="s">
        <v>45</v>
      </c>
      <c r="B6" s="6" t="s">
        <v>8</v>
      </c>
      <c r="C6" s="6">
        <v>19</v>
      </c>
      <c r="E6" s="16" t="s">
        <v>10</v>
      </c>
      <c r="F6" s="13">
        <f t="shared" si="0"/>
        <v>4</v>
      </c>
    </row>
    <row r="7" spans="1:6">
      <c r="A7" t="s">
        <v>12</v>
      </c>
      <c r="B7" s="6" t="s">
        <v>8</v>
      </c>
      <c r="C7" s="6">
        <v>30</v>
      </c>
      <c r="E7" s="16" t="s">
        <v>6</v>
      </c>
      <c r="F7" s="13">
        <f t="shared" si="0"/>
        <v>4</v>
      </c>
    </row>
    <row r="8" spans="1:6">
      <c r="A8" t="s">
        <v>39</v>
      </c>
      <c r="B8" s="6" t="s">
        <v>8</v>
      </c>
      <c r="C8" s="6">
        <v>56</v>
      </c>
      <c r="E8" s="16" t="s">
        <v>13</v>
      </c>
      <c r="F8" s="13">
        <f t="shared" si="0"/>
        <v>4</v>
      </c>
    </row>
    <row r="9" spans="1:6">
      <c r="A9" t="s">
        <v>82</v>
      </c>
      <c r="B9" s="6" t="s">
        <v>8</v>
      </c>
      <c r="C9" s="6">
        <v>64</v>
      </c>
      <c r="E9" s="16" t="s">
        <v>15</v>
      </c>
      <c r="F9" s="13">
        <f t="shared" si="0"/>
        <v>4</v>
      </c>
    </row>
    <row r="10" spans="1:6">
      <c r="A10" t="s">
        <v>11</v>
      </c>
      <c r="B10" s="6" t="s">
        <v>10</v>
      </c>
      <c r="C10" s="6">
        <v>6</v>
      </c>
      <c r="E10" s="16" t="s">
        <v>9</v>
      </c>
      <c r="F10" s="13">
        <f t="shared" si="0"/>
        <v>4</v>
      </c>
    </row>
    <row r="11" spans="1:6">
      <c r="A11" t="s">
        <v>32</v>
      </c>
      <c r="B11" s="6" t="s">
        <v>10</v>
      </c>
      <c r="C11" s="6">
        <v>7</v>
      </c>
      <c r="E11" s="16" t="s">
        <v>14</v>
      </c>
      <c r="F11" s="13">
        <f t="shared" si="0"/>
        <v>4</v>
      </c>
    </row>
    <row r="12" spans="1:6">
      <c r="A12" t="s">
        <v>41</v>
      </c>
      <c r="B12" s="6" t="s">
        <v>10</v>
      </c>
      <c r="C12" s="6">
        <v>42</v>
      </c>
      <c r="E12" s="16" t="s">
        <v>21</v>
      </c>
      <c r="F12" s="13">
        <f t="shared" si="0"/>
        <v>4</v>
      </c>
    </row>
    <row r="13" spans="1:6">
      <c r="A13" t="s">
        <v>28</v>
      </c>
      <c r="B13" s="6" t="s">
        <v>10</v>
      </c>
      <c r="C13" s="6">
        <v>83</v>
      </c>
      <c r="E13" s="16" t="s">
        <v>3</v>
      </c>
      <c r="F13" s="13">
        <f t="shared" si="0"/>
        <v>4</v>
      </c>
    </row>
    <row r="14" spans="1:6">
      <c r="A14" t="s">
        <v>137</v>
      </c>
      <c r="B14" s="6" t="s">
        <v>6</v>
      </c>
      <c r="C14" s="6">
        <v>22</v>
      </c>
      <c r="E14" s="16" t="s">
        <v>17</v>
      </c>
      <c r="F14" s="13">
        <f t="shared" si="0"/>
        <v>4</v>
      </c>
    </row>
    <row r="15" spans="1:6">
      <c r="A15" t="s">
        <v>5</v>
      </c>
      <c r="B15" s="6" t="s">
        <v>6</v>
      </c>
      <c r="C15" s="6">
        <v>27</v>
      </c>
      <c r="E15" s="17" t="s">
        <v>19</v>
      </c>
      <c r="F15" s="14">
        <f t="shared" si="0"/>
        <v>4</v>
      </c>
    </row>
    <row r="16" spans="1:6">
      <c r="A16" t="s">
        <v>37</v>
      </c>
      <c r="B16" s="6" t="s">
        <v>6</v>
      </c>
      <c r="C16" s="6">
        <v>41</v>
      </c>
    </row>
    <row r="17" spans="1:3">
      <c r="A17" t="s">
        <v>48</v>
      </c>
      <c r="B17" s="6" t="s">
        <v>6</v>
      </c>
      <c r="C17" s="6">
        <v>17</v>
      </c>
    </row>
    <row r="18" spans="1:3">
      <c r="A18" t="s">
        <v>26</v>
      </c>
      <c r="B18" s="6" t="s">
        <v>13</v>
      </c>
      <c r="C18" s="6">
        <v>10</v>
      </c>
    </row>
    <row r="19" spans="1:3">
      <c r="A19" t="s">
        <v>24</v>
      </c>
      <c r="B19" s="6" t="s">
        <v>13</v>
      </c>
      <c r="C19" s="6">
        <v>23</v>
      </c>
    </row>
    <row r="20" spans="1:3">
      <c r="A20" t="s">
        <v>258</v>
      </c>
      <c r="B20" s="6" t="s">
        <v>13</v>
      </c>
      <c r="C20" s="6">
        <v>33</v>
      </c>
    </row>
    <row r="21" spans="1:3">
      <c r="A21" t="s">
        <v>20</v>
      </c>
      <c r="B21" s="6" t="s">
        <v>13</v>
      </c>
      <c r="C21" s="6">
        <v>82</v>
      </c>
    </row>
    <row r="22" spans="1:3">
      <c r="A22" t="s">
        <v>33</v>
      </c>
      <c r="B22" s="6" t="s">
        <v>15</v>
      </c>
      <c r="C22" s="6">
        <v>8</v>
      </c>
    </row>
    <row r="23" spans="1:3">
      <c r="A23" t="s">
        <v>29</v>
      </c>
      <c r="B23" s="6" t="s">
        <v>15</v>
      </c>
      <c r="C23" s="6">
        <v>18</v>
      </c>
    </row>
    <row r="24" spans="1:3">
      <c r="A24" t="s">
        <v>96</v>
      </c>
      <c r="B24" s="6" t="s">
        <v>15</v>
      </c>
      <c r="C24" s="6">
        <v>38</v>
      </c>
    </row>
    <row r="25" spans="1:3">
      <c r="A25" t="s">
        <v>46</v>
      </c>
      <c r="B25" s="6" t="s">
        <v>15</v>
      </c>
      <c r="C25" s="6">
        <v>45</v>
      </c>
    </row>
    <row r="26" spans="1:3">
      <c r="A26" t="s">
        <v>101</v>
      </c>
      <c r="B26" s="6" t="s">
        <v>9</v>
      </c>
      <c r="C26" s="6">
        <v>9</v>
      </c>
    </row>
    <row r="27" spans="1:3">
      <c r="A27" t="s">
        <v>259</v>
      </c>
      <c r="B27" s="6" t="s">
        <v>9</v>
      </c>
      <c r="C27" s="6">
        <v>20</v>
      </c>
    </row>
    <row r="28" spans="1:3">
      <c r="A28" t="s">
        <v>22</v>
      </c>
      <c r="B28" s="6" t="s">
        <v>9</v>
      </c>
      <c r="C28" s="6">
        <v>29</v>
      </c>
    </row>
    <row r="29" spans="1:3">
      <c r="A29" t="s">
        <v>34</v>
      </c>
      <c r="B29" s="6" t="s">
        <v>9</v>
      </c>
      <c r="C29" s="6">
        <v>85</v>
      </c>
    </row>
    <row r="30" spans="1:3">
      <c r="A30" t="s">
        <v>47</v>
      </c>
      <c r="B30" s="6" t="s">
        <v>14</v>
      </c>
      <c r="C30" s="6">
        <v>16</v>
      </c>
    </row>
    <row r="31" spans="1:3">
      <c r="A31" t="s">
        <v>44</v>
      </c>
      <c r="B31" s="6" t="s">
        <v>14</v>
      </c>
      <c r="C31" s="6">
        <v>2</v>
      </c>
    </row>
    <row r="32" spans="1:3">
      <c r="A32" t="s">
        <v>40</v>
      </c>
      <c r="B32" s="6" t="s">
        <v>14</v>
      </c>
      <c r="C32" s="6">
        <v>61</v>
      </c>
    </row>
    <row r="33" spans="1:3">
      <c r="A33" t="s">
        <v>229</v>
      </c>
      <c r="B33" s="6" t="s">
        <v>14</v>
      </c>
      <c r="C33" s="6">
        <v>67</v>
      </c>
    </row>
    <row r="34" spans="1:3">
      <c r="A34" t="s">
        <v>25</v>
      </c>
      <c r="B34" s="6" t="s">
        <v>21</v>
      </c>
      <c r="C34" s="6">
        <v>3</v>
      </c>
    </row>
    <row r="35" spans="1:3">
      <c r="A35" t="s">
        <v>42</v>
      </c>
      <c r="B35" s="6" t="s">
        <v>21</v>
      </c>
      <c r="C35" s="6">
        <v>15</v>
      </c>
    </row>
    <row r="36" spans="1:3">
      <c r="A36" t="s">
        <v>35</v>
      </c>
      <c r="B36" s="6" t="s">
        <v>21</v>
      </c>
      <c r="C36" s="6">
        <v>31</v>
      </c>
    </row>
    <row r="37" spans="1:3">
      <c r="A37" t="s">
        <v>105</v>
      </c>
      <c r="B37" s="6" t="s">
        <v>21</v>
      </c>
      <c r="C37" s="6">
        <v>57</v>
      </c>
    </row>
    <row r="38" spans="1:3">
      <c r="A38" t="s">
        <v>4</v>
      </c>
      <c r="B38" s="6" t="s">
        <v>3</v>
      </c>
      <c r="C38" s="6">
        <v>1</v>
      </c>
    </row>
    <row r="39" spans="1:3">
      <c r="A39" t="s">
        <v>55</v>
      </c>
      <c r="B39" s="6" t="s">
        <v>3</v>
      </c>
      <c r="C39" s="6">
        <v>24</v>
      </c>
    </row>
    <row r="40" spans="1:3">
      <c r="A40" t="s">
        <v>2</v>
      </c>
      <c r="B40" s="6" t="s">
        <v>3</v>
      </c>
      <c r="C40" s="6">
        <v>28</v>
      </c>
    </row>
    <row r="41" spans="1:3">
      <c r="A41" t="s">
        <v>30</v>
      </c>
      <c r="B41" s="6" t="s">
        <v>3</v>
      </c>
      <c r="C41" s="6">
        <v>63</v>
      </c>
    </row>
    <row r="42" spans="1:3">
      <c r="A42" t="s">
        <v>257</v>
      </c>
      <c r="B42" s="6" t="s">
        <v>17</v>
      </c>
      <c r="C42" s="6">
        <v>46</v>
      </c>
    </row>
    <row r="43" spans="1:3">
      <c r="A43" t="s">
        <v>38</v>
      </c>
      <c r="B43" s="6" t="s">
        <v>17</v>
      </c>
      <c r="C43" s="6">
        <v>5</v>
      </c>
    </row>
    <row r="44" spans="1:3">
      <c r="A44" t="s">
        <v>16</v>
      </c>
      <c r="B44" s="6" t="s">
        <v>17</v>
      </c>
      <c r="C44" s="6">
        <v>13</v>
      </c>
    </row>
    <row r="45" spans="1:3">
      <c r="A45" t="s">
        <v>49</v>
      </c>
      <c r="B45" s="6" t="s">
        <v>17</v>
      </c>
      <c r="C45" s="6">
        <v>50</v>
      </c>
    </row>
    <row r="46" spans="1:3">
      <c r="A46" t="s">
        <v>18</v>
      </c>
      <c r="B46" s="6" t="s">
        <v>19</v>
      </c>
      <c r="C46" s="6">
        <v>11</v>
      </c>
    </row>
    <row r="47" spans="1:3">
      <c r="A47" t="s">
        <v>23</v>
      </c>
      <c r="B47" s="6" t="s">
        <v>19</v>
      </c>
      <c r="C47" s="6">
        <v>4</v>
      </c>
    </row>
    <row r="48" spans="1:3">
      <c r="A48" t="s">
        <v>36</v>
      </c>
      <c r="B48" s="6" t="s">
        <v>19</v>
      </c>
      <c r="C48" s="6">
        <v>34</v>
      </c>
    </row>
    <row r="49" spans="1:3">
      <c r="A49" t="s">
        <v>27</v>
      </c>
      <c r="B49" s="6" t="s">
        <v>19</v>
      </c>
      <c r="C49" s="6">
        <v>73</v>
      </c>
    </row>
    <row r="52" spans="1:3">
      <c r="C52" s="22"/>
    </row>
    <row r="53" spans="1:3">
      <c r="C53"/>
    </row>
    <row r="54" spans="1:3">
      <c r="C54" s="1"/>
    </row>
    <row r="55" spans="1:3">
      <c r="C55" s="1"/>
    </row>
    <row r="56" spans="1:3">
      <c r="C56" s="1"/>
    </row>
    <row r="57" spans="1:3">
      <c r="C57" s="1"/>
    </row>
    <row r="58" spans="1:3">
      <c r="C58" s="1"/>
    </row>
    <row r="59" spans="1:3">
      <c r="C59" s="1"/>
    </row>
    <row r="60" spans="1:3">
      <c r="C60" s="1"/>
    </row>
    <row r="61" spans="1:3">
      <c r="C61" s="1"/>
    </row>
    <row r="62" spans="1:3">
      <c r="C62" s="1"/>
    </row>
    <row r="63" spans="1:3">
      <c r="C63" s="1"/>
    </row>
    <row r="64" spans="1:3">
      <c r="C64" s="1"/>
    </row>
    <row r="65" spans="3:3">
      <c r="C65" s="1"/>
    </row>
  </sheetData>
  <mergeCells count="1">
    <mergeCell ref="E2:F2"/>
  </mergeCells>
  <conditionalFormatting sqref="C54:C65 F4:F15">
    <cfRule type="colorScale" priority="1">
      <colorScale>
        <cfvo type="min"/>
        <cfvo type="percentile" val="50"/>
        <cfvo type="max"/>
        <color rgb="FFF8696B"/>
        <color rgb="FFFCFCFF"/>
        <color rgb="FF63BE7B"/>
      </colorScale>
    </cfRule>
    <cfRule type="colorScale" priority="2">
      <colorScale>
        <cfvo type="min"/>
        <cfvo type="percentile" val="50"/>
        <cfvo type="max"/>
        <color rgb="FFF8696B"/>
        <color rgb="FFFCFCFF"/>
        <color rgb="FF5A8AC6"/>
      </colorScale>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9A5C5-59C8-42E4-9230-FA85DA5A0F1B}">
  <sheetPr>
    <pageSetUpPr fitToPage="1"/>
  </sheetPr>
  <dimension ref="A1:H29"/>
  <sheetViews>
    <sheetView tabSelected="1" workbookViewId="0">
      <selection activeCell="A2" sqref="A2:C2"/>
    </sheetView>
  </sheetViews>
  <sheetFormatPr defaultRowHeight="14.4"/>
  <cols>
    <col min="1" max="1" width="17.21875" bestFit="1" customWidth="1"/>
    <col min="2" max="2" width="16.88671875" bestFit="1" customWidth="1"/>
    <col min="3" max="3" width="11.5546875" bestFit="1" customWidth="1"/>
    <col min="5" max="5" width="17.21875" bestFit="1" customWidth="1"/>
    <col min="6" max="6" width="16.88671875" bestFit="1" customWidth="1"/>
    <col min="7" max="7" width="11.5546875" bestFit="1" customWidth="1"/>
  </cols>
  <sheetData>
    <row r="1" spans="1:8" ht="23.4">
      <c r="A1" s="73" t="s">
        <v>261</v>
      </c>
      <c r="B1" s="74"/>
      <c r="C1" s="75"/>
      <c r="D1" s="95"/>
      <c r="E1" s="95"/>
      <c r="F1" s="95"/>
      <c r="G1" s="95"/>
      <c r="H1" s="96"/>
    </row>
    <row r="2" spans="1:8" ht="18">
      <c r="A2" s="76" t="s">
        <v>23</v>
      </c>
      <c r="B2" s="77"/>
      <c r="C2" s="78"/>
      <c r="D2" s="96"/>
      <c r="E2" s="96"/>
      <c r="F2" s="96"/>
      <c r="G2" s="96"/>
      <c r="H2" s="96"/>
    </row>
    <row r="3" spans="1:8" ht="18">
      <c r="A3" s="97" t="s">
        <v>140</v>
      </c>
      <c r="B3" s="27" t="s">
        <v>141</v>
      </c>
      <c r="C3" s="98" t="s">
        <v>139</v>
      </c>
      <c r="D3" s="18"/>
    </row>
    <row r="4" spans="1:8">
      <c r="A4" s="92">
        <v>1</v>
      </c>
      <c r="B4" s="96" t="s">
        <v>149</v>
      </c>
      <c r="C4" s="93" t="s">
        <v>150</v>
      </c>
    </row>
    <row r="5" spans="1:8">
      <c r="A5" s="92">
        <v>13</v>
      </c>
      <c r="B5" s="96" t="s">
        <v>165</v>
      </c>
      <c r="C5" s="93" t="s">
        <v>150</v>
      </c>
    </row>
    <row r="6" spans="1:8">
      <c r="A6" s="92">
        <v>23</v>
      </c>
      <c r="B6" s="96" t="s">
        <v>167</v>
      </c>
      <c r="C6" s="93" t="s">
        <v>150</v>
      </c>
    </row>
    <row r="7" spans="1:8">
      <c r="A7" s="92">
        <v>5</v>
      </c>
      <c r="B7" s="96" t="s">
        <v>154</v>
      </c>
      <c r="C7" s="93" t="s">
        <v>151</v>
      </c>
    </row>
    <row r="8" spans="1:8">
      <c r="A8" s="92">
        <v>6</v>
      </c>
      <c r="B8" s="96" t="s">
        <v>155</v>
      </c>
      <c r="C8" s="93" t="s">
        <v>151</v>
      </c>
    </row>
    <row r="9" spans="1:8">
      <c r="A9" s="92">
        <v>2</v>
      </c>
      <c r="B9" s="96" t="s">
        <v>160</v>
      </c>
      <c r="C9" s="93" t="s">
        <v>151</v>
      </c>
    </row>
    <row r="10" spans="1:8">
      <c r="A10" s="92">
        <v>15</v>
      </c>
      <c r="B10" s="96" t="s">
        <v>168</v>
      </c>
      <c r="C10" s="93" t="s">
        <v>151</v>
      </c>
    </row>
    <row r="11" spans="1:8">
      <c r="A11" s="92">
        <v>26</v>
      </c>
      <c r="B11" s="96" t="s">
        <v>169</v>
      </c>
      <c r="C11" s="93" t="s">
        <v>151</v>
      </c>
    </row>
    <row r="12" spans="1:8">
      <c r="A12" s="92">
        <v>24</v>
      </c>
      <c r="B12" s="96" t="s">
        <v>170</v>
      </c>
      <c r="C12" s="93" t="s">
        <v>151</v>
      </c>
    </row>
    <row r="13" spans="1:8">
      <c r="A13" s="92">
        <v>12</v>
      </c>
      <c r="B13" s="96" t="s">
        <v>171</v>
      </c>
      <c r="C13" s="93" t="s">
        <v>151</v>
      </c>
    </row>
    <row r="14" spans="1:8">
      <c r="A14" s="92">
        <v>3</v>
      </c>
      <c r="B14" s="96" t="s">
        <v>172</v>
      </c>
      <c r="C14" s="93" t="s">
        <v>151</v>
      </c>
    </row>
    <row r="15" spans="1:8">
      <c r="A15" s="92">
        <v>25</v>
      </c>
      <c r="B15" s="96" t="s">
        <v>173</v>
      </c>
      <c r="C15" s="93" t="s">
        <v>151</v>
      </c>
    </row>
    <row r="16" spans="1:8">
      <c r="A16" s="92">
        <v>4</v>
      </c>
      <c r="B16" s="96" t="s">
        <v>152</v>
      </c>
      <c r="C16" s="93" t="s">
        <v>153</v>
      </c>
    </row>
    <row r="17" spans="1:3">
      <c r="A17" s="92">
        <v>10</v>
      </c>
      <c r="B17" s="96" t="s">
        <v>159</v>
      </c>
      <c r="C17" s="93" t="s">
        <v>153</v>
      </c>
    </row>
    <row r="18" spans="1:3">
      <c r="A18" s="92">
        <v>14</v>
      </c>
      <c r="B18" s="96" t="s">
        <v>174</v>
      </c>
      <c r="C18" s="93" t="s">
        <v>153</v>
      </c>
    </row>
    <row r="19" spans="1:3">
      <c r="A19" s="92">
        <v>16</v>
      </c>
      <c r="B19" s="96" t="s">
        <v>166</v>
      </c>
      <c r="C19" s="93" t="s">
        <v>153</v>
      </c>
    </row>
    <row r="20" spans="1:3">
      <c r="A20" s="92">
        <v>21</v>
      </c>
      <c r="B20" s="96" t="s">
        <v>164</v>
      </c>
      <c r="C20" s="93" t="s">
        <v>153</v>
      </c>
    </row>
    <row r="21" spans="1:3">
      <c r="A21" s="92">
        <v>8</v>
      </c>
      <c r="B21" s="96" t="s">
        <v>175</v>
      </c>
      <c r="C21" s="93" t="s">
        <v>153</v>
      </c>
    </row>
    <row r="22" spans="1:3">
      <c r="A22" s="92">
        <v>17</v>
      </c>
      <c r="B22" s="96" t="s">
        <v>176</v>
      </c>
      <c r="C22" s="93" t="s">
        <v>153</v>
      </c>
    </row>
    <row r="23" spans="1:3">
      <c r="A23" s="92">
        <v>9</v>
      </c>
      <c r="B23" s="96" t="s">
        <v>158</v>
      </c>
      <c r="C23" s="93" t="s">
        <v>157</v>
      </c>
    </row>
    <row r="24" spans="1:3">
      <c r="A24" s="92">
        <v>19</v>
      </c>
      <c r="B24" s="96" t="s">
        <v>163</v>
      </c>
      <c r="C24" s="93" t="s">
        <v>157</v>
      </c>
    </row>
    <row r="25" spans="1:3">
      <c r="A25" s="92">
        <v>22</v>
      </c>
      <c r="B25" s="96" t="s">
        <v>161</v>
      </c>
      <c r="C25" s="93" t="s">
        <v>157</v>
      </c>
    </row>
    <row r="26" spans="1:3">
      <c r="A26" s="92">
        <v>7</v>
      </c>
      <c r="B26" s="96" t="s">
        <v>156</v>
      </c>
      <c r="C26" s="93" t="s">
        <v>157</v>
      </c>
    </row>
    <row r="27" spans="1:3">
      <c r="A27" s="92">
        <v>20</v>
      </c>
      <c r="B27" s="96" t="s">
        <v>177</v>
      </c>
      <c r="C27" s="93" t="s">
        <v>157</v>
      </c>
    </row>
    <row r="28" spans="1:3">
      <c r="A28" s="92">
        <v>11</v>
      </c>
      <c r="B28" s="96" t="s">
        <v>178</v>
      </c>
      <c r="C28" s="93" t="s">
        <v>157</v>
      </c>
    </row>
    <row r="29" spans="1:3">
      <c r="A29" s="94">
        <v>18</v>
      </c>
      <c r="B29" s="19" t="s">
        <v>162</v>
      </c>
      <c r="C29" s="12" t="s">
        <v>157</v>
      </c>
    </row>
  </sheetData>
  <mergeCells count="2">
    <mergeCell ref="A2:C2"/>
    <mergeCell ref="A1:C1"/>
  </mergeCells>
  <pageMargins left="0.7" right="0.7" top="0.75" bottom="0.75" header="0.3" footer="0.3"/>
  <pageSetup scale="90" fitToHeight="0"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05"/>
  <sheetViews>
    <sheetView zoomScale="80" zoomScaleNormal="80" workbookViewId="0">
      <pane ySplit="1" topLeftCell="A2" activePane="bottomLeft" state="frozen"/>
      <selection pane="bottomLeft" activeCell="H8" sqref="H8"/>
    </sheetView>
  </sheetViews>
  <sheetFormatPr defaultColWidth="9.21875" defaultRowHeight="14.4"/>
  <cols>
    <col min="1" max="1" width="10.6640625" bestFit="1" customWidth="1"/>
    <col min="2" max="2" width="18.5546875" style="11" bestFit="1" customWidth="1"/>
    <col min="3" max="3" width="18.21875" style="6" bestFit="1" customWidth="1"/>
    <col min="4" max="5" width="21.77734375" style="3" bestFit="1" customWidth="1"/>
    <col min="6" max="6" width="35.77734375" style="3" bestFit="1" customWidth="1"/>
  </cols>
  <sheetData>
    <row r="1" spans="1:7">
      <c r="A1" s="18" t="s">
        <v>50</v>
      </c>
      <c r="B1" s="24" t="s">
        <v>51</v>
      </c>
      <c r="C1" s="22" t="s">
        <v>52</v>
      </c>
      <c r="D1" s="26" t="s">
        <v>53</v>
      </c>
      <c r="E1" s="26" t="s">
        <v>54</v>
      </c>
      <c r="F1" s="26" t="s">
        <v>198</v>
      </c>
      <c r="G1" s="49"/>
    </row>
    <row r="2" spans="1:7">
      <c r="A2">
        <v>1</v>
      </c>
      <c r="B2" s="11">
        <v>46184.791666666664</v>
      </c>
      <c r="C2" s="5" t="s">
        <v>78</v>
      </c>
      <c r="D2" t="s">
        <v>31</v>
      </c>
      <c r="E2" t="s">
        <v>43</v>
      </c>
      <c r="F2" t="s">
        <v>79</v>
      </c>
      <c r="G2" s="3"/>
    </row>
    <row r="3" spans="1:7">
      <c r="A3">
        <v>2</v>
      </c>
      <c r="B3" s="11">
        <v>46185.083333333336</v>
      </c>
      <c r="C3" s="5" t="s">
        <v>78</v>
      </c>
      <c r="D3" t="s">
        <v>256</v>
      </c>
      <c r="E3" t="s">
        <v>224</v>
      </c>
      <c r="F3" t="s">
        <v>80</v>
      </c>
      <c r="G3" s="3"/>
    </row>
    <row r="4" spans="1:7">
      <c r="A4">
        <v>3</v>
      </c>
      <c r="B4" s="11">
        <v>46185.791666666664</v>
      </c>
      <c r="C4" s="5" t="s">
        <v>81</v>
      </c>
      <c r="D4" t="s">
        <v>12</v>
      </c>
      <c r="E4" t="s">
        <v>82</v>
      </c>
      <c r="F4" t="s">
        <v>83</v>
      </c>
      <c r="G4" s="3"/>
    </row>
    <row r="5" spans="1:7">
      <c r="A5">
        <v>4</v>
      </c>
      <c r="B5" s="11">
        <v>46186.041666666664</v>
      </c>
      <c r="C5" s="5" t="s">
        <v>84</v>
      </c>
      <c r="D5" t="s">
        <v>48</v>
      </c>
      <c r="E5" t="s">
        <v>37</v>
      </c>
      <c r="F5" t="s">
        <v>85</v>
      </c>
      <c r="G5" s="3"/>
    </row>
    <row r="6" spans="1:7">
      <c r="A6">
        <v>5</v>
      </c>
      <c r="B6" s="11">
        <v>46186.791666666664</v>
      </c>
      <c r="C6" s="5" t="s">
        <v>81</v>
      </c>
      <c r="D6" t="s">
        <v>39</v>
      </c>
      <c r="E6" t="s">
        <v>45</v>
      </c>
      <c r="F6" t="s">
        <v>88</v>
      </c>
      <c r="G6" s="3"/>
    </row>
    <row r="7" spans="1:7">
      <c r="A7">
        <v>6</v>
      </c>
      <c r="B7" s="11">
        <v>46186.916666666664</v>
      </c>
      <c r="C7" s="5" t="s">
        <v>86</v>
      </c>
      <c r="D7" t="s">
        <v>11</v>
      </c>
      <c r="E7" t="s">
        <v>32</v>
      </c>
      <c r="F7" t="s">
        <v>89</v>
      </c>
      <c r="G7" s="3"/>
    </row>
    <row r="8" spans="1:7">
      <c r="A8">
        <v>7</v>
      </c>
      <c r="B8" s="11">
        <v>46187.041666666664</v>
      </c>
      <c r="C8" s="5" t="s">
        <v>86</v>
      </c>
      <c r="D8" t="s">
        <v>28</v>
      </c>
      <c r="E8" t="s">
        <v>41</v>
      </c>
      <c r="F8" t="s">
        <v>87</v>
      </c>
      <c r="G8" s="3"/>
    </row>
    <row r="9" spans="1:7">
      <c r="A9">
        <v>8</v>
      </c>
      <c r="B9" s="11">
        <v>46187.166666666664</v>
      </c>
      <c r="C9" s="5" t="s">
        <v>84</v>
      </c>
      <c r="D9" t="s">
        <v>5</v>
      </c>
      <c r="E9" t="s">
        <v>137</v>
      </c>
      <c r="F9" t="s">
        <v>90</v>
      </c>
      <c r="G9" s="3"/>
    </row>
    <row r="10" spans="1:7">
      <c r="A10">
        <v>9</v>
      </c>
      <c r="B10" s="11">
        <v>46187.708333333336</v>
      </c>
      <c r="C10" s="5" t="s">
        <v>91</v>
      </c>
      <c r="D10" t="s">
        <v>26</v>
      </c>
      <c r="E10" t="s">
        <v>20</v>
      </c>
      <c r="F10" t="s">
        <v>92</v>
      </c>
      <c r="G10" s="3"/>
    </row>
    <row r="11" spans="1:7">
      <c r="A11">
        <v>10</v>
      </c>
      <c r="B11" s="11">
        <v>46187.833333333336</v>
      </c>
      <c r="C11" s="5" t="s">
        <v>93</v>
      </c>
      <c r="D11" t="s">
        <v>33</v>
      </c>
      <c r="E11" t="s">
        <v>29</v>
      </c>
      <c r="F11" t="s">
        <v>94</v>
      </c>
      <c r="G11" s="3"/>
    </row>
    <row r="12" spans="1:7">
      <c r="A12">
        <v>11</v>
      </c>
      <c r="B12" s="11">
        <v>46187.958333333336</v>
      </c>
      <c r="C12" s="5" t="s">
        <v>91</v>
      </c>
      <c r="D12" t="s">
        <v>258</v>
      </c>
      <c r="E12" t="s">
        <v>24</v>
      </c>
      <c r="F12" t="s">
        <v>95</v>
      </c>
      <c r="G12" s="3"/>
    </row>
    <row r="13" spans="1:7">
      <c r="A13">
        <v>12</v>
      </c>
      <c r="B13" s="11">
        <v>46188.083333333336</v>
      </c>
      <c r="C13" s="5" t="s">
        <v>93</v>
      </c>
      <c r="D13" t="s">
        <v>96</v>
      </c>
      <c r="E13" t="s">
        <v>46</v>
      </c>
      <c r="F13" t="s">
        <v>97</v>
      </c>
      <c r="G13" s="3"/>
    </row>
    <row r="14" spans="1:7">
      <c r="A14">
        <v>13</v>
      </c>
      <c r="B14" s="11">
        <v>46188.666666666664</v>
      </c>
      <c r="C14" s="5" t="s">
        <v>98</v>
      </c>
      <c r="D14" t="s">
        <v>44</v>
      </c>
      <c r="E14" t="s">
        <v>229</v>
      </c>
      <c r="F14" t="s">
        <v>99</v>
      </c>
      <c r="G14" s="3"/>
    </row>
    <row r="15" spans="1:7">
      <c r="A15">
        <v>14</v>
      </c>
      <c r="B15" s="11">
        <v>46188.791666666664</v>
      </c>
      <c r="C15" s="5" t="s">
        <v>100</v>
      </c>
      <c r="D15" t="s">
        <v>101</v>
      </c>
      <c r="E15" t="s">
        <v>22</v>
      </c>
      <c r="F15" t="s">
        <v>102</v>
      </c>
      <c r="G15" s="3"/>
    </row>
    <row r="16" spans="1:7">
      <c r="A16">
        <v>15</v>
      </c>
      <c r="B16" s="11">
        <v>46188.916666666664</v>
      </c>
      <c r="C16" s="5" t="s">
        <v>98</v>
      </c>
      <c r="D16" t="s">
        <v>40</v>
      </c>
      <c r="E16" t="s">
        <v>47</v>
      </c>
      <c r="F16" t="s">
        <v>103</v>
      </c>
      <c r="G16" s="3"/>
    </row>
    <row r="17" spans="1:7">
      <c r="A17">
        <v>16</v>
      </c>
      <c r="B17" s="11">
        <v>46189.041666666664</v>
      </c>
      <c r="C17" s="5" t="s">
        <v>100</v>
      </c>
      <c r="D17" t="s">
        <v>259</v>
      </c>
      <c r="E17" t="s">
        <v>34</v>
      </c>
      <c r="F17" t="s">
        <v>85</v>
      </c>
      <c r="G17" s="3"/>
    </row>
    <row r="18" spans="1:7">
      <c r="A18">
        <v>17</v>
      </c>
      <c r="B18" s="11">
        <v>46189.791666666664</v>
      </c>
      <c r="C18" s="5" t="s">
        <v>104</v>
      </c>
      <c r="D18" t="s">
        <v>25</v>
      </c>
      <c r="E18" t="s">
        <v>42</v>
      </c>
      <c r="F18" t="s">
        <v>89</v>
      </c>
      <c r="G18" s="3"/>
    </row>
    <row r="19" spans="1:7">
      <c r="A19">
        <v>18</v>
      </c>
      <c r="B19" s="11">
        <v>46189.916666666664</v>
      </c>
      <c r="C19" s="5" t="s">
        <v>104</v>
      </c>
      <c r="D19" t="s">
        <v>105</v>
      </c>
      <c r="E19" t="s">
        <v>35</v>
      </c>
      <c r="F19" t="s">
        <v>87</v>
      </c>
      <c r="G19" s="3"/>
    </row>
    <row r="20" spans="1:7">
      <c r="A20">
        <v>19</v>
      </c>
      <c r="B20" s="11">
        <v>46190.041666666664</v>
      </c>
      <c r="C20" s="5" t="s">
        <v>106</v>
      </c>
      <c r="D20" t="s">
        <v>4</v>
      </c>
      <c r="E20" t="s">
        <v>2</v>
      </c>
      <c r="F20" t="s">
        <v>107</v>
      </c>
      <c r="G20" s="3"/>
    </row>
    <row r="21" spans="1:7">
      <c r="A21">
        <v>20</v>
      </c>
      <c r="B21" s="11">
        <v>46190.166666666664</v>
      </c>
      <c r="C21" s="5" t="s">
        <v>106</v>
      </c>
      <c r="D21" t="s">
        <v>55</v>
      </c>
      <c r="E21" t="s">
        <v>30</v>
      </c>
      <c r="F21" t="s">
        <v>88</v>
      </c>
      <c r="G21" s="3"/>
    </row>
    <row r="22" spans="1:7">
      <c r="A22">
        <v>21</v>
      </c>
      <c r="B22" s="11">
        <v>46190.708333333336</v>
      </c>
      <c r="C22" s="5" t="s">
        <v>108</v>
      </c>
      <c r="D22" t="s">
        <v>38</v>
      </c>
      <c r="E22" t="s">
        <v>257</v>
      </c>
      <c r="F22" t="s">
        <v>92</v>
      </c>
      <c r="G22" s="3"/>
    </row>
    <row r="23" spans="1:7">
      <c r="A23">
        <v>22</v>
      </c>
      <c r="B23" s="11">
        <v>46190.833333333336</v>
      </c>
      <c r="C23" s="5" t="s">
        <v>109</v>
      </c>
      <c r="D23" t="s">
        <v>23</v>
      </c>
      <c r="E23" t="s">
        <v>18</v>
      </c>
      <c r="F23" t="s">
        <v>94</v>
      </c>
      <c r="G23" s="3"/>
    </row>
    <row r="24" spans="1:7">
      <c r="A24">
        <v>23</v>
      </c>
      <c r="B24" s="11">
        <v>46190.958333333336</v>
      </c>
      <c r="C24" s="5" t="s">
        <v>109</v>
      </c>
      <c r="D24" t="s">
        <v>27</v>
      </c>
      <c r="E24" t="s">
        <v>36</v>
      </c>
      <c r="F24" t="s">
        <v>83</v>
      </c>
      <c r="G24" s="3"/>
    </row>
    <row r="25" spans="1:7">
      <c r="A25">
        <v>24</v>
      </c>
      <c r="B25" s="11">
        <v>46191.083333333336</v>
      </c>
      <c r="C25" s="5" t="s">
        <v>108</v>
      </c>
      <c r="D25" t="s">
        <v>49</v>
      </c>
      <c r="E25" t="s">
        <v>16</v>
      </c>
      <c r="F25" t="s">
        <v>79</v>
      </c>
      <c r="G25" s="3"/>
    </row>
    <row r="26" spans="1:7">
      <c r="A26">
        <v>25</v>
      </c>
      <c r="B26" s="11">
        <v>46191.666666666664</v>
      </c>
      <c r="C26" s="5" t="s">
        <v>78</v>
      </c>
      <c r="D26" t="s">
        <v>224</v>
      </c>
      <c r="E26" t="s">
        <v>43</v>
      </c>
      <c r="F26" t="s">
        <v>99</v>
      </c>
      <c r="G26" s="3"/>
    </row>
    <row r="27" spans="1:7">
      <c r="A27">
        <v>26</v>
      </c>
      <c r="B27" s="11">
        <v>46191.791666666664</v>
      </c>
      <c r="C27" s="5" t="s">
        <v>81</v>
      </c>
      <c r="D27" t="s">
        <v>45</v>
      </c>
      <c r="E27" t="s">
        <v>82</v>
      </c>
      <c r="F27" t="s">
        <v>85</v>
      </c>
      <c r="G27" s="3"/>
    </row>
    <row r="28" spans="1:7">
      <c r="A28">
        <v>27</v>
      </c>
      <c r="B28" s="11">
        <v>46191.916666666664</v>
      </c>
      <c r="C28" s="5" t="s">
        <v>81</v>
      </c>
      <c r="D28" t="s">
        <v>12</v>
      </c>
      <c r="E28" t="s">
        <v>39</v>
      </c>
      <c r="F28" t="s">
        <v>90</v>
      </c>
      <c r="G28" s="3"/>
    </row>
    <row r="29" spans="1:7">
      <c r="A29">
        <v>28</v>
      </c>
      <c r="B29" s="11">
        <v>46192.041666666664</v>
      </c>
      <c r="C29" s="5" t="s">
        <v>78</v>
      </c>
      <c r="D29" t="s">
        <v>31</v>
      </c>
      <c r="E29" t="s">
        <v>256</v>
      </c>
      <c r="F29" t="s">
        <v>80</v>
      </c>
      <c r="G29" s="3"/>
    </row>
    <row r="30" spans="1:7">
      <c r="A30">
        <v>29</v>
      </c>
      <c r="B30" s="11">
        <v>46192.791666666664</v>
      </c>
      <c r="C30" s="5" t="s">
        <v>84</v>
      </c>
      <c r="D30" t="s">
        <v>48</v>
      </c>
      <c r="E30" t="s">
        <v>5</v>
      </c>
      <c r="F30" t="s">
        <v>102</v>
      </c>
      <c r="G30" s="3"/>
    </row>
    <row r="31" spans="1:7">
      <c r="A31">
        <v>30</v>
      </c>
      <c r="B31" s="11">
        <v>46192.916666666664</v>
      </c>
      <c r="C31" s="5" t="s">
        <v>86</v>
      </c>
      <c r="D31" t="s">
        <v>41</v>
      </c>
      <c r="E31" t="s">
        <v>32</v>
      </c>
      <c r="F31" t="s">
        <v>87</v>
      </c>
      <c r="G31" s="3"/>
    </row>
    <row r="32" spans="1:7">
      <c r="A32">
        <v>31</v>
      </c>
      <c r="B32" s="11">
        <v>46193.020833333336</v>
      </c>
      <c r="C32" s="5" t="s">
        <v>86</v>
      </c>
      <c r="D32" t="s">
        <v>11</v>
      </c>
      <c r="E32" t="s">
        <v>28</v>
      </c>
      <c r="F32" t="s">
        <v>95</v>
      </c>
      <c r="G32" s="3"/>
    </row>
    <row r="33" spans="1:7">
      <c r="A33">
        <v>32</v>
      </c>
      <c r="B33" s="11">
        <v>46193.125</v>
      </c>
      <c r="C33" s="5" t="s">
        <v>84</v>
      </c>
      <c r="D33" t="s">
        <v>137</v>
      </c>
      <c r="E33" t="s">
        <v>37</v>
      </c>
      <c r="F33" t="s">
        <v>88</v>
      </c>
      <c r="G33" s="3"/>
    </row>
    <row r="34" spans="1:7">
      <c r="A34">
        <v>33</v>
      </c>
      <c r="B34" s="11">
        <v>46193.708333333336</v>
      </c>
      <c r="C34" s="5" t="s">
        <v>93</v>
      </c>
      <c r="D34" t="s">
        <v>33</v>
      </c>
      <c r="E34" t="s">
        <v>96</v>
      </c>
      <c r="F34" t="s">
        <v>92</v>
      </c>
      <c r="G34" s="3"/>
    </row>
    <row r="35" spans="1:7">
      <c r="A35">
        <v>34</v>
      </c>
      <c r="B35" s="11">
        <v>46193.833333333336</v>
      </c>
      <c r="C35" s="5" t="s">
        <v>91</v>
      </c>
      <c r="D35" t="s">
        <v>26</v>
      </c>
      <c r="E35" t="s">
        <v>258</v>
      </c>
      <c r="F35" t="s">
        <v>83</v>
      </c>
      <c r="G35" s="3"/>
    </row>
    <row r="36" spans="1:7">
      <c r="A36">
        <v>35</v>
      </c>
      <c r="B36" s="11">
        <v>46194</v>
      </c>
      <c r="C36" s="5" t="s">
        <v>91</v>
      </c>
      <c r="D36" t="s">
        <v>24</v>
      </c>
      <c r="E36" t="s">
        <v>20</v>
      </c>
      <c r="F36" t="s">
        <v>107</v>
      </c>
      <c r="G36" s="3"/>
    </row>
    <row r="37" spans="1:7">
      <c r="A37">
        <v>36</v>
      </c>
      <c r="B37" s="11">
        <v>46194.166666666664</v>
      </c>
      <c r="C37" s="5" t="s">
        <v>93</v>
      </c>
      <c r="D37" t="s">
        <v>46</v>
      </c>
      <c r="E37" t="s">
        <v>29</v>
      </c>
      <c r="F37" t="s">
        <v>97</v>
      </c>
      <c r="G37" s="3"/>
    </row>
    <row r="38" spans="1:7">
      <c r="A38">
        <v>37</v>
      </c>
      <c r="B38" s="11">
        <v>46194.666666666664</v>
      </c>
      <c r="C38" s="5" t="s">
        <v>98</v>
      </c>
      <c r="D38" t="s">
        <v>44</v>
      </c>
      <c r="E38" t="s">
        <v>40</v>
      </c>
      <c r="F38" t="s">
        <v>99</v>
      </c>
      <c r="G38" s="3"/>
    </row>
    <row r="39" spans="1:7">
      <c r="A39">
        <v>38</v>
      </c>
      <c r="B39" s="11">
        <v>46194.791666666664</v>
      </c>
      <c r="C39" s="5" t="s">
        <v>100</v>
      </c>
      <c r="D39" t="s">
        <v>101</v>
      </c>
      <c r="E39" t="s">
        <v>259</v>
      </c>
      <c r="F39" t="s">
        <v>85</v>
      </c>
      <c r="G39" s="3"/>
    </row>
    <row r="40" spans="1:7">
      <c r="A40">
        <v>39</v>
      </c>
      <c r="B40" s="11">
        <v>46194.916666666664</v>
      </c>
      <c r="C40" s="5" t="s">
        <v>98</v>
      </c>
      <c r="D40" t="s">
        <v>47</v>
      </c>
      <c r="E40" t="s">
        <v>229</v>
      </c>
      <c r="F40" t="s">
        <v>103</v>
      </c>
      <c r="G40" s="3"/>
    </row>
    <row r="41" spans="1:7">
      <c r="A41">
        <v>40</v>
      </c>
      <c r="B41" s="11">
        <v>46195.041666666664</v>
      </c>
      <c r="C41" s="5" t="s">
        <v>100</v>
      </c>
      <c r="D41" t="s">
        <v>34</v>
      </c>
      <c r="E41" t="s">
        <v>22</v>
      </c>
      <c r="F41" t="s">
        <v>90</v>
      </c>
      <c r="G41" s="3"/>
    </row>
    <row r="42" spans="1:7">
      <c r="A42">
        <v>41</v>
      </c>
      <c r="B42" s="11">
        <v>46195.708333333336</v>
      </c>
      <c r="C42" s="5" t="s">
        <v>106</v>
      </c>
      <c r="D42" t="s">
        <v>4</v>
      </c>
      <c r="E42" t="s">
        <v>55</v>
      </c>
      <c r="F42" t="s">
        <v>94</v>
      </c>
      <c r="G42" s="3"/>
    </row>
    <row r="43" spans="1:7">
      <c r="A43">
        <v>42</v>
      </c>
      <c r="B43" s="11">
        <v>46195.833333333336</v>
      </c>
      <c r="C43" s="5" t="s">
        <v>104</v>
      </c>
      <c r="D43" t="s">
        <v>25</v>
      </c>
      <c r="E43" t="s">
        <v>105</v>
      </c>
      <c r="F43" t="s">
        <v>95</v>
      </c>
      <c r="G43" s="3"/>
    </row>
    <row r="44" spans="1:7">
      <c r="A44">
        <v>43</v>
      </c>
      <c r="B44" s="11">
        <v>46195.958333333336</v>
      </c>
      <c r="C44" s="5" t="s">
        <v>104</v>
      </c>
      <c r="D44" t="s">
        <v>35</v>
      </c>
      <c r="E44" t="s">
        <v>42</v>
      </c>
      <c r="F44" t="s">
        <v>89</v>
      </c>
      <c r="G44" s="3"/>
    </row>
    <row r="45" spans="1:7">
      <c r="A45">
        <v>44</v>
      </c>
      <c r="B45" s="11">
        <v>46196.125</v>
      </c>
      <c r="C45" s="5" t="s">
        <v>106</v>
      </c>
      <c r="D45" t="s">
        <v>30</v>
      </c>
      <c r="E45" t="s">
        <v>2</v>
      </c>
      <c r="F45" t="s">
        <v>88</v>
      </c>
      <c r="G45" s="3"/>
    </row>
    <row r="46" spans="1:7">
      <c r="A46">
        <v>45</v>
      </c>
      <c r="B46" s="11">
        <v>46196.708333333336</v>
      </c>
      <c r="C46" s="5" t="s">
        <v>108</v>
      </c>
      <c r="D46" t="s">
        <v>38</v>
      </c>
      <c r="E46" t="s">
        <v>49</v>
      </c>
      <c r="F46" t="s">
        <v>92</v>
      </c>
      <c r="G46" s="3"/>
    </row>
    <row r="47" spans="1:7">
      <c r="A47">
        <v>46</v>
      </c>
      <c r="B47" s="11">
        <v>46196.833333333336</v>
      </c>
      <c r="C47" s="5" t="s">
        <v>109</v>
      </c>
      <c r="D47" t="s">
        <v>23</v>
      </c>
      <c r="E47" t="s">
        <v>27</v>
      </c>
      <c r="F47" t="s">
        <v>87</v>
      </c>
      <c r="G47" s="3"/>
    </row>
    <row r="48" spans="1:7">
      <c r="A48">
        <v>47</v>
      </c>
      <c r="B48" s="11">
        <v>46196.958333333336</v>
      </c>
      <c r="C48" s="5" t="s">
        <v>109</v>
      </c>
      <c r="D48" t="s">
        <v>36</v>
      </c>
      <c r="E48" t="s">
        <v>18</v>
      </c>
      <c r="F48" t="s">
        <v>83</v>
      </c>
      <c r="G48" s="3"/>
    </row>
    <row r="49" spans="1:7">
      <c r="A49">
        <v>48</v>
      </c>
      <c r="B49" s="11">
        <v>46197.083333333336</v>
      </c>
      <c r="C49" s="5" t="s">
        <v>108</v>
      </c>
      <c r="D49" t="s">
        <v>16</v>
      </c>
      <c r="E49" t="s">
        <v>257</v>
      </c>
      <c r="F49" t="s">
        <v>80</v>
      </c>
      <c r="G49" s="3"/>
    </row>
    <row r="50" spans="1:7">
      <c r="A50">
        <v>49</v>
      </c>
      <c r="B50" s="11">
        <v>46197.791666666664</v>
      </c>
      <c r="C50" s="5" t="s">
        <v>81</v>
      </c>
      <c r="D50" t="s">
        <v>45</v>
      </c>
      <c r="E50" t="s">
        <v>12</v>
      </c>
      <c r="F50" t="s">
        <v>90</v>
      </c>
      <c r="G50" s="3"/>
    </row>
    <row r="51" spans="1:7">
      <c r="A51">
        <v>50</v>
      </c>
      <c r="B51" s="11">
        <v>46197.791666666664</v>
      </c>
      <c r="C51" s="5" t="s">
        <v>81</v>
      </c>
      <c r="D51" t="s">
        <v>82</v>
      </c>
      <c r="E51" t="s">
        <v>39</v>
      </c>
      <c r="F51" t="s">
        <v>102</v>
      </c>
      <c r="G51" s="3"/>
    </row>
    <row r="52" spans="1:7">
      <c r="A52">
        <v>51</v>
      </c>
      <c r="B52" s="11">
        <v>46197.916666666664</v>
      </c>
      <c r="C52" s="5" t="s">
        <v>86</v>
      </c>
      <c r="D52" t="s">
        <v>41</v>
      </c>
      <c r="E52" t="s">
        <v>11</v>
      </c>
      <c r="F52" t="s">
        <v>103</v>
      </c>
      <c r="G52" s="3"/>
    </row>
    <row r="53" spans="1:7">
      <c r="A53">
        <v>52</v>
      </c>
      <c r="B53" s="11">
        <v>46197.916666666664</v>
      </c>
      <c r="C53" s="5" t="s">
        <v>86</v>
      </c>
      <c r="D53" t="s">
        <v>32</v>
      </c>
      <c r="E53" t="s">
        <v>28</v>
      </c>
      <c r="F53" t="s">
        <v>99</v>
      </c>
      <c r="G53" s="3"/>
    </row>
    <row r="54" spans="1:7">
      <c r="A54">
        <v>53</v>
      </c>
      <c r="B54" s="11">
        <v>46198.041666666664</v>
      </c>
      <c r="C54" s="5" t="s">
        <v>78</v>
      </c>
      <c r="D54" t="s">
        <v>224</v>
      </c>
      <c r="E54" t="s">
        <v>31</v>
      </c>
      <c r="F54" t="s">
        <v>79</v>
      </c>
      <c r="G54" s="3"/>
    </row>
    <row r="55" spans="1:7">
      <c r="A55">
        <v>54</v>
      </c>
      <c r="B55" s="11">
        <v>46198.041666666664</v>
      </c>
      <c r="C55" s="5" t="s">
        <v>78</v>
      </c>
      <c r="D55" t="s">
        <v>43</v>
      </c>
      <c r="E55" t="s">
        <v>256</v>
      </c>
      <c r="F55" t="s">
        <v>97</v>
      </c>
      <c r="G55" s="3"/>
    </row>
    <row r="56" spans="1:7">
      <c r="A56">
        <v>55</v>
      </c>
      <c r="B56" s="11">
        <v>46198.791666666664</v>
      </c>
      <c r="C56" s="5" t="s">
        <v>84</v>
      </c>
      <c r="D56" t="s">
        <v>37</v>
      </c>
      <c r="E56" t="s">
        <v>5</v>
      </c>
      <c r="F56" s="47" t="s">
        <v>88</v>
      </c>
      <c r="G56" s="3"/>
    </row>
    <row r="57" spans="1:7">
      <c r="A57">
        <v>56</v>
      </c>
      <c r="B57" s="11">
        <v>46198.791666666664</v>
      </c>
      <c r="C57" s="5" t="s">
        <v>84</v>
      </c>
      <c r="D57" t="s">
        <v>137</v>
      </c>
      <c r="E57" t="s">
        <v>48</v>
      </c>
      <c r="F57" t="s">
        <v>85</v>
      </c>
      <c r="G57" s="3"/>
    </row>
    <row r="58" spans="1:7">
      <c r="A58">
        <v>57</v>
      </c>
      <c r="B58" s="11">
        <v>46198.916666666664</v>
      </c>
      <c r="C58" s="5" t="s">
        <v>91</v>
      </c>
      <c r="D58" t="s">
        <v>24</v>
      </c>
      <c r="E58" t="s">
        <v>26</v>
      </c>
      <c r="F58" t="s">
        <v>89</v>
      </c>
      <c r="G58" s="3"/>
    </row>
    <row r="59" spans="1:7">
      <c r="A59">
        <v>58</v>
      </c>
      <c r="B59" s="11">
        <v>46198.916666666664</v>
      </c>
      <c r="C59" s="5" t="s">
        <v>91</v>
      </c>
      <c r="D59" t="s">
        <v>20</v>
      </c>
      <c r="E59" t="s">
        <v>258</v>
      </c>
      <c r="F59" t="s">
        <v>95</v>
      </c>
      <c r="G59" s="3"/>
    </row>
    <row r="60" spans="1:7">
      <c r="A60">
        <v>59</v>
      </c>
      <c r="B60" s="11">
        <v>46199.041666666664</v>
      </c>
      <c r="C60" s="5" t="s">
        <v>93</v>
      </c>
      <c r="D60" t="s">
        <v>29</v>
      </c>
      <c r="E60" t="s">
        <v>96</v>
      </c>
      <c r="F60" t="s">
        <v>94</v>
      </c>
      <c r="G60" s="3"/>
    </row>
    <row r="61" spans="1:7">
      <c r="A61">
        <v>60</v>
      </c>
      <c r="B61" s="11">
        <v>46199.041666666664</v>
      </c>
      <c r="C61" s="5" t="s">
        <v>93</v>
      </c>
      <c r="D61" t="s">
        <v>46</v>
      </c>
      <c r="E61" t="s">
        <v>33</v>
      </c>
      <c r="F61" t="s">
        <v>107</v>
      </c>
      <c r="G61" s="3"/>
    </row>
    <row r="62" spans="1:7">
      <c r="A62">
        <v>61</v>
      </c>
      <c r="B62" s="11">
        <v>46199.791666666664</v>
      </c>
      <c r="C62" s="5" t="s">
        <v>100</v>
      </c>
      <c r="D62" t="s">
        <v>22</v>
      </c>
      <c r="E62" t="s">
        <v>259</v>
      </c>
      <c r="F62" t="s">
        <v>102</v>
      </c>
      <c r="G62" s="3"/>
    </row>
    <row r="63" spans="1:7">
      <c r="A63">
        <v>62</v>
      </c>
      <c r="B63" s="11">
        <v>46199.791666666664</v>
      </c>
      <c r="C63" s="5" t="s">
        <v>100</v>
      </c>
      <c r="D63" t="s">
        <v>34</v>
      </c>
      <c r="E63" t="s">
        <v>101</v>
      </c>
      <c r="F63" t="s">
        <v>90</v>
      </c>
      <c r="G63" s="3"/>
    </row>
    <row r="64" spans="1:7">
      <c r="A64">
        <v>63</v>
      </c>
      <c r="B64" s="11">
        <v>46199.916666666664</v>
      </c>
      <c r="C64" s="5" t="s">
        <v>98</v>
      </c>
      <c r="D64" t="s">
        <v>47</v>
      </c>
      <c r="E64" t="s">
        <v>44</v>
      </c>
      <c r="F64" t="s">
        <v>80</v>
      </c>
      <c r="G64" s="3"/>
    </row>
    <row r="65" spans="1:7">
      <c r="A65">
        <v>64</v>
      </c>
      <c r="B65" s="11">
        <v>46199.916666666664</v>
      </c>
      <c r="C65" s="5" t="s">
        <v>98</v>
      </c>
      <c r="D65" t="s">
        <v>229</v>
      </c>
      <c r="E65" t="s">
        <v>40</v>
      </c>
      <c r="F65" t="s">
        <v>92</v>
      </c>
      <c r="G65" s="3"/>
    </row>
    <row r="66" spans="1:7">
      <c r="A66">
        <v>65</v>
      </c>
      <c r="B66" s="11">
        <v>46200.041666666664</v>
      </c>
      <c r="C66" s="5" t="s">
        <v>104</v>
      </c>
      <c r="D66" t="s">
        <v>35</v>
      </c>
      <c r="E66" t="s">
        <v>25</v>
      </c>
      <c r="F66" t="s">
        <v>87</v>
      </c>
      <c r="G66" s="3"/>
    </row>
    <row r="67" spans="1:7">
      <c r="A67">
        <v>66</v>
      </c>
      <c r="B67" s="11">
        <v>46200.041666666664</v>
      </c>
      <c r="C67" s="5" t="s">
        <v>104</v>
      </c>
      <c r="D67" t="s">
        <v>42</v>
      </c>
      <c r="E67" t="s">
        <v>105</v>
      </c>
      <c r="F67" t="s">
        <v>83</v>
      </c>
      <c r="G67" s="3"/>
    </row>
    <row r="68" spans="1:7">
      <c r="A68">
        <v>67</v>
      </c>
      <c r="B68" s="11">
        <v>46200.791666666664</v>
      </c>
      <c r="C68" s="5" t="s">
        <v>106</v>
      </c>
      <c r="D68" t="s">
        <v>2</v>
      </c>
      <c r="E68" t="s">
        <v>55</v>
      </c>
      <c r="F68" t="s">
        <v>107</v>
      </c>
      <c r="G68" s="3"/>
    </row>
    <row r="69" spans="1:7">
      <c r="A69">
        <v>68</v>
      </c>
      <c r="B69" s="11">
        <v>46200.791666666664</v>
      </c>
      <c r="C69" s="5" t="s">
        <v>106</v>
      </c>
      <c r="D69" t="s">
        <v>30</v>
      </c>
      <c r="E69" t="s">
        <v>4</v>
      </c>
      <c r="F69" s="47" t="s">
        <v>94</v>
      </c>
      <c r="G69" s="3"/>
    </row>
    <row r="70" spans="1:7">
      <c r="A70">
        <v>69</v>
      </c>
      <c r="B70" s="11">
        <v>46200.916666666664</v>
      </c>
      <c r="C70" s="5" t="s">
        <v>108</v>
      </c>
      <c r="D70" t="s">
        <v>257</v>
      </c>
      <c r="E70" t="s">
        <v>49</v>
      </c>
      <c r="F70" t="s">
        <v>99</v>
      </c>
      <c r="G70" s="3"/>
    </row>
    <row r="71" spans="1:7">
      <c r="A71">
        <v>70</v>
      </c>
      <c r="B71" s="11">
        <v>46200.916666666664</v>
      </c>
      <c r="C71" s="5" t="s">
        <v>108</v>
      </c>
      <c r="D71" t="s">
        <v>16</v>
      </c>
      <c r="E71" t="s">
        <v>38</v>
      </c>
      <c r="F71" t="s">
        <v>103</v>
      </c>
      <c r="G71" s="3"/>
    </row>
    <row r="72" spans="1:7">
      <c r="A72">
        <v>71</v>
      </c>
      <c r="B72" s="11">
        <v>46201.041666666664</v>
      </c>
      <c r="C72" s="5" t="s">
        <v>109</v>
      </c>
      <c r="D72" t="s">
        <v>36</v>
      </c>
      <c r="E72" t="s">
        <v>23</v>
      </c>
      <c r="F72" t="s">
        <v>89</v>
      </c>
      <c r="G72" s="3"/>
    </row>
    <row r="73" spans="1:7">
      <c r="A73">
        <v>72</v>
      </c>
      <c r="B73" s="11">
        <v>46201.041666666664</v>
      </c>
      <c r="C73" s="5" t="s">
        <v>109</v>
      </c>
      <c r="D73" t="s">
        <v>18</v>
      </c>
      <c r="E73" t="s">
        <v>27</v>
      </c>
      <c r="F73" t="s">
        <v>95</v>
      </c>
      <c r="G73" s="3"/>
    </row>
    <row r="74" spans="1:7">
      <c r="A74">
        <v>73</v>
      </c>
      <c r="B74" s="11">
        <v>46201.791666666664</v>
      </c>
      <c r="C74" s="5" t="s">
        <v>56</v>
      </c>
      <c r="D74" t="s">
        <v>110</v>
      </c>
      <c r="E74" s="3" t="s">
        <v>111</v>
      </c>
      <c r="F74" s="3" t="s">
        <v>85</v>
      </c>
      <c r="G74" s="3"/>
    </row>
    <row r="75" spans="1:7">
      <c r="A75">
        <v>74</v>
      </c>
      <c r="B75" s="48" t="s">
        <v>235</v>
      </c>
      <c r="C75" s="5" t="s">
        <v>56</v>
      </c>
      <c r="D75" s="3" t="s">
        <v>112</v>
      </c>
      <c r="E75" s="3" t="s">
        <v>113</v>
      </c>
      <c r="F75" s="3" t="s">
        <v>87</v>
      </c>
      <c r="G75" s="3"/>
    </row>
    <row r="76" spans="1:7">
      <c r="A76">
        <v>75</v>
      </c>
      <c r="B76" s="48" t="s">
        <v>236</v>
      </c>
      <c r="C76" s="5" t="s">
        <v>56</v>
      </c>
      <c r="D76" s="3" t="s">
        <v>114</v>
      </c>
      <c r="E76" s="3" t="s">
        <v>115</v>
      </c>
      <c r="F76" s="3" t="s">
        <v>97</v>
      </c>
      <c r="G76" s="3"/>
    </row>
    <row r="77" spans="1:7">
      <c r="A77">
        <v>76</v>
      </c>
      <c r="B77" s="48" t="s">
        <v>230</v>
      </c>
      <c r="C77" s="5" t="s">
        <v>56</v>
      </c>
      <c r="D77" s="3" t="s">
        <v>116</v>
      </c>
      <c r="E77" s="3" t="s">
        <v>117</v>
      </c>
      <c r="F77" s="3" t="s">
        <v>92</v>
      </c>
      <c r="G77" s="3"/>
    </row>
    <row r="78" spans="1:7">
      <c r="A78">
        <v>77</v>
      </c>
      <c r="B78" s="48" t="s">
        <v>237</v>
      </c>
      <c r="C78" s="5" t="s">
        <v>56</v>
      </c>
      <c r="D78" s="3" t="s">
        <v>118</v>
      </c>
      <c r="E78" s="3" t="s">
        <v>225</v>
      </c>
      <c r="F78" s="3" t="s">
        <v>89</v>
      </c>
      <c r="G78" s="3"/>
    </row>
    <row r="79" spans="1:7">
      <c r="A79">
        <v>78</v>
      </c>
      <c r="B79" s="48" t="s">
        <v>238</v>
      </c>
      <c r="C79" s="5" t="s">
        <v>56</v>
      </c>
      <c r="D79" s="3" t="s">
        <v>124</v>
      </c>
      <c r="E79" s="3" t="s">
        <v>127</v>
      </c>
      <c r="F79" s="3" t="s">
        <v>94</v>
      </c>
      <c r="G79" s="3"/>
    </row>
    <row r="80" spans="1:7">
      <c r="A80">
        <v>79</v>
      </c>
      <c r="B80" s="48" t="s">
        <v>239</v>
      </c>
      <c r="C80" s="5" t="s">
        <v>56</v>
      </c>
      <c r="D80" s="3" t="s">
        <v>122</v>
      </c>
      <c r="E80" s="3" t="s">
        <v>220</v>
      </c>
      <c r="F80" s="3" t="s">
        <v>79</v>
      </c>
      <c r="G80" s="3"/>
    </row>
    <row r="81" spans="1:7">
      <c r="A81">
        <v>80</v>
      </c>
      <c r="B81" s="48" t="s">
        <v>240</v>
      </c>
      <c r="C81" s="5" t="s">
        <v>56</v>
      </c>
      <c r="D81" s="3" t="s">
        <v>123</v>
      </c>
      <c r="E81" s="3" t="s">
        <v>221</v>
      </c>
      <c r="F81" s="3" t="s">
        <v>99</v>
      </c>
      <c r="G81" s="3"/>
    </row>
    <row r="82" spans="1:7">
      <c r="A82">
        <v>81</v>
      </c>
      <c r="B82" s="48" t="s">
        <v>241</v>
      </c>
      <c r="C82" s="5" t="s">
        <v>56</v>
      </c>
      <c r="D82" s="3" t="s">
        <v>125</v>
      </c>
      <c r="E82" s="3" t="s">
        <v>222</v>
      </c>
      <c r="F82" s="3" t="s">
        <v>88</v>
      </c>
      <c r="G82" s="3"/>
    </row>
    <row r="83" spans="1:7">
      <c r="A83">
        <v>82</v>
      </c>
      <c r="B83" s="48" t="s">
        <v>242</v>
      </c>
      <c r="C83" s="5" t="s">
        <v>56</v>
      </c>
      <c r="D83" s="3" t="s">
        <v>121</v>
      </c>
      <c r="E83" s="3" t="s">
        <v>223</v>
      </c>
      <c r="F83" s="3" t="s">
        <v>102</v>
      </c>
      <c r="G83" s="3"/>
    </row>
    <row r="84" spans="1:7">
      <c r="A84">
        <v>83</v>
      </c>
      <c r="B84" s="48" t="s">
        <v>243</v>
      </c>
      <c r="C84" s="5" t="s">
        <v>56</v>
      </c>
      <c r="D84" s="3" t="s">
        <v>227</v>
      </c>
      <c r="E84" s="3" t="s">
        <v>130</v>
      </c>
      <c r="F84" s="3" t="s">
        <v>83</v>
      </c>
      <c r="G84" s="3"/>
    </row>
    <row r="85" spans="1:7">
      <c r="A85">
        <v>84</v>
      </c>
      <c r="B85" s="48" t="s">
        <v>232</v>
      </c>
      <c r="C85" s="5" t="s">
        <v>56</v>
      </c>
      <c r="D85" s="3" t="s">
        <v>132</v>
      </c>
      <c r="E85" s="3" t="s">
        <v>128</v>
      </c>
      <c r="F85" s="3" t="s">
        <v>85</v>
      </c>
      <c r="G85" s="3"/>
    </row>
    <row r="86" spans="1:7">
      <c r="A86">
        <v>85</v>
      </c>
      <c r="B86" s="48" t="s">
        <v>231</v>
      </c>
      <c r="C86" s="5" t="s">
        <v>56</v>
      </c>
      <c r="D86" s="3" t="s">
        <v>126</v>
      </c>
      <c r="E86" s="3" t="s">
        <v>226</v>
      </c>
      <c r="F86" s="3" t="s">
        <v>90</v>
      </c>
      <c r="G86" s="3"/>
    </row>
    <row r="87" spans="1:7">
      <c r="A87">
        <v>86</v>
      </c>
      <c r="B87" s="48" t="s">
        <v>244</v>
      </c>
      <c r="C87" s="5" t="s">
        <v>56</v>
      </c>
      <c r="D87" s="3" t="s">
        <v>119</v>
      </c>
      <c r="E87" s="3" t="s">
        <v>120</v>
      </c>
      <c r="F87" s="3" t="s">
        <v>103</v>
      </c>
      <c r="G87" s="3"/>
    </row>
    <row r="88" spans="1:7">
      <c r="A88">
        <v>87</v>
      </c>
      <c r="B88" s="48" t="s">
        <v>245</v>
      </c>
      <c r="C88" s="5" t="s">
        <v>56</v>
      </c>
      <c r="D88" s="3" t="s">
        <v>129</v>
      </c>
      <c r="E88" s="3" t="s">
        <v>228</v>
      </c>
      <c r="F88" s="3" t="s">
        <v>107</v>
      </c>
      <c r="G88" s="3"/>
    </row>
    <row r="89" spans="1:7">
      <c r="A89">
        <v>88</v>
      </c>
      <c r="B89" s="48" t="s">
        <v>233</v>
      </c>
      <c r="C89" s="5" t="s">
        <v>56</v>
      </c>
      <c r="D89" s="3" t="s">
        <v>133</v>
      </c>
      <c r="E89" s="3" t="s">
        <v>131</v>
      </c>
      <c r="F89" s="3" t="s">
        <v>94</v>
      </c>
      <c r="G89" s="3"/>
    </row>
    <row r="90" spans="1:7">
      <c r="A90">
        <v>89</v>
      </c>
      <c r="B90" s="48" t="s">
        <v>246</v>
      </c>
      <c r="C90" s="5" t="s">
        <v>57</v>
      </c>
      <c r="D90" t="str" cm="1">
        <f t="array" ref="D90">_xlfn.IFS(OR(ISBLANK('Results'!E75),ISBLANK('Results'!F75)),"Winner 74",'Results'!E75&gt;'Results'!F75,'Results'!D75,'Results'!E75&lt;'Results'!F75,'Results'!G75,'Results'!E75='Results'!F75,'Results'!H75)</f>
        <v>Winner 74</v>
      </c>
      <c r="E90" t="str" cm="1">
        <f t="array" ref="E90">_xlfn.IFS(OR(ISBLANK('Results'!E78),ISBLANK('Results'!F78)),"Winner 77",'Results'!E78&gt;'Results'!F78,'Results'!D78,'Results'!E78&lt;'Results'!F78,'Results'!G78,'Results'!E78='Results'!F78,'Results'!H78)</f>
        <v>Winner 77</v>
      </c>
      <c r="F90" s="3" t="s">
        <v>95</v>
      </c>
      <c r="G90" s="3"/>
    </row>
    <row r="91" spans="1:7">
      <c r="A91">
        <v>90</v>
      </c>
      <c r="B91" s="48" t="s">
        <v>247</v>
      </c>
      <c r="C91" s="5" t="s">
        <v>57</v>
      </c>
      <c r="D91" t="str" cm="1">
        <f t="array" ref="D91">_xlfn.IFS(OR(ISBLANK('Results'!E74),ISBLANK('Results'!F74)),"Winner 73",'Results'!E74&gt;'Results'!F74,'Results'!D74,'Results'!E74&lt;'Results'!F74,'Results'!G74,'Results'!E74='Results'!F74,'Results'!H74)</f>
        <v>Winner 73</v>
      </c>
      <c r="E91" t="str" cm="1">
        <f t="array" ref="E91">_xlfn.IFS(OR(ISBLANK('Results'!E76),ISBLANK('Results'!F76)),"Winner 75",'Results'!E76&gt;'Results'!F76,'Results'!D76,'Results'!E76&lt;'Results'!F76,'Results'!G76,'Results'!E76='Results'!F76,'Results'!H76)</f>
        <v>Winner 75</v>
      </c>
      <c r="F91" s="3" t="s">
        <v>92</v>
      </c>
      <c r="G91" s="3"/>
    </row>
    <row r="92" spans="1:7">
      <c r="A92">
        <v>91</v>
      </c>
      <c r="B92" s="48" t="s">
        <v>248</v>
      </c>
      <c r="C92" s="5" t="s">
        <v>57</v>
      </c>
      <c r="D92" t="str" cm="1">
        <f t="array" ref="D92">_xlfn.IFS(OR(ISBLANK('Results'!E77),ISBLANK('Results'!F77)),"Winner 76",'Results'!E77&gt;'Results'!F77,'Results'!D77,'Results'!E77&lt;'Results'!F77,'Results'!G77,'Results'!E77='Results'!F77,'Results'!H77)</f>
        <v>Winner 76</v>
      </c>
      <c r="E92" t="str" cm="1">
        <f t="array" ref="E92">_xlfn.IFS(OR(ISBLANK('Results'!E79),ISBLANK('Results'!F79)),"Winner 78",'Results'!E79&gt;'Results'!F79,'Results'!D79,'Results'!E79&lt;'Results'!F79,'Results'!G79,'Results'!E79='Results'!F79,'Results'!H79)</f>
        <v>Winner 78</v>
      </c>
      <c r="F92" s="3" t="s">
        <v>89</v>
      </c>
      <c r="G92" s="3"/>
    </row>
    <row r="93" spans="1:7">
      <c r="A93">
        <v>92</v>
      </c>
      <c r="B93" s="48" t="s">
        <v>249</v>
      </c>
      <c r="C93" s="5" t="s">
        <v>57</v>
      </c>
      <c r="D93" t="str" cm="1">
        <f t="array" ref="D93">_xlfn.IFS(OR(ISBLANK('Results'!E80),ISBLANK('Results'!F80)),"Winner 79",'Results'!E80&gt;'Results'!F80,'Results'!D80,'Results'!E80&lt;'Results'!F80,'Results'!G80,'Results'!E80='Results'!F80,'Results'!H80)</f>
        <v>Winner 79</v>
      </c>
      <c r="E93" t="str" cm="1">
        <f t="array" ref="E93">_xlfn.IFS(OR(ISBLANK('Results'!E81),ISBLANK('Results'!F81)),"Winner 80",'Results'!E81&gt;'Results'!F81,'Results'!D81,'Results'!E81&lt;'Results'!F81,'Results'!G81,'Results'!E81='Results'!F81,'Results'!H81)</f>
        <v>Winner 80</v>
      </c>
      <c r="F93" s="3" t="s">
        <v>79</v>
      </c>
      <c r="G93" s="3"/>
    </row>
    <row r="94" spans="1:7">
      <c r="A94">
        <v>93</v>
      </c>
      <c r="B94" s="11">
        <v>46209.791666666664</v>
      </c>
      <c r="C94" s="5" t="s">
        <v>57</v>
      </c>
      <c r="D94" t="str" cm="1">
        <f t="array" ref="D94">_xlfn.IFS(OR(ISBLANK('Results'!E84),ISBLANK('Results'!F84)),"Winner 83",'Results'!E84&gt;'Results'!F84,'Results'!D84,'Results'!E84&lt;'Results'!F84,'Results'!G84,'Results'!E84='Results'!F84,'Results'!H84)</f>
        <v>Winner 83</v>
      </c>
      <c r="E94" t="str" cm="1">
        <f t="array" ref="E94">_xlfn.IFS(OR(ISBLANK('Results'!E85),ISBLANK('Results'!F85)),"Winner 84",'Results'!E85&gt;'Results'!F85,'Results'!D85,'Results'!E85&lt;'Results'!F85,'Results'!G85,'Results'!E85='Results'!F85,'Results'!H85)</f>
        <v>Winner 84</v>
      </c>
      <c r="F94" s="3" t="s">
        <v>94</v>
      </c>
      <c r="G94" s="3"/>
    </row>
    <row r="95" spans="1:7">
      <c r="A95">
        <v>94</v>
      </c>
      <c r="B95" s="48" t="s">
        <v>250</v>
      </c>
      <c r="C95" s="5" t="s">
        <v>57</v>
      </c>
      <c r="D95" t="str" cm="1">
        <f t="array" ref="D95">_xlfn.IFS(OR(ISBLANK('Results'!E82),ISBLANK('Results'!F82)),"Winner 81",'Results'!E82&gt;'Results'!F82,'Results'!D82,'Results'!E82&lt;'Results'!F82,'Results'!G82,'Results'!E82='Results'!F82,'Results'!H82)</f>
        <v>Winner 81</v>
      </c>
      <c r="E95" t="str" cm="1">
        <f t="array" ref="E95">_xlfn.IFS(OR(ISBLANK('Results'!E83),ISBLANK('Results'!F83)),"Winner 82",'Results'!E83&gt;'Results'!F83,'Results'!D83,'Results'!E83&lt;'Results'!F83,'Results'!G83,'Results'!E83='Results'!F83,'Results'!H83)</f>
        <v>Winner 82</v>
      </c>
      <c r="F95" s="3" t="s">
        <v>102</v>
      </c>
      <c r="G95" s="3"/>
    </row>
    <row r="96" spans="1:7">
      <c r="A96">
        <v>95</v>
      </c>
      <c r="B96" s="48" t="s">
        <v>251</v>
      </c>
      <c r="C96" s="5" t="s">
        <v>57</v>
      </c>
      <c r="D96" t="str" cm="1">
        <f t="array" ref="D96">_xlfn.IFS(OR(ISBLANK('Results'!E87),ISBLANK('Results'!F87)),"Winner 86",'Results'!E87&gt;'Results'!F87,'Results'!D87,'Results'!E87&lt;'Results'!F87,'Results'!G87,'Results'!E87='Results'!F87,'Results'!H87)</f>
        <v>Winner 86</v>
      </c>
      <c r="E96" t="str" cm="1">
        <f t="array" ref="E96">_xlfn.IFS(OR(ISBLANK('Results'!E89),ISBLANK('Results'!F89)),"Winner 88",'Results'!E89&gt;'Results'!F89,'Results'!D89,'Results'!E89&lt;'Results'!F89,'Results'!G89,'Results'!E89='Results'!F89,'Results'!H89)</f>
        <v>Winner 88</v>
      </c>
      <c r="F96" s="3" t="s">
        <v>99</v>
      </c>
      <c r="G96" s="3"/>
    </row>
    <row r="97" spans="1:7">
      <c r="A97">
        <v>96</v>
      </c>
      <c r="B97" s="48" t="s">
        <v>252</v>
      </c>
      <c r="C97" s="5" t="s">
        <v>57</v>
      </c>
      <c r="D97" t="str" cm="1">
        <f t="array" ref="D97">_xlfn.IFS(OR(ISBLANK('Results'!E86),ISBLANK('Results'!F86)),"Winner 85",'Results'!E86&gt;'Results'!F86,'Results'!D86,'Results'!E86&lt;'Results'!F86,'Results'!G86,'Results'!E86='Results'!F86,'Results'!H86)</f>
        <v>Winner 85</v>
      </c>
      <c r="E97" t="str" cm="1">
        <f t="array" ref="E97">_xlfn.IFS(OR(ISBLANK('Results'!E88),ISBLANK('Results'!F88)),"Winner 87",'Results'!E88&gt;'Results'!F88,'Results'!D88,'Results'!E88&lt;'Results'!F88,'Results'!G88,'Results'!E88='Results'!F88,'Results'!H88)</f>
        <v>Winner 87</v>
      </c>
      <c r="F97" s="3" t="s">
        <v>90</v>
      </c>
      <c r="G97" s="3"/>
    </row>
    <row r="98" spans="1:7">
      <c r="A98">
        <v>97</v>
      </c>
      <c r="B98" s="48" t="s">
        <v>253</v>
      </c>
      <c r="C98" s="5" t="s">
        <v>134</v>
      </c>
      <c r="D98" t="str" cm="1">
        <f t="array" ref="D98">_xlfn.IFS(OR(ISBLANK('Results'!E90),ISBLANK('Results'!F90)),"Winner 89",'Results'!E90&gt;'Results'!F90,'Results'!D90,'Results'!E90&lt;'Results'!F90,'Results'!G90,'Results'!E90='Results'!F90,'Results'!H90)</f>
        <v>Winner 89</v>
      </c>
      <c r="E98" t="str" cm="1">
        <f t="array" ref="E98">_xlfn.IFS(OR(ISBLANK('Results'!E91),ISBLANK('Results'!F91)),"Winner 90",'Results'!E91&gt;'Results'!F91,'Results'!D91,'Results'!E91&lt;'Results'!F91,'Results'!G91,'Results'!E91='Results'!F91,'Results'!H91)</f>
        <v>Winner 90</v>
      </c>
      <c r="F98" s="3" t="s">
        <v>87</v>
      </c>
      <c r="G98" s="3"/>
    </row>
    <row r="99" spans="1:7">
      <c r="A99">
        <v>98</v>
      </c>
      <c r="B99" s="11">
        <v>46213.791666666664</v>
      </c>
      <c r="C99" s="5" t="s">
        <v>134</v>
      </c>
      <c r="D99" t="str" cm="1">
        <f t="array" ref="D99">_xlfn.IFS(OR(ISBLANK('Results'!E94),ISBLANK('Results'!F94)),"Winner 93",'Results'!E94&gt;'Results'!F94,'Results'!D94,'Results'!E94&lt;'Results'!F94,'Results'!G94,'Results'!E94='Results'!F94,'Results'!H94)</f>
        <v>Winner 93</v>
      </c>
      <c r="E99" t="str" cm="1">
        <f t="array" ref="E99">_xlfn.IFS(OR(ISBLANK('Results'!E95),ISBLANK('Results'!F95)),"Winner 94",'Results'!E95&gt;'Results'!F95,'Results'!D95,'Results'!E95&lt;'Results'!F95,'Results'!G95,'Results'!E95='Results'!F95,'Results'!H95)</f>
        <v>Winner 94</v>
      </c>
      <c r="F99" s="3" t="s">
        <v>85</v>
      </c>
      <c r="G99" s="3"/>
    </row>
    <row r="100" spans="1:7">
      <c r="A100">
        <v>99</v>
      </c>
      <c r="B100" s="48" t="s">
        <v>234</v>
      </c>
      <c r="C100" s="5" t="s">
        <v>134</v>
      </c>
      <c r="D100" t="str" cm="1">
        <f t="array" ref="D100">_xlfn.IFS(OR(ISBLANK('Results'!E92),ISBLANK('Results'!F92)),"Winner 91",'Results'!E92&gt;'Results'!F92,'Results'!D92,'Results'!E92&lt;'Results'!F92,'Results'!G92,'Results'!E92='Results'!F92,'Results'!H92)</f>
        <v>Winner 91</v>
      </c>
      <c r="E100" t="str" cm="1">
        <f t="array" ref="E100">_xlfn.IFS(OR(ISBLANK('Results'!E93),ISBLANK('Results'!F93)),"Winner 92",'Results'!E93&gt;'Results'!F93,'Results'!D93,'Results'!E93&lt;'Results'!F93,'Results'!G93,'Results'!E93='Results'!F93,'Results'!H93)</f>
        <v>Winner 92</v>
      </c>
      <c r="F100" s="3" t="s">
        <v>103</v>
      </c>
      <c r="G100" s="3"/>
    </row>
    <row r="101" spans="1:7">
      <c r="A101">
        <v>100</v>
      </c>
      <c r="B101" s="48" t="s">
        <v>254</v>
      </c>
      <c r="C101" s="5" t="s">
        <v>134</v>
      </c>
      <c r="D101" t="str" cm="1">
        <f t="array" ref="D101">_xlfn.IFS(OR(ISBLANK('Results'!E96),ISBLANK('Results'!F96)),"Winner 95",'Results'!E96&gt;'Results'!F96,'Results'!D96,'Results'!E96&lt;'Results'!F96,'Results'!G96,'Results'!E96='Results'!F96,'Results'!H96)</f>
        <v>Winner 95</v>
      </c>
      <c r="E101" t="str" cm="1">
        <f t="array" ref="E101">_xlfn.IFS(OR(ISBLANK('Results'!E97),ISBLANK('Results'!F97)),"Winner 96",'Results'!E97&gt;'Results'!F97,'Results'!D97,'Results'!E97&lt;'Results'!F97,'Results'!G97,'Results'!E97='Results'!F97,'Results'!H97)</f>
        <v>Winner 96</v>
      </c>
      <c r="F101" s="3" t="s">
        <v>107</v>
      </c>
      <c r="G101" s="3"/>
    </row>
    <row r="102" spans="1:7">
      <c r="A102">
        <v>101</v>
      </c>
      <c r="B102" s="11">
        <v>46217.791666666664</v>
      </c>
      <c r="C102" s="5" t="s">
        <v>135</v>
      </c>
      <c r="D102" t="str" cm="1">
        <f t="array" ref="D102">_xlfn.IFS(OR(ISBLANK('Results'!E98),ISBLANK('Results'!F98)),"Winner 97",'Results'!E98&gt;'Results'!F98,'Results'!D98,'Results'!E98&lt;'Results'!F98,'Results'!G98,'Results'!E98='Results'!F98,'Results'!H98)</f>
        <v>Winner 97</v>
      </c>
      <c r="E102" t="str" cm="1">
        <f t="array" ref="E102">_xlfn.IFS(OR(ISBLANK('Results'!E99),ISBLANK('Results'!F99)),"Winner 98",'Results'!E99&gt;'Results'!F99,'Results'!D99,'Results'!E99&lt;'Results'!F99,'Results'!G99,'Results'!E99='Results'!F99,'Results'!H99)</f>
        <v>Winner 98</v>
      </c>
      <c r="F102" s="3" t="s">
        <v>94</v>
      </c>
      <c r="G102" s="3"/>
    </row>
    <row r="103" spans="1:7">
      <c r="A103">
        <v>102</v>
      </c>
      <c r="B103" s="11">
        <v>46218.791666666664</v>
      </c>
      <c r="C103" s="5" t="s">
        <v>135</v>
      </c>
      <c r="D103" t="str" cm="1">
        <f t="array" ref="D103">_xlfn.IFS(OR(ISBLANK('Results'!E100),ISBLANK('Results'!F100)),"Winner 99",'Results'!E100&gt;'Results'!F100,'Results'!D100,'Results'!E100&lt;'Results'!F100,'Results'!G100,'Results'!E100='Results'!F100,'Results'!H100)</f>
        <v>Winner 99</v>
      </c>
      <c r="E103" t="str" cm="1">
        <f t="array" ref="E103">_xlfn.IFS(OR(ISBLANK('Results'!E101),ISBLANK('Results'!F101)),"Winner 100",'Results'!E101&gt;'Results'!F101,'Results'!D101,'Results'!E101&lt;'Results'!F101,'Results'!G101,'Results'!E101='Results'!F101,'Results'!H101)</f>
        <v>Winner 100</v>
      </c>
      <c r="F103" s="3" t="s">
        <v>99</v>
      </c>
      <c r="G103" s="3"/>
    </row>
    <row r="104" spans="1:7">
      <c r="A104">
        <v>103</v>
      </c>
      <c r="B104" s="48" t="s">
        <v>255</v>
      </c>
      <c r="C104" s="5" t="s">
        <v>136</v>
      </c>
      <c r="D104" t="str" cm="1">
        <f t="array" ref="D104">_xlfn.IFS(OR(ISBLANK('Results'!E102),ISBLANK('Results'!F102)),"Loser 101",'Results'!E102&lt;'Results'!F102,'Results'!D102,'Results'!E102&gt;'Results'!F102,'Results'!G102,'Results'!E102='Results'!F102,'Results'!H102)</f>
        <v>Loser 101</v>
      </c>
      <c r="E104" t="str" cm="1">
        <f t="array" ref="E104">_xlfn.IFS(OR(ISBLANK('Results'!E103),ISBLANK('Results'!F103)),"Loser 102",'Results'!E103&lt;'Results'!F103,'Results'!D103,'Results'!E103&gt;'Results'!F103,'Results'!G103,'Results'!E103='Results'!F103,'Results'!H103)</f>
        <v>Loser 102</v>
      </c>
      <c r="F104" s="3" t="s">
        <v>103</v>
      </c>
      <c r="G104" s="3"/>
    </row>
    <row r="105" spans="1:7">
      <c r="A105">
        <v>104</v>
      </c>
      <c r="B105" s="11">
        <v>46222.791666666664</v>
      </c>
      <c r="C105" s="5" t="s">
        <v>58</v>
      </c>
      <c r="D105" t="str" cm="1">
        <f t="array" ref="D105">_xlfn.IFS(OR(ISBLANK('Results'!E102),ISBLANK('Results'!F102)),"Winner 101",'Results'!E102&gt;'Results'!F102,'Results'!D102,'Results'!E102&lt;'Results'!F102,'Results'!G102,'Results'!E102='Results'!F102,'Results'!H102)</f>
        <v>Winner 101</v>
      </c>
      <c r="E105" t="str" cm="1">
        <f t="array" ref="E105">_xlfn.IFS(OR(ISBLANK('Results'!E103),ISBLANK('Results'!F103)),"Winner 102",'Results'!E103&gt;'Results'!F103,'Results'!D103,'Results'!E103&lt;'Results'!F103,'Results'!G103,'Results'!E103='Results'!F103,'Results'!H103)</f>
        <v>Winner 102</v>
      </c>
      <c r="F105" s="3" t="s">
        <v>89</v>
      </c>
      <c r="G105" s="3"/>
    </row>
  </sheetData>
  <conditionalFormatting sqref="D1:E73 D90:E105">
    <cfRule type="containsBlanks" dxfId="1" priority="6">
      <formula>LEN(TRIM(D1))=0</formula>
    </cfRule>
  </conditionalFormatting>
  <pageMargins left="0.7" right="0.7" top="0.75" bottom="0.75" header="0.3" footer="0.3"/>
  <pageSetup scale="74" fitToHeight="0"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5E3BD539-4B18-454F-8690-5FC56A41E1D1}">
          <x14:formula1>
            <xm:f>'Countries'!$A:$A</xm:f>
          </x14:formula1>
          <xm:sqref>D106:E1048576 D2:E73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7736F-A29F-4EFB-BCCC-11495E6905D6}">
  <sheetPr>
    <pageSetUpPr fitToPage="1"/>
  </sheetPr>
  <dimension ref="A1:N105"/>
  <sheetViews>
    <sheetView workbookViewId="0">
      <pane ySplit="1" topLeftCell="A2" activePane="bottomLeft" state="frozen"/>
      <selection activeCell="C1" sqref="C1"/>
      <selection pane="bottomLeft" activeCell="A2" sqref="A2"/>
    </sheetView>
  </sheetViews>
  <sheetFormatPr defaultColWidth="10.5546875" defaultRowHeight="14.4"/>
  <cols>
    <col min="1" max="1" width="10" bestFit="1" customWidth="1"/>
    <col min="2" max="2" width="17.77734375" style="11" bestFit="1" customWidth="1"/>
    <col min="3" max="3" width="18.21875" style="4" bestFit="1" customWidth="1"/>
    <col min="4" max="4" width="21.77734375" style="3" bestFit="1" customWidth="1"/>
    <col min="5" max="6" width="8.88671875" bestFit="1" customWidth="1"/>
    <col min="7" max="7" width="21.77734375" style="3" bestFit="1" customWidth="1"/>
    <col min="8" max="8" width="35.77734375" style="3" bestFit="1" customWidth="1"/>
    <col min="9" max="9" width="1.109375" hidden="1" customWidth="1"/>
    <col min="10" max="10" width="8.5546875" bestFit="1" customWidth="1"/>
    <col min="12" max="12" width="8.77734375" bestFit="1" customWidth="1"/>
    <col min="13" max="13" width="16" customWidth="1"/>
    <col min="14" max="14" width="6.33203125" bestFit="1" customWidth="1"/>
  </cols>
  <sheetData>
    <row r="1" spans="1:14" ht="14.4" customHeight="1">
      <c r="A1" t="s">
        <v>50</v>
      </c>
      <c r="B1" s="11" t="s">
        <v>51</v>
      </c>
      <c r="C1" s="25" t="s">
        <v>52</v>
      </c>
      <c r="D1" s="26" t="s">
        <v>53</v>
      </c>
      <c r="E1" s="18" t="s">
        <v>59</v>
      </c>
      <c r="F1" s="18" t="s">
        <v>60</v>
      </c>
      <c r="G1" s="26" t="s">
        <v>54</v>
      </c>
      <c r="H1" s="26" t="s">
        <v>198</v>
      </c>
      <c r="I1" s="26" t="s">
        <v>68</v>
      </c>
      <c r="J1" s="26" t="s">
        <v>69</v>
      </c>
      <c r="L1" s="51"/>
      <c r="M1" s="51"/>
    </row>
    <row r="2" spans="1:14" ht="14.4" customHeight="1">
      <c r="A2">
        <f>Fixtures!A2</f>
        <v>1</v>
      </c>
      <c r="B2" s="11">
        <f>Fixtures!B2</f>
        <v>46184.791666666664</v>
      </c>
      <c r="C2" s="4" t="str">
        <f>Fixtures!C2</f>
        <v>Group A</v>
      </c>
      <c r="D2" s="3" t="str">
        <f>Fixtures!D2</f>
        <v>Mexico</v>
      </c>
      <c r="E2">
        <f>IF((_xlfn.XLOOKUP(Benchmark[[#This Row],[Team1]],Countries[Country],Countries[FIFA Ranking],,0)&lt;(_xlfn.XLOOKUP(Benchmark[[#This Row],[Team2]],Countries[Country],Countries[FIFA Ranking],,0))),1,0)</f>
        <v>1</v>
      </c>
      <c r="F2">
        <f>IF((_xlfn.XLOOKUP(Benchmark[[#This Row],[Team1]],Countries[Country],Countries[FIFA Ranking],,0)&gt;(_xlfn.XLOOKUP(Benchmark[[#This Row],[Team2]],Countries[Country],Countries[FIFA Ranking],,0))),1,0)</f>
        <v>0</v>
      </c>
      <c r="G2" s="3" t="str">
        <f>Fixtures!E2</f>
        <v>South Africa</v>
      </c>
      <c r="H2" s="3" t="str">
        <f>Fixtures!F2</f>
        <v>Mexico City, Estadio Azteca</v>
      </c>
      <c r="I2" s="3"/>
      <c r="J2" cm="1">
        <f t="array" ref="J2">_xlfn.IFS(OR(ISBLANK('Results'!E2),ISBLANK('Results'!F2)),0,OR(ISBLANK(E2),ISBLANK(F2)),0,AND(E2='Results'!E2,F2='Results'!F2),Rules!$K$29,_xlfn.XOR(AND(E2&gt;F2,'Results'!E2&gt;'Results'!F2),AND(E2&lt;F2,'Results'!E2&lt;'Results'!F2),AND(E2=F2,'Results'!E2='Results'!F2)),Rules!$K$30,TRUE,0)</f>
        <v>0</v>
      </c>
      <c r="K2" s="2"/>
      <c r="L2" s="79" t="s">
        <v>143</v>
      </c>
      <c r="M2" s="79"/>
    </row>
    <row r="3" spans="1:14">
      <c r="A3">
        <f>Fixtures!A3</f>
        <v>2</v>
      </c>
      <c r="B3" s="11">
        <f>Fixtures!B3</f>
        <v>46185.083333333336</v>
      </c>
      <c r="C3" s="4" t="str">
        <f>Fixtures!C3</f>
        <v>Group A</v>
      </c>
      <c r="D3" s="3" t="str">
        <f>Fixtures!D3</f>
        <v>Korea Republic</v>
      </c>
      <c r="E3">
        <f>IF((_xlfn.XLOOKUP(Benchmark[[#This Row],[Team1]],Countries[Country],Countries[FIFA Ranking],,0)&lt;(_xlfn.XLOOKUP(Benchmark[[#This Row],[Team2]],Countries[Country],Countries[FIFA Ranking],,0))),1,0)</f>
        <v>1</v>
      </c>
      <c r="F3">
        <f>IF((_xlfn.XLOOKUP(Benchmark[[#This Row],[Team1]],Countries[Country],Countries[FIFA Ranking],,0)&gt;(_xlfn.XLOOKUP(Benchmark[[#This Row],[Team2]],Countries[Country],Countries[FIFA Ranking],,0))),1,0)</f>
        <v>0</v>
      </c>
      <c r="G3" s="3" t="str">
        <f>Fixtures!E3</f>
        <v>Czechia</v>
      </c>
      <c r="H3" s="3" t="str">
        <f>Fixtures!F3</f>
        <v>Guadalajara, Estadio Akron</v>
      </c>
      <c r="I3" s="3"/>
      <c r="J3" cm="1">
        <f t="array" ref="J3">_xlfn.IFS(OR(ISBLANK('Results'!E3),ISBLANK('Results'!F3)),0,OR(ISBLANK(E3),ISBLANK(F3)),0,AND(E3='Results'!E3,F3='Results'!F3),Rules!$K$29,_xlfn.XOR(AND(E3&gt;F3,'Results'!E3&gt;'Results'!F3),AND(E3&lt;F3,'Results'!E3&lt;'Results'!F3),AND(E3=F3,'Results'!E3='Results'!F3)),Rules!$K$30,TRUE,0)</f>
        <v>0</v>
      </c>
      <c r="L3" s="80"/>
      <c r="M3" s="80"/>
      <c r="N3" t="s">
        <v>69</v>
      </c>
    </row>
    <row r="4" spans="1:14">
      <c r="A4">
        <f>Fixtures!A4</f>
        <v>3</v>
      </c>
      <c r="B4" s="11">
        <f>Fixtures!B4</f>
        <v>46185.791666666664</v>
      </c>
      <c r="C4" s="4" t="str">
        <f>Fixtures!C4</f>
        <v>Group B</v>
      </c>
      <c r="D4" s="3" t="str">
        <f>Fixtures!D4</f>
        <v>Canada</v>
      </c>
      <c r="E4">
        <f>IF((_xlfn.XLOOKUP(Benchmark[[#This Row],[Team1]],Countries[Country],Countries[FIFA Ranking],,0)&lt;(_xlfn.XLOOKUP(Benchmark[[#This Row],[Team2]],Countries[Country],Countries[FIFA Ranking],,0))),1,0)</f>
        <v>1</v>
      </c>
      <c r="F4">
        <f>IF((_xlfn.XLOOKUP(Benchmark[[#This Row],[Team1]],Countries[Country],Countries[FIFA Ranking],,0)&gt;(_xlfn.XLOOKUP(Benchmark[[#This Row],[Team2]],Countries[Country],Countries[FIFA Ranking],,0))),1,0)</f>
        <v>0</v>
      </c>
      <c r="G4" s="3" t="str">
        <f>Fixtures!E4</f>
        <v>Bosnia and Herzegovina</v>
      </c>
      <c r="H4" s="3" t="str">
        <f>Fixtures!F4</f>
        <v>Toronto, BMO Field</v>
      </c>
      <c r="I4" s="3"/>
      <c r="J4" cm="1">
        <f t="array" ref="J4">_xlfn.IFS(OR(ISBLANK('Results'!E4),ISBLANK('Results'!F4)),0,OR(ISBLANK(E4),ISBLANK(F4)),0,AND(E4='Results'!E4,F4='Results'!F4),Rules!$K$29,_xlfn.XOR(AND(E4&gt;F4,'Results'!E4&gt;'Results'!F4),AND(E4&lt;F4,'Results'!E4&lt;'Results'!F4),AND(E4=F4,'Results'!E4='Results'!F4)),Rules!$K$30,TRUE,0)</f>
        <v>0</v>
      </c>
      <c r="L4" s="81" t="s">
        <v>188</v>
      </c>
      <c r="M4" s="82"/>
    </row>
    <row r="5" spans="1:14">
      <c r="A5">
        <f>Fixtures!A5</f>
        <v>4</v>
      </c>
      <c r="B5" s="11">
        <f>Fixtures!B5</f>
        <v>46186.041666666664</v>
      </c>
      <c r="C5" s="4" t="str">
        <f>Fixtures!C5</f>
        <v>Group D</v>
      </c>
      <c r="D5" s="3" t="str">
        <f>Fixtures!D5</f>
        <v>USA</v>
      </c>
      <c r="E5">
        <f>IF((_xlfn.XLOOKUP(Benchmark[[#This Row],[Team1]],Countries[Country],Countries[FIFA Ranking],,0)&lt;(_xlfn.XLOOKUP(Benchmark[[#This Row],[Team2]],Countries[Country],Countries[FIFA Ranking],,0))),1,0)</f>
        <v>1</v>
      </c>
      <c r="F5">
        <f>IF((_xlfn.XLOOKUP(Benchmark[[#This Row],[Team1]],Countries[Country],Countries[FIFA Ranking],,0)&gt;(_xlfn.XLOOKUP(Benchmark[[#This Row],[Team2]],Countries[Country],Countries[FIFA Ranking],,0))),1,0)</f>
        <v>0</v>
      </c>
      <c r="G5" s="3" t="str">
        <f>Fixtures!E5</f>
        <v>Paraguay</v>
      </c>
      <c r="H5" s="3" t="str">
        <f>Fixtures!F5</f>
        <v>Los Angeles, SoFi Stadium</v>
      </c>
      <c r="I5" s="3"/>
      <c r="J5" cm="1">
        <f t="array" ref="J5">_xlfn.IFS(OR(ISBLANK('Results'!E5),ISBLANK('Results'!F5)),0,OR(ISBLANK(E5),ISBLANK(F5)),0,AND(E5='Results'!E5,F5='Results'!F5),Rules!$K$29,_xlfn.XOR(AND(E5&gt;F5,'Results'!E5&gt;'Results'!F5),AND(E5&lt;F5,'Results'!E5&lt;'Results'!F5),AND(E5=F5,'Results'!E5='Results'!F5)),Rules!$K$30,TRUE,0)</f>
        <v>0</v>
      </c>
      <c r="L5" s="31" t="s">
        <v>1</v>
      </c>
      <c r="M5" s="32" t="s">
        <v>61</v>
      </c>
    </row>
    <row r="6" spans="1:14">
      <c r="A6">
        <f>Fixtures!A6</f>
        <v>5</v>
      </c>
      <c r="B6" s="11">
        <f>Fixtures!B6</f>
        <v>46186.791666666664</v>
      </c>
      <c r="C6" s="4" t="str">
        <f>Fixtures!C6</f>
        <v>Group B</v>
      </c>
      <c r="D6" s="3" t="str">
        <f>Fixtures!D6</f>
        <v>Qatar</v>
      </c>
      <c r="E6">
        <f>IF((_xlfn.XLOOKUP(Benchmark[[#This Row],[Team1]],Countries[Country],Countries[FIFA Ranking],,0)&lt;(_xlfn.XLOOKUP(Benchmark[[#This Row],[Team2]],Countries[Country],Countries[FIFA Ranking],,0))),1,0)</f>
        <v>0</v>
      </c>
      <c r="F6">
        <f>IF((_xlfn.XLOOKUP(Benchmark[[#This Row],[Team1]],Countries[Country],Countries[FIFA Ranking],,0)&gt;(_xlfn.XLOOKUP(Benchmark[[#This Row],[Team2]],Countries[Country],Countries[FIFA Ranking],,0))),1,0)</f>
        <v>1</v>
      </c>
      <c r="G6" s="3" t="str">
        <f>Fixtures!E6</f>
        <v>Switzerland</v>
      </c>
      <c r="H6" s="3" t="str">
        <f>Fixtures!F6</f>
        <v>San Francisco, Levi's Stadium</v>
      </c>
      <c r="I6" s="3"/>
      <c r="J6" cm="1">
        <f t="array" ref="J6">_xlfn.IFS(OR(ISBLANK('Results'!E6),ISBLANK('Results'!F6)),0,OR(ISBLANK(E6),ISBLANK(F6)),0,AND(E6='Results'!E6,F6='Results'!F6),Rules!$K$29,_xlfn.XOR(AND(E6&gt;F6,'Results'!E6&gt;'Results'!F6),AND(E6&lt;F6,'Results'!E6&lt;'Results'!F6),AND(E6=F6,'Results'!E6='Results'!F6)),Rules!$K$30,TRUE,0)</f>
        <v>0</v>
      </c>
      <c r="L6" s="28" t="s">
        <v>7</v>
      </c>
      <c r="M6" s="29" t="str" cm="1">
        <f t="array" ref="M6">INDEX(Countries[Country],MATCH(_xlfn.MINIFS(Countries[FIFA Ranking],Countries[Group],L6),IF(Countries[Group]=L6,Countries[FIFA Ranking]),0))</f>
        <v>Mexico</v>
      </c>
      <c r="N6" s="1" cm="1">
        <f t="array" ref="N6">_xlfn.IFS(OR(ISBLANK(M6),ISBLANK('Results'!K6)),0,M6='Results'!K6,Rules!$K$38,TRUE,0)</f>
        <v>0</v>
      </c>
    </row>
    <row r="7" spans="1:14">
      <c r="A7">
        <f>Fixtures!A7</f>
        <v>6</v>
      </c>
      <c r="B7" s="11">
        <f>Fixtures!B7</f>
        <v>46186.916666666664</v>
      </c>
      <c r="C7" s="4" t="str">
        <f>Fixtures!C7</f>
        <v>Group C</v>
      </c>
      <c r="D7" s="3" t="str">
        <f>Fixtures!D7</f>
        <v>Brazil</v>
      </c>
      <c r="E7">
        <f>IF((_xlfn.XLOOKUP(Benchmark[[#This Row],[Team1]],Countries[Country],Countries[FIFA Ranking],,0)&lt;(_xlfn.XLOOKUP(Benchmark[[#This Row],[Team2]],Countries[Country],Countries[FIFA Ranking],,0))),1,0)</f>
        <v>1</v>
      </c>
      <c r="F7">
        <f>IF((_xlfn.XLOOKUP(Benchmark[[#This Row],[Team1]],Countries[Country],Countries[FIFA Ranking],,0)&gt;(_xlfn.XLOOKUP(Benchmark[[#This Row],[Team2]],Countries[Country],Countries[FIFA Ranking],,0))),1,0)</f>
        <v>0</v>
      </c>
      <c r="G7" s="3" t="str">
        <f>Fixtures!E7</f>
        <v>Morocco</v>
      </c>
      <c r="H7" s="3" t="str">
        <f>Fixtures!F7</f>
        <v>New York/New Jersey, MetLife Stadium</v>
      </c>
      <c r="I7" s="3"/>
      <c r="J7" cm="1">
        <f t="array" ref="J7">_xlfn.IFS(OR(ISBLANK('Results'!E7),ISBLANK('Results'!F7)),0,OR(ISBLANK(E7),ISBLANK(F7)),0,AND(E7='Results'!E7,F7='Results'!F7),Rules!$K$29,_xlfn.XOR(AND(E7&gt;F7,'Results'!E7&gt;'Results'!F7),AND(E7&lt;F7,'Results'!E7&lt;'Results'!F7),AND(E7=F7,'Results'!E7='Results'!F7)),Rules!$K$30,TRUE,0)</f>
        <v>0</v>
      </c>
      <c r="L7" s="28" t="s">
        <v>8</v>
      </c>
      <c r="M7" s="29" t="str" cm="1">
        <f t="array" ref="M7">INDEX(Countries[Country],MATCH(_xlfn.MINIFS(Countries[FIFA Ranking],Countries[Group],L7),IF(Countries[Group]=L7,Countries[FIFA Ranking]),0))</f>
        <v>Switzerland</v>
      </c>
      <c r="N7" s="1" cm="1">
        <f t="array" ref="N7">_xlfn.IFS(OR(ISBLANK(M7),ISBLANK('Results'!K7)),0,M7='Results'!K7,Rules!$K$38,TRUE,0)</f>
        <v>0</v>
      </c>
    </row>
    <row r="8" spans="1:14">
      <c r="A8">
        <f>Fixtures!A8</f>
        <v>7</v>
      </c>
      <c r="B8" s="11">
        <f>Fixtures!B8</f>
        <v>46187.041666666664</v>
      </c>
      <c r="C8" s="4" t="str">
        <f>Fixtures!C8</f>
        <v>Group C</v>
      </c>
      <c r="D8" s="3" t="str">
        <f>Fixtures!D8</f>
        <v>Haiti</v>
      </c>
      <c r="E8">
        <f>IF((_xlfn.XLOOKUP(Benchmark[[#This Row],[Team1]],Countries[Country],Countries[FIFA Ranking],,0)&lt;(_xlfn.XLOOKUP(Benchmark[[#This Row],[Team2]],Countries[Country],Countries[FIFA Ranking],,0))),1,0)</f>
        <v>0</v>
      </c>
      <c r="F8">
        <f>IF((_xlfn.XLOOKUP(Benchmark[[#This Row],[Team1]],Countries[Country],Countries[FIFA Ranking],,0)&gt;(_xlfn.XLOOKUP(Benchmark[[#This Row],[Team2]],Countries[Country],Countries[FIFA Ranking],,0))),1,0)</f>
        <v>1</v>
      </c>
      <c r="G8" s="3" t="str">
        <f>Fixtures!E8</f>
        <v>Scotland</v>
      </c>
      <c r="H8" s="3" t="str">
        <f>Fixtures!F8</f>
        <v>Boston, Gillette Stadium</v>
      </c>
      <c r="I8" s="3"/>
      <c r="J8" cm="1">
        <f t="array" ref="J8">_xlfn.IFS(OR(ISBLANK('Results'!E8),ISBLANK('Results'!F8)),0,OR(ISBLANK(E8),ISBLANK(F8)),0,AND(E8='Results'!E8,F8='Results'!F8),Rules!$K$29,_xlfn.XOR(AND(E8&gt;F8,'Results'!E8&gt;'Results'!F8),AND(E8&lt;F8,'Results'!E8&lt;'Results'!F8),AND(E8=F8,'Results'!E8='Results'!F8)),Rules!$K$30,TRUE,0)</f>
        <v>0</v>
      </c>
      <c r="L8" s="28" t="s">
        <v>10</v>
      </c>
      <c r="M8" s="29" t="str" cm="1">
        <f t="array" ref="M8">INDEX(Countries[Country],MATCH(_xlfn.MINIFS(Countries[FIFA Ranking],Countries[Group],L8),IF(Countries[Group]=L8,Countries[FIFA Ranking]),0))</f>
        <v>Brazil</v>
      </c>
      <c r="N8" s="1" cm="1">
        <f t="array" ref="N8">_xlfn.IFS(OR(ISBLANK(M8),ISBLANK('Results'!K8)),0,M8='Results'!K8,Rules!$K$38,TRUE,0)</f>
        <v>0</v>
      </c>
    </row>
    <row r="9" spans="1:14">
      <c r="A9">
        <f>Fixtures!A9</f>
        <v>8</v>
      </c>
      <c r="B9" s="11">
        <f>Fixtures!B9</f>
        <v>46187.166666666664</v>
      </c>
      <c r="C9" s="4" t="str">
        <f>Fixtures!C9</f>
        <v>Group D</v>
      </c>
      <c r="D9" s="3" t="str">
        <f>Fixtures!D9</f>
        <v>Australia</v>
      </c>
      <c r="E9">
        <f>IF((_xlfn.XLOOKUP(Benchmark[[#This Row],[Team1]],Countries[Country],Countries[FIFA Ranking],,0)&lt;(_xlfn.XLOOKUP(Benchmark[[#This Row],[Team2]],Countries[Country],Countries[FIFA Ranking],,0))),1,0)</f>
        <v>0</v>
      </c>
      <c r="F9">
        <f>IF((_xlfn.XLOOKUP(Benchmark[[#This Row],[Team1]],Countries[Country],Countries[FIFA Ranking],,0)&gt;(_xlfn.XLOOKUP(Benchmark[[#This Row],[Team2]],Countries[Country],Countries[FIFA Ranking],,0))),1,0)</f>
        <v>1</v>
      </c>
      <c r="G9" s="3" t="str">
        <f>Fixtures!E9</f>
        <v>Türkiye</v>
      </c>
      <c r="H9" s="3" t="str">
        <f>Fixtures!F9</f>
        <v>Vancouver, BC Place</v>
      </c>
      <c r="I9" s="3"/>
      <c r="J9" cm="1">
        <f t="array" ref="J9">_xlfn.IFS(OR(ISBLANK('Results'!E9),ISBLANK('Results'!F9)),0,OR(ISBLANK(E9),ISBLANK(F9)),0,AND(E9='Results'!E9,F9='Results'!F9),Rules!$K$29,_xlfn.XOR(AND(E9&gt;F9,'Results'!E9&gt;'Results'!F9),AND(E9&lt;F9,'Results'!E9&lt;'Results'!F9),AND(E9=F9,'Results'!E9='Results'!F9)),Rules!$K$30,TRUE,0)</f>
        <v>0</v>
      </c>
      <c r="L9" s="28" t="s">
        <v>6</v>
      </c>
      <c r="M9" s="29" t="str" cm="1">
        <f t="array" ref="M9">INDEX(Countries[Country],MATCH(_xlfn.MINIFS(Countries[FIFA Ranking],Countries[Group],L9),IF(Countries[Group]=L9,Countries[FIFA Ranking]),0))</f>
        <v>USA</v>
      </c>
      <c r="N9" s="1" cm="1">
        <f t="array" ref="N9">_xlfn.IFS(OR(ISBLANK(M9),ISBLANK('Results'!K9)),0,M9='Results'!K9,Rules!$K$38,TRUE,0)</f>
        <v>0</v>
      </c>
    </row>
    <row r="10" spans="1:14">
      <c r="A10">
        <f>Fixtures!A10</f>
        <v>9</v>
      </c>
      <c r="B10" s="11">
        <f>Fixtures!B10</f>
        <v>46187.708333333336</v>
      </c>
      <c r="C10" s="4" t="str">
        <f>Fixtures!C10</f>
        <v>Group E</v>
      </c>
      <c r="D10" s="3" t="str">
        <f>Fixtures!D10</f>
        <v>Germany</v>
      </c>
      <c r="E10">
        <f>IF((_xlfn.XLOOKUP(Benchmark[[#This Row],[Team1]],Countries[Country],Countries[FIFA Ranking],,0)&lt;(_xlfn.XLOOKUP(Benchmark[[#This Row],[Team2]],Countries[Country],Countries[FIFA Ranking],,0))),1,0)</f>
        <v>1</v>
      </c>
      <c r="F10">
        <f>IF((_xlfn.XLOOKUP(Benchmark[[#This Row],[Team1]],Countries[Country],Countries[FIFA Ranking],,0)&gt;(_xlfn.XLOOKUP(Benchmark[[#This Row],[Team2]],Countries[Country],Countries[FIFA Ranking],,0))),1,0)</f>
        <v>0</v>
      </c>
      <c r="G10" s="3" t="str">
        <f>Fixtures!E10</f>
        <v>Curaçao</v>
      </c>
      <c r="H10" s="3" t="str">
        <f>Fixtures!F10</f>
        <v>Houston, NRG Stadium</v>
      </c>
      <c r="I10" s="3"/>
      <c r="J10" cm="1">
        <f t="array" ref="J10">_xlfn.IFS(OR(ISBLANK('Results'!E10),ISBLANK('Results'!F10)),0,OR(ISBLANK(E10),ISBLANK(F10)),0,AND(E10='Results'!E10,F10='Results'!F10),Rules!$K$29,_xlfn.XOR(AND(E10&gt;F10,'Results'!E10&gt;'Results'!F10),AND(E10&lt;F10,'Results'!E10&lt;'Results'!F10),AND(E10=F10,'Results'!E10='Results'!F10)),Rules!$K$30,TRUE,0)</f>
        <v>0</v>
      </c>
      <c r="L10" s="28" t="s">
        <v>13</v>
      </c>
      <c r="M10" s="29" t="str" cm="1">
        <f t="array" ref="M10">INDEX(Countries[Country],MATCH(_xlfn.MINIFS(Countries[FIFA Ranking],Countries[Group],L10),IF(Countries[Group]=L10,Countries[FIFA Ranking]),0))</f>
        <v>Germany</v>
      </c>
      <c r="N10" s="1" cm="1">
        <f t="array" ref="N10">_xlfn.IFS(OR(ISBLANK(M10),ISBLANK('Results'!K10)),0,M10='Results'!K10,Rules!$K$38,TRUE,0)</f>
        <v>0</v>
      </c>
    </row>
    <row r="11" spans="1:14">
      <c r="A11">
        <f>Fixtures!A11</f>
        <v>10</v>
      </c>
      <c r="B11" s="11">
        <f>Fixtures!B11</f>
        <v>46187.833333333336</v>
      </c>
      <c r="C11" s="4" t="str">
        <f>Fixtures!C11</f>
        <v>Group F</v>
      </c>
      <c r="D11" s="3" t="str">
        <f>Fixtures!D11</f>
        <v>Netherlands</v>
      </c>
      <c r="E11">
        <f>IF((_xlfn.XLOOKUP(Benchmark[[#This Row],[Team1]],Countries[Country],Countries[FIFA Ranking],,0)&lt;(_xlfn.XLOOKUP(Benchmark[[#This Row],[Team2]],Countries[Country],Countries[FIFA Ranking],,0))),1,0)</f>
        <v>1</v>
      </c>
      <c r="F11">
        <f>IF((_xlfn.XLOOKUP(Benchmark[[#This Row],[Team1]],Countries[Country],Countries[FIFA Ranking],,0)&gt;(_xlfn.XLOOKUP(Benchmark[[#This Row],[Team2]],Countries[Country],Countries[FIFA Ranking],,0))),1,0)</f>
        <v>0</v>
      </c>
      <c r="G11" s="3" t="str">
        <f>Fixtures!E11</f>
        <v>Japan</v>
      </c>
      <c r="H11" s="3" t="str">
        <f>Fixtures!F11</f>
        <v>Dallas, AT&amp;T Stadium</v>
      </c>
      <c r="I11" s="3"/>
      <c r="J11" cm="1">
        <f t="array" ref="J11">_xlfn.IFS(OR(ISBLANK('Results'!E11),ISBLANK('Results'!F11)),0,OR(ISBLANK(E11),ISBLANK(F11)),0,AND(E11='Results'!E11,F11='Results'!F11),Rules!$K$29,_xlfn.XOR(AND(E11&gt;F11,'Results'!E11&gt;'Results'!F11),AND(E11&lt;F11,'Results'!E11&lt;'Results'!F11),AND(E11=F11,'Results'!E11='Results'!F11)),Rules!$K$30,TRUE,0)</f>
        <v>0</v>
      </c>
      <c r="L11" s="28" t="s">
        <v>15</v>
      </c>
      <c r="M11" s="29" t="str" cm="1">
        <f t="array" ref="M11">INDEX(Countries[Country],MATCH(_xlfn.MINIFS(Countries[FIFA Ranking],Countries[Group],L11),IF(Countries[Group]=L11,Countries[FIFA Ranking]),0))</f>
        <v>Netherlands</v>
      </c>
      <c r="N11" s="1" cm="1">
        <f t="array" ref="N11">_xlfn.IFS(OR(ISBLANK(M11),ISBLANK('Results'!K11)),0,M11='Results'!K11,Rules!$K$38,TRUE,0)</f>
        <v>0</v>
      </c>
    </row>
    <row r="12" spans="1:14">
      <c r="A12">
        <f>Fixtures!A12</f>
        <v>11</v>
      </c>
      <c r="B12" s="11">
        <f>Fixtures!B12</f>
        <v>46187.958333333336</v>
      </c>
      <c r="C12" s="4" t="str">
        <f>Fixtures!C12</f>
        <v>Group E</v>
      </c>
      <c r="D12" s="3" t="str">
        <f>Fixtures!D12</f>
        <v>Côte d'Ivoire</v>
      </c>
      <c r="E12">
        <f>IF((_xlfn.XLOOKUP(Benchmark[[#This Row],[Team1]],Countries[Country],Countries[FIFA Ranking],,0)&lt;(_xlfn.XLOOKUP(Benchmark[[#This Row],[Team2]],Countries[Country],Countries[FIFA Ranking],,0))),1,0)</f>
        <v>0</v>
      </c>
      <c r="F12">
        <f>IF((_xlfn.XLOOKUP(Benchmark[[#This Row],[Team1]],Countries[Country],Countries[FIFA Ranking],,0)&gt;(_xlfn.XLOOKUP(Benchmark[[#This Row],[Team2]],Countries[Country],Countries[FIFA Ranking],,0))),1,0)</f>
        <v>1</v>
      </c>
      <c r="G12" s="3" t="str">
        <f>Fixtures!E12</f>
        <v>Ecuador</v>
      </c>
      <c r="H12" s="3" t="str">
        <f>Fixtures!F12</f>
        <v>Philadelphia, Lincoln Financial Field</v>
      </c>
      <c r="I12" s="3"/>
      <c r="J12" cm="1">
        <f t="array" ref="J12">_xlfn.IFS(OR(ISBLANK('Results'!E12),ISBLANK('Results'!F12)),0,OR(ISBLANK(E12),ISBLANK(F12)),0,AND(E12='Results'!E12,F12='Results'!F12),Rules!$K$29,_xlfn.XOR(AND(E12&gt;F12,'Results'!E12&gt;'Results'!F12),AND(E12&lt;F12,'Results'!E12&lt;'Results'!F12),AND(E12=F12,'Results'!E12='Results'!F12)),Rules!$K$30,TRUE,0)</f>
        <v>0</v>
      </c>
      <c r="L12" s="28" t="s">
        <v>9</v>
      </c>
      <c r="M12" s="29" t="str" cm="1">
        <f t="array" ref="M12">INDEX(Countries[Country],MATCH(_xlfn.MINIFS(Countries[FIFA Ranking],Countries[Group],L12),IF(Countries[Group]=L12,Countries[FIFA Ranking]),0))</f>
        <v>Belgium</v>
      </c>
      <c r="N12" s="1" cm="1">
        <f t="array" ref="N12">_xlfn.IFS(OR(ISBLANK(M12),ISBLANK('Results'!K12)),0,M12='Results'!K12,Rules!$K$38,TRUE,0)</f>
        <v>0</v>
      </c>
    </row>
    <row r="13" spans="1:14">
      <c r="A13">
        <f>Fixtures!A13</f>
        <v>12</v>
      </c>
      <c r="B13" s="11">
        <f>Fixtures!B13</f>
        <v>46188.083333333336</v>
      </c>
      <c r="C13" s="4" t="str">
        <f>Fixtures!C13</f>
        <v>Group F</v>
      </c>
      <c r="D13" s="3" t="str">
        <f>Fixtures!D13</f>
        <v>Sweden</v>
      </c>
      <c r="E13">
        <f>IF((_xlfn.XLOOKUP(Benchmark[[#This Row],[Team1]],Countries[Country],Countries[FIFA Ranking],,0)&lt;(_xlfn.XLOOKUP(Benchmark[[#This Row],[Team2]],Countries[Country],Countries[FIFA Ranking],,0))),1,0)</f>
        <v>1</v>
      </c>
      <c r="F13">
        <f>IF((_xlfn.XLOOKUP(Benchmark[[#This Row],[Team1]],Countries[Country],Countries[FIFA Ranking],,0)&gt;(_xlfn.XLOOKUP(Benchmark[[#This Row],[Team2]],Countries[Country],Countries[FIFA Ranking],,0))),1,0)</f>
        <v>0</v>
      </c>
      <c r="G13" s="3" t="str">
        <f>Fixtures!E13</f>
        <v>Tunisia</v>
      </c>
      <c r="H13" s="3" t="str">
        <f>Fixtures!F13</f>
        <v>Monterrey, Estadio BBVA</v>
      </c>
      <c r="I13" s="3"/>
      <c r="J13" cm="1">
        <f t="array" ref="J13">_xlfn.IFS(OR(ISBLANK('Results'!E13),ISBLANK('Results'!F13)),0,OR(ISBLANK(E13),ISBLANK(F13)),0,AND(E13='Results'!E13,F13='Results'!F13),Rules!$K$29,_xlfn.XOR(AND(E13&gt;F13,'Results'!E13&gt;'Results'!F13),AND(E13&lt;F13,'Results'!E13&lt;'Results'!F13),AND(E13=F13,'Results'!E13='Results'!F13)),Rules!$K$30,TRUE,0)</f>
        <v>0</v>
      </c>
      <c r="L13" s="28" t="s">
        <v>14</v>
      </c>
      <c r="M13" s="29" t="str" cm="1">
        <f t="array" ref="M13">INDEX(Countries[Country],MATCH(_xlfn.MINIFS(Countries[FIFA Ranking],Countries[Group],L13),IF(Countries[Group]=L13,Countries[FIFA Ranking]),0))</f>
        <v>Spain</v>
      </c>
      <c r="N13" s="1" cm="1">
        <f t="array" ref="N13">_xlfn.IFS(OR(ISBLANK(M13),ISBLANK('Results'!K13)),0,M13='Results'!K13,Rules!$K$38,TRUE,0)</f>
        <v>0</v>
      </c>
    </row>
    <row r="14" spans="1:14">
      <c r="A14">
        <f>Fixtures!A14</f>
        <v>13</v>
      </c>
      <c r="B14" s="11">
        <f>Fixtures!B14</f>
        <v>46188.666666666664</v>
      </c>
      <c r="C14" s="4" t="str">
        <f>Fixtures!C14</f>
        <v>Group H</v>
      </c>
      <c r="D14" s="3" t="str">
        <f>Fixtures!D14</f>
        <v>Spain</v>
      </c>
      <c r="E14">
        <f>IF((_xlfn.XLOOKUP(Benchmark[[#This Row],[Team1]],Countries[Country],Countries[FIFA Ranking],,0)&lt;(_xlfn.XLOOKUP(Benchmark[[#This Row],[Team2]],Countries[Country],Countries[FIFA Ranking],,0))),1,0)</f>
        <v>1</v>
      </c>
      <c r="F14">
        <f>IF((_xlfn.XLOOKUP(Benchmark[[#This Row],[Team1]],Countries[Country],Countries[FIFA Ranking],,0)&gt;(_xlfn.XLOOKUP(Benchmark[[#This Row],[Team2]],Countries[Country],Countries[FIFA Ranking],,0))),1,0)</f>
        <v>0</v>
      </c>
      <c r="G14" s="3" t="str">
        <f>Fixtures!E14</f>
        <v>Cabo Verde</v>
      </c>
      <c r="H14" s="3" t="str">
        <f>Fixtures!F14</f>
        <v>Atlanta, Mercedes-Benz Stadium</v>
      </c>
      <c r="I14" s="3"/>
      <c r="J14" cm="1">
        <f t="array" ref="J14">_xlfn.IFS(OR(ISBLANK('Results'!E14),ISBLANK('Results'!F14)),0,OR(ISBLANK(E14),ISBLANK(F14)),0,AND(E14='Results'!E14,F14='Results'!F14),Rules!$K$29,_xlfn.XOR(AND(E14&gt;F14,'Results'!E14&gt;'Results'!F14),AND(E14&lt;F14,'Results'!E14&lt;'Results'!F14),AND(E14=F14,'Results'!E14='Results'!F14)),Rules!$K$30,TRUE,0)</f>
        <v>0</v>
      </c>
      <c r="L14" s="28" t="s">
        <v>21</v>
      </c>
      <c r="M14" s="29" t="str" cm="1">
        <f t="array" ref="M14">INDEX(Countries[Country],MATCH(_xlfn.MINIFS(Countries[FIFA Ranking],Countries[Group],L14),IF(Countries[Group]=L14,Countries[FIFA Ranking]),0))</f>
        <v>France</v>
      </c>
      <c r="N14" s="1" cm="1">
        <f t="array" ref="N14">_xlfn.IFS(OR(ISBLANK(M14),ISBLANK('Results'!K14)),0,M14='Results'!K14,Rules!$K$38,TRUE,0)</f>
        <v>0</v>
      </c>
    </row>
    <row r="15" spans="1:14">
      <c r="A15">
        <f>Fixtures!A15</f>
        <v>14</v>
      </c>
      <c r="B15" s="11">
        <f>Fixtures!B15</f>
        <v>46188.791666666664</v>
      </c>
      <c r="C15" s="4" t="str">
        <f>Fixtures!C15</f>
        <v>Group G</v>
      </c>
      <c r="D15" s="3" t="str">
        <f>Fixtures!D15</f>
        <v>Belgium</v>
      </c>
      <c r="E15">
        <f>IF((_xlfn.XLOOKUP(Benchmark[[#This Row],[Team1]],Countries[Country],Countries[FIFA Ranking],,0)&lt;(_xlfn.XLOOKUP(Benchmark[[#This Row],[Team2]],Countries[Country],Countries[FIFA Ranking],,0))),1,0)</f>
        <v>1</v>
      </c>
      <c r="F15">
        <f>IF((_xlfn.XLOOKUP(Benchmark[[#This Row],[Team1]],Countries[Country],Countries[FIFA Ranking],,0)&gt;(_xlfn.XLOOKUP(Benchmark[[#This Row],[Team2]],Countries[Country],Countries[FIFA Ranking],,0))),1,0)</f>
        <v>0</v>
      </c>
      <c r="G15" s="3" t="str">
        <f>Fixtures!E15</f>
        <v>Egypt</v>
      </c>
      <c r="H15" s="3" t="str">
        <f>Fixtures!F15</f>
        <v>Seattle, Lumen Field</v>
      </c>
      <c r="I15" s="3"/>
      <c r="J15" cm="1">
        <f t="array" ref="J15">_xlfn.IFS(OR(ISBLANK('Results'!E15),ISBLANK('Results'!F15)),0,OR(ISBLANK(E15),ISBLANK(F15)),0,AND(E15='Results'!E15,F15='Results'!F15),Rules!$K$29,_xlfn.XOR(AND(E15&gt;F15,'Results'!E15&gt;'Results'!F15),AND(E15&lt;F15,'Results'!E15&lt;'Results'!F15),AND(E15=F15,'Results'!E15='Results'!F15)),Rules!$K$30,TRUE,0)</f>
        <v>0</v>
      </c>
      <c r="L15" s="28" t="s">
        <v>3</v>
      </c>
      <c r="M15" s="29" t="str" cm="1">
        <f t="array" ref="M15">INDEX(Countries[Country],MATCH(_xlfn.MINIFS(Countries[FIFA Ranking],Countries[Group],L15),IF(Countries[Group]=L15,Countries[FIFA Ranking]),0))</f>
        <v>Argentina</v>
      </c>
      <c r="N15" s="1" cm="1">
        <f t="array" ref="N15">_xlfn.IFS(OR(ISBLANK(M15),ISBLANK('Results'!K15)),0,M15='Results'!K15,Rules!$K$38,TRUE,0)</f>
        <v>0</v>
      </c>
    </row>
    <row r="16" spans="1:14">
      <c r="A16">
        <f>Fixtures!A16</f>
        <v>15</v>
      </c>
      <c r="B16" s="11">
        <f>Fixtures!B16</f>
        <v>46188.916666666664</v>
      </c>
      <c r="C16" s="4" t="str">
        <f>Fixtures!C16</f>
        <v>Group H</v>
      </c>
      <c r="D16" s="3" t="str">
        <f>Fixtures!D16</f>
        <v>Saudi Arabia</v>
      </c>
      <c r="E16">
        <f>IF((_xlfn.XLOOKUP(Benchmark[[#This Row],[Team1]],Countries[Country],Countries[FIFA Ranking],,0)&lt;(_xlfn.XLOOKUP(Benchmark[[#This Row],[Team2]],Countries[Country],Countries[FIFA Ranking],,0))),1,0)</f>
        <v>0</v>
      </c>
      <c r="F16">
        <f>IF((_xlfn.XLOOKUP(Benchmark[[#This Row],[Team1]],Countries[Country],Countries[FIFA Ranking],,0)&gt;(_xlfn.XLOOKUP(Benchmark[[#This Row],[Team2]],Countries[Country],Countries[FIFA Ranking],,0))),1,0)</f>
        <v>1</v>
      </c>
      <c r="G16" s="3" t="str">
        <f>Fixtures!E16</f>
        <v>Uruguay</v>
      </c>
      <c r="H16" s="3" t="str">
        <f>Fixtures!F16</f>
        <v>Miami, Hard Rock Stadium</v>
      </c>
      <c r="I16" s="3"/>
      <c r="J16" cm="1">
        <f t="array" ref="J16">_xlfn.IFS(OR(ISBLANK('Results'!E16),ISBLANK('Results'!F16)),0,OR(ISBLANK(E16),ISBLANK(F16)),0,AND(E16='Results'!E16,F16='Results'!F16),Rules!$K$29,_xlfn.XOR(AND(E16&gt;F16,'Results'!E16&gt;'Results'!F16),AND(E16&lt;F16,'Results'!E16&lt;'Results'!F16),AND(E16=F16,'Results'!E16='Results'!F16)),Rules!$K$30,TRUE,0)</f>
        <v>0</v>
      </c>
      <c r="L16" s="28" t="s">
        <v>17</v>
      </c>
      <c r="M16" s="29" t="str" cm="1">
        <f t="array" ref="M16">INDEX(Countries[Country],MATCH(_xlfn.MINIFS(Countries[FIFA Ranking],Countries[Group],L16),IF(Countries[Group]=L16,Countries[FIFA Ranking]),0))</f>
        <v>Portugal</v>
      </c>
      <c r="N16" s="1" cm="1">
        <f t="array" ref="N16">_xlfn.IFS(OR(ISBLANK(M16),ISBLANK('Results'!K16)),0,M16='Results'!K16,Rules!$K$38,TRUE,0)</f>
        <v>0</v>
      </c>
    </row>
    <row r="17" spans="1:14">
      <c r="A17">
        <f>Fixtures!A17</f>
        <v>16</v>
      </c>
      <c r="B17" s="11">
        <f>Fixtures!B17</f>
        <v>46189.041666666664</v>
      </c>
      <c r="C17" s="4" t="str">
        <f>Fixtures!C17</f>
        <v>Group G</v>
      </c>
      <c r="D17" s="3" t="str">
        <f>Fixtures!D17</f>
        <v>IR Iran</v>
      </c>
      <c r="E17">
        <f>IF((_xlfn.XLOOKUP(Benchmark[[#This Row],[Team1]],Countries[Country],Countries[FIFA Ranking],,0)&lt;(_xlfn.XLOOKUP(Benchmark[[#This Row],[Team2]],Countries[Country],Countries[FIFA Ranking],,0))),1,0)</f>
        <v>1</v>
      </c>
      <c r="F17">
        <f>IF((_xlfn.XLOOKUP(Benchmark[[#This Row],[Team1]],Countries[Country],Countries[FIFA Ranking],,0)&gt;(_xlfn.XLOOKUP(Benchmark[[#This Row],[Team2]],Countries[Country],Countries[FIFA Ranking],,0))),1,0)</f>
        <v>0</v>
      </c>
      <c r="G17" s="3" t="str">
        <f>Fixtures!E17</f>
        <v>New Zealand</v>
      </c>
      <c r="H17" s="3" t="str">
        <f>Fixtures!F17</f>
        <v>Los Angeles, SoFi Stadium</v>
      </c>
      <c r="I17" s="3"/>
      <c r="J17" cm="1">
        <f t="array" ref="J17">_xlfn.IFS(OR(ISBLANK('Results'!E17),ISBLANK('Results'!F17)),0,OR(ISBLANK(E17),ISBLANK(F17)),0,AND(E17='Results'!E17,F17='Results'!F17),Rules!$K$29,_xlfn.XOR(AND(E17&gt;F17,'Results'!E17&gt;'Results'!F17),AND(E17&lt;F17,'Results'!E17&lt;'Results'!F17),AND(E17=F17,'Results'!E17='Results'!F17)),Rules!$K$30,TRUE,0)</f>
        <v>0</v>
      </c>
      <c r="L17" s="30" t="s">
        <v>19</v>
      </c>
      <c r="M17" s="12" t="str" cm="1">
        <f t="array" ref="M17">INDEX(Countries[Country],MATCH(_xlfn.MINIFS(Countries[FIFA Ranking],Countries[Group],L17),IF(Countries[Group]=L17,Countries[FIFA Ranking]),0))</f>
        <v>England</v>
      </c>
      <c r="N17" s="1" cm="1">
        <f t="array" ref="N17">_xlfn.IFS(OR(ISBLANK(M17),ISBLANK('Results'!K17)),0,M17='Results'!K17,Rules!$K$38,TRUE,0)</f>
        <v>0</v>
      </c>
    </row>
    <row r="18" spans="1:14">
      <c r="A18">
        <f>Fixtures!A18</f>
        <v>17</v>
      </c>
      <c r="B18" s="11">
        <f>Fixtures!B18</f>
        <v>46189.791666666664</v>
      </c>
      <c r="C18" s="4" t="str">
        <f>Fixtures!C18</f>
        <v>Group I</v>
      </c>
      <c r="D18" s="3" t="str">
        <f>Fixtures!D18</f>
        <v>France</v>
      </c>
      <c r="E18">
        <f>IF((_xlfn.XLOOKUP(Benchmark[[#This Row],[Team1]],Countries[Country],Countries[FIFA Ranking],,0)&lt;(_xlfn.XLOOKUP(Benchmark[[#This Row],[Team2]],Countries[Country],Countries[FIFA Ranking],,0))),1,0)</f>
        <v>1</v>
      </c>
      <c r="F18">
        <f>IF((_xlfn.XLOOKUP(Benchmark[[#This Row],[Team1]],Countries[Country],Countries[FIFA Ranking],,0)&gt;(_xlfn.XLOOKUP(Benchmark[[#This Row],[Team2]],Countries[Country],Countries[FIFA Ranking],,0))),1,0)</f>
        <v>0</v>
      </c>
      <c r="G18" s="3" t="str">
        <f>Fixtures!E18</f>
        <v>Senegal</v>
      </c>
      <c r="H18" s="3" t="str">
        <f>Fixtures!F18</f>
        <v>New York/New Jersey, MetLife Stadium</v>
      </c>
      <c r="I18" s="3"/>
      <c r="J18" cm="1">
        <f t="array" ref="J18">_xlfn.IFS(OR(ISBLANK('Results'!E18),ISBLANK('Results'!F18)),0,OR(ISBLANK(E18),ISBLANK(F18)),0,AND(E18='Results'!E18,F18='Results'!F18),Rules!$K$29,_xlfn.XOR(AND(E18&gt;F18,'Results'!E18&gt;'Results'!F18),AND(E18&lt;F18,'Results'!E18&lt;'Results'!F18),AND(E18=F18,'Results'!E18='Results'!F18)),Rules!$K$30,TRUE,0)</f>
        <v>0</v>
      </c>
      <c r="L18" s="83"/>
      <c r="M18" s="83"/>
      <c r="N18" s="1"/>
    </row>
    <row r="19" spans="1:14">
      <c r="A19">
        <f>Fixtures!A19</f>
        <v>18</v>
      </c>
      <c r="B19" s="11">
        <f>Fixtures!B19</f>
        <v>46189.916666666664</v>
      </c>
      <c r="C19" s="4" t="str">
        <f>Fixtures!C19</f>
        <v>Group I</v>
      </c>
      <c r="D19" s="3" t="str">
        <f>Fixtures!D19</f>
        <v>Iraq</v>
      </c>
      <c r="E19">
        <f>IF((_xlfn.XLOOKUP(Benchmark[[#This Row],[Team1]],Countries[Country],Countries[FIFA Ranking],,0)&lt;(_xlfn.XLOOKUP(Benchmark[[#This Row],[Team2]],Countries[Country],Countries[FIFA Ranking],,0))),1,0)</f>
        <v>0</v>
      </c>
      <c r="F19">
        <f>IF((_xlfn.XLOOKUP(Benchmark[[#This Row],[Team1]],Countries[Country],Countries[FIFA Ranking],,0)&gt;(_xlfn.XLOOKUP(Benchmark[[#This Row],[Team2]],Countries[Country],Countries[FIFA Ranking],,0))),1,0)</f>
        <v>1</v>
      </c>
      <c r="G19" s="3" t="str">
        <f>Fixtures!E19</f>
        <v>Norway</v>
      </c>
      <c r="H19" s="3" t="str">
        <f>Fixtures!F19</f>
        <v>Boston, Gillette Stadium</v>
      </c>
      <c r="I19" s="3"/>
      <c r="J19" cm="1">
        <f t="array" ref="J19">_xlfn.IFS(OR(ISBLANK('Results'!E19),ISBLANK('Results'!F19)),0,OR(ISBLANK(E19),ISBLANK(F19)),0,AND(E19='Results'!E19,F19='Results'!F19),Rules!$K$29,_xlfn.XOR(AND(E19&gt;F19,'Results'!E19&gt;'Results'!F19),AND(E19&lt;F19,'Results'!E19&lt;'Results'!F19),AND(E19=F19,'Results'!E19='Results'!F19)),Rules!$K$30,TRUE,0)</f>
        <v>0</v>
      </c>
      <c r="L19" s="84" t="s">
        <v>62</v>
      </c>
      <c r="M19" s="85"/>
      <c r="N19" s="1"/>
    </row>
    <row r="20" spans="1:14">
      <c r="A20">
        <f>Fixtures!A20</f>
        <v>19</v>
      </c>
      <c r="B20" s="11">
        <f>Fixtures!B20</f>
        <v>46190.041666666664</v>
      </c>
      <c r="C20" s="4" t="str">
        <f>Fixtures!C20</f>
        <v>Group J</v>
      </c>
      <c r="D20" s="3" t="str">
        <f>Fixtures!D20</f>
        <v>Argentina</v>
      </c>
      <c r="E20">
        <f>IF((_xlfn.XLOOKUP(Benchmark[[#This Row],[Team1]],Countries[Country],Countries[FIFA Ranking],,0)&lt;(_xlfn.XLOOKUP(Benchmark[[#This Row],[Team2]],Countries[Country],Countries[FIFA Ranking],,0))),1,0)</f>
        <v>1</v>
      </c>
      <c r="F20">
        <f>IF((_xlfn.XLOOKUP(Benchmark[[#This Row],[Team1]],Countries[Country],Countries[FIFA Ranking],,0)&gt;(_xlfn.XLOOKUP(Benchmark[[#This Row],[Team2]],Countries[Country],Countries[FIFA Ranking],,0))),1,0)</f>
        <v>0</v>
      </c>
      <c r="G20" s="3" t="str">
        <f>Fixtures!E20</f>
        <v>Algeria</v>
      </c>
      <c r="H20" s="3" t="str">
        <f>Fixtures!F20</f>
        <v>Kansas City, Arrowhead Stadium</v>
      </c>
      <c r="I20" s="3"/>
      <c r="J20" cm="1">
        <f t="array" ref="J20">_xlfn.IFS(OR(ISBLANK('Results'!E20),ISBLANK('Results'!F20)),0,OR(ISBLANK(E20),ISBLANK(F20)),0,AND(E20='Results'!E20,F20='Results'!F20),Rules!$K$29,_xlfn.XOR(AND(E20&gt;F20,'Results'!E20&gt;'Results'!F20),AND(E20&lt;F20,'Results'!E20&lt;'Results'!F20),AND(E20=F20,'Results'!E20='Results'!F20)),Rules!$K$30,TRUE,0)</f>
        <v>0</v>
      </c>
      <c r="L20" s="7" t="s">
        <v>63</v>
      </c>
      <c r="M20" s="9" t="str" cm="1">
        <f t="array" ref="M20">INDEX(M6:M17,MATCH(MIN(INDEX(_xlfn.XLOOKUP(M6:M17,Countries[Country],Countries[FIFA Ranking]),)),INDEX(_xlfn.XLOOKUP(M6:M17,Countries[Country],Countries[FIFA Ranking]),),0))</f>
        <v>Argentina</v>
      </c>
      <c r="N20" s="1" cm="1">
        <f t="array" ref="N20">_xlfn.IFS(OR(ISBLANK(M20),ISBLANK('Results'!K20)),0,M20='Results'!K20,Rules!$K$39,TRUE,0)</f>
        <v>0</v>
      </c>
    </row>
    <row r="21" spans="1:14">
      <c r="A21">
        <f>Fixtures!A21</f>
        <v>20</v>
      </c>
      <c r="B21" s="11">
        <f>Fixtures!B21</f>
        <v>46190.166666666664</v>
      </c>
      <c r="C21" s="4" t="str">
        <f>Fixtures!C21</f>
        <v>Group J</v>
      </c>
      <c r="D21" s="3" t="str">
        <f>Fixtures!D21</f>
        <v>Austria</v>
      </c>
      <c r="E21">
        <f>IF((_xlfn.XLOOKUP(Benchmark[[#This Row],[Team1]],Countries[Country],Countries[FIFA Ranking],,0)&lt;(_xlfn.XLOOKUP(Benchmark[[#This Row],[Team2]],Countries[Country],Countries[FIFA Ranking],,0))),1,0)</f>
        <v>1</v>
      </c>
      <c r="F21">
        <f>IF((_xlfn.XLOOKUP(Benchmark[[#This Row],[Team1]],Countries[Country],Countries[FIFA Ranking],,0)&gt;(_xlfn.XLOOKUP(Benchmark[[#This Row],[Team2]],Countries[Country],Countries[FIFA Ranking],,0))),1,0)</f>
        <v>0</v>
      </c>
      <c r="G21" s="3" t="str">
        <f>Fixtures!E21</f>
        <v>Jordan</v>
      </c>
      <c r="H21" s="3" t="str">
        <f>Fixtures!F21</f>
        <v>San Francisco, Levi's Stadium</v>
      </c>
      <c r="I21" s="3"/>
      <c r="J21" cm="1">
        <f t="array" ref="J21">_xlfn.IFS(OR(ISBLANK('Results'!E21),ISBLANK('Results'!F21)),0,OR(ISBLANK(E21),ISBLANK(F21)),0,AND(E21='Results'!E21,F21='Results'!F21),Rules!$K$29,_xlfn.XOR(AND(E21&gt;F21,'Results'!E21&gt;'Results'!F21),AND(E21&lt;F21,'Results'!E21&lt;'Results'!F21),AND(E21=F21,'Results'!E21='Results'!F21)),Rules!$K$30,TRUE,0)</f>
        <v>0</v>
      </c>
      <c r="L21" s="8" t="s">
        <v>64</v>
      </c>
      <c r="M21" s="10" t="str" cm="1">
        <f t="array" ref="M21">INDEX(M6:M17,MATCH(SMALL(INDEX(_xlfn.XLOOKUP(M6:M17,Countries[Country],Countries[FIFA Ranking]),),2),INDEX(_xlfn.XLOOKUP(M6:M17,Countries[Country],Countries[FIFA Ranking]),),0))</f>
        <v>Spain</v>
      </c>
      <c r="N21" s="1" cm="1">
        <f t="array" ref="N21">_xlfn.IFS(OR(ISBLANK(M21),ISBLANK('Results'!K21)),0,M21='Results'!K21,Rules!$K$39,TRUE,0)</f>
        <v>0</v>
      </c>
    </row>
    <row r="22" spans="1:14">
      <c r="A22">
        <f>Fixtures!A22</f>
        <v>21</v>
      </c>
      <c r="B22" s="11">
        <f>Fixtures!B22</f>
        <v>46190.708333333336</v>
      </c>
      <c r="C22" s="4" t="str">
        <f>Fixtures!C22</f>
        <v>Group K</v>
      </c>
      <c r="D22" s="3" t="str">
        <f>Fixtures!D22</f>
        <v>Portugal</v>
      </c>
      <c r="E22">
        <f>IF((_xlfn.XLOOKUP(Benchmark[[#This Row],[Team1]],Countries[Country],Countries[FIFA Ranking],,0)&lt;(_xlfn.XLOOKUP(Benchmark[[#This Row],[Team2]],Countries[Country],Countries[FIFA Ranking],,0))),1,0)</f>
        <v>1</v>
      </c>
      <c r="F22">
        <f>IF((_xlfn.XLOOKUP(Benchmark[[#This Row],[Team1]],Countries[Country],Countries[FIFA Ranking],,0)&gt;(_xlfn.XLOOKUP(Benchmark[[#This Row],[Team2]],Countries[Country],Countries[FIFA Ranking],,0))),1,0)</f>
        <v>0</v>
      </c>
      <c r="G22" s="3" t="str">
        <f>Fixtures!E22</f>
        <v>Congo DR</v>
      </c>
      <c r="H22" s="3" t="str">
        <f>Fixtures!F22</f>
        <v>Houston, NRG Stadium</v>
      </c>
      <c r="I22" s="3"/>
      <c r="J22" cm="1">
        <f t="array" ref="J22">_xlfn.IFS(OR(ISBLANK('Results'!E22),ISBLANK('Results'!F22)),0,OR(ISBLANK(E22),ISBLANK(F22)),0,AND(E22='Results'!E22,F22='Results'!F22),Rules!$K$29,_xlfn.XOR(AND(E22&gt;F22,'Results'!E22&gt;'Results'!F22),AND(E22&lt;F22,'Results'!E22&lt;'Results'!F22),AND(E22=F22,'Results'!E22='Results'!F22)),Rules!$K$30,TRUE,0)</f>
        <v>0</v>
      </c>
      <c r="N22" s="1"/>
    </row>
    <row r="23" spans="1:14">
      <c r="A23">
        <f>Fixtures!A23</f>
        <v>22</v>
      </c>
      <c r="B23" s="11">
        <f>Fixtures!B23</f>
        <v>46190.833333333336</v>
      </c>
      <c r="C23" s="4" t="str">
        <f>Fixtures!C23</f>
        <v>Group L</v>
      </c>
      <c r="D23" s="3" t="str">
        <f>Fixtures!D23</f>
        <v>England</v>
      </c>
      <c r="E23">
        <f>IF((_xlfn.XLOOKUP(Benchmark[[#This Row],[Team1]],Countries[Country],Countries[FIFA Ranking],,0)&lt;(_xlfn.XLOOKUP(Benchmark[[#This Row],[Team2]],Countries[Country],Countries[FIFA Ranking],,0))),1,0)</f>
        <v>1</v>
      </c>
      <c r="F23">
        <f>IF((_xlfn.XLOOKUP(Benchmark[[#This Row],[Team1]],Countries[Country],Countries[FIFA Ranking],,0)&gt;(_xlfn.XLOOKUP(Benchmark[[#This Row],[Team2]],Countries[Country],Countries[FIFA Ranking],,0))),1,0)</f>
        <v>0</v>
      </c>
      <c r="G23" s="3" t="str">
        <f>Fixtures!E23</f>
        <v>Croatia</v>
      </c>
      <c r="H23" s="3" t="str">
        <f>Fixtures!F23</f>
        <v>Dallas, AT&amp;T Stadium</v>
      </c>
      <c r="I23" s="3"/>
      <c r="J23" cm="1">
        <f t="array" ref="J23">_xlfn.IFS(OR(ISBLANK('Results'!E23),ISBLANK('Results'!F23)),0,OR(ISBLANK(E23),ISBLANK(F23)),0,AND(E23='Results'!E23,F23='Results'!F23),Rules!$K$29,_xlfn.XOR(AND(E23&gt;F23,'Results'!E23&gt;'Results'!F23),AND(E23&lt;F23,'Results'!E23&lt;'Results'!F23),AND(E23=F23,'Results'!E23='Results'!F23)),Rules!$K$30,TRUE,0)</f>
        <v>0</v>
      </c>
      <c r="L23" s="84" t="s">
        <v>65</v>
      </c>
      <c r="M23" s="85"/>
      <c r="N23" s="1"/>
    </row>
    <row r="24" spans="1:14">
      <c r="A24">
        <f>Fixtures!A24</f>
        <v>23</v>
      </c>
      <c r="B24" s="11">
        <f>Fixtures!B24</f>
        <v>46190.958333333336</v>
      </c>
      <c r="C24" s="4" t="str">
        <f>Fixtures!C24</f>
        <v>Group L</v>
      </c>
      <c r="D24" s="3" t="str">
        <f>Fixtures!D24</f>
        <v>Ghana</v>
      </c>
      <c r="E24">
        <f>IF((_xlfn.XLOOKUP(Benchmark[[#This Row],[Team1]],Countries[Country],Countries[FIFA Ranking],,0)&lt;(_xlfn.XLOOKUP(Benchmark[[#This Row],[Team2]],Countries[Country],Countries[FIFA Ranking],,0))),1,0)</f>
        <v>0</v>
      </c>
      <c r="F24">
        <f>IF((_xlfn.XLOOKUP(Benchmark[[#This Row],[Team1]],Countries[Country],Countries[FIFA Ranking],,0)&gt;(_xlfn.XLOOKUP(Benchmark[[#This Row],[Team2]],Countries[Country],Countries[FIFA Ranking],,0))),1,0)</f>
        <v>1</v>
      </c>
      <c r="G24" s="3" t="str">
        <f>Fixtures!E24</f>
        <v>Panama</v>
      </c>
      <c r="H24" s="3" t="str">
        <f>Fixtures!F24</f>
        <v>Toronto, BMO Field</v>
      </c>
      <c r="I24" s="3"/>
      <c r="J24" cm="1">
        <f t="array" ref="J24">_xlfn.IFS(OR(ISBLANK('Results'!E24),ISBLANK('Results'!F24)),0,OR(ISBLANK(E24),ISBLANK(F24)),0,AND(E24='Results'!E24,F24='Results'!F24),Rules!$K$29,_xlfn.XOR(AND(E24&gt;F24,'Results'!E24&gt;'Results'!F24),AND(E24&lt;F24,'Results'!E24&lt;'Results'!F24),AND(E24=F24,'Results'!E24='Results'!F24)),Rules!$K$30,TRUE,0)</f>
        <v>0</v>
      </c>
      <c r="L24" s="87" t="str">
        <f>M20</f>
        <v>Argentina</v>
      </c>
      <c r="M24" s="88" t="e" cm="1">
        <f t="array" ref="M24">INDEX(M10:M21,MATCH(MIN(INDEX(_xlfn.XLOOKUP(M10:M21,Countries[Country],Countries[FIFA Ranking]),)),INDEX(_xlfn.XLOOKUP(M10:M21,Countries[Country],Countries[FIFA Ranking]),),0))</f>
        <v>#N/A</v>
      </c>
      <c r="N24" s="1" cm="1">
        <f t="array" ref="N24">_xlfn.IFS(OR(ISBLANK(M24),ISBLANK('Results'!K24)),0,M24='Results'!K24,Rules!$K$40,TRUE,0)</f>
        <v>0</v>
      </c>
    </row>
    <row r="25" spans="1:14">
      <c r="A25">
        <f>Fixtures!A25</f>
        <v>24</v>
      </c>
      <c r="B25" s="11">
        <f>Fixtures!B25</f>
        <v>46191.083333333336</v>
      </c>
      <c r="C25" s="4" t="str">
        <f>Fixtures!C25</f>
        <v>Group K</v>
      </c>
      <c r="D25" s="3" t="str">
        <f>Fixtures!D25</f>
        <v>Uzbekistan</v>
      </c>
      <c r="E25">
        <f>IF((_xlfn.XLOOKUP(Benchmark[[#This Row],[Team1]],Countries[Country],Countries[FIFA Ranking],,0)&lt;(_xlfn.XLOOKUP(Benchmark[[#This Row],[Team2]],Countries[Country],Countries[FIFA Ranking],,0))),1,0)</f>
        <v>0</v>
      </c>
      <c r="F25">
        <f>IF((_xlfn.XLOOKUP(Benchmark[[#This Row],[Team1]],Countries[Country],Countries[FIFA Ranking],,0)&gt;(_xlfn.XLOOKUP(Benchmark[[#This Row],[Team2]],Countries[Country],Countries[FIFA Ranking],,0))),1,0)</f>
        <v>1</v>
      </c>
      <c r="G25" s="3" t="str">
        <f>Fixtures!E25</f>
        <v>Colombia</v>
      </c>
      <c r="H25" s="3" t="str">
        <f>Fixtures!F25</f>
        <v>Mexico City, Estadio Azteca</v>
      </c>
      <c r="I25" s="3"/>
      <c r="J25" cm="1">
        <f t="array" ref="J25">_xlfn.IFS(OR(ISBLANK('Results'!E25),ISBLANK('Results'!F25)),0,OR(ISBLANK(E25),ISBLANK(F25)),0,AND(E25='Results'!E25,F25='Results'!F25),Rules!$K$29,_xlfn.XOR(AND(E25&gt;F25,'Results'!E25&gt;'Results'!F25),AND(E25&lt;F25,'Results'!E25&lt;'Results'!F25),AND(E25=F25,'Results'!E25='Results'!F25)),Rules!$K$30,TRUE,0)</f>
        <v>0</v>
      </c>
      <c r="N25" s="1"/>
    </row>
    <row r="26" spans="1:14">
      <c r="A26">
        <f>Fixtures!A26</f>
        <v>25</v>
      </c>
      <c r="B26" s="11">
        <f>Fixtures!B26</f>
        <v>46191.666666666664</v>
      </c>
      <c r="C26" s="4" t="str">
        <f>Fixtures!C26</f>
        <v>Group A</v>
      </c>
      <c r="D26" s="3" t="str">
        <f>Fixtures!D26</f>
        <v>Czechia</v>
      </c>
      <c r="E26">
        <f>IF((_xlfn.XLOOKUP(Benchmark[[#This Row],[Team1]],Countries[Country],Countries[FIFA Ranking],,0)&lt;(_xlfn.XLOOKUP(Benchmark[[#This Row],[Team2]],Countries[Country],Countries[FIFA Ranking],,0))),1,0)</f>
        <v>1</v>
      </c>
      <c r="F26">
        <f>IF((_xlfn.XLOOKUP(Benchmark[[#This Row],[Team1]],Countries[Country],Countries[FIFA Ranking],,0)&gt;(_xlfn.XLOOKUP(Benchmark[[#This Row],[Team2]],Countries[Country],Countries[FIFA Ranking],,0))),1,0)</f>
        <v>0</v>
      </c>
      <c r="G26" s="3" t="str">
        <f>Fixtures!E26</f>
        <v>South Africa</v>
      </c>
      <c r="H26" s="3" t="str">
        <f>Fixtures!F26</f>
        <v>Atlanta, Mercedes-Benz Stadium</v>
      </c>
      <c r="I26" s="3"/>
      <c r="J26" cm="1">
        <f t="array" ref="J26">_xlfn.IFS(OR(ISBLANK('Results'!E26),ISBLANK('Results'!F26)),0,OR(ISBLANK(E26),ISBLANK(F26)),0,AND(E26='Results'!E26,F26='Results'!F26),Rules!$K$29,_xlfn.XOR(AND(E26&gt;F26,'Results'!E26&gt;'Results'!F26),AND(E26&lt;F26,'Results'!E26&lt;'Results'!F26),AND(E26=F26,'Results'!E26='Results'!F26)),Rules!$K$30,TRUE,0)</f>
        <v>0</v>
      </c>
      <c r="L26" s="86" t="s">
        <v>66</v>
      </c>
      <c r="M26" s="86"/>
      <c r="N26" s="1"/>
    </row>
    <row r="27" spans="1:14">
      <c r="A27">
        <f>Fixtures!A27</f>
        <v>26</v>
      </c>
      <c r="B27" s="11">
        <f>Fixtures!B27</f>
        <v>46191.791666666664</v>
      </c>
      <c r="C27" s="4" t="str">
        <f>Fixtures!C27</f>
        <v>Group B</v>
      </c>
      <c r="D27" s="3" t="str">
        <f>Fixtures!D27</f>
        <v>Switzerland</v>
      </c>
      <c r="E27">
        <f>IF((_xlfn.XLOOKUP(Benchmark[[#This Row],[Team1]],Countries[Country],Countries[FIFA Ranking],,0)&lt;(_xlfn.XLOOKUP(Benchmark[[#This Row],[Team2]],Countries[Country],Countries[FIFA Ranking],,0))),1,0)</f>
        <v>1</v>
      </c>
      <c r="F27">
        <f>IF((_xlfn.XLOOKUP(Benchmark[[#This Row],[Team1]],Countries[Country],Countries[FIFA Ranking],,0)&gt;(_xlfn.XLOOKUP(Benchmark[[#This Row],[Team2]],Countries[Country],Countries[FIFA Ranking],,0))),1,0)</f>
        <v>0</v>
      </c>
      <c r="G27" s="3" t="str">
        <f>Fixtures!E27</f>
        <v>Bosnia and Herzegovina</v>
      </c>
      <c r="H27" s="3" t="str">
        <f>Fixtures!F27</f>
        <v>Los Angeles, SoFi Stadium</v>
      </c>
      <c r="I27" s="3"/>
      <c r="J27" cm="1">
        <f t="array" ref="J27">_xlfn.IFS(OR(ISBLANK('Results'!E27),ISBLANK('Results'!F27)),0,OR(ISBLANK(E27),ISBLANK(F27)),0,AND(E27='Results'!E27,F27='Results'!F27),Rules!$K$29,_xlfn.XOR(AND(E27&gt;F27,'Results'!E27&gt;'Results'!F27),AND(E27&lt;F27,'Results'!E27&lt;'Results'!F27),AND(E27=F27,'Results'!E27='Results'!F27)),Rules!$K$30,TRUE,0)</f>
        <v>0</v>
      </c>
      <c r="L27" s="87" t="str">
        <f>M20</f>
        <v>Argentina</v>
      </c>
      <c r="M27" s="88"/>
      <c r="N27" s="1" cm="1">
        <f t="array" ref="N27">_xlfn.IFS(OR(ISBLANK(M27),ISBLANK('Results'!K27)),0,M27='Results'!K27,Rules!$K$41,TRUE,0)</f>
        <v>0</v>
      </c>
    </row>
    <row r="28" spans="1:14">
      <c r="A28">
        <f>Fixtures!A28</f>
        <v>27</v>
      </c>
      <c r="B28" s="11">
        <f>Fixtures!B28</f>
        <v>46191.916666666664</v>
      </c>
      <c r="C28" s="4" t="str">
        <f>Fixtures!C28</f>
        <v>Group B</v>
      </c>
      <c r="D28" s="3" t="str">
        <f>Fixtures!D28</f>
        <v>Canada</v>
      </c>
      <c r="E28">
        <f>IF((_xlfn.XLOOKUP(Benchmark[[#This Row],[Team1]],Countries[Country],Countries[FIFA Ranking],,0)&lt;(_xlfn.XLOOKUP(Benchmark[[#This Row],[Team2]],Countries[Country],Countries[FIFA Ranking],,0))),1,0)</f>
        <v>1</v>
      </c>
      <c r="F28">
        <f>IF((_xlfn.XLOOKUP(Benchmark[[#This Row],[Team1]],Countries[Country],Countries[FIFA Ranking],,0)&gt;(_xlfn.XLOOKUP(Benchmark[[#This Row],[Team2]],Countries[Country],Countries[FIFA Ranking],,0))),1,0)</f>
        <v>0</v>
      </c>
      <c r="G28" s="3" t="str">
        <f>Fixtures!E28</f>
        <v>Qatar</v>
      </c>
      <c r="H28" s="3" t="str">
        <f>Fixtures!F28</f>
        <v>Vancouver, BC Place</v>
      </c>
      <c r="I28" s="3"/>
      <c r="J28" cm="1">
        <f t="array" ref="J28">_xlfn.IFS(OR(ISBLANK('Results'!E28),ISBLANK('Results'!F28)),0,OR(ISBLANK(E28),ISBLANK(F28)),0,AND(E28='Results'!E28,F28='Results'!F28),Rules!$K$29,_xlfn.XOR(AND(E28&gt;F28,'Results'!E28&gt;'Results'!F28),AND(E28&lt;F28,'Results'!E28&lt;'Results'!F28),AND(E28=F28,'Results'!E28='Results'!F28)),Rules!$K$30,TRUE,0)</f>
        <v>0</v>
      </c>
      <c r="N28" s="1"/>
    </row>
    <row r="29" spans="1:14">
      <c r="A29">
        <f>Fixtures!A29</f>
        <v>28</v>
      </c>
      <c r="B29" s="11">
        <f>Fixtures!B29</f>
        <v>46192.041666666664</v>
      </c>
      <c r="C29" s="4" t="str">
        <f>Fixtures!C29</f>
        <v>Group A</v>
      </c>
      <c r="D29" s="3" t="str">
        <f>Fixtures!D29</f>
        <v>Mexico</v>
      </c>
      <c r="E29">
        <f>IF((_xlfn.XLOOKUP(Benchmark[[#This Row],[Team1]],Countries[Country],Countries[FIFA Ranking],,0)&lt;(_xlfn.XLOOKUP(Benchmark[[#This Row],[Team2]],Countries[Country],Countries[FIFA Ranking],,0))),1,0)</f>
        <v>1</v>
      </c>
      <c r="F29">
        <f>IF((_xlfn.XLOOKUP(Benchmark[[#This Row],[Team1]],Countries[Country],Countries[FIFA Ranking],,0)&gt;(_xlfn.XLOOKUP(Benchmark[[#This Row],[Team2]],Countries[Country],Countries[FIFA Ranking],,0))),1,0)</f>
        <v>0</v>
      </c>
      <c r="G29" s="3" t="str">
        <f>Fixtures!E29</f>
        <v>Korea Republic</v>
      </c>
      <c r="H29" s="3" t="str">
        <f>Fixtures!F29</f>
        <v>Guadalajara, Estadio Akron</v>
      </c>
      <c r="I29" s="3"/>
      <c r="J29" cm="1">
        <f t="array" ref="J29">_xlfn.IFS(OR(ISBLANK('Results'!E29),ISBLANK('Results'!F29)),0,OR(ISBLANK(E29),ISBLANK(F29)),0,AND(E29='Results'!E29,F29='Results'!F29),Rules!$K$29,_xlfn.XOR(AND(E29&gt;F29,'Results'!E29&gt;'Results'!F29),AND(E29&lt;F29,'Results'!E29&lt;'Results'!F29),AND(E29=F29,'Results'!E29='Results'!F29)),Rules!$K$30,TRUE,0)</f>
        <v>0</v>
      </c>
      <c r="L29" s="81" t="s">
        <v>67</v>
      </c>
      <c r="M29" s="82"/>
      <c r="N29" s="1"/>
    </row>
    <row r="30" spans="1:14">
      <c r="A30">
        <f>Fixtures!A30</f>
        <v>29</v>
      </c>
      <c r="B30" s="11">
        <f>Fixtures!B30</f>
        <v>46192.791666666664</v>
      </c>
      <c r="C30" s="4" t="str">
        <f>Fixtures!C30</f>
        <v>Group D</v>
      </c>
      <c r="D30" s="3" t="str">
        <f>Fixtures!D30</f>
        <v>USA</v>
      </c>
      <c r="E30">
        <f>IF((_xlfn.XLOOKUP(Benchmark[[#This Row],[Team1]],Countries[Country],Countries[FIFA Ranking],,0)&lt;(_xlfn.XLOOKUP(Benchmark[[#This Row],[Team2]],Countries[Country],Countries[FIFA Ranking],,0))),1,0)</f>
        <v>1</v>
      </c>
      <c r="F30">
        <f>IF((_xlfn.XLOOKUP(Benchmark[[#This Row],[Team1]],Countries[Country],Countries[FIFA Ranking],,0)&gt;(_xlfn.XLOOKUP(Benchmark[[#This Row],[Team2]],Countries[Country],Countries[FIFA Ranking],,0))),1,0)</f>
        <v>0</v>
      </c>
      <c r="G30" s="3" t="str">
        <f>Fixtures!E30</f>
        <v>Australia</v>
      </c>
      <c r="H30" s="3" t="str">
        <f>Fixtures!F30</f>
        <v>Seattle, Lumen Field</v>
      </c>
      <c r="I30" s="3"/>
      <c r="J30" cm="1">
        <f t="array" ref="J30">_xlfn.IFS(OR(ISBLANK('Results'!E30),ISBLANK('Results'!F30)),0,OR(ISBLANK(E30),ISBLANK(F30)),0,AND(E30='Results'!E30,F30='Results'!F30),Rules!$K$29,_xlfn.XOR(AND(E30&gt;F30,'Results'!E30&gt;'Results'!F30),AND(E30&lt;F30,'Results'!E30&lt;'Results'!F30),AND(E30=F30,'Results'!E30='Results'!F30)),Rules!$K$30,TRUE,0)</f>
        <v>0</v>
      </c>
      <c r="L30" s="52" t="s">
        <v>23</v>
      </c>
      <c r="M30" s="53" t="str">
        <f>_xlfn.XLOOKUP(10,England[Shirt Number],England[Player Name],"Not Found")</f>
        <v>Jude Bellingham</v>
      </c>
      <c r="N30" s="1" cm="1">
        <f t="array" ref="N30">_xlfn.IFS(OR(ISBLANK(M30),ISBLANK('Results'!K30)),0,M30='Results'!K30,Rules!$K$43,TRUE,0)</f>
        <v>0</v>
      </c>
    </row>
    <row r="31" spans="1:14">
      <c r="A31">
        <f>Fixtures!A31</f>
        <v>30</v>
      </c>
      <c r="B31" s="11">
        <f>Fixtures!B31</f>
        <v>46192.916666666664</v>
      </c>
      <c r="C31" s="4" t="str">
        <f>Fixtures!C31</f>
        <v>Group C</v>
      </c>
      <c r="D31" s="3" t="str">
        <f>Fixtures!D31</f>
        <v>Scotland</v>
      </c>
      <c r="E31">
        <f>IF((_xlfn.XLOOKUP(Benchmark[[#This Row],[Team1]],Countries[Country],Countries[FIFA Ranking],,0)&lt;(_xlfn.XLOOKUP(Benchmark[[#This Row],[Team2]],Countries[Country],Countries[FIFA Ranking],,0))),1,0)</f>
        <v>0</v>
      </c>
      <c r="F31">
        <f>IF((_xlfn.XLOOKUP(Benchmark[[#This Row],[Team1]],Countries[Country],Countries[FIFA Ranking],,0)&gt;(_xlfn.XLOOKUP(Benchmark[[#This Row],[Team2]],Countries[Country],Countries[FIFA Ranking],,0))),1,0)</f>
        <v>1</v>
      </c>
      <c r="G31" s="3" t="str">
        <f>Fixtures!E31</f>
        <v>Morocco</v>
      </c>
      <c r="H31" s="3" t="str">
        <f>Fixtures!F31</f>
        <v>Boston, Gillette Stadium</v>
      </c>
      <c r="I31" s="3"/>
      <c r="J31" cm="1">
        <f t="array" ref="J31">_xlfn.IFS(OR(ISBLANK('Results'!E31),ISBLANK('Results'!F31)),0,OR(ISBLANK(E31),ISBLANK(F31)),0,AND(E31='Results'!E31,F31='Results'!F31),Rules!$K$29,_xlfn.XOR(AND(E31&gt;F31,'Results'!E31&gt;'Results'!F31),AND(E31&lt;F31,'Results'!E31&lt;'Results'!F31),AND(E31=F31,'Results'!E31='Results'!F31)),Rules!$K$30,TRUE,0)</f>
        <v>0</v>
      </c>
      <c r="N31" s="1"/>
    </row>
    <row r="32" spans="1:14">
      <c r="A32">
        <f>Fixtures!A32</f>
        <v>31</v>
      </c>
      <c r="B32" s="11">
        <f>Fixtures!B32</f>
        <v>46193.020833333336</v>
      </c>
      <c r="C32" s="4" t="str">
        <f>Fixtures!C32</f>
        <v>Group C</v>
      </c>
      <c r="D32" s="3" t="str">
        <f>Fixtures!D32</f>
        <v>Brazil</v>
      </c>
      <c r="E32">
        <f>IF((_xlfn.XLOOKUP(Benchmark[[#This Row],[Team1]],Countries[Country],Countries[FIFA Ranking],,0)&lt;(_xlfn.XLOOKUP(Benchmark[[#This Row],[Team2]],Countries[Country],Countries[FIFA Ranking],,0))),1,0)</f>
        <v>1</v>
      </c>
      <c r="F32">
        <f>IF((_xlfn.XLOOKUP(Benchmark[[#This Row],[Team1]],Countries[Country],Countries[FIFA Ranking],,0)&gt;(_xlfn.XLOOKUP(Benchmark[[#This Row],[Team2]],Countries[Country],Countries[FIFA Ranking],,0))),1,0)</f>
        <v>0</v>
      </c>
      <c r="G32" s="3" t="str">
        <f>Fixtures!E32</f>
        <v>Haiti</v>
      </c>
      <c r="H32" s="3" t="str">
        <f>Fixtures!F32</f>
        <v>Philadelphia, Lincoln Financial Field</v>
      </c>
      <c r="I32" s="3"/>
      <c r="J32" cm="1">
        <f t="array" ref="J32">_xlfn.IFS(OR(ISBLANK('Results'!E32),ISBLANK('Results'!F32)),0,OR(ISBLANK(E32),ISBLANK(F32)),0,AND(E32='Results'!E32,F32='Results'!F32),Rules!$K$29,_xlfn.XOR(AND(E32&gt;F32,'Results'!E32&gt;'Results'!F32),AND(E32&lt;F32,'Results'!E32&lt;'Results'!F32),AND(E32=F32,'Results'!E32='Results'!F32)),Rules!$K$30,TRUE,0)</f>
        <v>0</v>
      </c>
      <c r="L32" s="71" t="s">
        <v>144</v>
      </c>
      <c r="M32" s="72"/>
      <c r="N32" s="1"/>
    </row>
    <row r="33" spans="1:14">
      <c r="A33">
        <f>Fixtures!A33</f>
        <v>32</v>
      </c>
      <c r="B33" s="11">
        <f>Fixtures!B33</f>
        <v>46193.125</v>
      </c>
      <c r="C33" s="4" t="str">
        <f>Fixtures!C33</f>
        <v>Group D</v>
      </c>
      <c r="D33" s="3" t="str">
        <f>Fixtures!D33</f>
        <v>Türkiye</v>
      </c>
      <c r="E33">
        <f>IF((_xlfn.XLOOKUP(Benchmark[[#This Row],[Team1]],Countries[Country],Countries[FIFA Ranking],,0)&lt;(_xlfn.XLOOKUP(Benchmark[[#This Row],[Team2]],Countries[Country],Countries[FIFA Ranking],,0))),1,0)</f>
        <v>1</v>
      </c>
      <c r="F33">
        <f>IF((_xlfn.XLOOKUP(Benchmark[[#This Row],[Team1]],Countries[Country],Countries[FIFA Ranking],,0)&gt;(_xlfn.XLOOKUP(Benchmark[[#This Row],[Team2]],Countries[Country],Countries[FIFA Ranking],,0))),1,0)</f>
        <v>0</v>
      </c>
      <c r="G33" s="3" t="str">
        <f>Fixtures!E33</f>
        <v>Paraguay</v>
      </c>
      <c r="H33" s="3" t="str">
        <f>Fixtures!F33</f>
        <v>San Francisco, Levi's Stadium</v>
      </c>
      <c r="I33" s="3"/>
      <c r="J33" cm="1">
        <f t="array" ref="J33">_xlfn.IFS(OR(ISBLANK('Results'!E33),ISBLANK('Results'!F33)),0,OR(ISBLANK(E33),ISBLANK(F33)),0,AND(E33='Results'!E33,F33='Results'!F33),Rules!$K$29,_xlfn.XOR(AND(E33&gt;F33,'Results'!E33&gt;'Results'!F33),AND(E33&lt;F33,'Results'!E33&lt;'Results'!F33),AND(E33=F33,'Results'!E33='Results'!F33)),Rules!$K$30,TRUE,0)</f>
        <v>0</v>
      </c>
      <c r="L33" s="15" t="s">
        <v>12</v>
      </c>
      <c r="M33" s="15">
        <v>10</v>
      </c>
      <c r="N33" s="1" cm="1">
        <f t="array" ref="N33">_xlfn.IFS(OR(ISBLANK(M33),ISBLANK('Results'!K33)),0,M33='Results'!K33,Rules!$K$45,TRUE,0)</f>
        <v>0</v>
      </c>
    </row>
    <row r="34" spans="1:14">
      <c r="A34">
        <f>Fixtures!A34</f>
        <v>33</v>
      </c>
      <c r="B34" s="11">
        <f>Fixtures!B34</f>
        <v>46193.708333333336</v>
      </c>
      <c r="C34" s="4" t="str">
        <f>Fixtures!C34</f>
        <v>Group F</v>
      </c>
      <c r="D34" s="3" t="str">
        <f>Fixtures!D34</f>
        <v>Netherlands</v>
      </c>
      <c r="E34">
        <f>IF((_xlfn.XLOOKUP(Benchmark[[#This Row],[Team1]],Countries[Country],Countries[FIFA Ranking],,0)&lt;(_xlfn.XLOOKUP(Benchmark[[#This Row],[Team2]],Countries[Country],Countries[FIFA Ranking],,0))),1,0)</f>
        <v>1</v>
      </c>
      <c r="F34">
        <f>IF((_xlfn.XLOOKUP(Benchmark[[#This Row],[Team1]],Countries[Country],Countries[FIFA Ranking],,0)&gt;(_xlfn.XLOOKUP(Benchmark[[#This Row],[Team2]],Countries[Country],Countries[FIFA Ranking],,0))),1,0)</f>
        <v>0</v>
      </c>
      <c r="G34" s="3" t="str">
        <f>Fixtures!E34</f>
        <v>Sweden</v>
      </c>
      <c r="H34" s="3" t="str">
        <f>Fixtures!F34</f>
        <v>Houston, NRG Stadium</v>
      </c>
      <c r="I34" s="3"/>
      <c r="J34" cm="1">
        <f t="array" ref="J34">_xlfn.IFS(OR(ISBLANK('Results'!E34),ISBLANK('Results'!F34)),0,OR(ISBLANK(E34),ISBLANK(F34)),0,AND(E34='Results'!E34,F34='Results'!F34),Rules!$K$29,_xlfn.XOR(AND(E34&gt;F34,'Results'!E34&gt;'Results'!F34),AND(E34&lt;F34,'Results'!E34&lt;'Results'!F34),AND(E34=F34,'Results'!E34='Results'!F34)),Rules!$K$30,TRUE,0)</f>
        <v>0</v>
      </c>
      <c r="L34" s="16" t="s">
        <v>31</v>
      </c>
      <c r="M34" s="16">
        <v>10</v>
      </c>
      <c r="N34" s="1" cm="1">
        <f t="array" ref="N34">_xlfn.IFS(OR(ISBLANK(M34),ISBLANK('Results'!K34)),0,M34='Results'!K34,Rules!$K$45,TRUE,0)</f>
        <v>0</v>
      </c>
    </row>
    <row r="35" spans="1:14">
      <c r="A35">
        <f>Fixtures!A35</f>
        <v>34</v>
      </c>
      <c r="B35" s="11">
        <f>Fixtures!B35</f>
        <v>46193.833333333336</v>
      </c>
      <c r="C35" s="4" t="str">
        <f>Fixtures!C35</f>
        <v>Group E</v>
      </c>
      <c r="D35" s="3" t="str">
        <f>Fixtures!D35</f>
        <v>Germany</v>
      </c>
      <c r="E35">
        <f>IF((_xlfn.XLOOKUP(Benchmark[[#This Row],[Team1]],Countries[Country],Countries[FIFA Ranking],,0)&lt;(_xlfn.XLOOKUP(Benchmark[[#This Row],[Team2]],Countries[Country],Countries[FIFA Ranking],,0))),1,0)</f>
        <v>1</v>
      </c>
      <c r="F35">
        <f>IF((_xlfn.XLOOKUP(Benchmark[[#This Row],[Team1]],Countries[Country],Countries[FIFA Ranking],,0)&gt;(_xlfn.XLOOKUP(Benchmark[[#This Row],[Team2]],Countries[Country],Countries[FIFA Ranking],,0))),1,0)</f>
        <v>0</v>
      </c>
      <c r="G35" s="3" t="str">
        <f>Fixtures!E35</f>
        <v>Côte d'Ivoire</v>
      </c>
      <c r="H35" s="3" t="str">
        <f>Fixtures!F35</f>
        <v>Toronto, BMO Field</v>
      </c>
      <c r="I35" s="3"/>
      <c r="J35" cm="1">
        <f t="array" ref="J35">_xlfn.IFS(OR(ISBLANK('Results'!E35),ISBLANK('Results'!F35)),0,OR(ISBLANK(E35),ISBLANK(F35)),0,AND(E35='Results'!E35,F35='Results'!F35),Rules!$K$29,_xlfn.XOR(AND(E35&gt;F35,'Results'!E35&gt;'Results'!F35),AND(E35&lt;F35,'Results'!E35&lt;'Results'!F35),AND(E35=F35,'Results'!E35='Results'!F35)),Rules!$K$30,TRUE,0)</f>
        <v>0</v>
      </c>
      <c r="L35" s="17" t="s">
        <v>260</v>
      </c>
      <c r="M35" s="17">
        <v>10</v>
      </c>
      <c r="N35" s="1" cm="1">
        <f t="array" ref="N35">_xlfn.IFS(OR(ISBLANK(M35),ISBLANK('Results'!K35)),0,M35='Results'!K35,Rules!$K$45,TRUE,0)</f>
        <v>0</v>
      </c>
    </row>
    <row r="36" spans="1:14">
      <c r="A36">
        <f>Fixtures!A36</f>
        <v>35</v>
      </c>
      <c r="B36" s="11">
        <f>Fixtures!B36</f>
        <v>46194</v>
      </c>
      <c r="C36" s="4" t="str">
        <f>Fixtures!C36</f>
        <v>Group E</v>
      </c>
      <c r="D36" s="3" t="str">
        <f>Fixtures!D36</f>
        <v>Ecuador</v>
      </c>
      <c r="E36">
        <f>IF((_xlfn.XLOOKUP(Benchmark[[#This Row],[Team1]],Countries[Country],Countries[FIFA Ranking],,0)&lt;(_xlfn.XLOOKUP(Benchmark[[#This Row],[Team2]],Countries[Country],Countries[FIFA Ranking],,0))),1,0)</f>
        <v>1</v>
      </c>
      <c r="F36">
        <f>IF((_xlfn.XLOOKUP(Benchmark[[#This Row],[Team1]],Countries[Country],Countries[FIFA Ranking],,0)&gt;(_xlfn.XLOOKUP(Benchmark[[#This Row],[Team2]],Countries[Country],Countries[FIFA Ranking],,0))),1,0)</f>
        <v>0</v>
      </c>
      <c r="G36" s="3" t="str">
        <f>Fixtures!E36</f>
        <v>Curaçao</v>
      </c>
      <c r="H36" s="3" t="str">
        <f>Fixtures!F36</f>
        <v>Kansas City, Arrowhead Stadium</v>
      </c>
      <c r="I36" s="3"/>
      <c r="J36" cm="1">
        <f t="array" ref="J36">_xlfn.IFS(OR(ISBLANK('Results'!E36),ISBLANK('Results'!F36)),0,OR(ISBLANK(E36),ISBLANK(F36)),0,AND(E36='Results'!E36,F36='Results'!F36),Rules!$K$29,_xlfn.XOR(AND(E36&gt;F36,'Results'!E36&gt;'Results'!F36),AND(E36&lt;F36,'Results'!E36&lt;'Results'!F36),AND(E36=F36,'Results'!E36='Results'!F36)),Rules!$K$30,TRUE,0)</f>
        <v>0</v>
      </c>
    </row>
    <row r="37" spans="1:14">
      <c r="A37">
        <f>Fixtures!A37</f>
        <v>36</v>
      </c>
      <c r="B37" s="11">
        <f>Fixtures!B37</f>
        <v>46194.166666666664</v>
      </c>
      <c r="C37" s="4" t="str">
        <f>Fixtures!C37</f>
        <v>Group F</v>
      </c>
      <c r="D37" s="3" t="str">
        <f>Fixtures!D37</f>
        <v>Tunisia</v>
      </c>
      <c r="E37">
        <f>IF((_xlfn.XLOOKUP(Benchmark[[#This Row],[Team1]],Countries[Country],Countries[FIFA Ranking],,0)&lt;(_xlfn.XLOOKUP(Benchmark[[#This Row],[Team2]],Countries[Country],Countries[FIFA Ranking],,0))),1,0)</f>
        <v>0</v>
      </c>
      <c r="F37">
        <f>IF((_xlfn.XLOOKUP(Benchmark[[#This Row],[Team1]],Countries[Country],Countries[FIFA Ranking],,0)&gt;(_xlfn.XLOOKUP(Benchmark[[#This Row],[Team2]],Countries[Country],Countries[FIFA Ranking],,0))),1,0)</f>
        <v>1</v>
      </c>
      <c r="G37" s="3" t="str">
        <f>Fixtures!E37</f>
        <v>Japan</v>
      </c>
      <c r="H37" s="3" t="str">
        <f>Fixtures!F37</f>
        <v>Monterrey, Estadio BBVA</v>
      </c>
      <c r="I37" s="3"/>
      <c r="J37" cm="1">
        <f t="array" ref="J37">_xlfn.IFS(OR(ISBLANK('Results'!E37),ISBLANK('Results'!F37)),0,OR(ISBLANK(E37),ISBLANK(F37)),0,AND(E37='Results'!E37,F37='Results'!F37),Rules!$K$29,_xlfn.XOR(AND(E37&gt;F37,'Results'!E37&gt;'Results'!F37),AND(E37&lt;F37,'Results'!E37&lt;'Results'!F37),AND(E37=F37,'Results'!E37='Results'!F37)),Rules!$K$30,TRUE,0)</f>
        <v>0</v>
      </c>
    </row>
    <row r="38" spans="1:14">
      <c r="A38">
        <f>Fixtures!A38</f>
        <v>37</v>
      </c>
      <c r="B38" s="11">
        <f>Fixtures!B38</f>
        <v>46194.666666666664</v>
      </c>
      <c r="C38" s="4" t="str">
        <f>Fixtures!C38</f>
        <v>Group H</v>
      </c>
      <c r="D38" s="3" t="str">
        <f>Fixtures!D38</f>
        <v>Spain</v>
      </c>
      <c r="E38">
        <f>IF((_xlfn.XLOOKUP(Benchmark[[#This Row],[Team1]],Countries[Country],Countries[FIFA Ranking],,0)&lt;(_xlfn.XLOOKUP(Benchmark[[#This Row],[Team2]],Countries[Country],Countries[FIFA Ranking],,0))),1,0)</f>
        <v>1</v>
      </c>
      <c r="F38">
        <f>IF((_xlfn.XLOOKUP(Benchmark[[#This Row],[Team1]],Countries[Country],Countries[FIFA Ranking],,0)&gt;(_xlfn.XLOOKUP(Benchmark[[#This Row],[Team2]],Countries[Country],Countries[FIFA Ranking],,0))),1,0)</f>
        <v>0</v>
      </c>
      <c r="G38" s="3" t="str">
        <f>Fixtures!E38</f>
        <v>Saudi Arabia</v>
      </c>
      <c r="H38" s="3" t="str">
        <f>Fixtures!F38</f>
        <v>Atlanta, Mercedes-Benz Stadium</v>
      </c>
      <c r="I38" s="3"/>
      <c r="J38" cm="1">
        <f t="array" ref="J38">_xlfn.IFS(OR(ISBLANK('Results'!E38),ISBLANK('Results'!F38)),0,OR(ISBLANK(E38),ISBLANK(F38)),0,AND(E38='Results'!E38,F38='Results'!F38),Rules!$K$29,_xlfn.XOR(AND(E38&gt;F38,'Results'!E38&gt;'Results'!F38),AND(E38&lt;F38,'Results'!E38&lt;'Results'!F38),AND(E38=F38,'Results'!E38='Results'!F38)),Rules!$K$30,TRUE,0)</f>
        <v>0</v>
      </c>
    </row>
    <row r="39" spans="1:14">
      <c r="A39">
        <f>Fixtures!A39</f>
        <v>38</v>
      </c>
      <c r="B39" s="11">
        <f>Fixtures!B39</f>
        <v>46194.791666666664</v>
      </c>
      <c r="C39" s="4" t="str">
        <f>Fixtures!C39</f>
        <v>Group G</v>
      </c>
      <c r="D39" s="3" t="str">
        <f>Fixtures!D39</f>
        <v>Belgium</v>
      </c>
      <c r="E39">
        <f>IF((_xlfn.XLOOKUP(Benchmark[[#This Row],[Team1]],Countries[Country],Countries[FIFA Ranking],,0)&lt;(_xlfn.XLOOKUP(Benchmark[[#This Row],[Team2]],Countries[Country],Countries[FIFA Ranking],,0))),1,0)</f>
        <v>1</v>
      </c>
      <c r="F39">
        <f>IF((_xlfn.XLOOKUP(Benchmark[[#This Row],[Team1]],Countries[Country],Countries[FIFA Ranking],,0)&gt;(_xlfn.XLOOKUP(Benchmark[[#This Row],[Team2]],Countries[Country],Countries[FIFA Ranking],,0))),1,0)</f>
        <v>0</v>
      </c>
      <c r="G39" s="3" t="str">
        <f>Fixtures!E39</f>
        <v>IR Iran</v>
      </c>
      <c r="H39" s="3" t="str">
        <f>Fixtures!F39</f>
        <v>Los Angeles, SoFi Stadium</v>
      </c>
      <c r="I39" s="3"/>
      <c r="J39" cm="1">
        <f t="array" ref="J39">_xlfn.IFS(OR(ISBLANK('Results'!E39),ISBLANK('Results'!F39)),0,OR(ISBLANK(E39),ISBLANK(F39)),0,AND(E39='Results'!E39,F39='Results'!F39),Rules!$K$29,_xlfn.XOR(AND(E39&gt;F39,'Results'!E39&gt;'Results'!F39),AND(E39&lt;F39,'Results'!E39&lt;'Results'!F39),AND(E39=F39,'Results'!E39='Results'!F39)),Rules!$K$30,TRUE,0)</f>
        <v>0</v>
      </c>
    </row>
    <row r="40" spans="1:14">
      <c r="A40">
        <f>Fixtures!A40</f>
        <v>39</v>
      </c>
      <c r="B40" s="11">
        <f>Fixtures!B40</f>
        <v>46194.916666666664</v>
      </c>
      <c r="C40" s="4" t="str">
        <f>Fixtures!C40</f>
        <v>Group H</v>
      </c>
      <c r="D40" s="3" t="str">
        <f>Fixtures!D40</f>
        <v>Uruguay</v>
      </c>
      <c r="E40">
        <f>IF((_xlfn.XLOOKUP(Benchmark[[#This Row],[Team1]],Countries[Country],Countries[FIFA Ranking],,0)&lt;(_xlfn.XLOOKUP(Benchmark[[#This Row],[Team2]],Countries[Country],Countries[FIFA Ranking],,0))),1,0)</f>
        <v>1</v>
      </c>
      <c r="F40">
        <f>IF((_xlfn.XLOOKUP(Benchmark[[#This Row],[Team1]],Countries[Country],Countries[FIFA Ranking],,0)&gt;(_xlfn.XLOOKUP(Benchmark[[#This Row],[Team2]],Countries[Country],Countries[FIFA Ranking],,0))),1,0)</f>
        <v>0</v>
      </c>
      <c r="G40" s="3" t="str">
        <f>Fixtures!E40</f>
        <v>Cabo Verde</v>
      </c>
      <c r="H40" s="3" t="str">
        <f>Fixtures!F40</f>
        <v>Miami, Hard Rock Stadium</v>
      </c>
      <c r="I40" s="3"/>
      <c r="J40" cm="1">
        <f t="array" ref="J40">_xlfn.IFS(OR(ISBLANK('Results'!E40),ISBLANK('Results'!F40)),0,OR(ISBLANK(E40),ISBLANK(F40)),0,AND(E40='Results'!E40,F40='Results'!F40),Rules!$K$29,_xlfn.XOR(AND(E40&gt;F40,'Results'!E40&gt;'Results'!F40),AND(E40&lt;F40,'Results'!E40&lt;'Results'!F40),AND(E40=F40,'Results'!E40='Results'!F40)),Rules!$K$30,TRUE,0)</f>
        <v>0</v>
      </c>
    </row>
    <row r="41" spans="1:14">
      <c r="A41">
        <f>Fixtures!A41</f>
        <v>40</v>
      </c>
      <c r="B41" s="11">
        <f>Fixtures!B41</f>
        <v>46195.041666666664</v>
      </c>
      <c r="C41" s="4" t="str">
        <f>Fixtures!C41</f>
        <v>Group G</v>
      </c>
      <c r="D41" s="3" t="str">
        <f>Fixtures!D41</f>
        <v>New Zealand</v>
      </c>
      <c r="E41">
        <f>IF((_xlfn.XLOOKUP(Benchmark[[#This Row],[Team1]],Countries[Country],Countries[FIFA Ranking],,0)&lt;(_xlfn.XLOOKUP(Benchmark[[#This Row],[Team2]],Countries[Country],Countries[FIFA Ranking],,0))),1,0)</f>
        <v>0</v>
      </c>
      <c r="F41">
        <f>IF((_xlfn.XLOOKUP(Benchmark[[#This Row],[Team1]],Countries[Country],Countries[FIFA Ranking],,0)&gt;(_xlfn.XLOOKUP(Benchmark[[#This Row],[Team2]],Countries[Country],Countries[FIFA Ranking],,0))),1,0)</f>
        <v>1</v>
      </c>
      <c r="G41" s="3" t="str">
        <f>Fixtures!E41</f>
        <v>Egypt</v>
      </c>
      <c r="H41" s="3" t="str">
        <f>Fixtures!F41</f>
        <v>Vancouver, BC Place</v>
      </c>
      <c r="I41" s="3"/>
      <c r="J41" cm="1">
        <f t="array" ref="J41">_xlfn.IFS(OR(ISBLANK('Results'!E41),ISBLANK('Results'!F41)),0,OR(ISBLANK(E41),ISBLANK(F41)),0,AND(E41='Results'!E41,F41='Results'!F41),Rules!$K$29,_xlfn.XOR(AND(E41&gt;F41,'Results'!E41&gt;'Results'!F41),AND(E41&lt;F41,'Results'!E41&lt;'Results'!F41),AND(E41=F41,'Results'!E41='Results'!F41)),Rules!$K$30,TRUE,0)</f>
        <v>0</v>
      </c>
    </row>
    <row r="42" spans="1:14">
      <c r="A42">
        <f>Fixtures!A42</f>
        <v>41</v>
      </c>
      <c r="B42" s="11">
        <f>Fixtures!B42</f>
        <v>46195.708333333336</v>
      </c>
      <c r="C42" s="4" t="str">
        <f>Fixtures!C42</f>
        <v>Group J</v>
      </c>
      <c r="D42" s="3" t="str">
        <f>Fixtures!D42</f>
        <v>Argentina</v>
      </c>
      <c r="E42">
        <f>IF((_xlfn.XLOOKUP(Benchmark[[#This Row],[Team1]],Countries[Country],Countries[FIFA Ranking],,0)&lt;(_xlfn.XLOOKUP(Benchmark[[#This Row],[Team2]],Countries[Country],Countries[FIFA Ranking],,0))),1,0)</f>
        <v>1</v>
      </c>
      <c r="F42">
        <f>IF((_xlfn.XLOOKUP(Benchmark[[#This Row],[Team1]],Countries[Country],Countries[FIFA Ranking],,0)&gt;(_xlfn.XLOOKUP(Benchmark[[#This Row],[Team2]],Countries[Country],Countries[FIFA Ranking],,0))),1,0)</f>
        <v>0</v>
      </c>
      <c r="G42" s="3" t="str">
        <f>Fixtures!E42</f>
        <v>Austria</v>
      </c>
      <c r="H42" s="3" t="str">
        <f>Fixtures!F42</f>
        <v>Dallas, AT&amp;T Stadium</v>
      </c>
      <c r="I42" s="3"/>
      <c r="J42" cm="1">
        <f t="array" ref="J42">_xlfn.IFS(OR(ISBLANK('Results'!E42),ISBLANK('Results'!F42)),0,OR(ISBLANK(E42),ISBLANK(F42)),0,AND(E42='Results'!E42,F42='Results'!F42),Rules!$K$29,_xlfn.XOR(AND(E42&gt;F42,'Results'!E42&gt;'Results'!F42),AND(E42&lt;F42,'Results'!E42&lt;'Results'!F42),AND(E42=F42,'Results'!E42='Results'!F42)),Rules!$K$30,TRUE,0)</f>
        <v>0</v>
      </c>
    </row>
    <row r="43" spans="1:14">
      <c r="A43">
        <f>Fixtures!A43</f>
        <v>42</v>
      </c>
      <c r="B43" s="11">
        <f>Fixtures!B43</f>
        <v>46195.833333333336</v>
      </c>
      <c r="C43" s="4" t="str">
        <f>Fixtures!C43</f>
        <v>Group I</v>
      </c>
      <c r="D43" s="3" t="str">
        <f>Fixtures!D43</f>
        <v>France</v>
      </c>
      <c r="E43">
        <f>IF((_xlfn.XLOOKUP(Benchmark[[#This Row],[Team1]],Countries[Country],Countries[FIFA Ranking],,0)&lt;(_xlfn.XLOOKUP(Benchmark[[#This Row],[Team2]],Countries[Country],Countries[FIFA Ranking],,0))),1,0)</f>
        <v>1</v>
      </c>
      <c r="F43">
        <f>IF((_xlfn.XLOOKUP(Benchmark[[#This Row],[Team1]],Countries[Country],Countries[FIFA Ranking],,0)&gt;(_xlfn.XLOOKUP(Benchmark[[#This Row],[Team2]],Countries[Country],Countries[FIFA Ranking],,0))),1,0)</f>
        <v>0</v>
      </c>
      <c r="G43" s="3" t="str">
        <f>Fixtures!E43</f>
        <v>Iraq</v>
      </c>
      <c r="H43" s="3" t="str">
        <f>Fixtures!F43</f>
        <v>Philadelphia, Lincoln Financial Field</v>
      </c>
      <c r="I43" s="3"/>
      <c r="J43" cm="1">
        <f t="array" ref="J43">_xlfn.IFS(OR(ISBLANK('Results'!E43),ISBLANK('Results'!F43)),0,OR(ISBLANK(E43),ISBLANK(F43)),0,AND(E43='Results'!E43,F43='Results'!F43),Rules!$K$29,_xlfn.XOR(AND(E43&gt;F43,'Results'!E43&gt;'Results'!F43),AND(E43&lt;F43,'Results'!E43&lt;'Results'!F43),AND(E43=F43,'Results'!E43='Results'!F43)),Rules!$K$30,TRUE,0)</f>
        <v>0</v>
      </c>
    </row>
    <row r="44" spans="1:14">
      <c r="A44">
        <f>Fixtures!A44</f>
        <v>43</v>
      </c>
      <c r="B44" s="11">
        <f>Fixtures!B44</f>
        <v>46195.958333333336</v>
      </c>
      <c r="C44" s="4" t="str">
        <f>Fixtures!C44</f>
        <v>Group I</v>
      </c>
      <c r="D44" s="3" t="str">
        <f>Fixtures!D44</f>
        <v>Norway</v>
      </c>
      <c r="E44">
        <f>IF((_xlfn.XLOOKUP(Benchmark[[#This Row],[Team1]],Countries[Country],Countries[FIFA Ranking],,0)&lt;(_xlfn.XLOOKUP(Benchmark[[#This Row],[Team2]],Countries[Country],Countries[FIFA Ranking],,0))),1,0)</f>
        <v>0</v>
      </c>
      <c r="F44">
        <f>IF((_xlfn.XLOOKUP(Benchmark[[#This Row],[Team1]],Countries[Country],Countries[FIFA Ranking],,0)&gt;(_xlfn.XLOOKUP(Benchmark[[#This Row],[Team2]],Countries[Country],Countries[FIFA Ranking],,0))),1,0)</f>
        <v>1</v>
      </c>
      <c r="G44" s="3" t="str">
        <f>Fixtures!E44</f>
        <v>Senegal</v>
      </c>
      <c r="H44" s="3" t="str">
        <f>Fixtures!F44</f>
        <v>New York/New Jersey, MetLife Stadium</v>
      </c>
      <c r="I44" s="3"/>
      <c r="J44" cm="1">
        <f t="array" ref="J44">_xlfn.IFS(OR(ISBLANK('Results'!E44),ISBLANK('Results'!F44)),0,OR(ISBLANK(E44),ISBLANK(F44)),0,AND(E44='Results'!E44,F44='Results'!F44),Rules!$K$29,_xlfn.XOR(AND(E44&gt;F44,'Results'!E44&gt;'Results'!F44),AND(E44&lt;F44,'Results'!E44&lt;'Results'!F44),AND(E44=F44,'Results'!E44='Results'!F44)),Rules!$K$30,TRUE,0)</f>
        <v>0</v>
      </c>
    </row>
    <row r="45" spans="1:14">
      <c r="A45">
        <f>Fixtures!A45</f>
        <v>44</v>
      </c>
      <c r="B45" s="11">
        <f>Fixtures!B45</f>
        <v>46196.125</v>
      </c>
      <c r="C45" s="4" t="str">
        <f>Fixtures!C45</f>
        <v>Group J</v>
      </c>
      <c r="D45" s="3" t="str">
        <f>Fixtures!D45</f>
        <v>Jordan</v>
      </c>
      <c r="E45">
        <f>IF((_xlfn.XLOOKUP(Benchmark[[#This Row],[Team1]],Countries[Country],Countries[FIFA Ranking],,0)&lt;(_xlfn.XLOOKUP(Benchmark[[#This Row],[Team2]],Countries[Country],Countries[FIFA Ranking],,0))),1,0)</f>
        <v>0</v>
      </c>
      <c r="F45">
        <f>IF((_xlfn.XLOOKUP(Benchmark[[#This Row],[Team1]],Countries[Country],Countries[FIFA Ranking],,0)&gt;(_xlfn.XLOOKUP(Benchmark[[#This Row],[Team2]],Countries[Country],Countries[FIFA Ranking],,0))),1,0)</f>
        <v>1</v>
      </c>
      <c r="G45" s="3" t="str">
        <f>Fixtures!E45</f>
        <v>Algeria</v>
      </c>
      <c r="H45" s="3" t="str">
        <f>Fixtures!F45</f>
        <v>San Francisco, Levi's Stadium</v>
      </c>
      <c r="I45" s="3"/>
      <c r="J45" cm="1">
        <f t="array" ref="J45">_xlfn.IFS(OR(ISBLANK('Results'!E45),ISBLANK('Results'!F45)),0,OR(ISBLANK(E45),ISBLANK(F45)),0,AND(E45='Results'!E45,F45='Results'!F45),Rules!$K$29,_xlfn.XOR(AND(E45&gt;F45,'Results'!E45&gt;'Results'!F45),AND(E45&lt;F45,'Results'!E45&lt;'Results'!F45),AND(E45=F45,'Results'!E45='Results'!F45)),Rules!$K$30,TRUE,0)</f>
        <v>0</v>
      </c>
    </row>
    <row r="46" spans="1:14">
      <c r="A46">
        <f>Fixtures!A46</f>
        <v>45</v>
      </c>
      <c r="B46" s="11">
        <f>Fixtures!B46</f>
        <v>46196.708333333336</v>
      </c>
      <c r="C46" s="4" t="str">
        <f>Fixtures!C46</f>
        <v>Group K</v>
      </c>
      <c r="D46" s="3" t="str">
        <f>Fixtures!D46</f>
        <v>Portugal</v>
      </c>
      <c r="E46">
        <f>IF((_xlfn.XLOOKUP(Benchmark[[#This Row],[Team1]],Countries[Country],Countries[FIFA Ranking],,0)&lt;(_xlfn.XLOOKUP(Benchmark[[#This Row],[Team2]],Countries[Country],Countries[FIFA Ranking],,0))),1,0)</f>
        <v>1</v>
      </c>
      <c r="F46">
        <f>IF((_xlfn.XLOOKUP(Benchmark[[#This Row],[Team1]],Countries[Country],Countries[FIFA Ranking],,0)&gt;(_xlfn.XLOOKUP(Benchmark[[#This Row],[Team2]],Countries[Country],Countries[FIFA Ranking],,0))),1,0)</f>
        <v>0</v>
      </c>
      <c r="G46" s="3" t="str">
        <f>Fixtures!E46</f>
        <v>Uzbekistan</v>
      </c>
      <c r="H46" s="3" t="str">
        <f>Fixtures!F46</f>
        <v>Houston, NRG Stadium</v>
      </c>
      <c r="I46" s="3"/>
      <c r="J46" cm="1">
        <f t="array" ref="J46">_xlfn.IFS(OR(ISBLANK('Results'!E46),ISBLANK('Results'!F46)),0,OR(ISBLANK(E46),ISBLANK(F46)),0,AND(E46='Results'!E46,F46='Results'!F46),Rules!$K$29,_xlfn.XOR(AND(E46&gt;F46,'Results'!E46&gt;'Results'!F46),AND(E46&lt;F46,'Results'!E46&lt;'Results'!F46),AND(E46=F46,'Results'!E46='Results'!F46)),Rules!$K$30,TRUE,0)</f>
        <v>0</v>
      </c>
    </row>
    <row r="47" spans="1:14">
      <c r="A47">
        <f>Fixtures!A47</f>
        <v>46</v>
      </c>
      <c r="B47" s="11">
        <f>Fixtures!B47</f>
        <v>46196.833333333336</v>
      </c>
      <c r="C47" s="4" t="str">
        <f>Fixtures!C47</f>
        <v>Group L</v>
      </c>
      <c r="D47" s="3" t="str">
        <f>Fixtures!D47</f>
        <v>England</v>
      </c>
      <c r="E47">
        <f>IF((_xlfn.XLOOKUP(Benchmark[[#This Row],[Team1]],Countries[Country],Countries[FIFA Ranking],,0)&lt;(_xlfn.XLOOKUP(Benchmark[[#This Row],[Team2]],Countries[Country],Countries[FIFA Ranking],,0))),1,0)</f>
        <v>1</v>
      </c>
      <c r="F47">
        <f>IF((_xlfn.XLOOKUP(Benchmark[[#This Row],[Team1]],Countries[Country],Countries[FIFA Ranking],,0)&gt;(_xlfn.XLOOKUP(Benchmark[[#This Row],[Team2]],Countries[Country],Countries[FIFA Ranking],,0))),1,0)</f>
        <v>0</v>
      </c>
      <c r="G47" s="3" t="str">
        <f>Fixtures!E47</f>
        <v>Ghana</v>
      </c>
      <c r="H47" s="3" t="str">
        <f>Fixtures!F47</f>
        <v>Boston, Gillette Stadium</v>
      </c>
      <c r="I47" s="3"/>
      <c r="J47" cm="1">
        <f t="array" ref="J47">_xlfn.IFS(OR(ISBLANK('Results'!E47),ISBLANK('Results'!F47)),0,OR(ISBLANK(E47),ISBLANK(F47)),0,AND(E47='Results'!E47,F47='Results'!F47),Rules!$K$29,_xlfn.XOR(AND(E47&gt;F47,'Results'!E47&gt;'Results'!F47),AND(E47&lt;F47,'Results'!E47&lt;'Results'!F47),AND(E47=F47,'Results'!E47='Results'!F47)),Rules!$K$30,TRUE,0)</f>
        <v>0</v>
      </c>
    </row>
    <row r="48" spans="1:14">
      <c r="A48">
        <f>Fixtures!A48</f>
        <v>47</v>
      </c>
      <c r="B48" s="11">
        <f>Fixtures!B48</f>
        <v>46196.958333333336</v>
      </c>
      <c r="C48" s="4" t="str">
        <f>Fixtures!C48</f>
        <v>Group L</v>
      </c>
      <c r="D48" s="3" t="str">
        <f>Fixtures!D48</f>
        <v>Panama</v>
      </c>
      <c r="E48">
        <f>IF((_xlfn.XLOOKUP(Benchmark[[#This Row],[Team1]],Countries[Country],Countries[FIFA Ranking],,0)&lt;(_xlfn.XLOOKUP(Benchmark[[#This Row],[Team2]],Countries[Country],Countries[FIFA Ranking],,0))),1,0)</f>
        <v>0</v>
      </c>
      <c r="F48">
        <f>IF((_xlfn.XLOOKUP(Benchmark[[#This Row],[Team1]],Countries[Country],Countries[FIFA Ranking],,0)&gt;(_xlfn.XLOOKUP(Benchmark[[#This Row],[Team2]],Countries[Country],Countries[FIFA Ranking],,0))),1,0)</f>
        <v>1</v>
      </c>
      <c r="G48" s="3" t="str">
        <f>Fixtures!E48</f>
        <v>Croatia</v>
      </c>
      <c r="H48" s="3" t="str">
        <f>Fixtures!F48</f>
        <v>Toronto, BMO Field</v>
      </c>
      <c r="I48" s="3"/>
      <c r="J48" cm="1">
        <f t="array" ref="J48">_xlfn.IFS(OR(ISBLANK('Results'!E48),ISBLANK('Results'!F48)),0,OR(ISBLANK(E48),ISBLANK(F48)),0,AND(E48='Results'!E48,F48='Results'!F48),Rules!$K$29,_xlfn.XOR(AND(E48&gt;F48,'Results'!E48&gt;'Results'!F48),AND(E48&lt;F48,'Results'!E48&lt;'Results'!F48),AND(E48=F48,'Results'!E48='Results'!F48)),Rules!$K$30,TRUE,0)</f>
        <v>0</v>
      </c>
    </row>
    <row r="49" spans="1:10">
      <c r="A49">
        <f>Fixtures!A49</f>
        <v>48</v>
      </c>
      <c r="B49" s="11">
        <f>Fixtures!B49</f>
        <v>46197.083333333336</v>
      </c>
      <c r="C49" s="4" t="str">
        <f>Fixtures!C49</f>
        <v>Group K</v>
      </c>
      <c r="D49" s="3" t="str">
        <f>Fixtures!D49</f>
        <v>Colombia</v>
      </c>
      <c r="E49">
        <f>IF((_xlfn.XLOOKUP(Benchmark[[#This Row],[Team1]],Countries[Country],Countries[FIFA Ranking],,0)&lt;(_xlfn.XLOOKUP(Benchmark[[#This Row],[Team2]],Countries[Country],Countries[FIFA Ranking],,0))),1,0)</f>
        <v>1</v>
      </c>
      <c r="F49">
        <f>IF((_xlfn.XLOOKUP(Benchmark[[#This Row],[Team1]],Countries[Country],Countries[FIFA Ranking],,0)&gt;(_xlfn.XLOOKUP(Benchmark[[#This Row],[Team2]],Countries[Country],Countries[FIFA Ranking],,0))),1,0)</f>
        <v>0</v>
      </c>
      <c r="G49" s="3" t="str">
        <f>Fixtures!E49</f>
        <v>Congo DR</v>
      </c>
      <c r="H49" s="3" t="str">
        <f>Fixtures!F49</f>
        <v>Guadalajara, Estadio Akron</v>
      </c>
      <c r="I49" s="3"/>
      <c r="J49" cm="1">
        <f t="array" ref="J49">_xlfn.IFS(OR(ISBLANK('Results'!E49),ISBLANK('Results'!F49)),0,OR(ISBLANK(E49),ISBLANK(F49)),0,AND(E49='Results'!E49,F49='Results'!F49),Rules!$K$29,_xlfn.XOR(AND(E49&gt;F49,'Results'!E49&gt;'Results'!F49),AND(E49&lt;F49,'Results'!E49&lt;'Results'!F49),AND(E49=F49,'Results'!E49='Results'!F49)),Rules!$K$30,TRUE,0)</f>
        <v>0</v>
      </c>
    </row>
    <row r="50" spans="1:10">
      <c r="A50">
        <f>Fixtures!A50</f>
        <v>49</v>
      </c>
      <c r="B50" s="11">
        <f>Fixtures!B50</f>
        <v>46197.791666666664</v>
      </c>
      <c r="C50" s="4" t="str">
        <f>Fixtures!C50</f>
        <v>Group B</v>
      </c>
      <c r="D50" s="3" t="str">
        <f>Fixtures!D50</f>
        <v>Switzerland</v>
      </c>
      <c r="E50">
        <f>IF((_xlfn.XLOOKUP(Benchmark[[#This Row],[Team1]],Countries[Country],Countries[FIFA Ranking],,0)&lt;(_xlfn.XLOOKUP(Benchmark[[#This Row],[Team2]],Countries[Country],Countries[FIFA Ranking],,0))),1,0)</f>
        <v>1</v>
      </c>
      <c r="F50">
        <f>IF((_xlfn.XLOOKUP(Benchmark[[#This Row],[Team1]],Countries[Country],Countries[FIFA Ranking],,0)&gt;(_xlfn.XLOOKUP(Benchmark[[#This Row],[Team2]],Countries[Country],Countries[FIFA Ranking],,0))),1,0)</f>
        <v>0</v>
      </c>
      <c r="G50" s="3" t="str">
        <f>Fixtures!E50</f>
        <v>Canada</v>
      </c>
      <c r="H50" s="3" t="str">
        <f>Fixtures!F50</f>
        <v>Vancouver, BC Place</v>
      </c>
      <c r="I50" s="3"/>
      <c r="J50" cm="1">
        <f t="array" ref="J50">_xlfn.IFS(OR(ISBLANK('Results'!E50),ISBLANK('Results'!F50)),0,OR(ISBLANK(E50),ISBLANK(F50)),0,AND(E50='Results'!E50,F50='Results'!F50),Rules!$K$29,_xlfn.XOR(AND(E50&gt;F50,'Results'!E50&gt;'Results'!F50),AND(E50&lt;F50,'Results'!E50&lt;'Results'!F50),AND(E50=F50,'Results'!E50='Results'!F50)),Rules!$K$30,TRUE,0)</f>
        <v>0</v>
      </c>
    </row>
    <row r="51" spans="1:10">
      <c r="A51">
        <f>Fixtures!A51</f>
        <v>50</v>
      </c>
      <c r="B51" s="11">
        <f>Fixtures!B51</f>
        <v>46197.791666666664</v>
      </c>
      <c r="C51" s="4" t="str">
        <f>Fixtures!C51</f>
        <v>Group B</v>
      </c>
      <c r="D51" s="3" t="str">
        <f>Fixtures!D51</f>
        <v>Bosnia and Herzegovina</v>
      </c>
      <c r="E51">
        <f>IF((_xlfn.XLOOKUP(Benchmark[[#This Row],[Team1]],Countries[Country],Countries[FIFA Ranking],,0)&lt;(_xlfn.XLOOKUP(Benchmark[[#This Row],[Team2]],Countries[Country],Countries[FIFA Ranking],,0))),1,0)</f>
        <v>0</v>
      </c>
      <c r="F51">
        <f>IF((_xlfn.XLOOKUP(Benchmark[[#This Row],[Team1]],Countries[Country],Countries[FIFA Ranking],,0)&gt;(_xlfn.XLOOKUP(Benchmark[[#This Row],[Team2]],Countries[Country],Countries[FIFA Ranking],,0))),1,0)</f>
        <v>1</v>
      </c>
      <c r="G51" s="3" t="str">
        <f>Fixtures!E51</f>
        <v>Qatar</v>
      </c>
      <c r="H51" s="3" t="str">
        <f>Fixtures!F51</f>
        <v>Seattle, Lumen Field</v>
      </c>
      <c r="I51" s="3"/>
      <c r="J51" cm="1">
        <f t="array" ref="J51">_xlfn.IFS(OR(ISBLANK('Results'!E51),ISBLANK('Results'!F51)),0,OR(ISBLANK(E51),ISBLANK(F51)),0,AND(E51='Results'!E51,F51='Results'!F51),Rules!$K$29,_xlfn.XOR(AND(E51&gt;F51,'Results'!E51&gt;'Results'!F51),AND(E51&lt;F51,'Results'!E51&lt;'Results'!F51),AND(E51=F51,'Results'!E51='Results'!F51)),Rules!$K$30,TRUE,0)</f>
        <v>0</v>
      </c>
    </row>
    <row r="52" spans="1:10">
      <c r="A52">
        <f>Fixtures!A52</f>
        <v>51</v>
      </c>
      <c r="B52" s="11">
        <f>Fixtures!B52</f>
        <v>46197.916666666664</v>
      </c>
      <c r="C52" s="4" t="str">
        <f>Fixtures!C52</f>
        <v>Group C</v>
      </c>
      <c r="D52" s="3" t="str">
        <f>Fixtures!D52</f>
        <v>Scotland</v>
      </c>
      <c r="E52">
        <f>IF((_xlfn.XLOOKUP(Benchmark[[#This Row],[Team1]],Countries[Country],Countries[FIFA Ranking],,0)&lt;(_xlfn.XLOOKUP(Benchmark[[#This Row],[Team2]],Countries[Country],Countries[FIFA Ranking],,0))),1,0)</f>
        <v>0</v>
      </c>
      <c r="F52">
        <f>IF((_xlfn.XLOOKUP(Benchmark[[#This Row],[Team1]],Countries[Country],Countries[FIFA Ranking],,0)&gt;(_xlfn.XLOOKUP(Benchmark[[#This Row],[Team2]],Countries[Country],Countries[FIFA Ranking],,0))),1,0)</f>
        <v>1</v>
      </c>
      <c r="G52" s="3" t="str">
        <f>Fixtures!E52</f>
        <v>Brazil</v>
      </c>
      <c r="H52" s="3" t="str">
        <f>Fixtures!F52</f>
        <v>Miami, Hard Rock Stadium</v>
      </c>
      <c r="I52" s="3"/>
      <c r="J52" cm="1">
        <f t="array" ref="J52">_xlfn.IFS(OR(ISBLANK('Results'!E52),ISBLANK('Results'!F52)),0,OR(ISBLANK(E52),ISBLANK(F52)),0,AND(E52='Results'!E52,F52='Results'!F52),Rules!$K$29,_xlfn.XOR(AND(E52&gt;F52,'Results'!E52&gt;'Results'!F52),AND(E52&lt;F52,'Results'!E52&lt;'Results'!F52),AND(E52=F52,'Results'!E52='Results'!F52)),Rules!$K$30,TRUE,0)</f>
        <v>0</v>
      </c>
    </row>
    <row r="53" spans="1:10">
      <c r="A53">
        <f>Fixtures!A53</f>
        <v>52</v>
      </c>
      <c r="B53" s="11">
        <f>Fixtures!B53</f>
        <v>46197.916666666664</v>
      </c>
      <c r="C53" s="4" t="str">
        <f>Fixtures!C53</f>
        <v>Group C</v>
      </c>
      <c r="D53" s="3" t="str">
        <f>Fixtures!D53</f>
        <v>Morocco</v>
      </c>
      <c r="E53">
        <f>IF((_xlfn.XLOOKUP(Benchmark[[#This Row],[Team1]],Countries[Country],Countries[FIFA Ranking],,0)&lt;(_xlfn.XLOOKUP(Benchmark[[#This Row],[Team2]],Countries[Country],Countries[FIFA Ranking],,0))),1,0)</f>
        <v>1</v>
      </c>
      <c r="F53">
        <f>IF((_xlfn.XLOOKUP(Benchmark[[#This Row],[Team1]],Countries[Country],Countries[FIFA Ranking],,0)&gt;(_xlfn.XLOOKUP(Benchmark[[#This Row],[Team2]],Countries[Country],Countries[FIFA Ranking],,0))),1,0)</f>
        <v>0</v>
      </c>
      <c r="G53" s="3" t="str">
        <f>Fixtures!E53</f>
        <v>Haiti</v>
      </c>
      <c r="H53" s="3" t="str">
        <f>Fixtures!F53</f>
        <v>Atlanta, Mercedes-Benz Stadium</v>
      </c>
      <c r="I53" s="3"/>
      <c r="J53" cm="1">
        <f t="array" ref="J53">_xlfn.IFS(OR(ISBLANK('Results'!E53),ISBLANK('Results'!F53)),0,OR(ISBLANK(E53),ISBLANK(F53)),0,AND(E53='Results'!E53,F53='Results'!F53),Rules!$K$29,_xlfn.XOR(AND(E53&gt;F53,'Results'!E53&gt;'Results'!F53),AND(E53&lt;F53,'Results'!E53&lt;'Results'!F53),AND(E53=F53,'Results'!E53='Results'!F53)),Rules!$K$30,TRUE,0)</f>
        <v>0</v>
      </c>
    </row>
    <row r="54" spans="1:10">
      <c r="A54">
        <f>Fixtures!A54</f>
        <v>53</v>
      </c>
      <c r="B54" s="11">
        <f>Fixtures!B54</f>
        <v>46198.041666666664</v>
      </c>
      <c r="C54" s="4" t="str">
        <f>Fixtures!C54</f>
        <v>Group A</v>
      </c>
      <c r="D54" s="3" t="str">
        <f>Fixtures!D54</f>
        <v>Czechia</v>
      </c>
      <c r="E54">
        <f>IF((_xlfn.XLOOKUP(Benchmark[[#This Row],[Team1]],Countries[Country],Countries[FIFA Ranking],,0)&lt;(_xlfn.XLOOKUP(Benchmark[[#This Row],[Team2]],Countries[Country],Countries[FIFA Ranking],,0))),1,0)</f>
        <v>0</v>
      </c>
      <c r="F54">
        <f>IF((_xlfn.XLOOKUP(Benchmark[[#This Row],[Team1]],Countries[Country],Countries[FIFA Ranking],,0)&gt;(_xlfn.XLOOKUP(Benchmark[[#This Row],[Team2]],Countries[Country],Countries[FIFA Ranking],,0))),1,0)</f>
        <v>1</v>
      </c>
      <c r="G54" s="3" t="str">
        <f>Fixtures!E54</f>
        <v>Mexico</v>
      </c>
      <c r="H54" s="3" t="str">
        <f>Fixtures!F54</f>
        <v>Mexico City, Estadio Azteca</v>
      </c>
      <c r="I54" s="3"/>
      <c r="J54" cm="1">
        <f t="array" ref="J54">_xlfn.IFS(OR(ISBLANK('Results'!E54),ISBLANK('Results'!F54)),0,OR(ISBLANK(E54),ISBLANK(F54)),0,AND(E54='Results'!E54,F54='Results'!F54),Rules!$K$29,_xlfn.XOR(AND(E54&gt;F54,'Results'!E54&gt;'Results'!F54),AND(E54&lt;F54,'Results'!E54&lt;'Results'!F54),AND(E54=F54,'Results'!E54='Results'!F54)),Rules!$K$30,TRUE,0)</f>
        <v>0</v>
      </c>
    </row>
    <row r="55" spans="1:10">
      <c r="A55">
        <f>Fixtures!A55</f>
        <v>54</v>
      </c>
      <c r="B55" s="11">
        <f>Fixtures!B55</f>
        <v>46198.041666666664</v>
      </c>
      <c r="C55" s="4" t="str">
        <f>Fixtures!C55</f>
        <v>Group A</v>
      </c>
      <c r="D55" s="3" t="str">
        <f>Fixtures!D55</f>
        <v>South Africa</v>
      </c>
      <c r="E55">
        <f>IF((_xlfn.XLOOKUP(Benchmark[[#This Row],[Team1]],Countries[Country],Countries[FIFA Ranking],,0)&lt;(_xlfn.XLOOKUP(Benchmark[[#This Row],[Team2]],Countries[Country],Countries[FIFA Ranking],,0))),1,0)</f>
        <v>0</v>
      </c>
      <c r="F55">
        <f>IF((_xlfn.XLOOKUP(Benchmark[[#This Row],[Team1]],Countries[Country],Countries[FIFA Ranking],,0)&gt;(_xlfn.XLOOKUP(Benchmark[[#This Row],[Team2]],Countries[Country],Countries[FIFA Ranking],,0))),1,0)</f>
        <v>1</v>
      </c>
      <c r="G55" s="3" t="str">
        <f>Fixtures!E55</f>
        <v>Korea Republic</v>
      </c>
      <c r="H55" s="3" t="str">
        <f>Fixtures!F55</f>
        <v>Monterrey, Estadio BBVA</v>
      </c>
      <c r="I55" s="3"/>
      <c r="J55" cm="1">
        <f t="array" ref="J55">_xlfn.IFS(OR(ISBLANK('Results'!E55),ISBLANK('Results'!F55)),0,OR(ISBLANK(E55),ISBLANK(F55)),0,AND(E55='Results'!E55,F55='Results'!F55),Rules!$K$29,_xlfn.XOR(AND(E55&gt;F55,'Results'!E55&gt;'Results'!F55),AND(E55&lt;F55,'Results'!E55&lt;'Results'!F55),AND(E55=F55,'Results'!E55='Results'!F55)),Rules!$K$30,TRUE,0)</f>
        <v>0</v>
      </c>
    </row>
    <row r="56" spans="1:10">
      <c r="A56">
        <f>Fixtures!A56</f>
        <v>55</v>
      </c>
      <c r="B56" s="11">
        <f>Fixtures!B56</f>
        <v>46198.791666666664</v>
      </c>
      <c r="C56" s="4" t="str">
        <f>Fixtures!C56</f>
        <v>Group D</v>
      </c>
      <c r="D56" s="3" t="str">
        <f>Fixtures!D56</f>
        <v>Paraguay</v>
      </c>
      <c r="E56">
        <f>IF((_xlfn.XLOOKUP(Benchmark[[#This Row],[Team1]],Countries[Country],Countries[FIFA Ranking],,0)&lt;(_xlfn.XLOOKUP(Benchmark[[#This Row],[Team2]],Countries[Country],Countries[FIFA Ranking],,0))),1,0)</f>
        <v>0</v>
      </c>
      <c r="F56">
        <f>IF((_xlfn.XLOOKUP(Benchmark[[#This Row],[Team1]],Countries[Country],Countries[FIFA Ranking],,0)&gt;(_xlfn.XLOOKUP(Benchmark[[#This Row],[Team2]],Countries[Country],Countries[FIFA Ranking],,0))),1,0)</f>
        <v>1</v>
      </c>
      <c r="G56" s="3" t="str">
        <f>Fixtures!E56</f>
        <v>Australia</v>
      </c>
      <c r="H56" s="3" t="str">
        <f>Fixtures!F56</f>
        <v>San Francisco, Levi's Stadium</v>
      </c>
      <c r="I56" s="3"/>
      <c r="J56" cm="1">
        <f t="array" ref="J56">_xlfn.IFS(OR(ISBLANK('Results'!E56),ISBLANK('Results'!F56)),0,OR(ISBLANK(E56),ISBLANK(F56)),0,AND(E56='Results'!E56,F56='Results'!F56),Rules!$K$29,_xlfn.XOR(AND(E56&gt;F56,'Results'!E56&gt;'Results'!F56),AND(E56&lt;F56,'Results'!E56&lt;'Results'!F56),AND(E56=F56,'Results'!E56='Results'!F56)),Rules!$K$30,TRUE,0)</f>
        <v>0</v>
      </c>
    </row>
    <row r="57" spans="1:10">
      <c r="A57">
        <f>Fixtures!A57</f>
        <v>56</v>
      </c>
      <c r="B57" s="11">
        <f>Fixtures!B57</f>
        <v>46198.791666666664</v>
      </c>
      <c r="C57" s="4" t="str">
        <f>Fixtures!C57</f>
        <v>Group D</v>
      </c>
      <c r="D57" s="3" t="str">
        <f>Fixtures!D57</f>
        <v>Türkiye</v>
      </c>
      <c r="E57">
        <f>IF((_xlfn.XLOOKUP(Benchmark[[#This Row],[Team1]],Countries[Country],Countries[FIFA Ranking],,0)&lt;(_xlfn.XLOOKUP(Benchmark[[#This Row],[Team2]],Countries[Country],Countries[FIFA Ranking],,0))),1,0)</f>
        <v>0</v>
      </c>
      <c r="F57">
        <f>IF((_xlfn.XLOOKUP(Benchmark[[#This Row],[Team1]],Countries[Country],Countries[FIFA Ranking],,0)&gt;(_xlfn.XLOOKUP(Benchmark[[#This Row],[Team2]],Countries[Country],Countries[FIFA Ranking],,0))),1,0)</f>
        <v>1</v>
      </c>
      <c r="G57" s="3" t="str">
        <f>Fixtures!E57</f>
        <v>USA</v>
      </c>
      <c r="H57" s="3" t="str">
        <f>Fixtures!F57</f>
        <v>Los Angeles, SoFi Stadium</v>
      </c>
      <c r="I57" s="3"/>
      <c r="J57" cm="1">
        <f t="array" ref="J57">_xlfn.IFS(OR(ISBLANK('Results'!E57),ISBLANK('Results'!F57)),0,OR(ISBLANK(E57),ISBLANK(F57)),0,AND(E57='Results'!E57,F57='Results'!F57),Rules!$K$29,_xlfn.XOR(AND(E57&gt;F57,'Results'!E57&gt;'Results'!F57),AND(E57&lt;F57,'Results'!E57&lt;'Results'!F57),AND(E57=F57,'Results'!E57='Results'!F57)),Rules!$K$30,TRUE,0)</f>
        <v>0</v>
      </c>
    </row>
    <row r="58" spans="1:10">
      <c r="A58">
        <f>Fixtures!A58</f>
        <v>57</v>
      </c>
      <c r="B58" s="11">
        <f>Fixtures!B58</f>
        <v>46198.916666666664</v>
      </c>
      <c r="C58" s="4" t="str">
        <f>Fixtures!C58</f>
        <v>Group E</v>
      </c>
      <c r="D58" s="3" t="str">
        <f>Fixtures!D58</f>
        <v>Ecuador</v>
      </c>
      <c r="E58">
        <f>IF((_xlfn.XLOOKUP(Benchmark[[#This Row],[Team1]],Countries[Country],Countries[FIFA Ranking],,0)&lt;(_xlfn.XLOOKUP(Benchmark[[#This Row],[Team2]],Countries[Country],Countries[FIFA Ranking],,0))),1,0)</f>
        <v>0</v>
      </c>
      <c r="F58">
        <f>IF((_xlfn.XLOOKUP(Benchmark[[#This Row],[Team1]],Countries[Country],Countries[FIFA Ranking],,0)&gt;(_xlfn.XLOOKUP(Benchmark[[#This Row],[Team2]],Countries[Country],Countries[FIFA Ranking],,0))),1,0)</f>
        <v>1</v>
      </c>
      <c r="G58" s="3" t="str">
        <f>Fixtures!E58</f>
        <v>Germany</v>
      </c>
      <c r="H58" s="3" t="str">
        <f>Fixtures!F58</f>
        <v>New York/New Jersey, MetLife Stadium</v>
      </c>
      <c r="I58" s="3"/>
      <c r="J58" cm="1">
        <f t="array" ref="J58">_xlfn.IFS(OR(ISBLANK('Results'!E58),ISBLANK('Results'!F58)),0,OR(ISBLANK(E58),ISBLANK(F58)),0,AND(E58='Results'!E58,F58='Results'!F58),Rules!$K$29,_xlfn.XOR(AND(E58&gt;F58,'Results'!E58&gt;'Results'!F58),AND(E58&lt;F58,'Results'!E58&lt;'Results'!F58),AND(E58=F58,'Results'!E58='Results'!F58)),Rules!$K$30,TRUE,0)</f>
        <v>0</v>
      </c>
    </row>
    <row r="59" spans="1:10">
      <c r="A59">
        <f>Fixtures!A59</f>
        <v>58</v>
      </c>
      <c r="B59" s="11">
        <f>Fixtures!B59</f>
        <v>46198.916666666664</v>
      </c>
      <c r="C59" s="4" t="str">
        <f>Fixtures!C59</f>
        <v>Group E</v>
      </c>
      <c r="D59" s="3" t="str">
        <f>Fixtures!D59</f>
        <v>Curaçao</v>
      </c>
      <c r="E59">
        <f>IF((_xlfn.XLOOKUP(Benchmark[[#This Row],[Team1]],Countries[Country],Countries[FIFA Ranking],,0)&lt;(_xlfn.XLOOKUP(Benchmark[[#This Row],[Team2]],Countries[Country],Countries[FIFA Ranking],,0))),1,0)</f>
        <v>0</v>
      </c>
      <c r="F59">
        <f>IF((_xlfn.XLOOKUP(Benchmark[[#This Row],[Team1]],Countries[Country],Countries[FIFA Ranking],,0)&gt;(_xlfn.XLOOKUP(Benchmark[[#This Row],[Team2]],Countries[Country],Countries[FIFA Ranking],,0))),1,0)</f>
        <v>1</v>
      </c>
      <c r="G59" s="3" t="str">
        <f>Fixtures!E59</f>
        <v>Côte d'Ivoire</v>
      </c>
      <c r="H59" s="3" t="str">
        <f>Fixtures!F59</f>
        <v>Philadelphia, Lincoln Financial Field</v>
      </c>
      <c r="I59" s="3"/>
      <c r="J59" cm="1">
        <f t="array" ref="J59">_xlfn.IFS(OR(ISBLANK('Results'!E59),ISBLANK('Results'!F59)),0,OR(ISBLANK(E59),ISBLANK(F59)),0,AND(E59='Results'!E59,F59='Results'!F59),Rules!$K$29,_xlfn.XOR(AND(E59&gt;F59,'Results'!E59&gt;'Results'!F59),AND(E59&lt;F59,'Results'!E59&lt;'Results'!F59),AND(E59=F59,'Results'!E59='Results'!F59)),Rules!$K$30,TRUE,0)</f>
        <v>0</v>
      </c>
    </row>
    <row r="60" spans="1:10">
      <c r="A60">
        <f>Fixtures!A60</f>
        <v>59</v>
      </c>
      <c r="B60" s="11">
        <f>Fixtures!B60</f>
        <v>46199.041666666664</v>
      </c>
      <c r="C60" s="4" t="str">
        <f>Fixtures!C60</f>
        <v>Group F</v>
      </c>
      <c r="D60" s="3" t="str">
        <f>Fixtures!D60</f>
        <v>Japan</v>
      </c>
      <c r="E60">
        <f>IF((_xlfn.XLOOKUP(Benchmark[[#This Row],[Team1]],Countries[Country],Countries[FIFA Ranking],,0)&lt;(_xlfn.XLOOKUP(Benchmark[[#This Row],[Team2]],Countries[Country],Countries[FIFA Ranking],,0))),1,0)</f>
        <v>1</v>
      </c>
      <c r="F60">
        <f>IF((_xlfn.XLOOKUP(Benchmark[[#This Row],[Team1]],Countries[Country],Countries[FIFA Ranking],,0)&gt;(_xlfn.XLOOKUP(Benchmark[[#This Row],[Team2]],Countries[Country],Countries[FIFA Ranking],,0))),1,0)</f>
        <v>0</v>
      </c>
      <c r="G60" s="3" t="str">
        <f>Fixtures!E60</f>
        <v>Sweden</v>
      </c>
      <c r="H60" s="3" t="str">
        <f>Fixtures!F60</f>
        <v>Dallas, AT&amp;T Stadium</v>
      </c>
      <c r="I60" s="3"/>
      <c r="J60" cm="1">
        <f t="array" ref="J60">_xlfn.IFS(OR(ISBLANK('Results'!E60),ISBLANK('Results'!F60)),0,OR(ISBLANK(E60),ISBLANK(F60)),0,AND(E60='Results'!E60,F60='Results'!F60),Rules!$K$29,_xlfn.XOR(AND(E60&gt;F60,'Results'!E60&gt;'Results'!F60),AND(E60&lt;F60,'Results'!E60&lt;'Results'!F60),AND(E60=F60,'Results'!E60='Results'!F60)),Rules!$K$30,TRUE,0)</f>
        <v>0</v>
      </c>
    </row>
    <row r="61" spans="1:10">
      <c r="A61">
        <f>Fixtures!A61</f>
        <v>60</v>
      </c>
      <c r="B61" s="11">
        <f>Fixtures!B61</f>
        <v>46199.041666666664</v>
      </c>
      <c r="C61" s="4" t="str">
        <f>Fixtures!C61</f>
        <v>Group F</v>
      </c>
      <c r="D61" s="3" t="str">
        <f>Fixtures!D61</f>
        <v>Tunisia</v>
      </c>
      <c r="E61">
        <f>IF((_xlfn.XLOOKUP(Benchmark[[#This Row],[Team1]],Countries[Country],Countries[FIFA Ranking],,0)&lt;(_xlfn.XLOOKUP(Benchmark[[#This Row],[Team2]],Countries[Country],Countries[FIFA Ranking],,0))),1,0)</f>
        <v>0</v>
      </c>
      <c r="F61">
        <f>IF((_xlfn.XLOOKUP(Benchmark[[#This Row],[Team1]],Countries[Country],Countries[FIFA Ranking],,0)&gt;(_xlfn.XLOOKUP(Benchmark[[#This Row],[Team2]],Countries[Country],Countries[FIFA Ranking],,0))),1,0)</f>
        <v>1</v>
      </c>
      <c r="G61" s="3" t="str">
        <f>Fixtures!E61</f>
        <v>Netherlands</v>
      </c>
      <c r="H61" s="3" t="str">
        <f>Fixtures!F61</f>
        <v>Kansas City, Arrowhead Stadium</v>
      </c>
      <c r="I61" s="3"/>
      <c r="J61" cm="1">
        <f t="array" ref="J61">_xlfn.IFS(OR(ISBLANK('Results'!E61),ISBLANK('Results'!F61)),0,OR(ISBLANK(E61),ISBLANK(F61)),0,AND(E61='Results'!E61,F61='Results'!F61),Rules!$K$29,_xlfn.XOR(AND(E61&gt;F61,'Results'!E61&gt;'Results'!F61),AND(E61&lt;F61,'Results'!E61&lt;'Results'!F61),AND(E61=F61,'Results'!E61='Results'!F61)),Rules!$K$30,TRUE,0)</f>
        <v>0</v>
      </c>
    </row>
    <row r="62" spans="1:10">
      <c r="A62">
        <f>Fixtures!A62</f>
        <v>61</v>
      </c>
      <c r="B62" s="11">
        <f>Fixtures!B62</f>
        <v>46199.791666666664</v>
      </c>
      <c r="C62" s="4" t="str">
        <f>Fixtures!C62</f>
        <v>Group G</v>
      </c>
      <c r="D62" s="3" t="str">
        <f>Fixtures!D62</f>
        <v>Egypt</v>
      </c>
      <c r="E62">
        <f>IF((_xlfn.XLOOKUP(Benchmark[[#This Row],[Team1]],Countries[Country],Countries[FIFA Ranking],,0)&lt;(_xlfn.XLOOKUP(Benchmark[[#This Row],[Team2]],Countries[Country],Countries[FIFA Ranking],,0))),1,0)</f>
        <v>0</v>
      </c>
      <c r="F62">
        <f>IF((_xlfn.XLOOKUP(Benchmark[[#This Row],[Team1]],Countries[Country],Countries[FIFA Ranking],,0)&gt;(_xlfn.XLOOKUP(Benchmark[[#This Row],[Team2]],Countries[Country],Countries[FIFA Ranking],,0))),1,0)</f>
        <v>1</v>
      </c>
      <c r="G62" s="3" t="str">
        <f>Fixtures!E62</f>
        <v>IR Iran</v>
      </c>
      <c r="H62" s="3" t="str">
        <f>Fixtures!F62</f>
        <v>Seattle, Lumen Field</v>
      </c>
      <c r="I62" s="3"/>
      <c r="J62" cm="1">
        <f t="array" ref="J62">_xlfn.IFS(OR(ISBLANK('Results'!E62),ISBLANK('Results'!F62)),0,OR(ISBLANK(E62),ISBLANK(F62)),0,AND(E62='Results'!E62,F62='Results'!F62),Rules!$K$29,_xlfn.XOR(AND(E62&gt;F62,'Results'!E62&gt;'Results'!F62),AND(E62&lt;F62,'Results'!E62&lt;'Results'!F62),AND(E62=F62,'Results'!E62='Results'!F62)),Rules!$K$30,TRUE,0)</f>
        <v>0</v>
      </c>
    </row>
    <row r="63" spans="1:10">
      <c r="A63">
        <f>Fixtures!A63</f>
        <v>62</v>
      </c>
      <c r="B63" s="11">
        <f>Fixtures!B63</f>
        <v>46199.791666666664</v>
      </c>
      <c r="C63" s="4" t="str">
        <f>Fixtures!C63</f>
        <v>Group G</v>
      </c>
      <c r="D63" s="3" t="str">
        <f>Fixtures!D63</f>
        <v>New Zealand</v>
      </c>
      <c r="E63">
        <f>IF((_xlfn.XLOOKUP(Benchmark[[#This Row],[Team1]],Countries[Country],Countries[FIFA Ranking],,0)&lt;(_xlfn.XLOOKUP(Benchmark[[#This Row],[Team2]],Countries[Country],Countries[FIFA Ranking],,0))),1,0)</f>
        <v>0</v>
      </c>
      <c r="F63">
        <f>IF((_xlfn.XLOOKUP(Benchmark[[#This Row],[Team1]],Countries[Country],Countries[FIFA Ranking],,0)&gt;(_xlfn.XLOOKUP(Benchmark[[#This Row],[Team2]],Countries[Country],Countries[FIFA Ranking],,0))),1,0)</f>
        <v>1</v>
      </c>
      <c r="G63" s="3" t="str">
        <f>Fixtures!E63</f>
        <v>Belgium</v>
      </c>
      <c r="H63" s="3" t="str">
        <f>Fixtures!F63</f>
        <v>Vancouver, BC Place</v>
      </c>
      <c r="I63" s="3"/>
      <c r="J63" cm="1">
        <f t="array" ref="J63">_xlfn.IFS(OR(ISBLANK('Results'!E63),ISBLANK('Results'!F63)),0,OR(ISBLANK(E63),ISBLANK(F63)),0,AND(E63='Results'!E63,F63='Results'!F63),Rules!$K$29,_xlfn.XOR(AND(E63&gt;F63,'Results'!E63&gt;'Results'!F63),AND(E63&lt;F63,'Results'!E63&lt;'Results'!F63),AND(E63=F63,'Results'!E63='Results'!F63)),Rules!$K$30,TRUE,0)</f>
        <v>0</v>
      </c>
    </row>
    <row r="64" spans="1:10">
      <c r="A64">
        <f>Fixtures!A64</f>
        <v>63</v>
      </c>
      <c r="B64" s="11">
        <f>Fixtures!B64</f>
        <v>46199.916666666664</v>
      </c>
      <c r="C64" s="4" t="str">
        <f>Fixtures!C64</f>
        <v>Group H</v>
      </c>
      <c r="D64" s="3" t="str">
        <f>Fixtures!D64</f>
        <v>Uruguay</v>
      </c>
      <c r="E64">
        <f>IF((_xlfn.XLOOKUP(Benchmark[[#This Row],[Team1]],Countries[Country],Countries[FIFA Ranking],,0)&lt;(_xlfn.XLOOKUP(Benchmark[[#This Row],[Team2]],Countries[Country],Countries[FIFA Ranking],,0))),1,0)</f>
        <v>0</v>
      </c>
      <c r="F64">
        <f>IF((_xlfn.XLOOKUP(Benchmark[[#This Row],[Team1]],Countries[Country],Countries[FIFA Ranking],,0)&gt;(_xlfn.XLOOKUP(Benchmark[[#This Row],[Team2]],Countries[Country],Countries[FIFA Ranking],,0))),1,0)</f>
        <v>1</v>
      </c>
      <c r="G64" s="3" t="str">
        <f>Fixtures!E64</f>
        <v>Spain</v>
      </c>
      <c r="H64" s="3" t="str">
        <f>Fixtures!F64</f>
        <v>Guadalajara, Estadio Akron</v>
      </c>
      <c r="I64" s="3"/>
      <c r="J64" cm="1">
        <f t="array" ref="J64">_xlfn.IFS(OR(ISBLANK('Results'!E64),ISBLANK('Results'!F64)),0,OR(ISBLANK(E64),ISBLANK(F64)),0,AND(E64='Results'!E64,F64='Results'!F64),Rules!$K$29,_xlfn.XOR(AND(E64&gt;F64,'Results'!E64&gt;'Results'!F64),AND(E64&lt;F64,'Results'!E64&lt;'Results'!F64),AND(E64=F64,'Results'!E64='Results'!F64)),Rules!$K$30,TRUE,0)</f>
        <v>0</v>
      </c>
    </row>
    <row r="65" spans="1:10">
      <c r="A65">
        <f>Fixtures!A65</f>
        <v>64</v>
      </c>
      <c r="B65" s="11">
        <f>Fixtures!B65</f>
        <v>46199.916666666664</v>
      </c>
      <c r="C65" s="4" t="str">
        <f>Fixtures!C65</f>
        <v>Group H</v>
      </c>
      <c r="D65" s="3" t="str">
        <f>Fixtures!D65</f>
        <v>Cabo Verde</v>
      </c>
      <c r="E65">
        <f>IF((_xlfn.XLOOKUP(Benchmark[[#This Row],[Team1]],Countries[Country],Countries[FIFA Ranking],,0)&lt;(_xlfn.XLOOKUP(Benchmark[[#This Row],[Team2]],Countries[Country],Countries[FIFA Ranking],,0))),1,0)</f>
        <v>0</v>
      </c>
      <c r="F65">
        <f>IF((_xlfn.XLOOKUP(Benchmark[[#This Row],[Team1]],Countries[Country],Countries[FIFA Ranking],,0)&gt;(_xlfn.XLOOKUP(Benchmark[[#This Row],[Team2]],Countries[Country],Countries[FIFA Ranking],,0))),1,0)</f>
        <v>1</v>
      </c>
      <c r="G65" s="3" t="str">
        <f>Fixtures!E65</f>
        <v>Saudi Arabia</v>
      </c>
      <c r="H65" s="3" t="str">
        <f>Fixtures!F65</f>
        <v>Houston, NRG Stadium</v>
      </c>
      <c r="I65" s="3"/>
      <c r="J65" cm="1">
        <f t="array" ref="J65">_xlfn.IFS(OR(ISBLANK('Results'!E65),ISBLANK('Results'!F65)),0,OR(ISBLANK(E65),ISBLANK(F65)),0,AND(E65='Results'!E65,F65='Results'!F65),Rules!$K$29,_xlfn.XOR(AND(E65&gt;F65,'Results'!E65&gt;'Results'!F65),AND(E65&lt;F65,'Results'!E65&lt;'Results'!F65),AND(E65=F65,'Results'!E65='Results'!F65)),Rules!$K$30,TRUE,0)</f>
        <v>0</v>
      </c>
    </row>
    <row r="66" spans="1:10">
      <c r="A66">
        <f>Fixtures!A66</f>
        <v>65</v>
      </c>
      <c r="B66" s="11">
        <f>Fixtures!B66</f>
        <v>46200.041666666664</v>
      </c>
      <c r="C66" s="4" t="str">
        <f>Fixtures!C66</f>
        <v>Group I</v>
      </c>
      <c r="D66" s="3" t="str">
        <f>Fixtures!D66</f>
        <v>Norway</v>
      </c>
      <c r="E66">
        <f>IF((_xlfn.XLOOKUP(Benchmark[[#This Row],[Team1]],Countries[Country],Countries[FIFA Ranking],,0)&lt;(_xlfn.XLOOKUP(Benchmark[[#This Row],[Team2]],Countries[Country],Countries[FIFA Ranking],,0))),1,0)</f>
        <v>0</v>
      </c>
      <c r="F66">
        <f>IF((_xlfn.XLOOKUP(Benchmark[[#This Row],[Team1]],Countries[Country],Countries[FIFA Ranking],,0)&gt;(_xlfn.XLOOKUP(Benchmark[[#This Row],[Team2]],Countries[Country],Countries[FIFA Ranking],,0))),1,0)</f>
        <v>1</v>
      </c>
      <c r="G66" s="3" t="str">
        <f>Fixtures!E66</f>
        <v>France</v>
      </c>
      <c r="H66" s="3" t="str">
        <f>Fixtures!F66</f>
        <v>Boston, Gillette Stadium</v>
      </c>
      <c r="I66" s="3"/>
      <c r="J66" cm="1">
        <f t="array" ref="J66">_xlfn.IFS(OR(ISBLANK('Results'!E66),ISBLANK('Results'!F66)),0,OR(ISBLANK(E66),ISBLANK(F66)),0,AND(E66='Results'!E66,F66='Results'!F66),Rules!$K$29,_xlfn.XOR(AND(E66&gt;F66,'Results'!E66&gt;'Results'!F66),AND(E66&lt;F66,'Results'!E66&lt;'Results'!F66),AND(E66=F66,'Results'!E66='Results'!F66)),Rules!$K$30,TRUE,0)</f>
        <v>0</v>
      </c>
    </row>
    <row r="67" spans="1:10">
      <c r="A67">
        <f>Fixtures!A67</f>
        <v>66</v>
      </c>
      <c r="B67" s="11">
        <f>Fixtures!B67</f>
        <v>46200.041666666664</v>
      </c>
      <c r="C67" s="4" t="str">
        <f>Fixtures!C67</f>
        <v>Group I</v>
      </c>
      <c r="D67" s="3" t="str">
        <f>Fixtures!D67</f>
        <v>Senegal</v>
      </c>
      <c r="E67">
        <f>IF((_xlfn.XLOOKUP(Benchmark[[#This Row],[Team1]],Countries[Country],Countries[FIFA Ranking],,0)&lt;(_xlfn.XLOOKUP(Benchmark[[#This Row],[Team2]],Countries[Country],Countries[FIFA Ranking],,0))),1,0)</f>
        <v>1</v>
      </c>
      <c r="F67">
        <f>IF((_xlfn.XLOOKUP(Benchmark[[#This Row],[Team1]],Countries[Country],Countries[FIFA Ranking],,0)&gt;(_xlfn.XLOOKUP(Benchmark[[#This Row],[Team2]],Countries[Country],Countries[FIFA Ranking],,0))),1,0)</f>
        <v>0</v>
      </c>
      <c r="G67" s="3" t="str">
        <f>Fixtures!E67</f>
        <v>Iraq</v>
      </c>
      <c r="H67" s="3" t="str">
        <f>Fixtures!F67</f>
        <v>Toronto, BMO Field</v>
      </c>
      <c r="I67" s="3"/>
      <c r="J67" cm="1">
        <f t="array" ref="J67">_xlfn.IFS(OR(ISBLANK('Results'!E67),ISBLANK('Results'!F67)),0,OR(ISBLANK(E67),ISBLANK(F67)),0,AND(E67='Results'!E67,F67='Results'!F67),Rules!$K$29,_xlfn.XOR(AND(E67&gt;F67,'Results'!E67&gt;'Results'!F67),AND(E67&lt;F67,'Results'!E67&lt;'Results'!F67),AND(E67=F67,'Results'!E67='Results'!F67)),Rules!$K$30,TRUE,0)</f>
        <v>0</v>
      </c>
    </row>
    <row r="68" spans="1:10">
      <c r="A68">
        <f>Fixtures!A68</f>
        <v>67</v>
      </c>
      <c r="B68" s="11">
        <f>Fixtures!B68</f>
        <v>46200.791666666664</v>
      </c>
      <c r="C68" s="4" t="str">
        <f>Fixtures!C68</f>
        <v>Group J</v>
      </c>
      <c r="D68" s="3" t="str">
        <f>Fixtures!D68</f>
        <v>Algeria</v>
      </c>
      <c r="E68">
        <f>IF((_xlfn.XLOOKUP(Benchmark[[#This Row],[Team1]],Countries[Country],Countries[FIFA Ranking],,0)&lt;(_xlfn.XLOOKUP(Benchmark[[#This Row],[Team2]],Countries[Country],Countries[FIFA Ranking],,0))),1,0)</f>
        <v>0</v>
      </c>
      <c r="F68">
        <f>IF((_xlfn.XLOOKUP(Benchmark[[#This Row],[Team1]],Countries[Country],Countries[FIFA Ranking],,0)&gt;(_xlfn.XLOOKUP(Benchmark[[#This Row],[Team2]],Countries[Country],Countries[FIFA Ranking],,0))),1,0)</f>
        <v>1</v>
      </c>
      <c r="G68" s="3" t="str">
        <f>Fixtures!E68</f>
        <v>Austria</v>
      </c>
      <c r="H68" s="3" t="str">
        <f>Fixtures!F68</f>
        <v>Kansas City, Arrowhead Stadium</v>
      </c>
      <c r="I68" s="3"/>
      <c r="J68" cm="1">
        <f t="array" ref="J68">_xlfn.IFS(OR(ISBLANK('Results'!E68),ISBLANK('Results'!F68)),0,OR(ISBLANK(E68),ISBLANK(F68)),0,AND(E68='Results'!E68,F68='Results'!F68),Rules!$K$29,_xlfn.XOR(AND(E68&gt;F68,'Results'!E68&gt;'Results'!F68),AND(E68&lt;F68,'Results'!E68&lt;'Results'!F68),AND(E68=F68,'Results'!E68='Results'!F68)),Rules!$K$30,TRUE,0)</f>
        <v>0</v>
      </c>
    </row>
    <row r="69" spans="1:10">
      <c r="A69">
        <f>Fixtures!A69</f>
        <v>68</v>
      </c>
      <c r="B69" s="11">
        <f>Fixtures!B69</f>
        <v>46200.791666666664</v>
      </c>
      <c r="C69" s="4" t="str">
        <f>Fixtures!C69</f>
        <v>Group J</v>
      </c>
      <c r="D69" s="3" t="str">
        <f>Fixtures!D69</f>
        <v>Jordan</v>
      </c>
      <c r="E69">
        <f>IF((_xlfn.XLOOKUP(Benchmark[[#This Row],[Team1]],Countries[Country],Countries[FIFA Ranking],,0)&lt;(_xlfn.XLOOKUP(Benchmark[[#This Row],[Team2]],Countries[Country],Countries[FIFA Ranking],,0))),1,0)</f>
        <v>0</v>
      </c>
      <c r="F69">
        <f>IF((_xlfn.XLOOKUP(Benchmark[[#This Row],[Team1]],Countries[Country],Countries[FIFA Ranking],,0)&gt;(_xlfn.XLOOKUP(Benchmark[[#This Row],[Team2]],Countries[Country],Countries[FIFA Ranking],,0))),1,0)</f>
        <v>1</v>
      </c>
      <c r="G69" s="3" t="str">
        <f>Fixtures!E69</f>
        <v>Argentina</v>
      </c>
      <c r="H69" s="3" t="str">
        <f>Fixtures!F69</f>
        <v>Dallas, AT&amp;T Stadium</v>
      </c>
      <c r="I69" s="3"/>
      <c r="J69" cm="1">
        <f t="array" ref="J69">_xlfn.IFS(OR(ISBLANK('Results'!E69),ISBLANK('Results'!F69)),0,OR(ISBLANK(E69),ISBLANK(F69)),0,AND(E69='Results'!E69,F69='Results'!F69),Rules!$K$29,_xlfn.XOR(AND(E69&gt;F69,'Results'!E69&gt;'Results'!F69),AND(E69&lt;F69,'Results'!E69&lt;'Results'!F69),AND(E69=F69,'Results'!E69='Results'!F69)),Rules!$K$30,TRUE,0)</f>
        <v>0</v>
      </c>
    </row>
    <row r="70" spans="1:10">
      <c r="A70">
        <f>Fixtures!A70</f>
        <v>69</v>
      </c>
      <c r="B70" s="11">
        <f>Fixtures!B70</f>
        <v>46200.916666666664</v>
      </c>
      <c r="C70" s="4" t="str">
        <f>Fixtures!C70</f>
        <v>Group K</v>
      </c>
      <c r="D70" s="3" t="str">
        <f>Fixtures!D70</f>
        <v>Congo DR</v>
      </c>
      <c r="E70">
        <f>IF((_xlfn.XLOOKUP(Benchmark[[#This Row],[Team1]],Countries[Country],Countries[FIFA Ranking],,0)&lt;(_xlfn.XLOOKUP(Benchmark[[#This Row],[Team2]],Countries[Country],Countries[FIFA Ranking],,0))),1,0)</f>
        <v>1</v>
      </c>
      <c r="F70">
        <f>IF((_xlfn.XLOOKUP(Benchmark[[#This Row],[Team1]],Countries[Country],Countries[FIFA Ranking],,0)&gt;(_xlfn.XLOOKUP(Benchmark[[#This Row],[Team2]],Countries[Country],Countries[FIFA Ranking],,0))),1,0)</f>
        <v>0</v>
      </c>
      <c r="G70" s="3" t="str">
        <f>Fixtures!E70</f>
        <v>Uzbekistan</v>
      </c>
      <c r="H70" s="3" t="str">
        <f>Fixtures!F70</f>
        <v>Atlanta, Mercedes-Benz Stadium</v>
      </c>
      <c r="I70" s="3"/>
      <c r="J70" cm="1">
        <f t="array" ref="J70">_xlfn.IFS(OR(ISBLANK('Results'!E70),ISBLANK('Results'!F70)),0,OR(ISBLANK(E70),ISBLANK(F70)),0,AND(E70='Results'!E70,F70='Results'!F70),Rules!$K$29,_xlfn.XOR(AND(E70&gt;F70,'Results'!E70&gt;'Results'!F70),AND(E70&lt;F70,'Results'!E70&lt;'Results'!F70),AND(E70=F70,'Results'!E70='Results'!F70)),Rules!$K$30,TRUE,0)</f>
        <v>0</v>
      </c>
    </row>
    <row r="71" spans="1:10">
      <c r="A71">
        <f>Fixtures!A71</f>
        <v>70</v>
      </c>
      <c r="B71" s="11">
        <f>Fixtures!B71</f>
        <v>46200.916666666664</v>
      </c>
      <c r="C71" s="4" t="str">
        <f>Fixtures!C71</f>
        <v>Group K</v>
      </c>
      <c r="D71" s="3" t="str">
        <f>Fixtures!D71</f>
        <v>Colombia</v>
      </c>
      <c r="E71">
        <f>IF((_xlfn.XLOOKUP(Benchmark[[#This Row],[Team1]],Countries[Country],Countries[FIFA Ranking],,0)&lt;(_xlfn.XLOOKUP(Benchmark[[#This Row],[Team2]],Countries[Country],Countries[FIFA Ranking],,0))),1,0)</f>
        <v>0</v>
      </c>
      <c r="F71">
        <f>IF((_xlfn.XLOOKUP(Benchmark[[#This Row],[Team1]],Countries[Country],Countries[FIFA Ranking],,0)&gt;(_xlfn.XLOOKUP(Benchmark[[#This Row],[Team2]],Countries[Country],Countries[FIFA Ranking],,0))),1,0)</f>
        <v>1</v>
      </c>
      <c r="G71" s="3" t="str">
        <f>Fixtures!E71</f>
        <v>Portugal</v>
      </c>
      <c r="H71" s="3" t="str">
        <f>Fixtures!F71</f>
        <v>Miami, Hard Rock Stadium</v>
      </c>
      <c r="I71" s="3"/>
      <c r="J71" cm="1">
        <f t="array" ref="J71">_xlfn.IFS(OR(ISBLANK('Results'!E71),ISBLANK('Results'!F71)),0,OR(ISBLANK(E71),ISBLANK(F71)),0,AND(E71='Results'!E71,F71='Results'!F71),Rules!$K$29,_xlfn.XOR(AND(E71&gt;F71,'Results'!E71&gt;'Results'!F71),AND(E71&lt;F71,'Results'!E71&lt;'Results'!F71),AND(E71=F71,'Results'!E71='Results'!F71)),Rules!$K$30,TRUE,0)</f>
        <v>0</v>
      </c>
    </row>
    <row r="72" spans="1:10">
      <c r="A72">
        <f>Fixtures!A72</f>
        <v>71</v>
      </c>
      <c r="B72" s="11">
        <f>Fixtures!B72</f>
        <v>46201.041666666664</v>
      </c>
      <c r="C72" s="4" t="str">
        <f>Fixtures!C72</f>
        <v>Group L</v>
      </c>
      <c r="D72" s="3" t="str">
        <f>Fixtures!D72</f>
        <v>Panama</v>
      </c>
      <c r="E72">
        <f>IF((_xlfn.XLOOKUP(Benchmark[[#This Row],[Team1]],Countries[Country],Countries[FIFA Ranking],,0)&lt;(_xlfn.XLOOKUP(Benchmark[[#This Row],[Team2]],Countries[Country],Countries[FIFA Ranking],,0))),1,0)</f>
        <v>0</v>
      </c>
      <c r="F72">
        <f>IF((_xlfn.XLOOKUP(Benchmark[[#This Row],[Team1]],Countries[Country],Countries[FIFA Ranking],,0)&gt;(_xlfn.XLOOKUP(Benchmark[[#This Row],[Team2]],Countries[Country],Countries[FIFA Ranking],,0))),1,0)</f>
        <v>1</v>
      </c>
      <c r="G72" s="3" t="str">
        <f>Fixtures!E72</f>
        <v>England</v>
      </c>
      <c r="H72" s="3" t="str">
        <f>Fixtures!F72</f>
        <v>New York/New Jersey, MetLife Stadium</v>
      </c>
      <c r="I72" s="3"/>
      <c r="J72" cm="1">
        <f t="array" ref="J72">_xlfn.IFS(OR(ISBLANK('Results'!E72),ISBLANK('Results'!F72)),0,OR(ISBLANK(E72),ISBLANK(F72)),0,AND(E72='Results'!E72,F72='Results'!F72),Rules!$K$29,_xlfn.XOR(AND(E72&gt;F72,'Results'!E72&gt;'Results'!F72),AND(E72&lt;F72,'Results'!E72&lt;'Results'!F72),AND(E72=F72,'Results'!E72='Results'!F72)),Rules!$K$30,TRUE,0)</f>
        <v>0</v>
      </c>
    </row>
    <row r="73" spans="1:10">
      <c r="A73">
        <f>Fixtures!A73</f>
        <v>72</v>
      </c>
      <c r="B73" s="11">
        <f>Fixtures!B73</f>
        <v>46201.041666666664</v>
      </c>
      <c r="C73" s="4" t="str">
        <f>Fixtures!C73</f>
        <v>Group L</v>
      </c>
      <c r="D73" s="3" t="str">
        <f>Fixtures!D73</f>
        <v>Croatia</v>
      </c>
      <c r="E73">
        <f>IF((_xlfn.XLOOKUP(Benchmark[[#This Row],[Team1]],Countries[Country],Countries[FIFA Ranking],,0)&lt;(_xlfn.XLOOKUP(Benchmark[[#This Row],[Team2]],Countries[Country],Countries[FIFA Ranking],,0))),1,0)</f>
        <v>1</v>
      </c>
      <c r="F73">
        <f>IF((_xlfn.XLOOKUP(Benchmark[[#This Row],[Team1]],Countries[Country],Countries[FIFA Ranking],,0)&gt;(_xlfn.XLOOKUP(Benchmark[[#This Row],[Team2]],Countries[Country],Countries[FIFA Ranking],,0))),1,0)</f>
        <v>0</v>
      </c>
      <c r="G73" s="3" t="str">
        <f>Fixtures!E73</f>
        <v>Ghana</v>
      </c>
      <c r="H73" s="3" t="str">
        <f>Fixtures!F73</f>
        <v>Philadelphia, Lincoln Financial Field</v>
      </c>
      <c r="I73" s="3"/>
      <c r="J73" cm="1">
        <f t="array" ref="J73">_xlfn.IFS(OR(ISBLANK('Results'!E73),ISBLANK('Results'!F73)),0,OR(ISBLANK(E73),ISBLANK(F73)),0,AND(E73='Results'!E73,F73='Results'!F73),Rules!$K$29,_xlfn.XOR(AND(E73&gt;F73,'Results'!E73&gt;'Results'!F73),AND(E73&lt;F73,'Results'!E73&lt;'Results'!F73),AND(E73=F73,'Results'!E73='Results'!F73)),Rules!$K$30,TRUE,0)</f>
        <v>0</v>
      </c>
    </row>
    <row r="74" spans="1:10">
      <c r="A74">
        <f>Fixtures!A74</f>
        <v>73</v>
      </c>
      <c r="B74" s="11">
        <f>Fixtures!B74</f>
        <v>46201.791666666664</v>
      </c>
      <c r="C74" s="4" t="str">
        <f>Fixtures!C74</f>
        <v>Round of 32</v>
      </c>
      <c r="D74" s="3" t="str">
        <f>Fixtures!D74</f>
        <v>Runner-up Group A</v>
      </c>
      <c r="E74" t="e">
        <f>IF((_xlfn.XLOOKUP(Benchmark[[#This Row],[Team1]],Countries[Country],Countries[FIFA Ranking],,0)&lt;(_xlfn.XLOOKUP(Benchmark[[#This Row],[Team2]],Countries[Country],Countries[FIFA Ranking],,0))),1,0)</f>
        <v>#N/A</v>
      </c>
      <c r="F74" t="e">
        <f>IF((_xlfn.XLOOKUP(Benchmark[[#This Row],[Team1]],Countries[Country],Countries[FIFA Ranking],,0)&gt;(_xlfn.XLOOKUP(Benchmark[[#This Row],[Team2]],Countries[Country],Countries[FIFA Ranking],,0))),1,0)</f>
        <v>#N/A</v>
      </c>
      <c r="G74" s="3" t="str">
        <f>Fixtures!E74</f>
        <v>Runner-up Group B</v>
      </c>
      <c r="H74" s="3" t="str">
        <f>Fixtures!F74</f>
        <v>Los Angeles, SoFi Stadium</v>
      </c>
      <c r="I74" s="3"/>
      <c r="J74" cm="1">
        <f t="array" ref="J74">_xlfn.IFS(OR(ISBLANK('Results'!E74),ISBLANK('Results'!F74)),0,OR(ISBLANK(E74),ISBLANK(F74)),0,AND(E74='Results'!E74,F74='Results'!F74),Rules!$K$29,_xlfn.XOR(AND(E74&gt;F74,'Results'!E74&gt;'Results'!F74),AND(E74&lt;F74,'Results'!E74&lt;'Results'!F74),AND(E74=F74,'Results'!E74='Results'!F74)),Rules!$K$30,TRUE,0)</f>
        <v>0</v>
      </c>
    </row>
    <row r="75" spans="1:10">
      <c r="A75">
        <f>Fixtures!A75</f>
        <v>74</v>
      </c>
      <c r="B75" s="11" t="str">
        <f>Fixtures!B75</f>
        <v>29/06/2026 20:30</v>
      </c>
      <c r="C75" s="4" t="str">
        <f>Fixtures!C75</f>
        <v>Round of 32</v>
      </c>
      <c r="D75" s="3" t="str">
        <f>Fixtures!D75</f>
        <v>Winner Group E</v>
      </c>
      <c r="E75" t="e">
        <f>IF((_xlfn.XLOOKUP(Benchmark[[#This Row],[Team1]],Countries[Country],Countries[FIFA Ranking],,0)&lt;(_xlfn.XLOOKUP(Benchmark[[#This Row],[Team2]],Countries[Country],Countries[FIFA Ranking],,0))),1,0)</f>
        <v>#N/A</v>
      </c>
      <c r="F75" t="e">
        <f>IF((_xlfn.XLOOKUP(Benchmark[[#This Row],[Team1]],Countries[Country],Countries[FIFA Ranking],,0)&gt;(_xlfn.XLOOKUP(Benchmark[[#This Row],[Team2]],Countries[Country],Countries[FIFA Ranking],,0))),1,0)</f>
        <v>#N/A</v>
      </c>
      <c r="G75" s="3" t="str">
        <f>Fixtures!E75</f>
        <v>3rd Group A/B/C/D/F</v>
      </c>
      <c r="H75" s="3" t="str">
        <f>Fixtures!F75</f>
        <v>Boston, Gillette Stadium</v>
      </c>
      <c r="I75" s="3"/>
      <c r="J75" cm="1">
        <f t="array" ref="J75">_xlfn.IFS(OR(ISBLANK('Results'!E75),ISBLANK('Results'!F75)),0,OR(ISBLANK(E75),ISBLANK(F75)),0,AND(E75='Results'!E75,F75='Results'!F75),Rules!$K$29,_xlfn.XOR(AND(E75&gt;F75,'Results'!E75&gt;'Results'!F75),AND(E75&lt;F75,'Results'!E75&lt;'Results'!F75),AND(E75=F75,'Results'!E75='Results'!F75)),Rules!$K$30,TRUE,0)</f>
        <v>0</v>
      </c>
    </row>
    <row r="76" spans="1:10">
      <c r="A76">
        <f>Fixtures!A76</f>
        <v>75</v>
      </c>
      <c r="B76" s="11" t="str">
        <f>Fixtures!B76</f>
        <v>30/06/2026 01:00</v>
      </c>
      <c r="C76" s="4" t="str">
        <f>Fixtures!C76</f>
        <v>Round of 32</v>
      </c>
      <c r="D76" s="3" t="str">
        <f>Fixtures!D76</f>
        <v>Winner Group F</v>
      </c>
      <c r="E76" t="e">
        <f>IF((_xlfn.XLOOKUP(Benchmark[[#This Row],[Team1]],Countries[Country],Countries[FIFA Ranking],,0)&lt;(_xlfn.XLOOKUP(Benchmark[[#This Row],[Team2]],Countries[Country],Countries[FIFA Ranking],,0))),1,0)</f>
        <v>#N/A</v>
      </c>
      <c r="F76" t="e">
        <f>IF((_xlfn.XLOOKUP(Benchmark[[#This Row],[Team1]],Countries[Country],Countries[FIFA Ranking],,0)&gt;(_xlfn.XLOOKUP(Benchmark[[#This Row],[Team2]],Countries[Country],Countries[FIFA Ranking],,0))),1,0)</f>
        <v>#N/A</v>
      </c>
      <c r="G76" s="3" t="str">
        <f>Fixtures!E76</f>
        <v>Runner-up Group C</v>
      </c>
      <c r="H76" s="3" t="str">
        <f>Fixtures!F76</f>
        <v>Monterrey, Estadio BBVA</v>
      </c>
      <c r="I76" s="3"/>
      <c r="J76" cm="1">
        <f t="array" ref="J76">_xlfn.IFS(OR(ISBLANK('Results'!E76),ISBLANK('Results'!F76)),0,OR(ISBLANK(E76),ISBLANK(F76)),0,AND(E76='Results'!E76,F76='Results'!F76),Rules!$K$29,_xlfn.XOR(AND(E76&gt;F76,'Results'!E76&gt;'Results'!F76),AND(E76&lt;F76,'Results'!E76&lt;'Results'!F76),AND(E76=F76,'Results'!E76='Results'!F76)),Rules!$K$30,TRUE,0)</f>
        <v>0</v>
      </c>
    </row>
    <row r="77" spans="1:10">
      <c r="A77">
        <f>Fixtures!A77</f>
        <v>76</v>
      </c>
      <c r="B77" s="11" t="str">
        <f>Fixtures!B77</f>
        <v>29/06/2026 17:00</v>
      </c>
      <c r="C77" s="4" t="str">
        <f>Fixtures!C77</f>
        <v>Round of 32</v>
      </c>
      <c r="D77" s="3" t="str">
        <f>Fixtures!D77</f>
        <v>Winner Group C</v>
      </c>
      <c r="E77" t="e">
        <f>IF((_xlfn.XLOOKUP(Benchmark[[#This Row],[Team1]],Countries[Country],Countries[FIFA Ranking],,0)&lt;(_xlfn.XLOOKUP(Benchmark[[#This Row],[Team2]],Countries[Country],Countries[FIFA Ranking],,0))),1,0)</f>
        <v>#N/A</v>
      </c>
      <c r="F77" t="e">
        <f>IF((_xlfn.XLOOKUP(Benchmark[[#This Row],[Team1]],Countries[Country],Countries[FIFA Ranking],,0)&gt;(_xlfn.XLOOKUP(Benchmark[[#This Row],[Team2]],Countries[Country],Countries[FIFA Ranking],,0))),1,0)</f>
        <v>#N/A</v>
      </c>
      <c r="G77" s="3" t="str">
        <f>Fixtures!E77</f>
        <v>Runner-up Group F</v>
      </c>
      <c r="H77" s="3" t="str">
        <f>Fixtures!F77</f>
        <v>Houston, NRG Stadium</v>
      </c>
      <c r="I77" s="3"/>
      <c r="J77" cm="1">
        <f t="array" ref="J77">_xlfn.IFS(OR(ISBLANK('Results'!E77),ISBLANK('Results'!F77)),0,OR(ISBLANK(E77),ISBLANK(F77)),0,AND(E77='Results'!E77,F77='Results'!F77),Rules!$K$29,_xlfn.XOR(AND(E77&gt;F77,'Results'!E77&gt;'Results'!F77),AND(E77&lt;F77,'Results'!E77&lt;'Results'!F77),AND(E77=F77,'Results'!E77='Results'!F77)),Rules!$K$30,TRUE,0)</f>
        <v>0</v>
      </c>
    </row>
    <row r="78" spans="1:10">
      <c r="A78">
        <f>Fixtures!A78</f>
        <v>77</v>
      </c>
      <c r="B78" s="11" t="str">
        <f>Fixtures!B78</f>
        <v>30/06/2026 21:00</v>
      </c>
      <c r="C78" s="4" t="str">
        <f>Fixtures!C78</f>
        <v>Round of 32</v>
      </c>
      <c r="D78" s="3" t="str">
        <f>Fixtures!D78</f>
        <v>Winner Group I</v>
      </c>
      <c r="E78" t="e">
        <f>IF((_xlfn.XLOOKUP(Benchmark[[#This Row],[Team1]],Countries[Country],Countries[FIFA Ranking],,0)&lt;(_xlfn.XLOOKUP(Benchmark[[#This Row],[Team2]],Countries[Country],Countries[FIFA Ranking],,0))),1,0)</f>
        <v>#N/A</v>
      </c>
      <c r="F78" t="e">
        <f>IF((_xlfn.XLOOKUP(Benchmark[[#This Row],[Team1]],Countries[Country],Countries[FIFA Ranking],,0)&gt;(_xlfn.XLOOKUP(Benchmark[[#This Row],[Team2]],Countries[Country],Countries[FIFA Ranking],,0))),1,0)</f>
        <v>#N/A</v>
      </c>
      <c r="G78" s="3" t="str">
        <f>Fixtures!E78</f>
        <v>3rd Group C/D/F/G/H</v>
      </c>
      <c r="H78" s="3" t="str">
        <f>Fixtures!F78</f>
        <v>New York/New Jersey, MetLife Stadium</v>
      </c>
      <c r="I78" s="3"/>
      <c r="J78" cm="1">
        <f t="array" ref="J78">_xlfn.IFS(OR(ISBLANK('Results'!E78),ISBLANK('Results'!F78)),0,OR(ISBLANK(E78),ISBLANK(F78)),0,AND(E78='Results'!E78,F78='Results'!F78),Rules!$K$29,_xlfn.XOR(AND(E78&gt;F78,'Results'!E78&gt;'Results'!F78),AND(E78&lt;F78,'Results'!E78&lt;'Results'!F78),AND(E78=F78,'Results'!E78='Results'!F78)),Rules!$K$30,TRUE,0)</f>
        <v>0</v>
      </c>
    </row>
    <row r="79" spans="1:10">
      <c r="A79">
        <f>Fixtures!A79</f>
        <v>78</v>
      </c>
      <c r="B79" s="11" t="str">
        <f>Fixtures!B79</f>
        <v>30/06/2026 17:00</v>
      </c>
      <c r="C79" s="4" t="str">
        <f>Fixtures!C79</f>
        <v>Round of 32</v>
      </c>
      <c r="D79" s="3" t="str">
        <f>Fixtures!D79</f>
        <v>Runner-up Group E</v>
      </c>
      <c r="E79" t="e">
        <f>IF((_xlfn.XLOOKUP(Benchmark[[#This Row],[Team1]],Countries[Country],Countries[FIFA Ranking],,0)&lt;(_xlfn.XLOOKUP(Benchmark[[#This Row],[Team2]],Countries[Country],Countries[FIFA Ranking],,0))),1,0)</f>
        <v>#N/A</v>
      </c>
      <c r="F79" t="e">
        <f>IF((_xlfn.XLOOKUP(Benchmark[[#This Row],[Team1]],Countries[Country],Countries[FIFA Ranking],,0)&gt;(_xlfn.XLOOKUP(Benchmark[[#This Row],[Team2]],Countries[Country],Countries[FIFA Ranking],,0))),1,0)</f>
        <v>#N/A</v>
      </c>
      <c r="G79" s="3" t="str">
        <f>Fixtures!E79</f>
        <v>Runner-up Group I</v>
      </c>
      <c r="H79" s="3" t="str">
        <f>Fixtures!F79</f>
        <v>Dallas, AT&amp;T Stadium</v>
      </c>
      <c r="I79" s="3"/>
      <c r="J79" cm="1">
        <f t="array" ref="J79">_xlfn.IFS(OR(ISBLANK('Results'!E79),ISBLANK('Results'!F79)),0,OR(ISBLANK(E79),ISBLANK(F79)),0,AND(E79='Results'!E79,F79='Results'!F79),Rules!$K$29,_xlfn.XOR(AND(E79&gt;F79,'Results'!E79&gt;'Results'!F79),AND(E79&lt;F79,'Results'!E79&lt;'Results'!F79),AND(E79=F79,'Results'!E79='Results'!F79)),Rules!$K$30,TRUE,0)</f>
        <v>0</v>
      </c>
    </row>
    <row r="80" spans="1:10">
      <c r="A80">
        <f>Fixtures!A80</f>
        <v>79</v>
      </c>
      <c r="B80" s="11" t="str">
        <f>Fixtures!B80</f>
        <v>01/07/2026 01:00</v>
      </c>
      <c r="C80" s="4" t="str">
        <f>Fixtures!C80</f>
        <v>Round of 32</v>
      </c>
      <c r="D80" s="3" t="str">
        <f>Fixtures!D80</f>
        <v>Winner Group A</v>
      </c>
      <c r="E80" t="e">
        <f>IF((_xlfn.XLOOKUP(Benchmark[[#This Row],[Team1]],Countries[Country],Countries[FIFA Ranking],,0)&lt;(_xlfn.XLOOKUP(Benchmark[[#This Row],[Team2]],Countries[Country],Countries[FIFA Ranking],,0))),1,0)</f>
        <v>#N/A</v>
      </c>
      <c r="F80" t="e">
        <f>IF((_xlfn.XLOOKUP(Benchmark[[#This Row],[Team1]],Countries[Country],Countries[FIFA Ranking],,0)&gt;(_xlfn.XLOOKUP(Benchmark[[#This Row],[Team2]],Countries[Country],Countries[FIFA Ranking],,0))),1,0)</f>
        <v>#N/A</v>
      </c>
      <c r="G80" s="3" t="str">
        <f>Fixtures!E80</f>
        <v>3rd Group C/E/F/H/I</v>
      </c>
      <c r="H80" s="3" t="str">
        <f>Fixtures!F80</f>
        <v>Mexico City, Estadio Azteca</v>
      </c>
      <c r="I80" s="3"/>
      <c r="J80" cm="1">
        <f t="array" ref="J80">_xlfn.IFS(OR(ISBLANK('Results'!E80),ISBLANK('Results'!F80)),0,OR(ISBLANK(E80),ISBLANK(F80)),0,AND(E80='Results'!E80,F80='Results'!F80),Rules!$K$29,_xlfn.XOR(AND(E80&gt;F80,'Results'!E80&gt;'Results'!F80),AND(E80&lt;F80,'Results'!E80&lt;'Results'!F80),AND(E80=F80,'Results'!E80='Results'!F80)),Rules!$K$30,TRUE,0)</f>
        <v>0</v>
      </c>
    </row>
    <row r="81" spans="1:10">
      <c r="A81">
        <f>Fixtures!A81</f>
        <v>80</v>
      </c>
      <c r="B81" s="11" t="str">
        <f>Fixtures!B81</f>
        <v>01/07/2026 16:00</v>
      </c>
      <c r="C81" s="4" t="str">
        <f>Fixtures!C81</f>
        <v>Round of 32</v>
      </c>
      <c r="D81" s="3" t="str">
        <f>Fixtures!D81</f>
        <v>Winner Group L</v>
      </c>
      <c r="E81" t="e">
        <f>IF((_xlfn.XLOOKUP(Benchmark[[#This Row],[Team1]],Countries[Country],Countries[FIFA Ranking],,0)&lt;(_xlfn.XLOOKUP(Benchmark[[#This Row],[Team2]],Countries[Country],Countries[FIFA Ranking],,0))),1,0)</f>
        <v>#N/A</v>
      </c>
      <c r="F81" t="e">
        <f>IF((_xlfn.XLOOKUP(Benchmark[[#This Row],[Team1]],Countries[Country],Countries[FIFA Ranking],,0)&gt;(_xlfn.XLOOKUP(Benchmark[[#This Row],[Team2]],Countries[Country],Countries[FIFA Ranking],,0))),1,0)</f>
        <v>#N/A</v>
      </c>
      <c r="G81" s="3" t="str">
        <f>Fixtures!E81</f>
        <v>3rd Group E/H/I/J/K</v>
      </c>
      <c r="H81" s="3" t="str">
        <f>Fixtures!F81</f>
        <v>Atlanta, Mercedes-Benz Stadium</v>
      </c>
      <c r="I81" s="3"/>
      <c r="J81" cm="1">
        <f t="array" ref="J81">_xlfn.IFS(OR(ISBLANK('Results'!E81),ISBLANK('Results'!F81)),0,OR(ISBLANK(E81),ISBLANK(F81)),0,AND(E81='Results'!E81,F81='Results'!F81),Rules!$K$29,_xlfn.XOR(AND(E81&gt;F81,'Results'!E81&gt;'Results'!F81),AND(E81&lt;F81,'Results'!E81&lt;'Results'!F81),AND(E81=F81,'Results'!E81='Results'!F81)),Rules!$K$30,TRUE,0)</f>
        <v>0</v>
      </c>
    </row>
    <row r="82" spans="1:10">
      <c r="A82">
        <f>Fixtures!A82</f>
        <v>81</v>
      </c>
      <c r="B82" s="11" t="str">
        <f>Fixtures!B82</f>
        <v>02/07/2026 00:00</v>
      </c>
      <c r="C82" s="4" t="str">
        <f>Fixtures!C82</f>
        <v>Round of 32</v>
      </c>
      <c r="D82" s="3" t="str">
        <f>Fixtures!D82</f>
        <v>Winner Group D</v>
      </c>
      <c r="E82" t="e">
        <f>IF((_xlfn.XLOOKUP(Benchmark[[#This Row],[Team1]],Countries[Country],Countries[FIFA Ranking],,0)&lt;(_xlfn.XLOOKUP(Benchmark[[#This Row],[Team2]],Countries[Country],Countries[FIFA Ranking],,0))),1,0)</f>
        <v>#N/A</v>
      </c>
      <c r="F82" t="e">
        <f>IF((_xlfn.XLOOKUP(Benchmark[[#This Row],[Team1]],Countries[Country],Countries[FIFA Ranking],,0)&gt;(_xlfn.XLOOKUP(Benchmark[[#This Row],[Team2]],Countries[Country],Countries[FIFA Ranking],,0))),1,0)</f>
        <v>#N/A</v>
      </c>
      <c r="G82" s="3" t="str">
        <f>Fixtures!E82</f>
        <v>3rd Group B/E/F/I/J</v>
      </c>
      <c r="H82" s="3" t="str">
        <f>Fixtures!F82</f>
        <v>San Francisco, Levi's Stadium</v>
      </c>
      <c r="I82" s="3"/>
      <c r="J82" cm="1">
        <f t="array" ref="J82">_xlfn.IFS(OR(ISBLANK('Results'!E82),ISBLANK('Results'!F82)),0,OR(ISBLANK(E82),ISBLANK(F82)),0,AND(E82='Results'!E82,F82='Results'!F82),Rules!$K$29,_xlfn.XOR(AND(E82&gt;F82,'Results'!E82&gt;'Results'!F82),AND(E82&lt;F82,'Results'!E82&lt;'Results'!F82),AND(E82=F82,'Results'!E82='Results'!F82)),Rules!$K$30,TRUE,0)</f>
        <v>0</v>
      </c>
    </row>
    <row r="83" spans="1:10">
      <c r="A83">
        <f>Fixtures!A83</f>
        <v>82</v>
      </c>
      <c r="B83" s="11" t="str">
        <f>Fixtures!B83</f>
        <v>01/07/2026 20:00</v>
      </c>
      <c r="C83" s="4" t="str">
        <f>Fixtures!C83</f>
        <v>Round of 32</v>
      </c>
      <c r="D83" s="3" t="str">
        <f>Fixtures!D83</f>
        <v>Winner Group G</v>
      </c>
      <c r="E83" t="e">
        <f>IF((_xlfn.XLOOKUP(Benchmark[[#This Row],[Team1]],Countries[Country],Countries[FIFA Ranking],,0)&lt;(_xlfn.XLOOKUP(Benchmark[[#This Row],[Team2]],Countries[Country],Countries[FIFA Ranking],,0))),1,0)</f>
        <v>#N/A</v>
      </c>
      <c r="F83" t="e">
        <f>IF((_xlfn.XLOOKUP(Benchmark[[#This Row],[Team1]],Countries[Country],Countries[FIFA Ranking],,0)&gt;(_xlfn.XLOOKUP(Benchmark[[#This Row],[Team2]],Countries[Country],Countries[FIFA Ranking],,0))),1,0)</f>
        <v>#N/A</v>
      </c>
      <c r="G83" s="3" t="str">
        <f>Fixtures!E83</f>
        <v>3rd Group A/E/H/I/J</v>
      </c>
      <c r="H83" s="3" t="str">
        <f>Fixtures!F83</f>
        <v>Seattle, Lumen Field</v>
      </c>
      <c r="I83" s="3"/>
      <c r="J83" cm="1">
        <f t="array" ref="J83">_xlfn.IFS(OR(ISBLANK('Results'!E83),ISBLANK('Results'!F83)),0,OR(ISBLANK(E83),ISBLANK(F83)),0,AND(E83='Results'!E83,F83='Results'!F83),Rules!$K$29,_xlfn.XOR(AND(E83&gt;F83,'Results'!E83&gt;'Results'!F83),AND(E83&lt;F83,'Results'!E83&lt;'Results'!F83),AND(E83=F83,'Results'!E83='Results'!F83)),Rules!$K$30,TRUE,0)</f>
        <v>0</v>
      </c>
    </row>
    <row r="84" spans="1:10">
      <c r="A84">
        <f>Fixtures!A84</f>
        <v>83</v>
      </c>
      <c r="B84" s="11" t="str">
        <f>Fixtures!B84</f>
        <v>02/07/2026 23:00</v>
      </c>
      <c r="C84" s="4" t="str">
        <f>Fixtures!C84</f>
        <v>Round of 32</v>
      </c>
      <c r="D84" s="3" t="str">
        <f>Fixtures!D84</f>
        <v>Runner-up Group K</v>
      </c>
      <c r="E84" t="e">
        <f>IF((_xlfn.XLOOKUP(Benchmark[[#This Row],[Team1]],Countries[Country],Countries[FIFA Ranking],,0)&lt;(_xlfn.XLOOKUP(Benchmark[[#This Row],[Team2]],Countries[Country],Countries[FIFA Ranking],,0))),1,0)</f>
        <v>#N/A</v>
      </c>
      <c r="F84" t="e">
        <f>IF((_xlfn.XLOOKUP(Benchmark[[#This Row],[Team1]],Countries[Country],Countries[FIFA Ranking],,0)&gt;(_xlfn.XLOOKUP(Benchmark[[#This Row],[Team2]],Countries[Country],Countries[FIFA Ranking],,0))),1,0)</f>
        <v>#N/A</v>
      </c>
      <c r="G84" s="3" t="str">
        <f>Fixtures!E84</f>
        <v>Runner-up Group L</v>
      </c>
      <c r="H84" s="3" t="str">
        <f>Fixtures!F84</f>
        <v>Toronto, BMO Field</v>
      </c>
      <c r="I84" s="3"/>
      <c r="J84" cm="1">
        <f t="array" ref="J84">_xlfn.IFS(OR(ISBLANK('Results'!E84),ISBLANK('Results'!F84)),0,OR(ISBLANK(E84),ISBLANK(F84)),0,AND(E84='Results'!E84,F84='Results'!F84),Rules!$K$29,_xlfn.XOR(AND(E84&gt;F84,'Results'!E84&gt;'Results'!F84),AND(E84&lt;F84,'Results'!E84&lt;'Results'!F84),AND(E84=F84,'Results'!E84='Results'!F84)),Rules!$K$30,TRUE,0)</f>
        <v>0</v>
      </c>
    </row>
    <row r="85" spans="1:10">
      <c r="A85">
        <f>Fixtures!A85</f>
        <v>84</v>
      </c>
      <c r="B85" s="11" t="str">
        <f>Fixtures!B85</f>
        <v>02/07/2026 19:00</v>
      </c>
      <c r="C85" s="4" t="str">
        <f>Fixtures!C85</f>
        <v>Round of 32</v>
      </c>
      <c r="D85" s="3" t="str">
        <f>Fixtures!D85</f>
        <v>Winner Group H</v>
      </c>
      <c r="E85" t="e">
        <f>IF((_xlfn.XLOOKUP(Benchmark[[#This Row],[Team1]],Countries[Country],Countries[FIFA Ranking],,0)&lt;(_xlfn.XLOOKUP(Benchmark[[#This Row],[Team2]],Countries[Country],Countries[FIFA Ranking],,0))),1,0)</f>
        <v>#N/A</v>
      </c>
      <c r="F85" t="e">
        <f>IF((_xlfn.XLOOKUP(Benchmark[[#This Row],[Team1]],Countries[Country],Countries[FIFA Ranking],,0)&gt;(_xlfn.XLOOKUP(Benchmark[[#This Row],[Team2]],Countries[Country],Countries[FIFA Ranking],,0))),1,0)</f>
        <v>#N/A</v>
      </c>
      <c r="G85" s="3" t="str">
        <f>Fixtures!E85</f>
        <v>Runner-up Group J</v>
      </c>
      <c r="H85" s="3" t="str">
        <f>Fixtures!F85</f>
        <v>Los Angeles, SoFi Stadium</v>
      </c>
      <c r="I85" s="3"/>
      <c r="J85" cm="1">
        <f t="array" ref="J85">_xlfn.IFS(OR(ISBLANK('Results'!E85),ISBLANK('Results'!F85)),0,OR(ISBLANK(E85),ISBLANK(F85)),0,AND(E85='Results'!E85,F85='Results'!F85),Rules!$K$29,_xlfn.XOR(AND(E85&gt;F85,'Results'!E85&gt;'Results'!F85),AND(E85&lt;F85,'Results'!E85&lt;'Results'!F85),AND(E85=F85,'Results'!E85='Results'!F85)),Rules!$K$30,TRUE,0)</f>
        <v>0</v>
      </c>
    </row>
    <row r="86" spans="1:10">
      <c r="A86">
        <f>Fixtures!A86</f>
        <v>85</v>
      </c>
      <c r="B86" s="11" t="str">
        <f>Fixtures!B86</f>
        <v>03/07/2026 03:00</v>
      </c>
      <c r="C86" s="4" t="str">
        <f>Fixtures!C86</f>
        <v>Round of 32</v>
      </c>
      <c r="D86" s="3" t="str">
        <f>Fixtures!D86</f>
        <v>Winner Group B</v>
      </c>
      <c r="E86" t="e">
        <f>IF((_xlfn.XLOOKUP(Benchmark[[#This Row],[Team1]],Countries[Country],Countries[FIFA Ranking],,0)&lt;(_xlfn.XLOOKUP(Benchmark[[#This Row],[Team2]],Countries[Country],Countries[FIFA Ranking],,0))),1,0)</f>
        <v>#N/A</v>
      </c>
      <c r="F86" t="e">
        <f>IF((_xlfn.XLOOKUP(Benchmark[[#This Row],[Team1]],Countries[Country],Countries[FIFA Ranking],,0)&gt;(_xlfn.XLOOKUP(Benchmark[[#This Row],[Team2]],Countries[Country],Countries[FIFA Ranking],,0))),1,0)</f>
        <v>#N/A</v>
      </c>
      <c r="G86" s="3" t="str">
        <f>Fixtures!E86</f>
        <v>3rd Group E/F/G/I/J</v>
      </c>
      <c r="H86" s="3" t="str">
        <f>Fixtures!F86</f>
        <v>Vancouver, BC Place</v>
      </c>
      <c r="I86" s="3"/>
      <c r="J86" cm="1">
        <f t="array" ref="J86">_xlfn.IFS(OR(ISBLANK('Results'!E86),ISBLANK('Results'!F86)),0,OR(ISBLANK(E86),ISBLANK(F86)),0,AND(E86='Results'!E86,F86='Results'!F86),Rules!$K$29,_xlfn.XOR(AND(E86&gt;F86,'Results'!E86&gt;'Results'!F86),AND(E86&lt;F86,'Results'!E86&lt;'Results'!F86),AND(E86=F86,'Results'!E86='Results'!F86)),Rules!$K$30,TRUE,0)</f>
        <v>0</v>
      </c>
    </row>
    <row r="87" spans="1:10">
      <c r="A87">
        <f>Fixtures!A87</f>
        <v>86</v>
      </c>
      <c r="B87" s="11" t="str">
        <f>Fixtures!B87</f>
        <v>03/07/2026 22:00</v>
      </c>
      <c r="C87" s="4" t="str">
        <f>Fixtures!C87</f>
        <v>Round of 32</v>
      </c>
      <c r="D87" s="3" t="str">
        <f>Fixtures!D87</f>
        <v>Winner Group J</v>
      </c>
      <c r="E87" t="e">
        <f>IF((_xlfn.XLOOKUP(Benchmark[[#This Row],[Team1]],Countries[Country],Countries[FIFA Ranking],,0)&lt;(_xlfn.XLOOKUP(Benchmark[[#This Row],[Team2]],Countries[Country],Countries[FIFA Ranking],,0))),1,0)</f>
        <v>#N/A</v>
      </c>
      <c r="F87" t="e">
        <f>IF((_xlfn.XLOOKUP(Benchmark[[#This Row],[Team1]],Countries[Country],Countries[FIFA Ranking],,0)&gt;(_xlfn.XLOOKUP(Benchmark[[#This Row],[Team2]],Countries[Country],Countries[FIFA Ranking],,0))),1,0)</f>
        <v>#N/A</v>
      </c>
      <c r="G87" s="3" t="str">
        <f>Fixtures!E87</f>
        <v>Runner-up Group H</v>
      </c>
      <c r="H87" s="3" t="str">
        <f>Fixtures!F87</f>
        <v>Miami, Hard Rock Stadium</v>
      </c>
      <c r="I87" s="3"/>
      <c r="J87" cm="1">
        <f t="array" ref="J87">_xlfn.IFS(OR(ISBLANK('Results'!E87),ISBLANK('Results'!F87)),0,OR(ISBLANK(E87),ISBLANK(F87)),0,AND(E87='Results'!E87,F87='Results'!F87),Rules!$K$29,_xlfn.XOR(AND(E87&gt;F87,'Results'!E87&gt;'Results'!F87),AND(E87&lt;F87,'Results'!E87&lt;'Results'!F87),AND(E87=F87,'Results'!E87='Results'!F87)),Rules!$K$30,TRUE,0)</f>
        <v>0</v>
      </c>
    </row>
    <row r="88" spans="1:10">
      <c r="A88">
        <f>Fixtures!A88</f>
        <v>87</v>
      </c>
      <c r="B88" s="11" t="str">
        <f>Fixtures!B88</f>
        <v>04/07/2026 01:30</v>
      </c>
      <c r="C88" s="4" t="str">
        <f>Fixtures!C88</f>
        <v>Round of 32</v>
      </c>
      <c r="D88" s="3" t="str">
        <f>Fixtures!D88</f>
        <v>Winner Group K</v>
      </c>
      <c r="E88" t="e">
        <f>IF((_xlfn.XLOOKUP(Benchmark[[#This Row],[Team1]],Countries[Country],Countries[FIFA Ranking],,0)&lt;(_xlfn.XLOOKUP(Benchmark[[#This Row],[Team2]],Countries[Country],Countries[FIFA Ranking],,0))),1,0)</f>
        <v>#N/A</v>
      </c>
      <c r="F88" t="e">
        <f>IF((_xlfn.XLOOKUP(Benchmark[[#This Row],[Team1]],Countries[Country],Countries[FIFA Ranking],,0)&gt;(_xlfn.XLOOKUP(Benchmark[[#This Row],[Team2]],Countries[Country],Countries[FIFA Ranking],,0))),1,0)</f>
        <v>#N/A</v>
      </c>
      <c r="G88" s="3" t="str">
        <f>Fixtures!E88</f>
        <v>3rd Group D/E/I/J/L</v>
      </c>
      <c r="H88" s="3" t="str">
        <f>Fixtures!F88</f>
        <v>Kansas City, Arrowhead Stadium</v>
      </c>
      <c r="I88" s="3"/>
      <c r="J88" cm="1">
        <f t="array" ref="J88">_xlfn.IFS(OR(ISBLANK('Results'!E88),ISBLANK('Results'!F88)),0,OR(ISBLANK(E88),ISBLANK(F88)),0,AND(E88='Results'!E88,F88='Results'!F88),Rules!$K$29,_xlfn.XOR(AND(E88&gt;F88,'Results'!E88&gt;'Results'!F88),AND(E88&lt;F88,'Results'!E88&lt;'Results'!F88),AND(E88=F88,'Results'!E88='Results'!F88)),Rules!$K$30,TRUE,0)</f>
        <v>0</v>
      </c>
    </row>
    <row r="89" spans="1:10">
      <c r="A89">
        <f>Fixtures!A89</f>
        <v>88</v>
      </c>
      <c r="B89" s="11" t="str">
        <f>Fixtures!B89</f>
        <v>03/07/2026 18:00</v>
      </c>
      <c r="C89" s="4" t="str">
        <f>Fixtures!C89</f>
        <v>Round of 32</v>
      </c>
      <c r="D89" s="3" t="str">
        <f>Fixtures!D89</f>
        <v>Runner-up Group D</v>
      </c>
      <c r="E89" t="e">
        <f>IF((_xlfn.XLOOKUP(Benchmark[[#This Row],[Team1]],Countries[Country],Countries[FIFA Ranking],,0)&lt;(_xlfn.XLOOKUP(Benchmark[[#This Row],[Team2]],Countries[Country],Countries[FIFA Ranking],,0))),1,0)</f>
        <v>#N/A</v>
      </c>
      <c r="F89" t="e">
        <f>IF((_xlfn.XLOOKUP(Benchmark[[#This Row],[Team1]],Countries[Country],Countries[FIFA Ranking],,0)&gt;(_xlfn.XLOOKUP(Benchmark[[#This Row],[Team2]],Countries[Country],Countries[FIFA Ranking],,0))),1,0)</f>
        <v>#N/A</v>
      </c>
      <c r="G89" s="3" t="str">
        <f>Fixtures!E89</f>
        <v>Runner-up Group G</v>
      </c>
      <c r="H89" s="3" t="str">
        <f>Fixtures!F89</f>
        <v>Dallas, AT&amp;T Stadium</v>
      </c>
      <c r="I89" s="3"/>
      <c r="J89" cm="1">
        <f t="array" ref="J89">_xlfn.IFS(OR(ISBLANK('Results'!E89),ISBLANK('Results'!F89)),0,OR(ISBLANK(E89),ISBLANK(F89)),0,AND(E89='Results'!E89,F89='Results'!F89),Rules!$K$29,_xlfn.XOR(AND(E89&gt;F89,'Results'!E89&gt;'Results'!F89),AND(E89&lt;F89,'Results'!E89&lt;'Results'!F89),AND(E89=F89,'Results'!E89='Results'!F89)),Rules!$K$30,TRUE,0)</f>
        <v>0</v>
      </c>
    </row>
    <row r="90" spans="1:10">
      <c r="A90">
        <f>Fixtures!A90</f>
        <v>89</v>
      </c>
      <c r="B90" s="11" t="str">
        <f>Fixtures!B90</f>
        <v>04/07/2026 21:00</v>
      </c>
      <c r="C90" s="4" t="str">
        <f>Fixtures!C90</f>
        <v>Round of 16</v>
      </c>
      <c r="D90" s="3" t="str">
        <f>Fixtures!D90</f>
        <v>Winner 74</v>
      </c>
      <c r="E90" t="e">
        <f>IF((_xlfn.XLOOKUP(Benchmark[[#This Row],[Team1]],Countries[Country],Countries[FIFA Ranking],,0)&lt;(_xlfn.XLOOKUP(Benchmark[[#This Row],[Team2]],Countries[Country],Countries[FIFA Ranking],,0))),1,0)</f>
        <v>#N/A</v>
      </c>
      <c r="F90" t="e">
        <f>IF((_xlfn.XLOOKUP(Benchmark[[#This Row],[Team1]],Countries[Country],Countries[FIFA Ranking],,0)&gt;(_xlfn.XLOOKUP(Benchmark[[#This Row],[Team2]],Countries[Country],Countries[FIFA Ranking],,0))),1,0)</f>
        <v>#N/A</v>
      </c>
      <c r="G90" s="3" t="str">
        <f>Fixtures!E90</f>
        <v>Winner 77</v>
      </c>
      <c r="H90" s="3" t="str">
        <f>Fixtures!F90</f>
        <v>Philadelphia, Lincoln Financial Field</v>
      </c>
      <c r="I90" s="3"/>
      <c r="J90" cm="1">
        <f t="array" ref="J90">_xlfn.IFS(OR(ISBLANK('Results'!E90),ISBLANK('Results'!F90)),0,OR(ISBLANK(E90),ISBLANK(F90)),0,AND(E90='Results'!E90,F90='Results'!F90),Rules!$K$29,_xlfn.XOR(AND(E90&gt;F90,'Results'!E90&gt;'Results'!F90),AND(E90&lt;F90,'Results'!E90&lt;'Results'!F90),AND(E90=F90,'Results'!E90='Results'!F90)),Rules!$K$30,TRUE,0)</f>
        <v>0</v>
      </c>
    </row>
    <row r="91" spans="1:10">
      <c r="A91">
        <f>Fixtures!A91</f>
        <v>90</v>
      </c>
      <c r="B91" s="11" t="str">
        <f>Fixtures!B91</f>
        <v>04/07/2026 17:00</v>
      </c>
      <c r="C91" s="4" t="str">
        <f>Fixtures!C91</f>
        <v>Round of 16</v>
      </c>
      <c r="D91" s="3" t="str">
        <f>Fixtures!D91</f>
        <v>Winner 73</v>
      </c>
      <c r="E91" t="e">
        <f>IF((_xlfn.XLOOKUP(Benchmark[[#This Row],[Team1]],Countries[Country],Countries[FIFA Ranking],,0)&lt;(_xlfn.XLOOKUP(Benchmark[[#This Row],[Team2]],Countries[Country],Countries[FIFA Ranking],,0))),1,0)</f>
        <v>#N/A</v>
      </c>
      <c r="F91" t="e">
        <f>IF((_xlfn.XLOOKUP(Benchmark[[#This Row],[Team1]],Countries[Country],Countries[FIFA Ranking],,0)&gt;(_xlfn.XLOOKUP(Benchmark[[#This Row],[Team2]],Countries[Country],Countries[FIFA Ranking],,0))),1,0)</f>
        <v>#N/A</v>
      </c>
      <c r="G91" s="3" t="str">
        <f>Fixtures!E91</f>
        <v>Winner 75</v>
      </c>
      <c r="H91" s="3" t="str">
        <f>Fixtures!F91</f>
        <v>Houston, NRG Stadium</v>
      </c>
      <c r="I91" s="3"/>
      <c r="J91" cm="1">
        <f t="array" ref="J91">_xlfn.IFS(OR(ISBLANK('Results'!E91),ISBLANK('Results'!F91)),0,OR(ISBLANK(E91),ISBLANK(F91)),0,AND(E91='Results'!E91,F91='Results'!F91),Rules!$K$29,_xlfn.XOR(AND(E91&gt;F91,'Results'!E91&gt;'Results'!F91),AND(E91&lt;F91,'Results'!E91&lt;'Results'!F91),AND(E91=F91,'Results'!E91='Results'!F91)),Rules!$K$30,TRUE,0)</f>
        <v>0</v>
      </c>
    </row>
    <row r="92" spans="1:10">
      <c r="A92">
        <f>Fixtures!A92</f>
        <v>91</v>
      </c>
      <c r="B92" s="11" t="str">
        <f>Fixtures!B92</f>
        <v>05/07/2026 20:00</v>
      </c>
      <c r="C92" s="4" t="str">
        <f>Fixtures!C92</f>
        <v>Round of 16</v>
      </c>
      <c r="D92" s="3" t="str">
        <f>Fixtures!D92</f>
        <v>Winner 76</v>
      </c>
      <c r="E92" t="e">
        <f>IF((_xlfn.XLOOKUP(Benchmark[[#This Row],[Team1]],Countries[Country],Countries[FIFA Ranking],,0)&lt;(_xlfn.XLOOKUP(Benchmark[[#This Row],[Team2]],Countries[Country],Countries[FIFA Ranking],,0))),1,0)</f>
        <v>#N/A</v>
      </c>
      <c r="F92" t="e">
        <f>IF((_xlfn.XLOOKUP(Benchmark[[#This Row],[Team1]],Countries[Country],Countries[FIFA Ranking],,0)&gt;(_xlfn.XLOOKUP(Benchmark[[#This Row],[Team2]],Countries[Country],Countries[FIFA Ranking],,0))),1,0)</f>
        <v>#N/A</v>
      </c>
      <c r="G92" s="3" t="str">
        <f>Fixtures!E92</f>
        <v>Winner 78</v>
      </c>
      <c r="H92" s="3" t="str">
        <f>Fixtures!F92</f>
        <v>New York/New Jersey, MetLife Stadium</v>
      </c>
      <c r="I92" s="3"/>
      <c r="J92" cm="1">
        <f t="array" ref="J92">_xlfn.IFS(OR(ISBLANK('Results'!E92),ISBLANK('Results'!F92)),0,OR(ISBLANK(E92),ISBLANK(F92)),0,AND(E92='Results'!E92,F92='Results'!F92),Rules!$K$29,_xlfn.XOR(AND(E92&gt;F92,'Results'!E92&gt;'Results'!F92),AND(E92&lt;F92,'Results'!E92&lt;'Results'!F92),AND(E92=F92,'Results'!E92='Results'!F92)),Rules!$K$30,TRUE,0)</f>
        <v>0</v>
      </c>
    </row>
    <row r="93" spans="1:10">
      <c r="A93">
        <f>Fixtures!A93</f>
        <v>92</v>
      </c>
      <c r="B93" s="11" t="str">
        <f>Fixtures!B93</f>
        <v>06/07/2026 00:00</v>
      </c>
      <c r="C93" s="4" t="str">
        <f>Fixtures!C93</f>
        <v>Round of 16</v>
      </c>
      <c r="D93" s="3" t="str">
        <f>Fixtures!D93</f>
        <v>Winner 79</v>
      </c>
      <c r="E93" t="e">
        <f>IF((_xlfn.XLOOKUP(Benchmark[[#This Row],[Team1]],Countries[Country],Countries[FIFA Ranking],,0)&lt;(_xlfn.XLOOKUP(Benchmark[[#This Row],[Team2]],Countries[Country],Countries[FIFA Ranking],,0))),1,0)</f>
        <v>#N/A</v>
      </c>
      <c r="F93" t="e">
        <f>IF((_xlfn.XLOOKUP(Benchmark[[#This Row],[Team1]],Countries[Country],Countries[FIFA Ranking],,0)&gt;(_xlfn.XLOOKUP(Benchmark[[#This Row],[Team2]],Countries[Country],Countries[FIFA Ranking],,0))),1,0)</f>
        <v>#N/A</v>
      </c>
      <c r="G93" s="3" t="str">
        <f>Fixtures!E93</f>
        <v>Winner 80</v>
      </c>
      <c r="H93" s="3" t="str">
        <f>Fixtures!F93</f>
        <v>Mexico City, Estadio Azteca</v>
      </c>
      <c r="I93" s="3"/>
      <c r="J93" cm="1">
        <f t="array" ref="J93">_xlfn.IFS(OR(ISBLANK('Results'!E93),ISBLANK('Results'!F93)),0,OR(ISBLANK(E93),ISBLANK(F93)),0,AND(E93='Results'!E93,F93='Results'!F93),Rules!$K$29,_xlfn.XOR(AND(E93&gt;F93,'Results'!E93&gt;'Results'!F93),AND(E93&lt;F93,'Results'!E93&lt;'Results'!F93),AND(E93=F93,'Results'!E93='Results'!F93)),Rules!$K$30,TRUE,0)</f>
        <v>0</v>
      </c>
    </row>
    <row r="94" spans="1:10">
      <c r="A94">
        <f>Fixtures!A94</f>
        <v>93</v>
      </c>
      <c r="B94" s="11">
        <f>Fixtures!B94</f>
        <v>46209.791666666664</v>
      </c>
      <c r="C94" s="4" t="str">
        <f>Fixtures!C94</f>
        <v>Round of 16</v>
      </c>
      <c r="D94" s="3" t="str">
        <f>Fixtures!D94</f>
        <v>Winner 83</v>
      </c>
      <c r="E94" t="e">
        <f>IF((_xlfn.XLOOKUP(Benchmark[[#This Row],[Team1]],Countries[Country],Countries[FIFA Ranking],,0)&lt;(_xlfn.XLOOKUP(Benchmark[[#This Row],[Team2]],Countries[Country],Countries[FIFA Ranking],,0))),1,0)</f>
        <v>#N/A</v>
      </c>
      <c r="F94" t="e">
        <f>IF((_xlfn.XLOOKUP(Benchmark[[#This Row],[Team1]],Countries[Country],Countries[FIFA Ranking],,0)&gt;(_xlfn.XLOOKUP(Benchmark[[#This Row],[Team2]],Countries[Country],Countries[FIFA Ranking],,0))),1,0)</f>
        <v>#N/A</v>
      </c>
      <c r="G94" s="3" t="str">
        <f>Fixtures!E94</f>
        <v>Winner 84</v>
      </c>
      <c r="H94" s="3" t="str">
        <f>Fixtures!F94</f>
        <v>Dallas, AT&amp;T Stadium</v>
      </c>
      <c r="I94" s="3"/>
      <c r="J94" cm="1">
        <f t="array" ref="J94">_xlfn.IFS(OR(ISBLANK('Results'!E94),ISBLANK('Results'!F94)),0,OR(ISBLANK(E94),ISBLANK(F94)),0,AND(E94='Results'!E94,F94='Results'!F94),Rules!$K$29,_xlfn.XOR(AND(E94&gt;F94,'Results'!E94&gt;'Results'!F94),AND(E94&lt;F94,'Results'!E94&lt;'Results'!F94),AND(E94=F94,'Results'!E94='Results'!F94)),Rules!$K$30,TRUE,0)</f>
        <v>0</v>
      </c>
    </row>
    <row r="95" spans="1:10">
      <c r="A95">
        <f>Fixtures!A95</f>
        <v>94</v>
      </c>
      <c r="B95" s="11" t="str">
        <f>Fixtures!B95</f>
        <v>07/07/2026 00:00</v>
      </c>
      <c r="C95" s="4" t="str">
        <f>Fixtures!C95</f>
        <v>Round of 16</v>
      </c>
      <c r="D95" s="3" t="str">
        <f>Fixtures!D95</f>
        <v>Winner 81</v>
      </c>
      <c r="E95" t="e">
        <f>IF((_xlfn.XLOOKUP(Benchmark[[#This Row],[Team1]],Countries[Country],Countries[FIFA Ranking],,0)&lt;(_xlfn.XLOOKUP(Benchmark[[#This Row],[Team2]],Countries[Country],Countries[FIFA Ranking],,0))),1,0)</f>
        <v>#N/A</v>
      </c>
      <c r="F95" t="e">
        <f>IF((_xlfn.XLOOKUP(Benchmark[[#This Row],[Team1]],Countries[Country],Countries[FIFA Ranking],,0)&gt;(_xlfn.XLOOKUP(Benchmark[[#This Row],[Team2]],Countries[Country],Countries[FIFA Ranking],,0))),1,0)</f>
        <v>#N/A</v>
      </c>
      <c r="G95" s="3" t="str">
        <f>Fixtures!E95</f>
        <v>Winner 82</v>
      </c>
      <c r="H95" s="3" t="str">
        <f>Fixtures!F95</f>
        <v>Seattle, Lumen Field</v>
      </c>
      <c r="I95" s="3"/>
      <c r="J95" cm="1">
        <f t="array" ref="J95">_xlfn.IFS(OR(ISBLANK('Results'!E95),ISBLANK('Results'!F95)),0,OR(ISBLANK(E95),ISBLANK(F95)),0,AND(E95='Results'!E95,F95='Results'!F95),Rules!$K$29,_xlfn.XOR(AND(E95&gt;F95,'Results'!E95&gt;'Results'!F95),AND(E95&lt;F95,'Results'!E95&lt;'Results'!F95),AND(E95=F95,'Results'!E95='Results'!F95)),Rules!$K$30,TRUE,0)</f>
        <v>0</v>
      </c>
    </row>
    <row r="96" spans="1:10">
      <c r="A96">
        <f>Fixtures!A96</f>
        <v>95</v>
      </c>
      <c r="B96" s="11" t="str">
        <f>Fixtures!B96</f>
        <v>07/07/2026 16:00</v>
      </c>
      <c r="C96" s="4" t="str">
        <f>Fixtures!C96</f>
        <v>Round of 16</v>
      </c>
      <c r="D96" s="3" t="str">
        <f>Fixtures!D96</f>
        <v>Winner 86</v>
      </c>
      <c r="E96" t="e">
        <f>IF((_xlfn.XLOOKUP(Benchmark[[#This Row],[Team1]],Countries[Country],Countries[FIFA Ranking],,0)&lt;(_xlfn.XLOOKUP(Benchmark[[#This Row],[Team2]],Countries[Country],Countries[FIFA Ranking],,0))),1,0)</f>
        <v>#N/A</v>
      </c>
      <c r="F96" t="e">
        <f>IF((_xlfn.XLOOKUP(Benchmark[[#This Row],[Team1]],Countries[Country],Countries[FIFA Ranking],,0)&gt;(_xlfn.XLOOKUP(Benchmark[[#This Row],[Team2]],Countries[Country],Countries[FIFA Ranking],,0))),1,0)</f>
        <v>#N/A</v>
      </c>
      <c r="G96" s="3" t="str">
        <f>Fixtures!E96</f>
        <v>Winner 88</v>
      </c>
      <c r="H96" s="3" t="str">
        <f>Fixtures!F96</f>
        <v>Atlanta, Mercedes-Benz Stadium</v>
      </c>
      <c r="I96" s="3"/>
      <c r="J96" cm="1">
        <f t="array" ref="J96">_xlfn.IFS(OR(ISBLANK('Results'!E96),ISBLANK('Results'!F96)),0,OR(ISBLANK(E96),ISBLANK(F96)),0,AND(E96='Results'!E96,F96='Results'!F96),Rules!$K$29,_xlfn.XOR(AND(E96&gt;F96,'Results'!E96&gt;'Results'!F96),AND(E96&lt;F96,'Results'!E96&lt;'Results'!F96),AND(E96=F96,'Results'!E96='Results'!F96)),Rules!$K$30,TRUE,0)</f>
        <v>0</v>
      </c>
    </row>
    <row r="97" spans="1:10">
      <c r="A97">
        <f>Fixtures!A97</f>
        <v>96</v>
      </c>
      <c r="B97" s="11" t="str">
        <f>Fixtures!B97</f>
        <v>07/07/2026 20:00</v>
      </c>
      <c r="C97" s="4" t="str">
        <f>Fixtures!C97</f>
        <v>Round of 16</v>
      </c>
      <c r="D97" s="3" t="str">
        <f>Fixtures!D97</f>
        <v>Winner 85</v>
      </c>
      <c r="E97" t="e">
        <f>IF((_xlfn.XLOOKUP(Benchmark[[#This Row],[Team1]],Countries[Country],Countries[FIFA Ranking],,0)&lt;(_xlfn.XLOOKUP(Benchmark[[#This Row],[Team2]],Countries[Country],Countries[FIFA Ranking],,0))),1,0)</f>
        <v>#N/A</v>
      </c>
      <c r="F97" t="e">
        <f>IF((_xlfn.XLOOKUP(Benchmark[[#This Row],[Team1]],Countries[Country],Countries[FIFA Ranking],,0)&gt;(_xlfn.XLOOKUP(Benchmark[[#This Row],[Team2]],Countries[Country],Countries[FIFA Ranking],,0))),1,0)</f>
        <v>#N/A</v>
      </c>
      <c r="G97" s="3" t="str">
        <f>Fixtures!E97</f>
        <v>Winner 87</v>
      </c>
      <c r="H97" s="3" t="str">
        <f>Fixtures!F97</f>
        <v>Vancouver, BC Place</v>
      </c>
      <c r="I97" s="3"/>
      <c r="J97" cm="1">
        <f t="array" ref="J97">_xlfn.IFS(OR(ISBLANK('Results'!E97),ISBLANK('Results'!F97)),0,OR(ISBLANK(E97),ISBLANK(F97)),0,AND(E97='Results'!E97,F97='Results'!F97),Rules!$K$29,_xlfn.XOR(AND(E97&gt;F97,'Results'!E97&gt;'Results'!F97),AND(E97&lt;F97,'Results'!E97&lt;'Results'!F97),AND(E97=F97,'Results'!E97='Results'!F97)),Rules!$K$30,TRUE,0)</f>
        <v>0</v>
      </c>
    </row>
    <row r="98" spans="1:10">
      <c r="A98">
        <f>Fixtures!A98</f>
        <v>97</v>
      </c>
      <c r="B98" s="11" t="str">
        <f>Fixtures!B98</f>
        <v>09/07/2026 20:00</v>
      </c>
      <c r="C98" s="4" t="str">
        <f>Fixtures!C98</f>
        <v>Quarter-final</v>
      </c>
      <c r="D98" s="3" t="str">
        <f>Fixtures!D98</f>
        <v>Winner 89</v>
      </c>
      <c r="E98" t="e">
        <f>IF((_xlfn.XLOOKUP(Benchmark[[#This Row],[Team1]],Countries[Country],Countries[FIFA Ranking],,0)&lt;(_xlfn.XLOOKUP(Benchmark[[#This Row],[Team2]],Countries[Country],Countries[FIFA Ranking],,0))),1,0)</f>
        <v>#N/A</v>
      </c>
      <c r="F98" t="e">
        <f>IF((_xlfn.XLOOKUP(Benchmark[[#This Row],[Team1]],Countries[Country],Countries[FIFA Ranking],,0)&gt;(_xlfn.XLOOKUP(Benchmark[[#This Row],[Team2]],Countries[Country],Countries[FIFA Ranking],,0))),1,0)</f>
        <v>#N/A</v>
      </c>
      <c r="G98" s="3" t="str">
        <f>Fixtures!E98</f>
        <v>Winner 90</v>
      </c>
      <c r="H98" s="3" t="str">
        <f>Fixtures!F98</f>
        <v>Boston, Gillette Stadium</v>
      </c>
      <c r="I98" s="3"/>
      <c r="J98" cm="1">
        <f t="array" ref="J98">_xlfn.IFS(OR(ISBLANK('Results'!E98),ISBLANK('Results'!F98)),0,OR(ISBLANK(E98),ISBLANK(F98)),0,AND(E98='Results'!E98,F98='Results'!F98),Rules!$K$29,_xlfn.XOR(AND(E98&gt;F98,'Results'!E98&gt;'Results'!F98),AND(E98&lt;F98,'Results'!E98&lt;'Results'!F98),AND(E98=F98,'Results'!E98='Results'!F98)),Rules!$K$30,TRUE,0)</f>
        <v>0</v>
      </c>
    </row>
    <row r="99" spans="1:10">
      <c r="A99">
        <f>Fixtures!A99</f>
        <v>98</v>
      </c>
      <c r="B99" s="11">
        <f>Fixtures!B99</f>
        <v>46213.791666666664</v>
      </c>
      <c r="C99" s="4" t="str">
        <f>Fixtures!C99</f>
        <v>Quarter-final</v>
      </c>
      <c r="D99" s="3" t="str">
        <f>Fixtures!D99</f>
        <v>Winner 93</v>
      </c>
      <c r="E99" t="e">
        <f>IF((_xlfn.XLOOKUP(Benchmark[[#This Row],[Team1]],Countries[Country],Countries[FIFA Ranking],,0)&lt;(_xlfn.XLOOKUP(Benchmark[[#This Row],[Team2]],Countries[Country],Countries[FIFA Ranking],,0))),1,0)</f>
        <v>#N/A</v>
      </c>
      <c r="F99" t="e">
        <f>IF((_xlfn.XLOOKUP(Benchmark[[#This Row],[Team1]],Countries[Country],Countries[FIFA Ranking],,0)&gt;(_xlfn.XLOOKUP(Benchmark[[#This Row],[Team2]],Countries[Country],Countries[FIFA Ranking],,0))),1,0)</f>
        <v>#N/A</v>
      </c>
      <c r="G99" s="3" t="str">
        <f>Fixtures!E99</f>
        <v>Winner 94</v>
      </c>
      <c r="H99" s="3" t="str">
        <f>Fixtures!F99</f>
        <v>Los Angeles, SoFi Stadium</v>
      </c>
      <c r="I99" s="3"/>
      <c r="J99" cm="1">
        <f t="array" ref="J99">_xlfn.IFS(OR(ISBLANK('Results'!E99),ISBLANK('Results'!F99)),0,OR(ISBLANK(E99),ISBLANK(F99)),0,AND(E99='Results'!E99,F99='Results'!F99),Rules!$K$29,_xlfn.XOR(AND(E99&gt;F99,'Results'!E99&gt;'Results'!F99),AND(E99&lt;F99,'Results'!E99&lt;'Results'!F99),AND(E99=F99,'Results'!E99='Results'!F99)),Rules!$K$30,TRUE,0)</f>
        <v>0</v>
      </c>
    </row>
    <row r="100" spans="1:10">
      <c r="A100">
        <f>Fixtures!A100</f>
        <v>99</v>
      </c>
      <c r="B100" s="11" t="str">
        <f>Fixtures!B100</f>
        <v>11/07/2026 21:00</v>
      </c>
      <c r="C100" s="4" t="str">
        <f>Fixtures!C100</f>
        <v>Quarter-final</v>
      </c>
      <c r="D100" s="3" t="str">
        <f>Fixtures!D100</f>
        <v>Winner 91</v>
      </c>
      <c r="E100" t="e">
        <f>IF((_xlfn.XLOOKUP(Benchmark[[#This Row],[Team1]],Countries[Country],Countries[FIFA Ranking],,0)&lt;(_xlfn.XLOOKUP(Benchmark[[#This Row],[Team2]],Countries[Country],Countries[FIFA Ranking],,0))),1,0)</f>
        <v>#N/A</v>
      </c>
      <c r="F100" t="e">
        <f>IF((_xlfn.XLOOKUP(Benchmark[[#This Row],[Team1]],Countries[Country],Countries[FIFA Ranking],,0)&gt;(_xlfn.XLOOKUP(Benchmark[[#This Row],[Team2]],Countries[Country],Countries[FIFA Ranking],,0))),1,0)</f>
        <v>#N/A</v>
      </c>
      <c r="G100" s="3" t="str">
        <f>Fixtures!E100</f>
        <v>Winner 92</v>
      </c>
      <c r="H100" s="3" t="str">
        <f>Fixtures!F100</f>
        <v>Miami, Hard Rock Stadium</v>
      </c>
      <c r="I100" s="3"/>
      <c r="J100" cm="1">
        <f t="array" ref="J100">_xlfn.IFS(OR(ISBLANK('Results'!E100),ISBLANK('Results'!F100)),0,OR(ISBLANK(E100),ISBLANK(F100)),0,AND(E100='Results'!E100,F100='Results'!F100),Rules!$K$29,_xlfn.XOR(AND(E100&gt;F100,'Results'!E100&gt;'Results'!F100),AND(E100&lt;F100,'Results'!E100&lt;'Results'!F100),AND(E100=F100,'Results'!E100='Results'!F100)),Rules!$K$30,TRUE,0)</f>
        <v>0</v>
      </c>
    </row>
    <row r="101" spans="1:10">
      <c r="A101">
        <f>Fixtures!A101</f>
        <v>100</v>
      </c>
      <c r="B101" s="11" t="str">
        <f>Fixtures!B101</f>
        <v>12/07/2026 01:00</v>
      </c>
      <c r="C101" s="4" t="str">
        <f>Fixtures!C101</f>
        <v>Quarter-final</v>
      </c>
      <c r="D101" s="3" t="str">
        <f>Fixtures!D101</f>
        <v>Winner 95</v>
      </c>
      <c r="E101" t="e">
        <f>IF((_xlfn.XLOOKUP(Benchmark[[#This Row],[Team1]],Countries[Country],Countries[FIFA Ranking],,0)&lt;(_xlfn.XLOOKUP(Benchmark[[#This Row],[Team2]],Countries[Country],Countries[FIFA Ranking],,0))),1,0)</f>
        <v>#N/A</v>
      </c>
      <c r="F101" t="e">
        <f>IF((_xlfn.XLOOKUP(Benchmark[[#This Row],[Team1]],Countries[Country],Countries[FIFA Ranking],,0)&gt;(_xlfn.XLOOKUP(Benchmark[[#This Row],[Team2]],Countries[Country],Countries[FIFA Ranking],,0))),1,0)</f>
        <v>#N/A</v>
      </c>
      <c r="G101" s="3" t="str">
        <f>Fixtures!E101</f>
        <v>Winner 96</v>
      </c>
      <c r="H101" s="3" t="str">
        <f>Fixtures!F101</f>
        <v>Kansas City, Arrowhead Stadium</v>
      </c>
      <c r="I101" s="3"/>
      <c r="J101" cm="1">
        <f t="array" ref="J101">_xlfn.IFS(OR(ISBLANK('Results'!E101),ISBLANK('Results'!F101)),0,OR(ISBLANK(E101),ISBLANK(F101)),0,AND(E101='Results'!E101,F101='Results'!F101),Rules!$K$29,_xlfn.XOR(AND(E101&gt;F101,'Results'!E101&gt;'Results'!F101),AND(E101&lt;F101,'Results'!E101&lt;'Results'!F101),AND(E101=F101,'Results'!E101='Results'!F101)),Rules!$K$30,TRUE,0)</f>
        <v>0</v>
      </c>
    </row>
    <row r="102" spans="1:10">
      <c r="A102">
        <f>Fixtures!A102</f>
        <v>101</v>
      </c>
      <c r="B102" s="11">
        <f>Fixtures!B102</f>
        <v>46217.791666666664</v>
      </c>
      <c r="C102" s="4" t="str">
        <f>Fixtures!C102</f>
        <v>Semi-final</v>
      </c>
      <c r="D102" s="3" t="str">
        <f>Fixtures!D102</f>
        <v>Winner 97</v>
      </c>
      <c r="E102" t="e">
        <f>IF((_xlfn.XLOOKUP(Benchmark[[#This Row],[Team1]],Countries[Country],Countries[FIFA Ranking],,0)&lt;(_xlfn.XLOOKUP(Benchmark[[#This Row],[Team2]],Countries[Country],Countries[FIFA Ranking],,0))),1,0)</f>
        <v>#N/A</v>
      </c>
      <c r="F102" t="e">
        <f>IF((_xlfn.XLOOKUP(Benchmark[[#This Row],[Team1]],Countries[Country],Countries[FIFA Ranking],,0)&gt;(_xlfn.XLOOKUP(Benchmark[[#This Row],[Team2]],Countries[Country],Countries[FIFA Ranking],,0))),1,0)</f>
        <v>#N/A</v>
      </c>
      <c r="G102" s="3" t="str">
        <f>Fixtures!E102</f>
        <v>Winner 98</v>
      </c>
      <c r="H102" s="3" t="str">
        <f>Fixtures!F102</f>
        <v>Dallas, AT&amp;T Stadium</v>
      </c>
      <c r="I102" s="3"/>
      <c r="J102" cm="1">
        <f t="array" ref="J102">_xlfn.IFS(OR(ISBLANK('Results'!E102),ISBLANK('Results'!F102)),0,OR(ISBLANK(E102),ISBLANK(F102)),0,AND(E102='Results'!E102,F102='Results'!F102),Rules!$K$29,_xlfn.XOR(AND(E102&gt;F102,'Results'!E102&gt;'Results'!F102),AND(E102&lt;F102,'Results'!E102&lt;'Results'!F102),AND(E102=F102,'Results'!E102='Results'!F102)),Rules!$K$30,TRUE,0)</f>
        <v>0</v>
      </c>
    </row>
    <row r="103" spans="1:10">
      <c r="A103">
        <f>Fixtures!A103</f>
        <v>102</v>
      </c>
      <c r="B103" s="11">
        <f>Fixtures!B103</f>
        <v>46218.791666666664</v>
      </c>
      <c r="C103" s="4" t="str">
        <f>Fixtures!C103</f>
        <v>Semi-final</v>
      </c>
      <c r="D103" s="3" t="str">
        <f>Fixtures!D103</f>
        <v>Winner 99</v>
      </c>
      <c r="E103" t="e">
        <f>IF((_xlfn.XLOOKUP(Benchmark[[#This Row],[Team1]],Countries[Country],Countries[FIFA Ranking],,0)&lt;(_xlfn.XLOOKUP(Benchmark[[#This Row],[Team2]],Countries[Country],Countries[FIFA Ranking],,0))),1,0)</f>
        <v>#N/A</v>
      </c>
      <c r="F103" t="e">
        <f>IF((_xlfn.XLOOKUP(Benchmark[[#This Row],[Team1]],Countries[Country],Countries[FIFA Ranking],,0)&gt;(_xlfn.XLOOKUP(Benchmark[[#This Row],[Team2]],Countries[Country],Countries[FIFA Ranking],,0))),1,0)</f>
        <v>#N/A</v>
      </c>
      <c r="G103" s="3" t="str">
        <f>Fixtures!E103</f>
        <v>Winner 100</v>
      </c>
      <c r="H103" s="3" t="str">
        <f>Fixtures!F103</f>
        <v>Atlanta, Mercedes-Benz Stadium</v>
      </c>
      <c r="I103" s="3"/>
      <c r="J103" cm="1">
        <f t="array" ref="J103">_xlfn.IFS(OR(ISBLANK('Results'!E103),ISBLANK('Results'!F103)),0,OR(ISBLANK(E103),ISBLANK(F103)),0,AND(E103='Results'!E103,F103='Results'!F103),Rules!$K$29,_xlfn.XOR(AND(E103&gt;F103,'Results'!E103&gt;'Results'!F103),AND(E103&lt;F103,'Results'!E103&lt;'Results'!F103),AND(E103=F103,'Results'!E103='Results'!F103)),Rules!$K$30,TRUE,0)</f>
        <v>0</v>
      </c>
    </row>
    <row r="104" spans="1:10">
      <c r="A104">
        <f>Fixtures!A104</f>
        <v>103</v>
      </c>
      <c r="B104" s="11" t="str">
        <f>Fixtures!B104</f>
        <v>18/07/2026 21:00</v>
      </c>
      <c r="C104" s="4" t="str">
        <f>Fixtures!C104</f>
        <v>Third-place play-off</v>
      </c>
      <c r="D104" s="3" t="str">
        <f>Fixtures!D104</f>
        <v>Loser 101</v>
      </c>
      <c r="E104" t="e">
        <f>IF((_xlfn.XLOOKUP(Benchmark[[#This Row],[Team1]],Countries[Country],Countries[FIFA Ranking],,0)&lt;(_xlfn.XLOOKUP(Benchmark[[#This Row],[Team2]],Countries[Country],Countries[FIFA Ranking],,0))),1,0)</f>
        <v>#N/A</v>
      </c>
      <c r="F104" t="e">
        <f>IF((_xlfn.XLOOKUP(Benchmark[[#This Row],[Team1]],Countries[Country],Countries[FIFA Ranking],,0)&gt;(_xlfn.XLOOKUP(Benchmark[[#This Row],[Team2]],Countries[Country],Countries[FIFA Ranking],,0))),1,0)</f>
        <v>#N/A</v>
      </c>
      <c r="G104" s="3" t="str">
        <f>Fixtures!E104</f>
        <v>Loser 102</v>
      </c>
      <c r="H104" s="3" t="str">
        <f>Fixtures!F104</f>
        <v>Miami, Hard Rock Stadium</v>
      </c>
      <c r="I104" s="3"/>
      <c r="J104" cm="1">
        <f t="array" ref="J104">_xlfn.IFS(OR(ISBLANK('Results'!E104),ISBLANK('Results'!F104)),0,OR(ISBLANK(E104),ISBLANK(F104)),0,AND(E104='Results'!E104,F104='Results'!F104),Rules!$K$29,_xlfn.XOR(AND(E104&gt;F104,'Results'!E104&gt;'Results'!F104),AND(E104&lt;F104,'Results'!E104&lt;'Results'!F104),AND(E104=F104,'Results'!E104='Results'!F104)),Rules!$K$30,TRUE,0)</f>
        <v>0</v>
      </c>
    </row>
    <row r="105" spans="1:10">
      <c r="A105">
        <f>Fixtures!A105</f>
        <v>104</v>
      </c>
      <c r="B105" s="11">
        <f>Fixtures!B105</f>
        <v>46222.791666666664</v>
      </c>
      <c r="C105" s="4" t="str">
        <f>Fixtures!C105</f>
        <v>Final</v>
      </c>
      <c r="D105" s="3" t="str">
        <f>Fixtures!D105</f>
        <v>Winner 101</v>
      </c>
      <c r="E105" t="e">
        <f>IF((_xlfn.XLOOKUP(Benchmark[[#This Row],[Team1]],Countries[Country],Countries[FIFA Ranking],,0)&lt;(_xlfn.XLOOKUP(Benchmark[[#This Row],[Team2]],Countries[Country],Countries[FIFA Ranking],,0))),1,0)</f>
        <v>#N/A</v>
      </c>
      <c r="F105" t="e">
        <f>IF((_xlfn.XLOOKUP(Benchmark[[#This Row],[Team1]],Countries[Country],Countries[FIFA Ranking],,0)&gt;(_xlfn.XLOOKUP(Benchmark[[#This Row],[Team2]],Countries[Country],Countries[FIFA Ranking],,0))),1,0)</f>
        <v>#N/A</v>
      </c>
      <c r="G105" s="3" t="str">
        <f>Fixtures!E105</f>
        <v>Winner 102</v>
      </c>
      <c r="H105" s="3" t="str">
        <f>Fixtures!F105</f>
        <v>New York/New Jersey, MetLife Stadium</v>
      </c>
      <c r="I105" s="3"/>
      <c r="J105" cm="1">
        <f t="array" ref="J105">_xlfn.IFS(OR(ISBLANK('Results'!E105),ISBLANK('Results'!F105)),0,OR(ISBLANK(E105),ISBLANK(F105)),0,AND(E105='Results'!E105,F105='Results'!F105),Rules!$K$29,_xlfn.XOR(AND(E105&gt;F105,'Results'!E105&gt;'Results'!F105),AND(E105&lt;F105,'Results'!E105&lt;'Results'!F105),AND(E105=F105,'Results'!E105='Results'!F105)),Rules!$K$30,TRUE,0)</f>
        <v>0</v>
      </c>
    </row>
  </sheetData>
  <protectedRanges>
    <protectedRange sqref="E2:F73" name="Groups"/>
  </protectedRanges>
  <mergeCells count="10">
    <mergeCell ref="L2:M3"/>
    <mergeCell ref="L4:M4"/>
    <mergeCell ref="L18:M18"/>
    <mergeCell ref="L23:M23"/>
    <mergeCell ref="L32:M32"/>
    <mergeCell ref="L26:M26"/>
    <mergeCell ref="L19:M19"/>
    <mergeCell ref="L24:M24"/>
    <mergeCell ref="L27:M27"/>
    <mergeCell ref="L29:M29"/>
  </mergeCells>
  <dataValidations count="1">
    <dataValidation type="whole" allowBlank="1" showInputMessage="1" showErrorMessage="1" sqref="M33:M35" xr:uid="{AEFA62BA-4807-4595-8F96-CCAC7B9FB12E}">
      <formula1>0</formula1>
      <formula2>50</formula2>
    </dataValidation>
  </dataValidations>
  <pageMargins left="0.25" right="0.25" top="0.75" bottom="0.75" header="0.3" footer="0.3"/>
  <pageSetup scale="52" fitToHeight="0"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3915EA04-2DC7-40BE-A018-F1C887DBD043}">
          <x14:formula1>
            <xm:f>'Team_Sheet(s)'!$B$4:$B$29</xm:f>
          </x14:formula1>
          <xm:sqref>M30</xm:sqref>
        </x14:dataValidation>
        <x14:dataValidation type="list" allowBlank="1" showInputMessage="1" showErrorMessage="1" xr:uid="{11E185BB-F6C7-4267-9FC3-EC1D267403A2}">
          <x14:formula1>
            <xm:f>'Countries'!$A$2:$A$49</xm:f>
          </x14:formula1>
          <xm:sqref>M6:M11 M13:M16 L24 M20:M21 L27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18641-7FB6-44D4-8E25-E05EF5194E73}">
  <sheetPr>
    <tabColor theme="5"/>
    <pageSetUpPr fitToPage="1"/>
  </sheetPr>
  <dimension ref="A1:N105"/>
  <sheetViews>
    <sheetView workbookViewId="0">
      <pane ySplit="1" topLeftCell="A2" activePane="bottomLeft" state="frozen"/>
      <selection activeCell="C1" sqref="C1"/>
      <selection pane="bottomLeft" activeCell="A2" sqref="A2"/>
    </sheetView>
  </sheetViews>
  <sheetFormatPr defaultColWidth="10.5546875" defaultRowHeight="14.4"/>
  <cols>
    <col min="1" max="1" width="10" bestFit="1" customWidth="1"/>
    <col min="2" max="2" width="17.77734375" style="11" bestFit="1" customWidth="1"/>
    <col min="3" max="3" width="18.21875" style="4" bestFit="1" customWidth="1"/>
    <col min="4" max="4" width="21.77734375" style="3" bestFit="1" customWidth="1"/>
    <col min="5" max="6" width="8.88671875" bestFit="1" customWidth="1"/>
    <col min="7" max="7" width="21.77734375" style="3" bestFit="1" customWidth="1"/>
    <col min="8" max="8" width="35.77734375" style="3" bestFit="1" customWidth="1"/>
    <col min="9" max="9" width="1.109375" hidden="1" customWidth="1"/>
    <col min="10" max="10" width="8.5546875" bestFit="1" customWidth="1"/>
    <col min="12" max="12" width="8.77734375" bestFit="1" customWidth="1"/>
    <col min="13" max="13" width="16" customWidth="1"/>
    <col min="14" max="14" width="6.33203125" bestFit="1" customWidth="1"/>
  </cols>
  <sheetData>
    <row r="1" spans="1:14" ht="14.4" customHeight="1">
      <c r="A1" t="s">
        <v>50</v>
      </c>
      <c r="B1" s="50" t="s">
        <v>51</v>
      </c>
      <c r="C1" s="25" t="s">
        <v>52</v>
      </c>
      <c r="D1" s="26" t="s">
        <v>53</v>
      </c>
      <c r="E1" s="18" t="s">
        <v>59</v>
      </c>
      <c r="F1" s="18" t="s">
        <v>60</v>
      </c>
      <c r="G1" s="26" t="s">
        <v>54</v>
      </c>
      <c r="H1" s="26" t="s">
        <v>198</v>
      </c>
      <c r="I1" s="26" t="s">
        <v>68</v>
      </c>
      <c r="J1" s="26" t="s">
        <v>69</v>
      </c>
      <c r="L1" s="51"/>
      <c r="M1" s="51"/>
    </row>
    <row r="2" spans="1:14" ht="14.4" customHeight="1">
      <c r="A2">
        <f>Fixtures!A2</f>
        <v>1</v>
      </c>
      <c r="B2" s="50">
        <f>Fixtures!B2</f>
        <v>46184.791666666664</v>
      </c>
      <c r="C2" s="4" t="str">
        <f>Fixtures!C2</f>
        <v>Group A</v>
      </c>
      <c r="D2" s="3" t="str">
        <f>Fixtures!D2</f>
        <v>Mexico</v>
      </c>
      <c r="G2" s="3" t="str">
        <f>Fixtures!E2</f>
        <v>South Africa</v>
      </c>
      <c r="H2" s="3" t="str">
        <f>Fixtures!F2</f>
        <v>Mexico City, Estadio Azteca</v>
      </c>
      <c r="I2" s="3"/>
      <c r="J2" s="1" cm="1">
        <f t="array" ref="J2">_xlfn.IFS(OR(ISBLANK('Results'!E2),ISBLANK('Results'!F2)),0,OR(ISBLANK(E2),ISBLANK(F2)),0,AND(E2='Results'!E2,F2='Results'!F2),Rules!$K$29,_xlfn.XOR(AND(E2&gt;F2,'Results'!E2&gt;'Results'!F2),AND(E2&lt;F2,'Results'!E2&lt;'Results'!F2),AND(E2=F2,'Results'!E2='Results'!F2)),Rules!$K$30,TRUE,0)</f>
        <v>0</v>
      </c>
      <c r="K2" s="2"/>
      <c r="L2" s="79" t="s">
        <v>143</v>
      </c>
      <c r="M2" s="79"/>
    </row>
    <row r="3" spans="1:14">
      <c r="A3">
        <f>Fixtures!A3</f>
        <v>2</v>
      </c>
      <c r="B3" s="50">
        <f>Fixtures!B3</f>
        <v>46185.083333333336</v>
      </c>
      <c r="C3" s="4" t="str">
        <f>Fixtures!C3</f>
        <v>Group A</v>
      </c>
      <c r="D3" s="3" t="str">
        <f>Fixtures!D3</f>
        <v>Korea Republic</v>
      </c>
      <c r="G3" s="3" t="str">
        <f>Fixtures!E3</f>
        <v>Czechia</v>
      </c>
      <c r="H3" s="3" t="str">
        <f>Fixtures!F3</f>
        <v>Guadalajara, Estadio Akron</v>
      </c>
      <c r="I3" s="3"/>
      <c r="J3" s="1" cm="1">
        <f t="array" ref="J3">_xlfn.IFS(OR(ISBLANK('Results'!E3),ISBLANK('Results'!F3)),0,OR(ISBLANK(E3),ISBLANK(F3)),0,AND(E3='Results'!E3,F3='Results'!F3),Rules!$K$29,_xlfn.XOR(AND(E3&gt;F3,'Results'!E3&gt;'Results'!F3),AND(E3&lt;F3,'Results'!E3&lt;'Results'!F3),AND(E3=F3,'Results'!E3='Results'!F3)),Rules!$K$30,TRUE,0)</f>
        <v>0</v>
      </c>
      <c r="L3" s="80"/>
      <c r="M3" s="80"/>
      <c r="N3" t="s">
        <v>69</v>
      </c>
    </row>
    <row r="4" spans="1:14">
      <c r="A4">
        <f>Fixtures!A4</f>
        <v>3</v>
      </c>
      <c r="B4" s="50">
        <f>Fixtures!B4</f>
        <v>46185.791666666664</v>
      </c>
      <c r="C4" s="4" t="str">
        <f>Fixtures!C4</f>
        <v>Group B</v>
      </c>
      <c r="D4" s="3" t="str">
        <f>Fixtures!D4</f>
        <v>Canada</v>
      </c>
      <c r="G4" s="3" t="str">
        <f>Fixtures!E4</f>
        <v>Bosnia and Herzegovina</v>
      </c>
      <c r="H4" s="3" t="str">
        <f>Fixtures!F4</f>
        <v>Toronto, BMO Field</v>
      </c>
      <c r="I4" s="3"/>
      <c r="J4" s="1" cm="1">
        <f t="array" ref="J4">_xlfn.IFS(OR(ISBLANK('Results'!E4),ISBLANK('Results'!F4)),0,OR(ISBLANK(E4),ISBLANK(F4)),0,AND(E4='Results'!E4,F4='Results'!F4),Rules!$K$29,_xlfn.XOR(AND(E4&gt;F4,'Results'!E4&gt;'Results'!F4),AND(E4&lt;F4,'Results'!E4&lt;'Results'!F4),AND(E4=F4,'Results'!E4='Results'!F4)),Rules!$K$30,TRUE,0)</f>
        <v>0</v>
      </c>
      <c r="L4" s="81" t="s">
        <v>188</v>
      </c>
      <c r="M4" s="82"/>
    </row>
    <row r="5" spans="1:14">
      <c r="A5">
        <f>Fixtures!A5</f>
        <v>4</v>
      </c>
      <c r="B5" s="50">
        <f>Fixtures!B5</f>
        <v>46186.041666666664</v>
      </c>
      <c r="C5" s="4" t="str">
        <f>Fixtures!C5</f>
        <v>Group D</v>
      </c>
      <c r="D5" s="3" t="str">
        <f>Fixtures!D5</f>
        <v>USA</v>
      </c>
      <c r="G5" s="3" t="str">
        <f>Fixtures!E5</f>
        <v>Paraguay</v>
      </c>
      <c r="H5" s="3" t="str">
        <f>Fixtures!F5</f>
        <v>Los Angeles, SoFi Stadium</v>
      </c>
      <c r="I5" s="3"/>
      <c r="J5" s="1" cm="1">
        <f t="array" ref="J5">_xlfn.IFS(OR(ISBLANK('Results'!E5),ISBLANK('Results'!F5)),0,OR(ISBLANK(E5),ISBLANK(F5)),0,AND(E5='Results'!E5,F5='Results'!F5),Rules!$K$29,_xlfn.XOR(AND(E5&gt;F5,'Results'!E5&gt;'Results'!F5),AND(E5&lt;F5,'Results'!E5&lt;'Results'!F5),AND(E5=F5,'Results'!E5='Results'!F5)),Rules!$K$30,TRUE,0)</f>
        <v>0</v>
      </c>
      <c r="L5" s="37" t="s">
        <v>1</v>
      </c>
      <c r="M5" s="37" t="s">
        <v>61</v>
      </c>
    </row>
    <row r="6" spans="1:14">
      <c r="A6">
        <f>Fixtures!A6</f>
        <v>5</v>
      </c>
      <c r="B6" s="50">
        <f>Fixtures!B6</f>
        <v>46186.791666666664</v>
      </c>
      <c r="C6" s="4" t="str">
        <f>Fixtures!C6</f>
        <v>Group B</v>
      </c>
      <c r="D6" s="3" t="str">
        <f>Fixtures!D6</f>
        <v>Qatar</v>
      </c>
      <c r="G6" s="3" t="str">
        <f>Fixtures!E6</f>
        <v>Switzerland</v>
      </c>
      <c r="H6" s="3" t="str">
        <f>Fixtures!F6</f>
        <v>San Francisco, Levi's Stadium</v>
      </c>
      <c r="I6" s="3"/>
      <c r="J6" s="1" cm="1">
        <f t="array" ref="J6">_xlfn.IFS(OR(ISBLANK('Results'!E6),ISBLANK('Results'!F6)),0,OR(ISBLANK(E6),ISBLANK(F6)),0,AND(E6='Results'!E6,F6='Results'!F6),Rules!$K$29,_xlfn.XOR(AND(E6&gt;F6,'Results'!E6&gt;'Results'!F6),AND(E6&lt;F6,'Results'!E6&lt;'Results'!F6),AND(E6=F6,'Results'!E6='Results'!F6)),Rules!$K$30,TRUE,0)</f>
        <v>0</v>
      </c>
      <c r="L6" s="36" t="s">
        <v>7</v>
      </c>
      <c r="M6" s="38"/>
      <c r="N6" s="1" cm="1">
        <f t="array" ref="N6">_xlfn.IFS(OR(ISBLANK(M6),ISBLANK('Results'!K6)),0,M6='Results'!K6,Rules!$K$38,TRUE,0)</f>
        <v>0</v>
      </c>
    </row>
    <row r="7" spans="1:14">
      <c r="A7">
        <f>Fixtures!A7</f>
        <v>6</v>
      </c>
      <c r="B7" s="50">
        <f>Fixtures!B7</f>
        <v>46186.916666666664</v>
      </c>
      <c r="C7" s="4" t="str">
        <f>Fixtures!C7</f>
        <v>Group C</v>
      </c>
      <c r="D7" s="3" t="str">
        <f>Fixtures!D7</f>
        <v>Brazil</v>
      </c>
      <c r="G7" s="3" t="str">
        <f>Fixtures!E7</f>
        <v>Morocco</v>
      </c>
      <c r="H7" s="3" t="str">
        <f>Fixtures!F7</f>
        <v>New York/New Jersey, MetLife Stadium</v>
      </c>
      <c r="I7" s="3"/>
      <c r="J7" s="1" cm="1">
        <f t="array" ref="J7">_xlfn.IFS(OR(ISBLANK('Results'!E7),ISBLANK('Results'!F7)),0,OR(ISBLANK(E7),ISBLANK(F7)),0,AND(E7='Results'!E7,F7='Results'!F7),Rules!$K$29,_xlfn.XOR(AND(E7&gt;F7,'Results'!E7&gt;'Results'!F7),AND(E7&lt;F7,'Results'!E7&lt;'Results'!F7),AND(E7=F7,'Results'!E7='Results'!F7)),Rules!$K$30,TRUE,0)</f>
        <v>0</v>
      </c>
      <c r="L7" s="28" t="s">
        <v>8</v>
      </c>
      <c r="M7" s="29"/>
      <c r="N7" s="1" cm="1">
        <f t="array" ref="N7">_xlfn.IFS(OR(ISBLANK(M7),ISBLANK('Results'!K7)),0,M7='Results'!K7,Rules!$K$38,TRUE,0)</f>
        <v>0</v>
      </c>
    </row>
    <row r="8" spans="1:14">
      <c r="A8">
        <f>Fixtures!A8</f>
        <v>7</v>
      </c>
      <c r="B8" s="50">
        <f>Fixtures!B8</f>
        <v>46187.041666666664</v>
      </c>
      <c r="C8" s="4" t="str">
        <f>Fixtures!C8</f>
        <v>Group C</v>
      </c>
      <c r="D8" s="3" t="str">
        <f>Fixtures!D8</f>
        <v>Haiti</v>
      </c>
      <c r="G8" s="3" t="str">
        <f>Fixtures!E8</f>
        <v>Scotland</v>
      </c>
      <c r="H8" s="3" t="str">
        <f>Fixtures!F8</f>
        <v>Boston, Gillette Stadium</v>
      </c>
      <c r="I8" s="3"/>
      <c r="J8" s="1" cm="1">
        <f t="array" ref="J8">_xlfn.IFS(OR(ISBLANK('Results'!E8),ISBLANK('Results'!F8)),0,OR(ISBLANK(E8),ISBLANK(F8)),0,AND(E8='Results'!E8,F8='Results'!F8),Rules!$K$29,_xlfn.XOR(AND(E8&gt;F8,'Results'!E8&gt;'Results'!F8),AND(E8&lt;F8,'Results'!E8&lt;'Results'!F8),AND(E8=F8,'Results'!E8='Results'!F8)),Rules!$K$30,TRUE,0)</f>
        <v>0</v>
      </c>
      <c r="L8" s="28" t="s">
        <v>10</v>
      </c>
      <c r="M8" s="29"/>
      <c r="N8" s="1" cm="1">
        <f t="array" ref="N8">_xlfn.IFS(OR(ISBLANK(M8),ISBLANK('Results'!K8)),0,M8='Results'!K8,Rules!$K$38,TRUE,0)</f>
        <v>0</v>
      </c>
    </row>
    <row r="9" spans="1:14">
      <c r="A9">
        <f>Fixtures!A9</f>
        <v>8</v>
      </c>
      <c r="B9" s="50">
        <f>Fixtures!B9</f>
        <v>46187.166666666664</v>
      </c>
      <c r="C9" s="4" t="str">
        <f>Fixtures!C9</f>
        <v>Group D</v>
      </c>
      <c r="D9" s="3" t="str">
        <f>Fixtures!D9</f>
        <v>Australia</v>
      </c>
      <c r="G9" s="3" t="str">
        <f>Fixtures!E9</f>
        <v>Türkiye</v>
      </c>
      <c r="H9" s="3" t="str">
        <f>Fixtures!F9</f>
        <v>Vancouver, BC Place</v>
      </c>
      <c r="I9" s="3"/>
      <c r="J9" s="1" cm="1">
        <f t="array" ref="J9">_xlfn.IFS(OR(ISBLANK('Results'!E9),ISBLANK('Results'!F9)),0,OR(ISBLANK(E9),ISBLANK(F9)),0,AND(E9='Results'!E9,F9='Results'!F9),Rules!$K$29,_xlfn.XOR(AND(E9&gt;F9,'Results'!E9&gt;'Results'!F9),AND(E9&lt;F9,'Results'!E9&lt;'Results'!F9),AND(E9=F9,'Results'!E9='Results'!F9)),Rules!$K$30,TRUE,0)</f>
        <v>0</v>
      </c>
      <c r="L9" s="28" t="s">
        <v>6</v>
      </c>
      <c r="M9" s="29"/>
      <c r="N9" s="1" cm="1">
        <f t="array" ref="N9">_xlfn.IFS(OR(ISBLANK(M9),ISBLANK('Results'!K9)),0,M9='Results'!K9,Rules!$K$38,TRUE,0)</f>
        <v>0</v>
      </c>
    </row>
    <row r="10" spans="1:14">
      <c r="A10">
        <f>Fixtures!A10</f>
        <v>9</v>
      </c>
      <c r="B10" s="50">
        <f>Fixtures!B10</f>
        <v>46187.708333333336</v>
      </c>
      <c r="C10" s="4" t="str">
        <f>Fixtures!C10</f>
        <v>Group E</v>
      </c>
      <c r="D10" s="3" t="str">
        <f>Fixtures!D10</f>
        <v>Germany</v>
      </c>
      <c r="G10" s="3" t="str">
        <f>Fixtures!E10</f>
        <v>Curaçao</v>
      </c>
      <c r="H10" s="3" t="str">
        <f>Fixtures!F10</f>
        <v>Houston, NRG Stadium</v>
      </c>
      <c r="I10" s="3"/>
      <c r="J10" s="1" cm="1">
        <f t="array" ref="J10">_xlfn.IFS(OR(ISBLANK('Results'!E10),ISBLANK('Results'!F10)),0,OR(ISBLANK(E10),ISBLANK(F10)),0,AND(E10='Results'!E10,F10='Results'!F10),Rules!$K$29,_xlfn.XOR(AND(E10&gt;F10,'Results'!E10&gt;'Results'!F10),AND(E10&lt;F10,'Results'!E10&lt;'Results'!F10),AND(E10=F10,'Results'!E10='Results'!F10)),Rules!$K$30,TRUE,0)</f>
        <v>0</v>
      </c>
      <c r="L10" s="28" t="s">
        <v>13</v>
      </c>
      <c r="M10" s="29"/>
      <c r="N10" s="1" cm="1">
        <f t="array" ref="N10">_xlfn.IFS(OR(ISBLANK(M10),ISBLANK('Results'!K10)),0,M10='Results'!K10,Rules!$K$38,TRUE,0)</f>
        <v>0</v>
      </c>
    </row>
    <row r="11" spans="1:14">
      <c r="A11">
        <f>Fixtures!A11</f>
        <v>10</v>
      </c>
      <c r="B11" s="50">
        <f>Fixtures!B11</f>
        <v>46187.833333333336</v>
      </c>
      <c r="C11" s="4" t="str">
        <f>Fixtures!C11</f>
        <v>Group F</v>
      </c>
      <c r="D11" s="3" t="str">
        <f>Fixtures!D11</f>
        <v>Netherlands</v>
      </c>
      <c r="G11" s="3" t="str">
        <f>Fixtures!E11</f>
        <v>Japan</v>
      </c>
      <c r="H11" s="3" t="str">
        <f>Fixtures!F11</f>
        <v>Dallas, AT&amp;T Stadium</v>
      </c>
      <c r="I11" s="3"/>
      <c r="J11" s="1" cm="1">
        <f t="array" ref="J11">_xlfn.IFS(OR(ISBLANK('Results'!E11),ISBLANK('Results'!F11)),0,OR(ISBLANK(E11),ISBLANK(F11)),0,AND(E11='Results'!E11,F11='Results'!F11),Rules!$K$29,_xlfn.XOR(AND(E11&gt;F11,'Results'!E11&gt;'Results'!F11),AND(E11&lt;F11,'Results'!E11&lt;'Results'!F11),AND(E11=F11,'Results'!E11='Results'!F11)),Rules!$K$30,TRUE,0)</f>
        <v>0</v>
      </c>
      <c r="L11" s="28" t="s">
        <v>15</v>
      </c>
      <c r="M11" s="29"/>
      <c r="N11" s="1" cm="1">
        <f t="array" ref="N11">_xlfn.IFS(OR(ISBLANK(M11),ISBLANK('Results'!K11)),0,M11='Results'!K11,Rules!$K$38,TRUE,0)</f>
        <v>0</v>
      </c>
    </row>
    <row r="12" spans="1:14">
      <c r="A12">
        <f>Fixtures!A12</f>
        <v>11</v>
      </c>
      <c r="B12" s="50">
        <f>Fixtures!B12</f>
        <v>46187.958333333336</v>
      </c>
      <c r="C12" s="4" t="str">
        <f>Fixtures!C12</f>
        <v>Group E</v>
      </c>
      <c r="D12" s="3" t="str">
        <f>Fixtures!D12</f>
        <v>Côte d'Ivoire</v>
      </c>
      <c r="G12" s="3" t="str">
        <f>Fixtures!E12</f>
        <v>Ecuador</v>
      </c>
      <c r="H12" s="3" t="str">
        <f>Fixtures!F12</f>
        <v>Philadelphia, Lincoln Financial Field</v>
      </c>
      <c r="I12" s="3"/>
      <c r="J12" s="1" cm="1">
        <f t="array" ref="J12">_xlfn.IFS(OR(ISBLANK('Results'!E12),ISBLANK('Results'!F12)),0,OR(ISBLANK(E12),ISBLANK(F12)),0,AND(E12='Results'!E12,F12='Results'!F12),Rules!$K$29,_xlfn.XOR(AND(E12&gt;F12,'Results'!E12&gt;'Results'!F12),AND(E12&lt;F12,'Results'!E12&lt;'Results'!F12),AND(E12=F12,'Results'!E12='Results'!F12)),Rules!$K$30,TRUE,0)</f>
        <v>0</v>
      </c>
      <c r="L12" s="28" t="s">
        <v>9</v>
      </c>
      <c r="M12" s="29"/>
      <c r="N12" s="1" cm="1">
        <f t="array" ref="N12">_xlfn.IFS(OR(ISBLANK(M12),ISBLANK('Results'!K12)),0,M12='Results'!K12,Rules!$K$38,TRUE,0)</f>
        <v>0</v>
      </c>
    </row>
    <row r="13" spans="1:14">
      <c r="A13">
        <f>Fixtures!A13</f>
        <v>12</v>
      </c>
      <c r="B13" s="50">
        <f>Fixtures!B13</f>
        <v>46188.083333333336</v>
      </c>
      <c r="C13" s="4" t="str">
        <f>Fixtures!C13</f>
        <v>Group F</v>
      </c>
      <c r="D13" s="3" t="str">
        <f>Fixtures!D13</f>
        <v>Sweden</v>
      </c>
      <c r="G13" s="3" t="str">
        <f>Fixtures!E13</f>
        <v>Tunisia</v>
      </c>
      <c r="H13" s="3" t="str">
        <f>Fixtures!F13</f>
        <v>Monterrey, Estadio BBVA</v>
      </c>
      <c r="I13" s="3"/>
      <c r="J13" s="1" cm="1">
        <f t="array" ref="J13">_xlfn.IFS(OR(ISBLANK('Results'!E13),ISBLANK('Results'!F13)),0,OR(ISBLANK(E13),ISBLANK(F13)),0,AND(E13='Results'!E13,F13='Results'!F13),Rules!$K$29,_xlfn.XOR(AND(E13&gt;F13,'Results'!E13&gt;'Results'!F13),AND(E13&lt;F13,'Results'!E13&lt;'Results'!F13),AND(E13=F13,'Results'!E13='Results'!F13)),Rules!$K$30,TRUE,0)</f>
        <v>0</v>
      </c>
      <c r="L13" s="28" t="s">
        <v>14</v>
      </c>
      <c r="M13" s="29"/>
      <c r="N13" s="1" cm="1">
        <f t="array" ref="N13">_xlfn.IFS(OR(ISBLANK(M13),ISBLANK('Results'!K13)),0,M13='Results'!K13,Rules!$K$38,TRUE,0)</f>
        <v>0</v>
      </c>
    </row>
    <row r="14" spans="1:14">
      <c r="A14">
        <f>Fixtures!A14</f>
        <v>13</v>
      </c>
      <c r="B14" s="50">
        <f>Fixtures!B14</f>
        <v>46188.666666666664</v>
      </c>
      <c r="C14" s="4" t="str">
        <f>Fixtures!C14</f>
        <v>Group H</v>
      </c>
      <c r="D14" s="3" t="str">
        <f>Fixtures!D14</f>
        <v>Spain</v>
      </c>
      <c r="G14" s="3" t="str">
        <f>Fixtures!E14</f>
        <v>Cabo Verde</v>
      </c>
      <c r="H14" s="3" t="str">
        <f>Fixtures!F14</f>
        <v>Atlanta, Mercedes-Benz Stadium</v>
      </c>
      <c r="I14" s="3"/>
      <c r="J14" s="1" cm="1">
        <f t="array" ref="J14">_xlfn.IFS(OR(ISBLANK('Results'!E14),ISBLANK('Results'!F14)),0,OR(ISBLANK(E14),ISBLANK(F14)),0,AND(E14='Results'!E14,F14='Results'!F14),Rules!$K$29,_xlfn.XOR(AND(E14&gt;F14,'Results'!E14&gt;'Results'!F14),AND(E14&lt;F14,'Results'!E14&lt;'Results'!F14),AND(E14=F14,'Results'!E14='Results'!F14)),Rules!$K$30,TRUE,0)</f>
        <v>0</v>
      </c>
      <c r="L14" s="28" t="s">
        <v>21</v>
      </c>
      <c r="M14" s="29"/>
      <c r="N14" s="1" cm="1">
        <f t="array" ref="N14">_xlfn.IFS(OR(ISBLANK(M14),ISBLANK('Results'!K14)),0,M14='Results'!K14,Rules!$K$38,TRUE,0)</f>
        <v>0</v>
      </c>
    </row>
    <row r="15" spans="1:14">
      <c r="A15">
        <f>Fixtures!A15</f>
        <v>14</v>
      </c>
      <c r="B15" s="50">
        <f>Fixtures!B15</f>
        <v>46188.791666666664</v>
      </c>
      <c r="C15" s="4" t="str">
        <f>Fixtures!C15</f>
        <v>Group G</v>
      </c>
      <c r="D15" s="3" t="str">
        <f>Fixtures!D15</f>
        <v>Belgium</v>
      </c>
      <c r="G15" s="3" t="str">
        <f>Fixtures!E15</f>
        <v>Egypt</v>
      </c>
      <c r="H15" s="3" t="str">
        <f>Fixtures!F15</f>
        <v>Seattle, Lumen Field</v>
      </c>
      <c r="I15" s="3"/>
      <c r="J15" s="1" cm="1">
        <f t="array" ref="J15">_xlfn.IFS(OR(ISBLANK('Results'!E15),ISBLANK('Results'!F15)),0,OR(ISBLANK(E15),ISBLANK(F15)),0,AND(E15='Results'!E15,F15='Results'!F15),Rules!$K$29,_xlfn.XOR(AND(E15&gt;F15,'Results'!E15&gt;'Results'!F15),AND(E15&lt;F15,'Results'!E15&lt;'Results'!F15),AND(E15=F15,'Results'!E15='Results'!F15)),Rules!$K$30,TRUE,0)</f>
        <v>0</v>
      </c>
      <c r="L15" s="28" t="s">
        <v>3</v>
      </c>
      <c r="M15" s="29"/>
      <c r="N15" s="1" cm="1">
        <f t="array" ref="N15">_xlfn.IFS(OR(ISBLANK(M15),ISBLANK('Results'!K15)),0,M15='Results'!K15,Rules!$K$38,TRUE,0)</f>
        <v>0</v>
      </c>
    </row>
    <row r="16" spans="1:14">
      <c r="A16">
        <f>Fixtures!A16</f>
        <v>15</v>
      </c>
      <c r="B16" s="50">
        <f>Fixtures!B16</f>
        <v>46188.916666666664</v>
      </c>
      <c r="C16" s="4" t="str">
        <f>Fixtures!C16</f>
        <v>Group H</v>
      </c>
      <c r="D16" s="3" t="str">
        <f>Fixtures!D16</f>
        <v>Saudi Arabia</v>
      </c>
      <c r="G16" s="3" t="str">
        <f>Fixtures!E16</f>
        <v>Uruguay</v>
      </c>
      <c r="H16" s="3" t="str">
        <f>Fixtures!F16</f>
        <v>Miami, Hard Rock Stadium</v>
      </c>
      <c r="I16" s="3"/>
      <c r="J16" s="1" cm="1">
        <f t="array" ref="J16">_xlfn.IFS(OR(ISBLANK('Results'!E16),ISBLANK('Results'!F16)),0,OR(ISBLANK(E16),ISBLANK(F16)),0,AND(E16='Results'!E16,F16='Results'!F16),Rules!$K$29,_xlfn.XOR(AND(E16&gt;F16,'Results'!E16&gt;'Results'!F16),AND(E16&lt;F16,'Results'!E16&lt;'Results'!F16),AND(E16=F16,'Results'!E16='Results'!F16)),Rules!$K$30,TRUE,0)</f>
        <v>0</v>
      </c>
      <c r="L16" s="28" t="s">
        <v>17</v>
      </c>
      <c r="M16" s="29"/>
      <c r="N16" s="1" cm="1">
        <f t="array" ref="N16">_xlfn.IFS(OR(ISBLANK(M16),ISBLANK('Results'!K16)),0,M16='Results'!K16,Rules!$K$38,TRUE,0)</f>
        <v>0</v>
      </c>
    </row>
    <row r="17" spans="1:14">
      <c r="A17">
        <f>Fixtures!A17</f>
        <v>16</v>
      </c>
      <c r="B17" s="50">
        <f>Fixtures!B17</f>
        <v>46189.041666666664</v>
      </c>
      <c r="C17" s="4" t="str">
        <f>Fixtures!C17</f>
        <v>Group G</v>
      </c>
      <c r="D17" s="3" t="str">
        <f>Fixtures!D17</f>
        <v>IR Iran</v>
      </c>
      <c r="G17" s="3" t="str">
        <f>Fixtures!E17</f>
        <v>New Zealand</v>
      </c>
      <c r="H17" s="3" t="str">
        <f>Fixtures!F17</f>
        <v>Los Angeles, SoFi Stadium</v>
      </c>
      <c r="I17" s="3"/>
      <c r="J17" s="1" cm="1">
        <f t="array" ref="J17">_xlfn.IFS(OR(ISBLANK('Results'!E17),ISBLANK('Results'!F17)),0,OR(ISBLANK(E17),ISBLANK(F17)),0,AND(E17='Results'!E17,F17='Results'!F17),Rules!$K$29,_xlfn.XOR(AND(E17&gt;F17,'Results'!E17&gt;'Results'!F17),AND(E17&lt;F17,'Results'!E17&lt;'Results'!F17),AND(E17=F17,'Results'!E17='Results'!F17)),Rules!$K$30,TRUE,0)</f>
        <v>0</v>
      </c>
      <c r="L17" s="39" t="s">
        <v>19</v>
      </c>
      <c r="M17" s="40"/>
      <c r="N17" s="1" cm="1">
        <f t="array" ref="N17">_xlfn.IFS(OR(ISBLANK(M17),ISBLANK('Results'!K17)),0,M17='Results'!K17,Rules!$K$38,TRUE,0)</f>
        <v>0</v>
      </c>
    </row>
    <row r="18" spans="1:14">
      <c r="A18">
        <f>Fixtures!A18</f>
        <v>17</v>
      </c>
      <c r="B18" s="50">
        <f>Fixtures!B18</f>
        <v>46189.791666666664</v>
      </c>
      <c r="C18" s="4" t="str">
        <f>Fixtures!C18</f>
        <v>Group I</v>
      </c>
      <c r="D18" s="3" t="str">
        <f>Fixtures!D18</f>
        <v>France</v>
      </c>
      <c r="G18" s="3" t="str">
        <f>Fixtures!E18</f>
        <v>Senegal</v>
      </c>
      <c r="H18" s="3" t="str">
        <f>Fixtures!F18</f>
        <v>New York/New Jersey, MetLife Stadium</v>
      </c>
      <c r="I18" s="3"/>
      <c r="J18" s="1" cm="1">
        <f t="array" ref="J18">_xlfn.IFS(OR(ISBLANK('Results'!E18),ISBLANK('Results'!F18)),0,OR(ISBLANK(E18),ISBLANK(F18)),0,AND(E18='Results'!E18,F18='Results'!F18),Rules!$K$29,_xlfn.XOR(AND(E18&gt;F18,'Results'!E18&gt;'Results'!F18),AND(E18&lt;F18,'Results'!E18&lt;'Results'!F18),AND(E18=F18,'Results'!E18='Results'!F18)),Rules!$K$30,TRUE,0)</f>
        <v>0</v>
      </c>
      <c r="N18" s="1"/>
    </row>
    <row r="19" spans="1:14">
      <c r="A19">
        <f>Fixtures!A19</f>
        <v>18</v>
      </c>
      <c r="B19" s="50">
        <f>Fixtures!B19</f>
        <v>46189.916666666664</v>
      </c>
      <c r="C19" s="4" t="str">
        <f>Fixtures!C19</f>
        <v>Group I</v>
      </c>
      <c r="D19" s="3" t="str">
        <f>Fixtures!D19</f>
        <v>Iraq</v>
      </c>
      <c r="G19" s="3" t="str">
        <f>Fixtures!E19</f>
        <v>Norway</v>
      </c>
      <c r="H19" s="3" t="str">
        <f>Fixtures!F19</f>
        <v>Boston, Gillette Stadium</v>
      </c>
      <c r="I19" s="3"/>
      <c r="J19" s="1" cm="1">
        <f t="array" ref="J19">_xlfn.IFS(OR(ISBLANK('Results'!E19),ISBLANK('Results'!F19)),0,OR(ISBLANK(E19),ISBLANK(F19)),0,AND(E19='Results'!E19,F19='Results'!F19),Rules!$K$29,_xlfn.XOR(AND(E19&gt;F19,'Results'!E19&gt;'Results'!F19),AND(E19&lt;F19,'Results'!E19&lt;'Results'!F19),AND(E19=F19,'Results'!E19='Results'!F19)),Rules!$K$30,TRUE,0)</f>
        <v>0</v>
      </c>
      <c r="L19" s="84" t="s">
        <v>62</v>
      </c>
      <c r="M19" s="85"/>
      <c r="N19" s="1"/>
    </row>
    <row r="20" spans="1:14">
      <c r="A20">
        <f>Fixtures!A20</f>
        <v>19</v>
      </c>
      <c r="B20" s="50">
        <f>Fixtures!B20</f>
        <v>46190.041666666664</v>
      </c>
      <c r="C20" s="4" t="str">
        <f>Fixtures!C20</f>
        <v>Group J</v>
      </c>
      <c r="D20" s="3" t="str">
        <f>Fixtures!D20</f>
        <v>Argentina</v>
      </c>
      <c r="G20" s="3" t="str">
        <f>Fixtures!E20</f>
        <v>Algeria</v>
      </c>
      <c r="H20" s="3" t="str">
        <f>Fixtures!F20</f>
        <v>Kansas City, Arrowhead Stadium</v>
      </c>
      <c r="I20" s="3"/>
      <c r="J20" s="1" cm="1">
        <f t="array" ref="J20">_xlfn.IFS(OR(ISBLANK('Results'!E20),ISBLANK('Results'!F20)),0,OR(ISBLANK(E20),ISBLANK(F20)),0,AND(E20='Results'!E20,F20='Results'!F20),Rules!$K$29,_xlfn.XOR(AND(E20&gt;F20,'Results'!E20&gt;'Results'!F20),AND(E20&lt;F20,'Results'!E20&lt;'Results'!F20),AND(E20=F20,'Results'!E20='Results'!F20)),Rules!$K$30,TRUE,0)</f>
        <v>0</v>
      </c>
      <c r="L20" s="7" t="s">
        <v>63</v>
      </c>
      <c r="M20" s="9"/>
      <c r="N20" s="1" cm="1">
        <f t="array" ref="N20">_xlfn.IFS(OR(ISBLANK(M21),ISBLANK('Results'!K20)),0,M21='Results'!K20,Rules!$K$39,TRUE,0)</f>
        <v>0</v>
      </c>
    </row>
    <row r="21" spans="1:14">
      <c r="A21">
        <f>Fixtures!A21</f>
        <v>20</v>
      </c>
      <c r="B21" s="50">
        <f>Fixtures!B21</f>
        <v>46190.166666666664</v>
      </c>
      <c r="C21" s="4" t="str">
        <f>Fixtures!C21</f>
        <v>Group J</v>
      </c>
      <c r="D21" s="3" t="str">
        <f>Fixtures!D21</f>
        <v>Austria</v>
      </c>
      <c r="G21" s="3" t="str">
        <f>Fixtures!E21</f>
        <v>Jordan</v>
      </c>
      <c r="H21" s="3" t="str">
        <f>Fixtures!F21</f>
        <v>San Francisco, Levi's Stadium</v>
      </c>
      <c r="I21" s="3"/>
      <c r="J21" s="1" cm="1">
        <f t="array" ref="J21">_xlfn.IFS(OR(ISBLANK('Results'!E21),ISBLANK('Results'!F21)),0,OR(ISBLANK(E21),ISBLANK(F21)),0,AND(E21='Results'!E21,F21='Results'!F21),Rules!$K$29,_xlfn.XOR(AND(E21&gt;F21,'Results'!E21&gt;'Results'!F21),AND(E21&lt;F21,'Results'!E21&lt;'Results'!F21),AND(E21=F21,'Results'!E21='Results'!F21)),Rules!$K$30,TRUE,0)</f>
        <v>0</v>
      </c>
      <c r="L21" s="8" t="s">
        <v>64</v>
      </c>
      <c r="M21" s="10"/>
      <c r="N21" s="1" cm="1">
        <f t="array" ref="N21">_xlfn.IFS(OR(ISBLANK(M22),ISBLANK('Results'!K21)),0,M22='Results'!K21,Rules!$K$39,TRUE,0)</f>
        <v>0</v>
      </c>
    </row>
    <row r="22" spans="1:14">
      <c r="A22">
        <f>Fixtures!A22</f>
        <v>21</v>
      </c>
      <c r="B22" s="50">
        <f>Fixtures!B22</f>
        <v>46190.708333333336</v>
      </c>
      <c r="C22" s="4" t="str">
        <f>Fixtures!C22</f>
        <v>Group K</v>
      </c>
      <c r="D22" s="3" t="str">
        <f>Fixtures!D22</f>
        <v>Portugal</v>
      </c>
      <c r="G22" s="3" t="str">
        <f>Fixtures!E22</f>
        <v>Congo DR</v>
      </c>
      <c r="H22" s="3" t="str">
        <f>Fixtures!F22</f>
        <v>Houston, NRG Stadium</v>
      </c>
      <c r="I22" s="3"/>
      <c r="J22" s="1" cm="1">
        <f t="array" ref="J22">_xlfn.IFS(OR(ISBLANK('Results'!E22),ISBLANK('Results'!F22)),0,OR(ISBLANK(E22),ISBLANK(F22)),0,AND(E22='Results'!E22,F22='Results'!F22),Rules!$K$29,_xlfn.XOR(AND(E22&gt;F22,'Results'!E22&gt;'Results'!F22),AND(E22&lt;F22,'Results'!E22&lt;'Results'!F22),AND(E22=F22,'Results'!E22='Results'!F22)),Rules!$K$30,TRUE,0)</f>
        <v>0</v>
      </c>
      <c r="N22" s="1"/>
    </row>
    <row r="23" spans="1:14">
      <c r="A23">
        <f>Fixtures!A23</f>
        <v>22</v>
      </c>
      <c r="B23" s="50">
        <f>Fixtures!B23</f>
        <v>46190.833333333336</v>
      </c>
      <c r="C23" s="4" t="str">
        <f>Fixtures!C23</f>
        <v>Group L</v>
      </c>
      <c r="D23" s="3" t="str">
        <f>Fixtures!D23</f>
        <v>England</v>
      </c>
      <c r="G23" s="3" t="str">
        <f>Fixtures!E23</f>
        <v>Croatia</v>
      </c>
      <c r="H23" s="3" t="str">
        <f>Fixtures!F23</f>
        <v>Dallas, AT&amp;T Stadium</v>
      </c>
      <c r="I23" s="3"/>
      <c r="J23" s="1" cm="1">
        <f t="array" ref="J23">_xlfn.IFS(OR(ISBLANK('Results'!E23),ISBLANK('Results'!F23)),0,OR(ISBLANK(E23),ISBLANK(F23)),0,AND(E23='Results'!E23,F23='Results'!F23),Rules!$K$29,_xlfn.XOR(AND(E23&gt;F23,'Results'!E23&gt;'Results'!F23),AND(E23&lt;F23,'Results'!E23&lt;'Results'!F23),AND(E23=F23,'Results'!E23='Results'!F23)),Rules!$K$30,TRUE,0)</f>
        <v>0</v>
      </c>
      <c r="L23" s="84" t="s">
        <v>65</v>
      </c>
      <c r="M23" s="85"/>
      <c r="N23" s="1"/>
    </row>
    <row r="24" spans="1:14">
      <c r="A24">
        <f>Fixtures!A24</f>
        <v>23</v>
      </c>
      <c r="B24" s="50">
        <f>Fixtures!B24</f>
        <v>46190.958333333336</v>
      </c>
      <c r="C24" s="4" t="str">
        <f>Fixtures!C24</f>
        <v>Group L</v>
      </c>
      <c r="D24" s="3" t="str">
        <f>Fixtures!D24</f>
        <v>Ghana</v>
      </c>
      <c r="G24" s="3" t="str">
        <f>Fixtures!E24</f>
        <v>Panama</v>
      </c>
      <c r="H24" s="3" t="str">
        <f>Fixtures!F24</f>
        <v>Toronto, BMO Field</v>
      </c>
      <c r="I24" s="3"/>
      <c r="J24" s="1" cm="1">
        <f t="array" ref="J24">_xlfn.IFS(OR(ISBLANK('Results'!E24),ISBLANK('Results'!F24)),0,OR(ISBLANK(E24),ISBLANK(F24)),0,AND(E24='Results'!E24,F24='Results'!F24),Rules!$K$29,_xlfn.XOR(AND(E24&gt;F24,'Results'!E24&gt;'Results'!F24),AND(E24&lt;F24,'Results'!E24&lt;'Results'!F24),AND(E24=F24,'Results'!E24='Results'!F24)),Rules!$K$30,TRUE,0)</f>
        <v>0</v>
      </c>
      <c r="L24" s="87"/>
      <c r="M24" s="88"/>
      <c r="N24" s="1" cm="1">
        <f t="array" ref="N24">_xlfn.IFS(OR(ISBLANK(M25),ISBLANK('Results'!K24)),0,M25='Results'!K24,Rules!$K$40,TRUE,0)</f>
        <v>0</v>
      </c>
    </row>
    <row r="25" spans="1:14">
      <c r="A25">
        <f>Fixtures!A25</f>
        <v>24</v>
      </c>
      <c r="B25" s="50">
        <f>Fixtures!B25</f>
        <v>46191.083333333336</v>
      </c>
      <c r="C25" s="4" t="str">
        <f>Fixtures!C25</f>
        <v>Group K</v>
      </c>
      <c r="D25" s="3" t="str">
        <f>Fixtures!D25</f>
        <v>Uzbekistan</v>
      </c>
      <c r="G25" s="3" t="str">
        <f>Fixtures!E25</f>
        <v>Colombia</v>
      </c>
      <c r="H25" s="3" t="str">
        <f>Fixtures!F25</f>
        <v>Mexico City, Estadio Azteca</v>
      </c>
      <c r="I25" s="3"/>
      <c r="J25" s="1" cm="1">
        <f t="array" ref="J25">_xlfn.IFS(OR(ISBLANK('Results'!E25),ISBLANK('Results'!F25)),0,OR(ISBLANK(E25),ISBLANK(F25)),0,AND(E25='Results'!E25,F25='Results'!F25),Rules!$K$29,_xlfn.XOR(AND(E25&gt;F25,'Results'!E25&gt;'Results'!F25),AND(E25&lt;F25,'Results'!E25&lt;'Results'!F25),AND(E25=F25,'Results'!E25='Results'!F25)),Rules!$K$30,TRUE,0)</f>
        <v>0</v>
      </c>
      <c r="N25" s="1"/>
    </row>
    <row r="26" spans="1:14">
      <c r="A26">
        <f>Fixtures!A26</f>
        <v>25</v>
      </c>
      <c r="B26" s="50">
        <f>Fixtures!B26</f>
        <v>46191.666666666664</v>
      </c>
      <c r="C26" s="4" t="str">
        <f>Fixtures!C26</f>
        <v>Group A</v>
      </c>
      <c r="D26" s="3" t="str">
        <f>Fixtures!D26</f>
        <v>Czechia</v>
      </c>
      <c r="G26" s="3" t="str">
        <f>Fixtures!E26</f>
        <v>South Africa</v>
      </c>
      <c r="H26" s="3" t="str">
        <f>Fixtures!F26</f>
        <v>Atlanta, Mercedes-Benz Stadium</v>
      </c>
      <c r="I26" s="3"/>
      <c r="J26" s="1" cm="1">
        <f t="array" ref="J26">_xlfn.IFS(OR(ISBLANK('Results'!E26),ISBLANK('Results'!F26)),0,OR(ISBLANK(E26),ISBLANK(F26)),0,AND(E26='Results'!E26,F26='Results'!F26),Rules!$K$29,_xlfn.XOR(AND(E26&gt;F26,'Results'!E26&gt;'Results'!F26),AND(E26&lt;F26,'Results'!E26&lt;'Results'!F26),AND(E26=F26,'Results'!E26='Results'!F26)),Rules!$K$30,TRUE,0)</f>
        <v>0</v>
      </c>
      <c r="L26" s="84" t="s">
        <v>66</v>
      </c>
      <c r="M26" s="85"/>
      <c r="N26" s="1"/>
    </row>
    <row r="27" spans="1:14">
      <c r="A27">
        <f>Fixtures!A27</f>
        <v>26</v>
      </c>
      <c r="B27" s="50">
        <f>Fixtures!B27</f>
        <v>46191.791666666664</v>
      </c>
      <c r="C27" s="4" t="str">
        <f>Fixtures!C27</f>
        <v>Group B</v>
      </c>
      <c r="D27" s="3" t="str">
        <f>Fixtures!D27</f>
        <v>Switzerland</v>
      </c>
      <c r="G27" s="3" t="str">
        <f>Fixtures!E27</f>
        <v>Bosnia and Herzegovina</v>
      </c>
      <c r="H27" s="3" t="str">
        <f>Fixtures!F27</f>
        <v>Los Angeles, SoFi Stadium</v>
      </c>
      <c r="I27" s="3"/>
      <c r="J27" s="1" cm="1">
        <f t="array" ref="J27">_xlfn.IFS(OR(ISBLANK('Results'!E27),ISBLANK('Results'!F27)),0,OR(ISBLANK(E27),ISBLANK(F27)),0,AND(E27='Results'!E27,F27='Results'!F27),Rules!$K$29,_xlfn.XOR(AND(E27&gt;F27,'Results'!E27&gt;'Results'!F27),AND(E27&lt;F27,'Results'!E27&lt;'Results'!F27),AND(E27=F27,'Results'!E27='Results'!F27)),Rules!$K$30,TRUE,0)</f>
        <v>0</v>
      </c>
      <c r="L27" s="87"/>
      <c r="M27" s="88"/>
      <c r="N27" s="1" cm="1">
        <f t="array" ref="N27">_xlfn.IFS(OR(ISBLANK(M28),ISBLANK('Results'!K27)),0,M28='Results'!K27,Rules!$K$41,TRUE,0)</f>
        <v>0</v>
      </c>
    </row>
    <row r="28" spans="1:14">
      <c r="A28">
        <f>Fixtures!A28</f>
        <v>27</v>
      </c>
      <c r="B28" s="50">
        <f>Fixtures!B28</f>
        <v>46191.916666666664</v>
      </c>
      <c r="C28" s="4" t="str">
        <f>Fixtures!C28</f>
        <v>Group B</v>
      </c>
      <c r="D28" s="3" t="str">
        <f>Fixtures!D28</f>
        <v>Canada</v>
      </c>
      <c r="G28" s="3" t="str">
        <f>Fixtures!E28</f>
        <v>Qatar</v>
      </c>
      <c r="H28" s="3" t="str">
        <f>Fixtures!F28</f>
        <v>Vancouver, BC Place</v>
      </c>
      <c r="I28" s="3"/>
      <c r="J28" s="1" cm="1">
        <f t="array" ref="J28">_xlfn.IFS(OR(ISBLANK('Results'!E28),ISBLANK('Results'!F28)),0,OR(ISBLANK(E28),ISBLANK(F28)),0,AND(E28='Results'!E28,F28='Results'!F28),Rules!$K$29,_xlfn.XOR(AND(E28&gt;F28,'Results'!E28&gt;'Results'!F28),AND(E28&lt;F28,'Results'!E28&lt;'Results'!F28),AND(E28=F28,'Results'!E28='Results'!F28)),Rules!$K$30,TRUE,0)</f>
        <v>0</v>
      </c>
      <c r="N28" s="1"/>
    </row>
    <row r="29" spans="1:14">
      <c r="A29">
        <f>Fixtures!A29</f>
        <v>28</v>
      </c>
      <c r="B29" s="50">
        <f>Fixtures!B29</f>
        <v>46192.041666666664</v>
      </c>
      <c r="C29" s="4" t="str">
        <f>Fixtures!C29</f>
        <v>Group A</v>
      </c>
      <c r="D29" s="3" t="str">
        <f>Fixtures!D29</f>
        <v>Mexico</v>
      </c>
      <c r="G29" s="3" t="str">
        <f>Fixtures!E29</f>
        <v>Korea Republic</v>
      </c>
      <c r="H29" s="3" t="str">
        <f>Fixtures!F29</f>
        <v>Guadalajara, Estadio Akron</v>
      </c>
      <c r="I29" s="3"/>
      <c r="J29" s="1" cm="1">
        <f t="array" ref="J29">_xlfn.IFS(OR(ISBLANK('Results'!E29),ISBLANK('Results'!F29)),0,OR(ISBLANK(E29),ISBLANK(F29)),0,AND(E29='Results'!E29,F29='Results'!F29),Rules!$K$29,_xlfn.XOR(AND(E29&gt;F29,'Results'!E29&gt;'Results'!F29),AND(E29&lt;F29,'Results'!E29&lt;'Results'!F29),AND(E29=F29,'Results'!E29='Results'!F29)),Rules!$K$30,TRUE,0)</f>
        <v>0</v>
      </c>
      <c r="L29" s="81" t="s">
        <v>67</v>
      </c>
      <c r="M29" s="82"/>
      <c r="N29" s="1"/>
    </row>
    <row r="30" spans="1:14">
      <c r="A30">
        <f>Fixtures!A30</f>
        <v>29</v>
      </c>
      <c r="B30" s="50">
        <f>Fixtures!B30</f>
        <v>46192.791666666664</v>
      </c>
      <c r="C30" s="4" t="str">
        <f>Fixtures!C30</f>
        <v>Group D</v>
      </c>
      <c r="D30" s="3" t="str">
        <f>Fixtures!D30</f>
        <v>USA</v>
      </c>
      <c r="G30" s="3" t="str">
        <f>Fixtures!E30</f>
        <v>Australia</v>
      </c>
      <c r="H30" s="3" t="str">
        <f>Fixtures!F30</f>
        <v>Seattle, Lumen Field</v>
      </c>
      <c r="I30" s="3"/>
      <c r="J30" s="1" cm="1">
        <f t="array" ref="J30">_xlfn.IFS(OR(ISBLANK('Results'!E30),ISBLANK('Results'!F30)),0,OR(ISBLANK(E30),ISBLANK(F30)),0,AND(E30='Results'!E30,F30='Results'!F30),Rules!$K$29,_xlfn.XOR(AND(E30&gt;F30,'Results'!E30&gt;'Results'!F30),AND(E30&lt;F30,'Results'!E30&lt;'Results'!F30),AND(E30=F30,'Results'!E30='Results'!F30)),Rules!$K$30,TRUE,0)</f>
        <v>0</v>
      </c>
      <c r="L30" s="52" t="s">
        <v>23</v>
      </c>
      <c r="M30" s="53"/>
      <c r="N30" s="1" cm="1">
        <f t="array" ref="N30">_xlfn.IFS(OR(ISBLANK(M30),ISBLANK('Results'!K30)),0,M30='Results'!K30,3,TRUE,0)</f>
        <v>0</v>
      </c>
    </row>
    <row r="31" spans="1:14">
      <c r="A31">
        <f>Fixtures!A31</f>
        <v>30</v>
      </c>
      <c r="B31" s="50">
        <f>Fixtures!B31</f>
        <v>46192.916666666664</v>
      </c>
      <c r="C31" s="4" t="str">
        <f>Fixtures!C31</f>
        <v>Group C</v>
      </c>
      <c r="D31" s="3" t="str">
        <f>Fixtures!D31</f>
        <v>Scotland</v>
      </c>
      <c r="G31" s="3" t="str">
        <f>Fixtures!E31</f>
        <v>Morocco</v>
      </c>
      <c r="H31" s="3" t="str">
        <f>Fixtures!F31</f>
        <v>Boston, Gillette Stadium</v>
      </c>
      <c r="I31" s="3"/>
      <c r="J31" s="1" cm="1">
        <f t="array" ref="J31">_xlfn.IFS(OR(ISBLANK('Results'!E31),ISBLANK('Results'!F31)),0,OR(ISBLANK(E31),ISBLANK(F31)),0,AND(E31='Results'!E31,F31='Results'!F31),Rules!$K$29,_xlfn.XOR(AND(E31&gt;F31,'Results'!E31&gt;'Results'!F31),AND(E31&lt;F31,'Results'!E31&lt;'Results'!F31),AND(E31=F31,'Results'!E31='Results'!F31)),Rules!$K$30,TRUE,0)</f>
        <v>0</v>
      </c>
      <c r="N31" s="1"/>
    </row>
    <row r="32" spans="1:14">
      <c r="A32">
        <f>Fixtures!A32</f>
        <v>31</v>
      </c>
      <c r="B32" s="50">
        <f>Fixtures!B32</f>
        <v>46193.020833333336</v>
      </c>
      <c r="C32" s="4" t="str">
        <f>Fixtures!C32</f>
        <v>Group C</v>
      </c>
      <c r="D32" s="3" t="str">
        <f>Fixtures!D32</f>
        <v>Brazil</v>
      </c>
      <c r="G32" s="3" t="str">
        <f>Fixtures!E32</f>
        <v>Haiti</v>
      </c>
      <c r="H32" s="3" t="str">
        <f>Fixtures!F32</f>
        <v>Philadelphia, Lincoln Financial Field</v>
      </c>
      <c r="I32" s="3"/>
      <c r="J32" s="1" cm="1">
        <f t="array" ref="J32">_xlfn.IFS(OR(ISBLANK('Results'!E32),ISBLANK('Results'!F32)),0,OR(ISBLANK(E32),ISBLANK(F32)),0,AND(E32='Results'!E32,F32='Results'!F32),Rules!$K$29,_xlfn.XOR(AND(E32&gt;F32,'Results'!E32&gt;'Results'!F32),AND(E32&lt;F32,'Results'!E32&lt;'Results'!F32),AND(E32=F32,'Results'!E32='Results'!F32)),Rules!$K$30,TRUE,0)</f>
        <v>0</v>
      </c>
      <c r="L32" s="71" t="s">
        <v>144</v>
      </c>
      <c r="M32" s="63"/>
      <c r="N32" s="1"/>
    </row>
    <row r="33" spans="1:14">
      <c r="A33">
        <f>Fixtures!A33</f>
        <v>32</v>
      </c>
      <c r="B33" s="50">
        <f>Fixtures!B33</f>
        <v>46193.125</v>
      </c>
      <c r="C33" s="4" t="str">
        <f>Fixtures!C33</f>
        <v>Group D</v>
      </c>
      <c r="D33" s="3" t="str">
        <f>Fixtures!D33</f>
        <v>Türkiye</v>
      </c>
      <c r="G33" s="3" t="str">
        <f>Fixtures!E33</f>
        <v>Paraguay</v>
      </c>
      <c r="H33" s="3" t="str">
        <f>Fixtures!F33</f>
        <v>San Francisco, Levi's Stadium</v>
      </c>
      <c r="I33" s="3"/>
      <c r="J33" s="1" cm="1">
        <f t="array" ref="J33">_xlfn.IFS(OR(ISBLANK('Results'!E33),ISBLANK('Results'!F33)),0,OR(ISBLANK(E33),ISBLANK(F33)),0,AND(E33='Results'!E33,F33='Results'!F33),Rules!$K$29,_xlfn.XOR(AND(E33&gt;F33,'Results'!E33&gt;'Results'!F33),AND(E33&lt;F33,'Results'!E33&lt;'Results'!F33),AND(E33=F33,'Results'!E33='Results'!F33)),Rules!$K$30,TRUE,0)</f>
        <v>0</v>
      </c>
      <c r="L33" s="15" t="s">
        <v>12</v>
      </c>
      <c r="M33" s="15"/>
      <c r="N33" s="1" cm="1">
        <f t="array" ref="N33">_xlfn.IFS(OR(ISBLANK(M33),ISBLANK('Results'!K33)),0,M33='Results'!K33,Rules!$K$45,TRUE,0)</f>
        <v>0</v>
      </c>
    </row>
    <row r="34" spans="1:14">
      <c r="A34">
        <f>Fixtures!A34</f>
        <v>33</v>
      </c>
      <c r="B34" s="50">
        <f>Fixtures!B34</f>
        <v>46193.708333333336</v>
      </c>
      <c r="C34" s="4" t="str">
        <f>Fixtures!C34</f>
        <v>Group F</v>
      </c>
      <c r="D34" s="3" t="str">
        <f>Fixtures!D34</f>
        <v>Netherlands</v>
      </c>
      <c r="G34" s="3" t="str">
        <f>Fixtures!E34</f>
        <v>Sweden</v>
      </c>
      <c r="H34" s="3" t="str">
        <f>Fixtures!F34</f>
        <v>Houston, NRG Stadium</v>
      </c>
      <c r="I34" s="3"/>
      <c r="J34" s="1" cm="1">
        <f t="array" ref="J34">_xlfn.IFS(OR(ISBLANK('Results'!E34),ISBLANK('Results'!F34)),0,OR(ISBLANK(E34),ISBLANK(F34)),0,AND(E34='Results'!E34,F34='Results'!F34),Rules!$K$29,_xlfn.XOR(AND(E34&gt;F34,'Results'!E34&gt;'Results'!F34),AND(E34&lt;F34,'Results'!E34&lt;'Results'!F34),AND(E34=F34,'Results'!E34='Results'!F34)),Rules!$K$30,TRUE,0)</f>
        <v>0</v>
      </c>
      <c r="L34" s="16" t="s">
        <v>31</v>
      </c>
      <c r="M34" s="16"/>
      <c r="N34" s="1" cm="1">
        <f t="array" ref="N34">_xlfn.IFS(OR(ISBLANK(M34),ISBLANK('Results'!K34)),0,M34='Results'!K34,Rules!$K$45,TRUE,0)</f>
        <v>0</v>
      </c>
    </row>
    <row r="35" spans="1:14">
      <c r="A35">
        <f>Fixtures!A35</f>
        <v>34</v>
      </c>
      <c r="B35" s="50">
        <f>Fixtures!B35</f>
        <v>46193.833333333336</v>
      </c>
      <c r="C35" s="4" t="str">
        <f>Fixtures!C35</f>
        <v>Group E</v>
      </c>
      <c r="D35" s="3" t="str">
        <f>Fixtures!D35</f>
        <v>Germany</v>
      </c>
      <c r="G35" s="3" t="str">
        <f>Fixtures!E35</f>
        <v>Côte d'Ivoire</v>
      </c>
      <c r="H35" s="3" t="str">
        <f>Fixtures!F35</f>
        <v>Toronto, BMO Field</v>
      </c>
      <c r="I35" s="3"/>
      <c r="J35" s="1" cm="1">
        <f t="array" ref="J35">_xlfn.IFS(OR(ISBLANK('Results'!E35),ISBLANK('Results'!F35)),0,OR(ISBLANK(E35),ISBLANK(F35)),0,AND(E35='Results'!E35,F35='Results'!F35),Rules!$K$29,_xlfn.XOR(AND(E35&gt;F35,'Results'!E35&gt;'Results'!F35),AND(E35&lt;F35,'Results'!E35&lt;'Results'!F35),AND(E35=F35,'Results'!E35='Results'!F35)),Rules!$K$30,TRUE,0)</f>
        <v>0</v>
      </c>
      <c r="L35" s="17" t="s">
        <v>260</v>
      </c>
      <c r="M35" s="17"/>
      <c r="N35" s="1" cm="1">
        <f t="array" ref="N35">_xlfn.IFS(OR(ISBLANK(M35),ISBLANK('Results'!K35)),0,M35='Results'!K35,Rules!$K$45,TRUE,0)</f>
        <v>0</v>
      </c>
    </row>
    <row r="36" spans="1:14">
      <c r="A36">
        <f>Fixtures!A36</f>
        <v>35</v>
      </c>
      <c r="B36" s="50">
        <f>Fixtures!B36</f>
        <v>46194</v>
      </c>
      <c r="C36" s="4" t="str">
        <f>Fixtures!C36</f>
        <v>Group E</v>
      </c>
      <c r="D36" s="3" t="str">
        <f>Fixtures!D36</f>
        <v>Ecuador</v>
      </c>
      <c r="G36" s="3" t="str">
        <f>Fixtures!E36</f>
        <v>Curaçao</v>
      </c>
      <c r="H36" s="3" t="str">
        <f>Fixtures!F36</f>
        <v>Kansas City, Arrowhead Stadium</v>
      </c>
      <c r="I36" s="3"/>
      <c r="J36" s="1" cm="1">
        <f t="array" ref="J36">_xlfn.IFS(OR(ISBLANK('Results'!E36),ISBLANK('Results'!F36)),0,OR(ISBLANK(E36),ISBLANK(F36)),0,AND(E36='Results'!E36,F36='Results'!F36),Rules!$K$29,_xlfn.XOR(AND(E36&gt;F36,'Results'!E36&gt;'Results'!F36),AND(E36&lt;F36,'Results'!E36&lt;'Results'!F36),AND(E36=F36,'Results'!E36='Results'!F36)),Rules!$K$30,TRUE,0)</f>
        <v>0</v>
      </c>
    </row>
    <row r="37" spans="1:14">
      <c r="A37">
        <f>Fixtures!A37</f>
        <v>36</v>
      </c>
      <c r="B37" s="50">
        <f>Fixtures!B37</f>
        <v>46194.166666666664</v>
      </c>
      <c r="C37" s="4" t="str">
        <f>Fixtures!C37</f>
        <v>Group F</v>
      </c>
      <c r="D37" s="3" t="str">
        <f>Fixtures!D37</f>
        <v>Tunisia</v>
      </c>
      <c r="G37" s="3" t="str">
        <f>Fixtures!E37</f>
        <v>Japan</v>
      </c>
      <c r="H37" s="3" t="str">
        <f>Fixtures!F37</f>
        <v>Monterrey, Estadio BBVA</v>
      </c>
      <c r="I37" s="3"/>
      <c r="J37" s="1" cm="1">
        <f t="array" ref="J37">_xlfn.IFS(OR(ISBLANK('Results'!E37),ISBLANK('Results'!F37)),0,OR(ISBLANK(E37),ISBLANK(F37)),0,AND(E37='Results'!E37,F37='Results'!F37),Rules!$K$29,_xlfn.XOR(AND(E37&gt;F37,'Results'!E37&gt;'Results'!F37),AND(E37&lt;F37,'Results'!E37&lt;'Results'!F37),AND(E37=F37,'Results'!E37='Results'!F37)),Rules!$K$30,TRUE,0)</f>
        <v>0</v>
      </c>
    </row>
    <row r="38" spans="1:14">
      <c r="A38">
        <f>Fixtures!A38</f>
        <v>37</v>
      </c>
      <c r="B38" s="50">
        <f>Fixtures!B38</f>
        <v>46194.666666666664</v>
      </c>
      <c r="C38" s="4" t="str">
        <f>Fixtures!C38</f>
        <v>Group H</v>
      </c>
      <c r="D38" s="3" t="str">
        <f>Fixtures!D38</f>
        <v>Spain</v>
      </c>
      <c r="G38" s="3" t="str">
        <f>Fixtures!E38</f>
        <v>Saudi Arabia</v>
      </c>
      <c r="H38" s="3" t="str">
        <f>Fixtures!F38</f>
        <v>Atlanta, Mercedes-Benz Stadium</v>
      </c>
      <c r="I38" s="3"/>
      <c r="J38" s="1" cm="1">
        <f t="array" ref="J38">_xlfn.IFS(OR(ISBLANK('Results'!E38),ISBLANK('Results'!F38)),0,OR(ISBLANK(E38),ISBLANK(F38)),0,AND(E38='Results'!E38,F38='Results'!F38),Rules!$K$29,_xlfn.XOR(AND(E38&gt;F38,'Results'!E38&gt;'Results'!F38),AND(E38&lt;F38,'Results'!E38&lt;'Results'!F38),AND(E38=F38,'Results'!E38='Results'!F38)),Rules!$K$30,TRUE,0)</f>
        <v>0</v>
      </c>
    </row>
    <row r="39" spans="1:14">
      <c r="A39">
        <f>Fixtures!A39</f>
        <v>38</v>
      </c>
      <c r="B39" s="50">
        <f>Fixtures!B39</f>
        <v>46194.791666666664</v>
      </c>
      <c r="C39" s="4" t="str">
        <f>Fixtures!C39</f>
        <v>Group G</v>
      </c>
      <c r="D39" s="3" t="str">
        <f>Fixtures!D39</f>
        <v>Belgium</v>
      </c>
      <c r="G39" s="3" t="str">
        <f>Fixtures!E39</f>
        <v>IR Iran</v>
      </c>
      <c r="H39" s="3" t="str">
        <f>Fixtures!F39</f>
        <v>Los Angeles, SoFi Stadium</v>
      </c>
      <c r="I39" s="3"/>
      <c r="J39" s="1" cm="1">
        <f t="array" ref="J39">_xlfn.IFS(OR(ISBLANK('Results'!E39),ISBLANK('Results'!F39)),0,OR(ISBLANK(E39),ISBLANK(F39)),0,AND(E39='Results'!E39,F39='Results'!F39),Rules!$K$29,_xlfn.XOR(AND(E39&gt;F39,'Results'!E39&gt;'Results'!F39),AND(E39&lt;F39,'Results'!E39&lt;'Results'!F39),AND(E39=F39,'Results'!E39='Results'!F39)),Rules!$K$30,TRUE,0)</f>
        <v>0</v>
      </c>
    </row>
    <row r="40" spans="1:14">
      <c r="A40">
        <f>Fixtures!A40</f>
        <v>39</v>
      </c>
      <c r="B40" s="50">
        <f>Fixtures!B40</f>
        <v>46194.916666666664</v>
      </c>
      <c r="C40" s="4" t="str">
        <f>Fixtures!C40</f>
        <v>Group H</v>
      </c>
      <c r="D40" s="3" t="str">
        <f>Fixtures!D40</f>
        <v>Uruguay</v>
      </c>
      <c r="G40" s="3" t="str">
        <f>Fixtures!E40</f>
        <v>Cabo Verde</v>
      </c>
      <c r="H40" s="3" t="str">
        <f>Fixtures!F40</f>
        <v>Miami, Hard Rock Stadium</v>
      </c>
      <c r="I40" s="3"/>
      <c r="J40" s="1" cm="1">
        <f t="array" ref="J40">_xlfn.IFS(OR(ISBLANK('Results'!E40),ISBLANK('Results'!F40)),0,OR(ISBLANK(E40),ISBLANK(F40)),0,AND(E40='Results'!E40,F40='Results'!F40),Rules!$K$29,_xlfn.XOR(AND(E40&gt;F40,'Results'!E40&gt;'Results'!F40),AND(E40&lt;F40,'Results'!E40&lt;'Results'!F40),AND(E40=F40,'Results'!E40='Results'!F40)),Rules!$K$30,TRUE,0)</f>
        <v>0</v>
      </c>
    </row>
    <row r="41" spans="1:14">
      <c r="A41">
        <f>Fixtures!A41</f>
        <v>40</v>
      </c>
      <c r="B41" s="50">
        <f>Fixtures!B41</f>
        <v>46195.041666666664</v>
      </c>
      <c r="C41" s="4" t="str">
        <f>Fixtures!C41</f>
        <v>Group G</v>
      </c>
      <c r="D41" s="3" t="str">
        <f>Fixtures!D41</f>
        <v>New Zealand</v>
      </c>
      <c r="G41" s="3" t="str">
        <f>Fixtures!E41</f>
        <v>Egypt</v>
      </c>
      <c r="H41" s="3" t="str">
        <f>Fixtures!F41</f>
        <v>Vancouver, BC Place</v>
      </c>
      <c r="I41" s="3"/>
      <c r="J41" s="1" cm="1">
        <f t="array" ref="J41">_xlfn.IFS(OR(ISBLANK('Results'!E41),ISBLANK('Results'!F41)),0,OR(ISBLANK(E41),ISBLANK(F41)),0,AND(E41='Results'!E41,F41='Results'!F41),Rules!$K$29,_xlfn.XOR(AND(E41&gt;F41,'Results'!E41&gt;'Results'!F41),AND(E41&lt;F41,'Results'!E41&lt;'Results'!F41),AND(E41=F41,'Results'!E41='Results'!F41)),Rules!$K$30,TRUE,0)</f>
        <v>0</v>
      </c>
    </row>
    <row r="42" spans="1:14">
      <c r="A42">
        <f>Fixtures!A42</f>
        <v>41</v>
      </c>
      <c r="B42" s="50">
        <f>Fixtures!B42</f>
        <v>46195.708333333336</v>
      </c>
      <c r="C42" s="4" t="str">
        <f>Fixtures!C42</f>
        <v>Group J</v>
      </c>
      <c r="D42" s="3" t="str">
        <f>Fixtures!D42</f>
        <v>Argentina</v>
      </c>
      <c r="G42" s="3" t="str">
        <f>Fixtures!E42</f>
        <v>Austria</v>
      </c>
      <c r="H42" s="3" t="str">
        <f>Fixtures!F42</f>
        <v>Dallas, AT&amp;T Stadium</v>
      </c>
      <c r="I42" s="3"/>
      <c r="J42" s="1" cm="1">
        <f t="array" ref="J42">_xlfn.IFS(OR(ISBLANK('Results'!E42),ISBLANK('Results'!F42)),0,OR(ISBLANK(E42),ISBLANK(F42)),0,AND(E42='Results'!E42,F42='Results'!F42),Rules!$K$29,_xlfn.XOR(AND(E42&gt;F42,'Results'!E42&gt;'Results'!F42),AND(E42&lt;F42,'Results'!E42&lt;'Results'!F42),AND(E42=F42,'Results'!E42='Results'!F42)),Rules!$K$30,TRUE,0)</f>
        <v>0</v>
      </c>
    </row>
    <row r="43" spans="1:14">
      <c r="A43">
        <f>Fixtures!A43</f>
        <v>42</v>
      </c>
      <c r="B43" s="50">
        <f>Fixtures!B43</f>
        <v>46195.833333333336</v>
      </c>
      <c r="C43" s="4" t="str">
        <f>Fixtures!C43</f>
        <v>Group I</v>
      </c>
      <c r="D43" s="3" t="str">
        <f>Fixtures!D43</f>
        <v>France</v>
      </c>
      <c r="G43" s="3" t="str">
        <f>Fixtures!E43</f>
        <v>Iraq</v>
      </c>
      <c r="H43" s="3" t="str">
        <f>Fixtures!F43</f>
        <v>Philadelphia, Lincoln Financial Field</v>
      </c>
      <c r="I43" s="3"/>
      <c r="J43" s="1" cm="1">
        <f t="array" ref="J43">_xlfn.IFS(OR(ISBLANK('Results'!E43),ISBLANK('Results'!F43)),0,OR(ISBLANK(E43),ISBLANK(F43)),0,AND(E43='Results'!E43,F43='Results'!F43),Rules!$K$29,_xlfn.XOR(AND(E43&gt;F43,'Results'!E43&gt;'Results'!F43),AND(E43&lt;F43,'Results'!E43&lt;'Results'!F43),AND(E43=F43,'Results'!E43='Results'!F43)),Rules!$K$30,TRUE,0)</f>
        <v>0</v>
      </c>
    </row>
    <row r="44" spans="1:14">
      <c r="A44">
        <f>Fixtures!A44</f>
        <v>43</v>
      </c>
      <c r="B44" s="50">
        <f>Fixtures!B44</f>
        <v>46195.958333333336</v>
      </c>
      <c r="C44" s="4" t="str">
        <f>Fixtures!C44</f>
        <v>Group I</v>
      </c>
      <c r="D44" s="3" t="str">
        <f>Fixtures!D44</f>
        <v>Norway</v>
      </c>
      <c r="G44" s="3" t="str">
        <f>Fixtures!E44</f>
        <v>Senegal</v>
      </c>
      <c r="H44" s="3" t="str">
        <f>Fixtures!F44</f>
        <v>New York/New Jersey, MetLife Stadium</v>
      </c>
      <c r="I44" s="3"/>
      <c r="J44" s="1" cm="1">
        <f t="array" ref="J44">_xlfn.IFS(OR(ISBLANK('Results'!E44),ISBLANK('Results'!F44)),0,OR(ISBLANK(E44),ISBLANK(F44)),0,AND(E44='Results'!E44,F44='Results'!F44),Rules!$K$29,_xlfn.XOR(AND(E44&gt;F44,'Results'!E44&gt;'Results'!F44),AND(E44&lt;F44,'Results'!E44&lt;'Results'!F44),AND(E44=F44,'Results'!E44='Results'!F44)),Rules!$K$30,TRUE,0)</f>
        <v>0</v>
      </c>
    </row>
    <row r="45" spans="1:14">
      <c r="A45">
        <f>Fixtures!A45</f>
        <v>44</v>
      </c>
      <c r="B45" s="50">
        <f>Fixtures!B45</f>
        <v>46196.125</v>
      </c>
      <c r="C45" s="4" t="str">
        <f>Fixtures!C45</f>
        <v>Group J</v>
      </c>
      <c r="D45" s="3" t="str">
        <f>Fixtures!D45</f>
        <v>Jordan</v>
      </c>
      <c r="G45" s="3" t="str">
        <f>Fixtures!E45</f>
        <v>Algeria</v>
      </c>
      <c r="H45" s="3" t="str">
        <f>Fixtures!F45</f>
        <v>San Francisco, Levi's Stadium</v>
      </c>
      <c r="I45" s="3"/>
      <c r="J45" s="1" cm="1">
        <f t="array" ref="J45">_xlfn.IFS(OR(ISBLANK('Results'!E45),ISBLANK('Results'!F45)),0,OR(ISBLANK(E45),ISBLANK(F45)),0,AND(E45='Results'!E45,F45='Results'!F45),Rules!$K$29,_xlfn.XOR(AND(E45&gt;F45,'Results'!E45&gt;'Results'!F45),AND(E45&lt;F45,'Results'!E45&lt;'Results'!F45),AND(E45=F45,'Results'!E45='Results'!F45)),Rules!$K$30,TRUE,0)</f>
        <v>0</v>
      </c>
    </row>
    <row r="46" spans="1:14">
      <c r="A46">
        <f>Fixtures!A46</f>
        <v>45</v>
      </c>
      <c r="B46" s="50">
        <f>Fixtures!B46</f>
        <v>46196.708333333336</v>
      </c>
      <c r="C46" s="4" t="str">
        <f>Fixtures!C46</f>
        <v>Group K</v>
      </c>
      <c r="D46" s="3" t="str">
        <f>Fixtures!D46</f>
        <v>Portugal</v>
      </c>
      <c r="G46" s="3" t="str">
        <f>Fixtures!E46</f>
        <v>Uzbekistan</v>
      </c>
      <c r="H46" s="3" t="str">
        <f>Fixtures!F46</f>
        <v>Houston, NRG Stadium</v>
      </c>
      <c r="I46" s="3"/>
      <c r="J46" s="1" cm="1">
        <f t="array" ref="J46">_xlfn.IFS(OR(ISBLANK('Results'!E46),ISBLANK('Results'!F46)),0,OR(ISBLANK(E46),ISBLANK(F46)),0,AND(E46='Results'!E46,F46='Results'!F46),Rules!$K$29,_xlfn.XOR(AND(E46&gt;F46,'Results'!E46&gt;'Results'!F46),AND(E46&lt;F46,'Results'!E46&lt;'Results'!F46),AND(E46=F46,'Results'!E46='Results'!F46)),Rules!$K$30,TRUE,0)</f>
        <v>0</v>
      </c>
    </row>
    <row r="47" spans="1:14">
      <c r="A47">
        <f>Fixtures!A47</f>
        <v>46</v>
      </c>
      <c r="B47" s="50">
        <f>Fixtures!B47</f>
        <v>46196.833333333336</v>
      </c>
      <c r="C47" s="4" t="str">
        <f>Fixtures!C47</f>
        <v>Group L</v>
      </c>
      <c r="D47" s="3" t="str">
        <f>Fixtures!D47</f>
        <v>England</v>
      </c>
      <c r="G47" s="3" t="str">
        <f>Fixtures!E47</f>
        <v>Ghana</v>
      </c>
      <c r="H47" s="3" t="str">
        <f>Fixtures!F47</f>
        <v>Boston, Gillette Stadium</v>
      </c>
      <c r="I47" s="3"/>
      <c r="J47" s="1" cm="1">
        <f t="array" ref="J47">_xlfn.IFS(OR(ISBLANK('Results'!E47),ISBLANK('Results'!F47)),0,OR(ISBLANK(E47),ISBLANK(F47)),0,AND(E47='Results'!E47,F47='Results'!F47),Rules!$K$29,_xlfn.XOR(AND(E47&gt;F47,'Results'!E47&gt;'Results'!F47),AND(E47&lt;F47,'Results'!E47&lt;'Results'!F47),AND(E47=F47,'Results'!E47='Results'!F47)),Rules!$K$30,TRUE,0)</f>
        <v>0</v>
      </c>
    </row>
    <row r="48" spans="1:14">
      <c r="A48">
        <f>Fixtures!A48</f>
        <v>47</v>
      </c>
      <c r="B48" s="50">
        <f>Fixtures!B48</f>
        <v>46196.958333333336</v>
      </c>
      <c r="C48" s="4" t="str">
        <f>Fixtures!C48</f>
        <v>Group L</v>
      </c>
      <c r="D48" s="3" t="str">
        <f>Fixtures!D48</f>
        <v>Panama</v>
      </c>
      <c r="G48" s="3" t="str">
        <f>Fixtures!E48</f>
        <v>Croatia</v>
      </c>
      <c r="H48" s="3" t="str">
        <f>Fixtures!F48</f>
        <v>Toronto, BMO Field</v>
      </c>
      <c r="I48" s="3"/>
      <c r="J48" s="1" cm="1">
        <f t="array" ref="J48">_xlfn.IFS(OR(ISBLANK('Results'!E48),ISBLANK('Results'!F48)),0,OR(ISBLANK(E48),ISBLANK(F48)),0,AND(E48='Results'!E48,F48='Results'!F48),Rules!$K$29,_xlfn.XOR(AND(E48&gt;F48,'Results'!E48&gt;'Results'!F48),AND(E48&lt;F48,'Results'!E48&lt;'Results'!F48),AND(E48=F48,'Results'!E48='Results'!F48)),Rules!$K$30,TRUE,0)</f>
        <v>0</v>
      </c>
    </row>
    <row r="49" spans="1:10">
      <c r="A49">
        <f>Fixtures!A49</f>
        <v>48</v>
      </c>
      <c r="B49" s="50">
        <f>Fixtures!B49</f>
        <v>46197.083333333336</v>
      </c>
      <c r="C49" s="4" t="str">
        <f>Fixtures!C49</f>
        <v>Group K</v>
      </c>
      <c r="D49" s="3" t="str">
        <f>Fixtures!D49</f>
        <v>Colombia</v>
      </c>
      <c r="G49" s="3" t="str">
        <f>Fixtures!E49</f>
        <v>Congo DR</v>
      </c>
      <c r="H49" s="3" t="str">
        <f>Fixtures!F49</f>
        <v>Guadalajara, Estadio Akron</v>
      </c>
      <c r="I49" s="3"/>
      <c r="J49" s="1" cm="1">
        <f t="array" ref="J49">_xlfn.IFS(OR(ISBLANK('Results'!E49),ISBLANK('Results'!F49)),0,OR(ISBLANK(E49),ISBLANK(F49)),0,AND(E49='Results'!E49,F49='Results'!F49),Rules!$K$29,_xlfn.XOR(AND(E49&gt;F49,'Results'!E49&gt;'Results'!F49),AND(E49&lt;F49,'Results'!E49&lt;'Results'!F49),AND(E49=F49,'Results'!E49='Results'!F49)),Rules!$K$30,TRUE,0)</f>
        <v>0</v>
      </c>
    </row>
    <row r="50" spans="1:10">
      <c r="A50">
        <f>Fixtures!A50</f>
        <v>49</v>
      </c>
      <c r="B50" s="50">
        <f>Fixtures!B50</f>
        <v>46197.791666666664</v>
      </c>
      <c r="C50" s="4" t="str">
        <f>Fixtures!C50</f>
        <v>Group B</v>
      </c>
      <c r="D50" s="3" t="str">
        <f>Fixtures!D50</f>
        <v>Switzerland</v>
      </c>
      <c r="G50" s="3" t="str">
        <f>Fixtures!E50</f>
        <v>Canada</v>
      </c>
      <c r="H50" s="3" t="str">
        <f>Fixtures!F50</f>
        <v>Vancouver, BC Place</v>
      </c>
      <c r="I50" s="3"/>
      <c r="J50" s="1" cm="1">
        <f t="array" ref="J50">_xlfn.IFS(OR(ISBLANK('Results'!E50),ISBLANK('Results'!F50)),0,OR(ISBLANK(E50),ISBLANK(F50)),0,AND(E50='Results'!E50,F50='Results'!F50),Rules!$K$29,_xlfn.XOR(AND(E50&gt;F50,'Results'!E50&gt;'Results'!F50),AND(E50&lt;F50,'Results'!E50&lt;'Results'!F50),AND(E50=F50,'Results'!E50='Results'!F50)),Rules!$K$30,TRUE,0)</f>
        <v>0</v>
      </c>
    </row>
    <row r="51" spans="1:10">
      <c r="A51">
        <f>Fixtures!A51</f>
        <v>50</v>
      </c>
      <c r="B51" s="50">
        <f>Fixtures!B51</f>
        <v>46197.791666666664</v>
      </c>
      <c r="C51" s="4" t="str">
        <f>Fixtures!C51</f>
        <v>Group B</v>
      </c>
      <c r="D51" s="3" t="str">
        <f>Fixtures!D51</f>
        <v>Bosnia and Herzegovina</v>
      </c>
      <c r="G51" s="3" t="str">
        <f>Fixtures!E51</f>
        <v>Qatar</v>
      </c>
      <c r="H51" s="3" t="str">
        <f>Fixtures!F51</f>
        <v>Seattle, Lumen Field</v>
      </c>
      <c r="I51" s="3"/>
      <c r="J51" s="1" cm="1">
        <f t="array" ref="J51">_xlfn.IFS(OR(ISBLANK('Results'!E51),ISBLANK('Results'!F51)),0,OR(ISBLANK(E51),ISBLANK(F51)),0,AND(E51='Results'!E51,F51='Results'!F51),Rules!$K$29,_xlfn.XOR(AND(E51&gt;F51,'Results'!E51&gt;'Results'!F51),AND(E51&lt;F51,'Results'!E51&lt;'Results'!F51),AND(E51=F51,'Results'!E51='Results'!F51)),Rules!$K$30,TRUE,0)</f>
        <v>0</v>
      </c>
    </row>
    <row r="52" spans="1:10">
      <c r="A52">
        <f>Fixtures!A52</f>
        <v>51</v>
      </c>
      <c r="B52" s="50">
        <f>Fixtures!B52</f>
        <v>46197.916666666664</v>
      </c>
      <c r="C52" s="4" t="str">
        <f>Fixtures!C52</f>
        <v>Group C</v>
      </c>
      <c r="D52" s="3" t="str">
        <f>Fixtures!D52</f>
        <v>Scotland</v>
      </c>
      <c r="G52" s="3" t="str">
        <f>Fixtures!E52</f>
        <v>Brazil</v>
      </c>
      <c r="H52" s="3" t="str">
        <f>Fixtures!F52</f>
        <v>Miami, Hard Rock Stadium</v>
      </c>
      <c r="I52" s="3"/>
      <c r="J52" s="1" cm="1">
        <f t="array" ref="J52">_xlfn.IFS(OR(ISBLANK('Results'!E52),ISBLANK('Results'!F52)),0,OR(ISBLANK(E52),ISBLANK(F52)),0,AND(E52='Results'!E52,F52='Results'!F52),Rules!$K$29,_xlfn.XOR(AND(E52&gt;F52,'Results'!E52&gt;'Results'!F52),AND(E52&lt;F52,'Results'!E52&lt;'Results'!F52),AND(E52=F52,'Results'!E52='Results'!F52)),Rules!$K$30,TRUE,0)</f>
        <v>0</v>
      </c>
    </row>
    <row r="53" spans="1:10">
      <c r="A53">
        <f>Fixtures!A53</f>
        <v>52</v>
      </c>
      <c r="B53" s="50">
        <f>Fixtures!B53</f>
        <v>46197.916666666664</v>
      </c>
      <c r="C53" s="4" t="str">
        <f>Fixtures!C53</f>
        <v>Group C</v>
      </c>
      <c r="D53" s="3" t="str">
        <f>Fixtures!D53</f>
        <v>Morocco</v>
      </c>
      <c r="G53" s="3" t="str">
        <f>Fixtures!E53</f>
        <v>Haiti</v>
      </c>
      <c r="H53" s="3" t="str">
        <f>Fixtures!F53</f>
        <v>Atlanta, Mercedes-Benz Stadium</v>
      </c>
      <c r="I53" s="3"/>
      <c r="J53" s="1" cm="1">
        <f t="array" ref="J53">_xlfn.IFS(OR(ISBLANK('Results'!E53),ISBLANK('Results'!F53)),0,OR(ISBLANK(E53),ISBLANK(F53)),0,AND(E53='Results'!E53,F53='Results'!F53),Rules!$K$29,_xlfn.XOR(AND(E53&gt;F53,'Results'!E53&gt;'Results'!F53),AND(E53&lt;F53,'Results'!E53&lt;'Results'!F53),AND(E53=F53,'Results'!E53='Results'!F53)),Rules!$K$30,TRUE,0)</f>
        <v>0</v>
      </c>
    </row>
    <row r="54" spans="1:10">
      <c r="A54">
        <f>Fixtures!A54</f>
        <v>53</v>
      </c>
      <c r="B54" s="50">
        <f>Fixtures!B54</f>
        <v>46198.041666666664</v>
      </c>
      <c r="C54" s="4" t="str">
        <f>Fixtures!C54</f>
        <v>Group A</v>
      </c>
      <c r="D54" s="3" t="str">
        <f>Fixtures!D54</f>
        <v>Czechia</v>
      </c>
      <c r="G54" s="3" t="str">
        <f>Fixtures!E54</f>
        <v>Mexico</v>
      </c>
      <c r="H54" s="3" t="str">
        <f>Fixtures!F54</f>
        <v>Mexico City, Estadio Azteca</v>
      </c>
      <c r="I54" s="3"/>
      <c r="J54" s="1" cm="1">
        <f t="array" ref="J54">_xlfn.IFS(OR(ISBLANK('Results'!E54),ISBLANK('Results'!F54)),0,OR(ISBLANK(E54),ISBLANK(F54)),0,AND(E54='Results'!E54,F54='Results'!F54),Rules!$K$29,_xlfn.XOR(AND(E54&gt;F54,'Results'!E54&gt;'Results'!F54),AND(E54&lt;F54,'Results'!E54&lt;'Results'!F54),AND(E54=F54,'Results'!E54='Results'!F54)),Rules!$K$30,TRUE,0)</f>
        <v>0</v>
      </c>
    </row>
    <row r="55" spans="1:10">
      <c r="A55">
        <f>Fixtures!A55</f>
        <v>54</v>
      </c>
      <c r="B55" s="50">
        <f>Fixtures!B55</f>
        <v>46198.041666666664</v>
      </c>
      <c r="C55" s="4" t="str">
        <f>Fixtures!C55</f>
        <v>Group A</v>
      </c>
      <c r="D55" s="3" t="str">
        <f>Fixtures!D55</f>
        <v>South Africa</v>
      </c>
      <c r="G55" s="3" t="str">
        <f>Fixtures!E55</f>
        <v>Korea Republic</v>
      </c>
      <c r="H55" s="3" t="str">
        <f>Fixtures!F55</f>
        <v>Monterrey, Estadio BBVA</v>
      </c>
      <c r="I55" s="3"/>
      <c r="J55" s="1" cm="1">
        <f t="array" ref="J55">_xlfn.IFS(OR(ISBLANK('Results'!E55),ISBLANK('Results'!F55)),0,OR(ISBLANK(E55),ISBLANK(F55)),0,AND(E55='Results'!E55,F55='Results'!F55),Rules!$K$29,_xlfn.XOR(AND(E55&gt;F55,'Results'!E55&gt;'Results'!F55),AND(E55&lt;F55,'Results'!E55&lt;'Results'!F55),AND(E55=F55,'Results'!E55='Results'!F55)),Rules!$K$30,TRUE,0)</f>
        <v>0</v>
      </c>
    </row>
    <row r="56" spans="1:10">
      <c r="A56">
        <f>Fixtures!A56</f>
        <v>55</v>
      </c>
      <c r="B56" s="50">
        <f>Fixtures!B56</f>
        <v>46198.791666666664</v>
      </c>
      <c r="C56" s="4" t="str">
        <f>Fixtures!C56</f>
        <v>Group D</v>
      </c>
      <c r="D56" s="3" t="str">
        <f>Fixtures!D56</f>
        <v>Paraguay</v>
      </c>
      <c r="G56" s="3" t="str">
        <f>Fixtures!E56</f>
        <v>Australia</v>
      </c>
      <c r="H56" s="3" t="str">
        <f>Fixtures!F56</f>
        <v>San Francisco, Levi's Stadium</v>
      </c>
      <c r="I56" s="3"/>
      <c r="J56" s="1" cm="1">
        <f t="array" ref="J56">_xlfn.IFS(OR(ISBLANK('Results'!E56),ISBLANK('Results'!F56)),0,OR(ISBLANK(E56),ISBLANK(F56)),0,AND(E56='Results'!E56,F56='Results'!F56),Rules!$K$29,_xlfn.XOR(AND(E56&gt;F56,'Results'!E56&gt;'Results'!F56),AND(E56&lt;F56,'Results'!E56&lt;'Results'!F56),AND(E56=F56,'Results'!E56='Results'!F56)),Rules!$K$30,TRUE,0)</f>
        <v>0</v>
      </c>
    </row>
    <row r="57" spans="1:10">
      <c r="A57">
        <f>Fixtures!A57</f>
        <v>56</v>
      </c>
      <c r="B57" s="50">
        <f>Fixtures!B57</f>
        <v>46198.791666666664</v>
      </c>
      <c r="C57" s="4" t="str">
        <f>Fixtures!C57</f>
        <v>Group D</v>
      </c>
      <c r="D57" s="3" t="str">
        <f>Fixtures!D57</f>
        <v>Türkiye</v>
      </c>
      <c r="G57" s="3" t="str">
        <f>Fixtures!E57</f>
        <v>USA</v>
      </c>
      <c r="H57" s="3" t="str">
        <f>Fixtures!F57</f>
        <v>Los Angeles, SoFi Stadium</v>
      </c>
      <c r="I57" s="3"/>
      <c r="J57" s="1" cm="1">
        <f t="array" ref="J57">_xlfn.IFS(OR(ISBLANK('Results'!E57),ISBLANK('Results'!F57)),0,OR(ISBLANK(E57),ISBLANK(F57)),0,AND(E57='Results'!E57,F57='Results'!F57),Rules!$K$29,_xlfn.XOR(AND(E57&gt;F57,'Results'!E57&gt;'Results'!F57),AND(E57&lt;F57,'Results'!E57&lt;'Results'!F57),AND(E57=F57,'Results'!E57='Results'!F57)),Rules!$K$30,TRUE,0)</f>
        <v>0</v>
      </c>
    </row>
    <row r="58" spans="1:10">
      <c r="A58">
        <f>Fixtures!A58</f>
        <v>57</v>
      </c>
      <c r="B58" s="50">
        <f>Fixtures!B58</f>
        <v>46198.916666666664</v>
      </c>
      <c r="C58" s="4" t="str">
        <f>Fixtures!C58</f>
        <v>Group E</v>
      </c>
      <c r="D58" s="3" t="str">
        <f>Fixtures!D58</f>
        <v>Ecuador</v>
      </c>
      <c r="G58" s="3" t="str">
        <f>Fixtures!E58</f>
        <v>Germany</v>
      </c>
      <c r="H58" s="3" t="str">
        <f>Fixtures!F58</f>
        <v>New York/New Jersey, MetLife Stadium</v>
      </c>
      <c r="I58" s="3"/>
      <c r="J58" s="1" cm="1">
        <f t="array" ref="J58">_xlfn.IFS(OR(ISBLANK('Results'!E58),ISBLANK('Results'!F58)),0,OR(ISBLANK(E58),ISBLANK(F58)),0,AND(E58='Results'!E58,F58='Results'!F58),Rules!$K$29,_xlfn.XOR(AND(E58&gt;F58,'Results'!E58&gt;'Results'!F58),AND(E58&lt;F58,'Results'!E58&lt;'Results'!F58),AND(E58=F58,'Results'!E58='Results'!F58)),Rules!$K$30,TRUE,0)</f>
        <v>0</v>
      </c>
    </row>
    <row r="59" spans="1:10">
      <c r="A59">
        <f>Fixtures!A59</f>
        <v>58</v>
      </c>
      <c r="B59" s="50">
        <f>Fixtures!B59</f>
        <v>46198.916666666664</v>
      </c>
      <c r="C59" s="4" t="str">
        <f>Fixtures!C59</f>
        <v>Group E</v>
      </c>
      <c r="D59" s="3" t="str">
        <f>Fixtures!D59</f>
        <v>Curaçao</v>
      </c>
      <c r="G59" s="3" t="str">
        <f>Fixtures!E59</f>
        <v>Côte d'Ivoire</v>
      </c>
      <c r="H59" s="3" t="str">
        <f>Fixtures!F59</f>
        <v>Philadelphia, Lincoln Financial Field</v>
      </c>
      <c r="I59" s="3"/>
      <c r="J59" s="1" cm="1">
        <f t="array" ref="J59">_xlfn.IFS(OR(ISBLANK('Results'!E59),ISBLANK('Results'!F59)),0,OR(ISBLANK(E59),ISBLANK(F59)),0,AND(E59='Results'!E59,F59='Results'!F59),Rules!$K$29,_xlfn.XOR(AND(E59&gt;F59,'Results'!E59&gt;'Results'!F59),AND(E59&lt;F59,'Results'!E59&lt;'Results'!F59),AND(E59=F59,'Results'!E59='Results'!F59)),Rules!$K$30,TRUE,0)</f>
        <v>0</v>
      </c>
    </row>
    <row r="60" spans="1:10">
      <c r="A60">
        <f>Fixtures!A60</f>
        <v>59</v>
      </c>
      <c r="B60" s="50">
        <f>Fixtures!B60</f>
        <v>46199.041666666664</v>
      </c>
      <c r="C60" s="4" t="str">
        <f>Fixtures!C60</f>
        <v>Group F</v>
      </c>
      <c r="D60" s="3" t="str">
        <f>Fixtures!D60</f>
        <v>Japan</v>
      </c>
      <c r="G60" s="3" t="str">
        <f>Fixtures!E60</f>
        <v>Sweden</v>
      </c>
      <c r="H60" s="3" t="str">
        <f>Fixtures!F60</f>
        <v>Dallas, AT&amp;T Stadium</v>
      </c>
      <c r="I60" s="3"/>
      <c r="J60" s="1" cm="1">
        <f t="array" ref="J60">_xlfn.IFS(OR(ISBLANK('Results'!E60),ISBLANK('Results'!F60)),0,OR(ISBLANK(E60),ISBLANK(F60)),0,AND(E60='Results'!E60,F60='Results'!F60),Rules!$K$29,_xlfn.XOR(AND(E60&gt;F60,'Results'!E60&gt;'Results'!F60),AND(E60&lt;F60,'Results'!E60&lt;'Results'!F60),AND(E60=F60,'Results'!E60='Results'!F60)),Rules!$K$30,TRUE,0)</f>
        <v>0</v>
      </c>
    </row>
    <row r="61" spans="1:10">
      <c r="A61">
        <f>Fixtures!A61</f>
        <v>60</v>
      </c>
      <c r="B61" s="50">
        <f>Fixtures!B61</f>
        <v>46199.041666666664</v>
      </c>
      <c r="C61" s="4" t="str">
        <f>Fixtures!C61</f>
        <v>Group F</v>
      </c>
      <c r="D61" s="3" t="str">
        <f>Fixtures!D61</f>
        <v>Tunisia</v>
      </c>
      <c r="G61" s="3" t="str">
        <f>Fixtures!E61</f>
        <v>Netherlands</v>
      </c>
      <c r="H61" s="3" t="str">
        <f>Fixtures!F61</f>
        <v>Kansas City, Arrowhead Stadium</v>
      </c>
      <c r="I61" s="3"/>
      <c r="J61" s="1" cm="1">
        <f t="array" ref="J61">_xlfn.IFS(OR(ISBLANK('Results'!E61),ISBLANK('Results'!F61)),0,OR(ISBLANK(E61),ISBLANK(F61)),0,AND(E61='Results'!E61,F61='Results'!F61),Rules!$K$29,_xlfn.XOR(AND(E61&gt;F61,'Results'!E61&gt;'Results'!F61),AND(E61&lt;F61,'Results'!E61&lt;'Results'!F61),AND(E61=F61,'Results'!E61='Results'!F61)),Rules!$K$30,TRUE,0)</f>
        <v>0</v>
      </c>
    </row>
    <row r="62" spans="1:10">
      <c r="A62">
        <f>Fixtures!A62</f>
        <v>61</v>
      </c>
      <c r="B62" s="50">
        <f>Fixtures!B62</f>
        <v>46199.791666666664</v>
      </c>
      <c r="C62" s="4" t="str">
        <f>Fixtures!C62</f>
        <v>Group G</v>
      </c>
      <c r="D62" s="3" t="str">
        <f>Fixtures!D62</f>
        <v>Egypt</v>
      </c>
      <c r="G62" s="3" t="str">
        <f>Fixtures!E62</f>
        <v>IR Iran</v>
      </c>
      <c r="H62" s="3" t="str">
        <f>Fixtures!F62</f>
        <v>Seattle, Lumen Field</v>
      </c>
      <c r="I62" s="3"/>
      <c r="J62" s="1" cm="1">
        <f t="array" ref="J62">_xlfn.IFS(OR(ISBLANK('Results'!E62),ISBLANK('Results'!F62)),0,OR(ISBLANK(E62),ISBLANK(F62)),0,AND(E62='Results'!E62,F62='Results'!F62),Rules!$K$29,_xlfn.XOR(AND(E62&gt;F62,'Results'!E62&gt;'Results'!F62),AND(E62&lt;F62,'Results'!E62&lt;'Results'!F62),AND(E62=F62,'Results'!E62='Results'!F62)),Rules!$K$30,TRUE,0)</f>
        <v>0</v>
      </c>
    </row>
    <row r="63" spans="1:10">
      <c r="A63">
        <f>Fixtures!A63</f>
        <v>62</v>
      </c>
      <c r="B63" s="50">
        <f>Fixtures!B63</f>
        <v>46199.791666666664</v>
      </c>
      <c r="C63" s="4" t="str">
        <f>Fixtures!C63</f>
        <v>Group G</v>
      </c>
      <c r="D63" s="3" t="str">
        <f>Fixtures!D63</f>
        <v>New Zealand</v>
      </c>
      <c r="G63" s="3" t="str">
        <f>Fixtures!E63</f>
        <v>Belgium</v>
      </c>
      <c r="H63" s="3" t="str">
        <f>Fixtures!F63</f>
        <v>Vancouver, BC Place</v>
      </c>
      <c r="I63" s="3"/>
      <c r="J63" s="1" cm="1">
        <f t="array" ref="J63">_xlfn.IFS(OR(ISBLANK('Results'!E63),ISBLANK('Results'!F63)),0,OR(ISBLANK(E63),ISBLANK(F63)),0,AND(E63='Results'!E63,F63='Results'!F63),Rules!$K$29,_xlfn.XOR(AND(E63&gt;F63,'Results'!E63&gt;'Results'!F63),AND(E63&lt;F63,'Results'!E63&lt;'Results'!F63),AND(E63=F63,'Results'!E63='Results'!F63)),Rules!$K$30,TRUE,0)</f>
        <v>0</v>
      </c>
    </row>
    <row r="64" spans="1:10">
      <c r="A64">
        <f>Fixtures!A64</f>
        <v>63</v>
      </c>
      <c r="B64" s="50">
        <f>Fixtures!B64</f>
        <v>46199.916666666664</v>
      </c>
      <c r="C64" s="4" t="str">
        <f>Fixtures!C64</f>
        <v>Group H</v>
      </c>
      <c r="D64" s="3" t="str">
        <f>Fixtures!D64</f>
        <v>Uruguay</v>
      </c>
      <c r="G64" s="3" t="str">
        <f>Fixtures!E64</f>
        <v>Spain</v>
      </c>
      <c r="H64" s="3" t="str">
        <f>Fixtures!F64</f>
        <v>Guadalajara, Estadio Akron</v>
      </c>
      <c r="I64" s="3"/>
      <c r="J64" s="1" cm="1">
        <f t="array" ref="J64">_xlfn.IFS(OR(ISBLANK('Results'!E64),ISBLANK('Results'!F64)),0,OR(ISBLANK(E64),ISBLANK(F64)),0,AND(E64='Results'!E64,F64='Results'!F64),Rules!$K$29,_xlfn.XOR(AND(E64&gt;F64,'Results'!E64&gt;'Results'!F64),AND(E64&lt;F64,'Results'!E64&lt;'Results'!F64),AND(E64=F64,'Results'!E64='Results'!F64)),Rules!$K$30,TRUE,0)</f>
        <v>0</v>
      </c>
    </row>
    <row r="65" spans="1:10">
      <c r="A65">
        <f>Fixtures!A65</f>
        <v>64</v>
      </c>
      <c r="B65" s="50">
        <f>Fixtures!B65</f>
        <v>46199.916666666664</v>
      </c>
      <c r="C65" s="4" t="str">
        <f>Fixtures!C65</f>
        <v>Group H</v>
      </c>
      <c r="D65" s="3" t="str">
        <f>Fixtures!D65</f>
        <v>Cabo Verde</v>
      </c>
      <c r="G65" s="3" t="str">
        <f>Fixtures!E65</f>
        <v>Saudi Arabia</v>
      </c>
      <c r="H65" s="3" t="str">
        <f>Fixtures!F65</f>
        <v>Houston, NRG Stadium</v>
      </c>
      <c r="I65" s="3"/>
      <c r="J65" s="1" cm="1">
        <f t="array" ref="J65">_xlfn.IFS(OR(ISBLANK('Results'!E65),ISBLANK('Results'!F65)),0,OR(ISBLANK(E65),ISBLANK(F65)),0,AND(E65='Results'!E65,F65='Results'!F65),Rules!$K$29,_xlfn.XOR(AND(E65&gt;F65,'Results'!E65&gt;'Results'!F65),AND(E65&lt;F65,'Results'!E65&lt;'Results'!F65),AND(E65=F65,'Results'!E65='Results'!F65)),Rules!$K$30,TRUE,0)</f>
        <v>0</v>
      </c>
    </row>
    <row r="66" spans="1:10">
      <c r="A66">
        <f>Fixtures!A66</f>
        <v>65</v>
      </c>
      <c r="B66" s="50">
        <f>Fixtures!B66</f>
        <v>46200.041666666664</v>
      </c>
      <c r="C66" s="4" t="str">
        <f>Fixtures!C66</f>
        <v>Group I</v>
      </c>
      <c r="D66" s="3" t="str">
        <f>Fixtures!D66</f>
        <v>Norway</v>
      </c>
      <c r="G66" s="3" t="str">
        <f>Fixtures!E66</f>
        <v>France</v>
      </c>
      <c r="H66" s="3" t="str">
        <f>Fixtures!F66</f>
        <v>Boston, Gillette Stadium</v>
      </c>
      <c r="I66" s="3"/>
      <c r="J66" s="1" cm="1">
        <f t="array" ref="J66">_xlfn.IFS(OR(ISBLANK('Results'!E66),ISBLANK('Results'!F66)),0,OR(ISBLANK(E66),ISBLANK(F66)),0,AND(E66='Results'!E66,F66='Results'!F66),Rules!$K$29,_xlfn.XOR(AND(E66&gt;F66,'Results'!E66&gt;'Results'!F66),AND(E66&lt;F66,'Results'!E66&lt;'Results'!F66),AND(E66=F66,'Results'!E66='Results'!F66)),Rules!$K$30,TRUE,0)</f>
        <v>0</v>
      </c>
    </row>
    <row r="67" spans="1:10">
      <c r="A67">
        <f>Fixtures!A67</f>
        <v>66</v>
      </c>
      <c r="B67" s="50">
        <f>Fixtures!B67</f>
        <v>46200.041666666664</v>
      </c>
      <c r="C67" s="4" t="str">
        <f>Fixtures!C67</f>
        <v>Group I</v>
      </c>
      <c r="D67" s="3" t="str">
        <f>Fixtures!D67</f>
        <v>Senegal</v>
      </c>
      <c r="G67" s="3" t="str">
        <f>Fixtures!E67</f>
        <v>Iraq</v>
      </c>
      <c r="H67" s="3" t="str">
        <f>Fixtures!F67</f>
        <v>Toronto, BMO Field</v>
      </c>
      <c r="I67" s="3"/>
      <c r="J67" s="1" cm="1">
        <f t="array" ref="J67">_xlfn.IFS(OR(ISBLANK('Results'!E67),ISBLANK('Results'!F67)),0,OR(ISBLANK(E67),ISBLANK(F67)),0,AND(E67='Results'!E67,F67='Results'!F67),Rules!$K$29,_xlfn.XOR(AND(E67&gt;F67,'Results'!E67&gt;'Results'!F67),AND(E67&lt;F67,'Results'!E67&lt;'Results'!F67),AND(E67=F67,'Results'!E67='Results'!F67)),Rules!$K$30,TRUE,0)</f>
        <v>0</v>
      </c>
    </row>
    <row r="68" spans="1:10">
      <c r="A68">
        <f>Fixtures!A68</f>
        <v>67</v>
      </c>
      <c r="B68" s="50">
        <f>Fixtures!B68</f>
        <v>46200.791666666664</v>
      </c>
      <c r="C68" s="4" t="str">
        <f>Fixtures!C68</f>
        <v>Group J</v>
      </c>
      <c r="D68" s="3" t="str">
        <f>Fixtures!D68</f>
        <v>Algeria</v>
      </c>
      <c r="G68" s="3" t="str">
        <f>Fixtures!E68</f>
        <v>Austria</v>
      </c>
      <c r="H68" s="3" t="str">
        <f>Fixtures!F68</f>
        <v>Kansas City, Arrowhead Stadium</v>
      </c>
      <c r="I68" s="3"/>
      <c r="J68" s="1" cm="1">
        <f t="array" ref="J68">_xlfn.IFS(OR(ISBLANK('Results'!E68),ISBLANK('Results'!F68)),0,OR(ISBLANK(E68),ISBLANK(F68)),0,AND(E68='Results'!E68,F68='Results'!F68),Rules!$K$29,_xlfn.XOR(AND(E68&gt;F68,'Results'!E68&gt;'Results'!F68),AND(E68&lt;F68,'Results'!E68&lt;'Results'!F68),AND(E68=F68,'Results'!E68='Results'!F68)),Rules!$K$30,TRUE,0)</f>
        <v>0</v>
      </c>
    </row>
    <row r="69" spans="1:10">
      <c r="A69">
        <f>Fixtures!A69</f>
        <v>68</v>
      </c>
      <c r="B69" s="50">
        <f>Fixtures!B69</f>
        <v>46200.791666666664</v>
      </c>
      <c r="C69" s="4" t="str">
        <f>Fixtures!C69</f>
        <v>Group J</v>
      </c>
      <c r="D69" s="3" t="str">
        <f>Fixtures!D69</f>
        <v>Jordan</v>
      </c>
      <c r="G69" s="3" t="str">
        <f>Fixtures!E69</f>
        <v>Argentina</v>
      </c>
      <c r="H69" s="3" t="str">
        <f>Fixtures!F69</f>
        <v>Dallas, AT&amp;T Stadium</v>
      </c>
      <c r="I69" s="3"/>
      <c r="J69" s="1" cm="1">
        <f t="array" ref="J69">_xlfn.IFS(OR(ISBLANK('Results'!E69),ISBLANK('Results'!F69)),0,OR(ISBLANK(E69),ISBLANK(F69)),0,AND(E69='Results'!E69,F69='Results'!F69),Rules!$K$29,_xlfn.XOR(AND(E69&gt;F69,'Results'!E69&gt;'Results'!F69),AND(E69&lt;F69,'Results'!E69&lt;'Results'!F69),AND(E69=F69,'Results'!E69='Results'!F69)),Rules!$K$30,TRUE,0)</f>
        <v>0</v>
      </c>
    </row>
    <row r="70" spans="1:10">
      <c r="A70">
        <f>Fixtures!A70</f>
        <v>69</v>
      </c>
      <c r="B70" s="50">
        <f>Fixtures!B70</f>
        <v>46200.916666666664</v>
      </c>
      <c r="C70" s="4" t="str">
        <f>Fixtures!C70</f>
        <v>Group K</v>
      </c>
      <c r="D70" s="3" t="str">
        <f>Fixtures!D70</f>
        <v>Congo DR</v>
      </c>
      <c r="G70" s="3" t="str">
        <f>Fixtures!E70</f>
        <v>Uzbekistan</v>
      </c>
      <c r="H70" s="3" t="str">
        <f>Fixtures!F70</f>
        <v>Atlanta, Mercedes-Benz Stadium</v>
      </c>
      <c r="I70" s="3"/>
      <c r="J70" s="1" cm="1">
        <f t="array" ref="J70">_xlfn.IFS(OR(ISBLANK('Results'!E70),ISBLANK('Results'!F70)),0,OR(ISBLANK(E70),ISBLANK(F70)),0,AND(E70='Results'!E70,F70='Results'!F70),Rules!$K$29,_xlfn.XOR(AND(E70&gt;F70,'Results'!E70&gt;'Results'!F70),AND(E70&lt;F70,'Results'!E70&lt;'Results'!F70),AND(E70=F70,'Results'!E70='Results'!F70)),Rules!$K$30,TRUE,0)</f>
        <v>0</v>
      </c>
    </row>
    <row r="71" spans="1:10">
      <c r="A71">
        <f>Fixtures!A71</f>
        <v>70</v>
      </c>
      <c r="B71" s="50">
        <f>Fixtures!B71</f>
        <v>46200.916666666664</v>
      </c>
      <c r="C71" s="4" t="str">
        <f>Fixtures!C71</f>
        <v>Group K</v>
      </c>
      <c r="D71" s="3" t="str">
        <f>Fixtures!D71</f>
        <v>Colombia</v>
      </c>
      <c r="G71" s="3" t="str">
        <f>Fixtures!E71</f>
        <v>Portugal</v>
      </c>
      <c r="H71" s="3" t="str">
        <f>Fixtures!F71</f>
        <v>Miami, Hard Rock Stadium</v>
      </c>
      <c r="I71" s="3"/>
      <c r="J71" s="1" cm="1">
        <f t="array" ref="J71">_xlfn.IFS(OR(ISBLANK('Results'!E71),ISBLANK('Results'!F71)),0,OR(ISBLANK(E71),ISBLANK(F71)),0,AND(E71='Results'!E71,F71='Results'!F71),Rules!$K$29,_xlfn.XOR(AND(E71&gt;F71,'Results'!E71&gt;'Results'!F71),AND(E71&lt;F71,'Results'!E71&lt;'Results'!F71),AND(E71=F71,'Results'!E71='Results'!F71)),Rules!$K$30,TRUE,0)</f>
        <v>0</v>
      </c>
    </row>
    <row r="72" spans="1:10">
      <c r="A72">
        <f>Fixtures!A72</f>
        <v>71</v>
      </c>
      <c r="B72" s="50">
        <f>Fixtures!B72</f>
        <v>46201.041666666664</v>
      </c>
      <c r="C72" s="4" t="str">
        <f>Fixtures!C72</f>
        <v>Group L</v>
      </c>
      <c r="D72" s="3" t="str">
        <f>Fixtures!D72</f>
        <v>Panama</v>
      </c>
      <c r="G72" s="3" t="str">
        <f>Fixtures!E72</f>
        <v>England</v>
      </c>
      <c r="H72" s="3" t="str">
        <f>Fixtures!F72</f>
        <v>New York/New Jersey, MetLife Stadium</v>
      </c>
      <c r="I72" s="3"/>
      <c r="J72" s="1" cm="1">
        <f t="array" ref="J72">_xlfn.IFS(OR(ISBLANK('Results'!E72),ISBLANK('Results'!F72)),0,OR(ISBLANK(E72),ISBLANK(F72)),0,AND(E72='Results'!E72,F72='Results'!F72),Rules!$K$29,_xlfn.XOR(AND(E72&gt;F72,'Results'!E72&gt;'Results'!F72),AND(E72&lt;F72,'Results'!E72&lt;'Results'!F72),AND(E72=F72,'Results'!E72='Results'!F72)),Rules!$K$30,TRUE,0)</f>
        <v>0</v>
      </c>
    </row>
    <row r="73" spans="1:10">
      <c r="A73">
        <f>Fixtures!A73</f>
        <v>72</v>
      </c>
      <c r="B73" s="50">
        <f>Fixtures!B73</f>
        <v>46201.041666666664</v>
      </c>
      <c r="C73" s="4" t="str">
        <f>Fixtures!C73</f>
        <v>Group L</v>
      </c>
      <c r="D73" s="3" t="str">
        <f>Fixtures!D73</f>
        <v>Croatia</v>
      </c>
      <c r="G73" s="3" t="str">
        <f>Fixtures!E73</f>
        <v>Ghana</v>
      </c>
      <c r="H73" s="3" t="str">
        <f>Fixtures!F73</f>
        <v>Philadelphia, Lincoln Financial Field</v>
      </c>
      <c r="I73" s="3"/>
      <c r="J73" s="1" cm="1">
        <f t="array" ref="J73">_xlfn.IFS(OR(ISBLANK('Results'!E73),ISBLANK('Results'!F73)),0,OR(ISBLANK(E73),ISBLANK(F73)),0,AND(E73='Results'!E73,F73='Results'!F73),Rules!$K$29,_xlfn.XOR(AND(E73&gt;F73,'Results'!E73&gt;'Results'!F73),AND(E73&lt;F73,'Results'!E73&lt;'Results'!F73),AND(E73=F73,'Results'!E73='Results'!F73)),Rules!$K$30,TRUE,0)</f>
        <v>0</v>
      </c>
    </row>
    <row r="74" spans="1:10">
      <c r="A74">
        <f>Fixtures!A74</f>
        <v>73</v>
      </c>
      <c r="B74" s="50">
        <f>Fixtures!B74</f>
        <v>46201.791666666664</v>
      </c>
      <c r="C74" s="4" t="str">
        <f>Fixtures!C74</f>
        <v>Round of 32</v>
      </c>
      <c r="D74" s="3" t="str">
        <f>Fixtures!D74</f>
        <v>Runner-up Group A</v>
      </c>
      <c r="G74" s="3" t="str">
        <f>Fixtures!E74</f>
        <v>Runner-up Group B</v>
      </c>
      <c r="H74" s="3" t="str">
        <f>Fixtures!F74</f>
        <v>Los Angeles, SoFi Stadium</v>
      </c>
      <c r="I74" s="3"/>
      <c r="J74" s="1" cm="1">
        <f t="array" ref="J74">_xlfn.IFS(OR(ISBLANK('Results'!E74),ISBLANK('Results'!F74)),0,OR(ISBLANK(E74),ISBLANK(F74)),0,AND(E74='Results'!E74,F74='Results'!F74),Rules!$K$29,_xlfn.XOR(AND(E74&gt;F74,'Results'!E74&gt;'Results'!F74),AND(E74&lt;F74,'Results'!E74&lt;'Results'!F74),AND(E74=F74,'Results'!E74='Results'!F74)),Rules!$K$30,TRUE,0)</f>
        <v>0</v>
      </c>
    </row>
    <row r="75" spans="1:10">
      <c r="A75">
        <f>Fixtures!A75</f>
        <v>74</v>
      </c>
      <c r="B75" s="50" t="str">
        <f>Fixtures!B75</f>
        <v>29/06/2026 20:30</v>
      </c>
      <c r="C75" s="4" t="str">
        <f>Fixtures!C75</f>
        <v>Round of 32</v>
      </c>
      <c r="D75" s="3" t="str">
        <f>Fixtures!D75</f>
        <v>Winner Group E</v>
      </c>
      <c r="G75" s="3" t="str">
        <f>Fixtures!E75</f>
        <v>3rd Group A/B/C/D/F</v>
      </c>
      <c r="H75" s="3" t="str">
        <f>Fixtures!F75</f>
        <v>Boston, Gillette Stadium</v>
      </c>
      <c r="I75" s="3"/>
      <c r="J75" s="1" cm="1">
        <f t="array" ref="J75">_xlfn.IFS(OR(ISBLANK('Results'!E75),ISBLANK('Results'!F75)),0,OR(ISBLANK(E75),ISBLANK(F75)),0,AND(E75='Results'!E75,F75='Results'!F75),Rules!$K$29,_xlfn.XOR(AND(E75&gt;F75,'Results'!E75&gt;'Results'!F75),AND(E75&lt;F75,'Results'!E75&lt;'Results'!F75),AND(E75=F75,'Results'!E75='Results'!F75)),Rules!$K$30,TRUE,0)</f>
        <v>0</v>
      </c>
    </row>
    <row r="76" spans="1:10">
      <c r="A76">
        <f>Fixtures!A76</f>
        <v>75</v>
      </c>
      <c r="B76" s="50" t="str">
        <f>Fixtures!B76</f>
        <v>30/06/2026 01:00</v>
      </c>
      <c r="C76" s="4" t="str">
        <f>Fixtures!C76</f>
        <v>Round of 32</v>
      </c>
      <c r="D76" s="3" t="str">
        <f>Fixtures!D76</f>
        <v>Winner Group F</v>
      </c>
      <c r="G76" s="3" t="str">
        <f>Fixtures!E76</f>
        <v>Runner-up Group C</v>
      </c>
      <c r="H76" s="3" t="str">
        <f>Fixtures!F76</f>
        <v>Monterrey, Estadio BBVA</v>
      </c>
      <c r="I76" s="3"/>
      <c r="J76" s="1" cm="1">
        <f t="array" ref="J76">_xlfn.IFS(OR(ISBLANK('Results'!E76),ISBLANK('Results'!F76)),0,OR(ISBLANK(E76),ISBLANK(F76)),0,AND(E76='Results'!E76,F76='Results'!F76),Rules!$K$29,_xlfn.XOR(AND(E76&gt;F76,'Results'!E76&gt;'Results'!F76),AND(E76&lt;F76,'Results'!E76&lt;'Results'!F76),AND(E76=F76,'Results'!E76='Results'!F76)),Rules!$K$30,TRUE,0)</f>
        <v>0</v>
      </c>
    </row>
    <row r="77" spans="1:10">
      <c r="A77">
        <f>Fixtures!A77</f>
        <v>76</v>
      </c>
      <c r="B77" s="50" t="str">
        <f>Fixtures!B77</f>
        <v>29/06/2026 17:00</v>
      </c>
      <c r="C77" s="4" t="str">
        <f>Fixtures!C77</f>
        <v>Round of 32</v>
      </c>
      <c r="D77" s="3" t="str">
        <f>Fixtures!D77</f>
        <v>Winner Group C</v>
      </c>
      <c r="G77" s="3" t="str">
        <f>Fixtures!E77</f>
        <v>Runner-up Group F</v>
      </c>
      <c r="H77" s="3" t="str">
        <f>Fixtures!F77</f>
        <v>Houston, NRG Stadium</v>
      </c>
      <c r="I77" s="3"/>
      <c r="J77" s="1" cm="1">
        <f t="array" ref="J77">_xlfn.IFS(OR(ISBLANK('Results'!E77),ISBLANK('Results'!F77)),0,OR(ISBLANK(E77),ISBLANK(F77)),0,AND(E77='Results'!E77,F77='Results'!F77),Rules!$K$29,_xlfn.XOR(AND(E77&gt;F77,'Results'!E77&gt;'Results'!F77),AND(E77&lt;F77,'Results'!E77&lt;'Results'!F77),AND(E77=F77,'Results'!E77='Results'!F77)),Rules!$K$30,TRUE,0)</f>
        <v>0</v>
      </c>
    </row>
    <row r="78" spans="1:10">
      <c r="A78">
        <f>Fixtures!A78</f>
        <v>77</v>
      </c>
      <c r="B78" s="50" t="str">
        <f>Fixtures!B78</f>
        <v>30/06/2026 21:00</v>
      </c>
      <c r="C78" s="4" t="str">
        <f>Fixtures!C78</f>
        <v>Round of 32</v>
      </c>
      <c r="D78" s="3" t="str">
        <f>Fixtures!D78</f>
        <v>Winner Group I</v>
      </c>
      <c r="G78" s="3" t="str">
        <f>Fixtures!E78</f>
        <v>3rd Group C/D/F/G/H</v>
      </c>
      <c r="H78" s="3" t="str">
        <f>Fixtures!F78</f>
        <v>New York/New Jersey, MetLife Stadium</v>
      </c>
      <c r="I78" s="3"/>
      <c r="J78" s="1" cm="1">
        <f t="array" ref="J78">_xlfn.IFS(OR(ISBLANK('Results'!E78),ISBLANK('Results'!F78)),0,OR(ISBLANK(E78),ISBLANK(F78)),0,AND(E78='Results'!E78,F78='Results'!F78),Rules!$K$29,_xlfn.XOR(AND(E78&gt;F78,'Results'!E78&gt;'Results'!F78),AND(E78&lt;F78,'Results'!E78&lt;'Results'!F78),AND(E78=F78,'Results'!E78='Results'!F78)),Rules!$K$30,TRUE,0)</f>
        <v>0</v>
      </c>
    </row>
    <row r="79" spans="1:10">
      <c r="A79">
        <f>Fixtures!A79</f>
        <v>78</v>
      </c>
      <c r="B79" s="50" t="str">
        <f>Fixtures!B79</f>
        <v>30/06/2026 17:00</v>
      </c>
      <c r="C79" s="4" t="str">
        <f>Fixtures!C79</f>
        <v>Round of 32</v>
      </c>
      <c r="D79" s="3" t="str">
        <f>Fixtures!D79</f>
        <v>Runner-up Group E</v>
      </c>
      <c r="G79" s="3" t="str">
        <f>Fixtures!E79</f>
        <v>Runner-up Group I</v>
      </c>
      <c r="H79" s="3" t="str">
        <f>Fixtures!F79</f>
        <v>Dallas, AT&amp;T Stadium</v>
      </c>
      <c r="I79" s="3"/>
      <c r="J79" s="1" cm="1">
        <f t="array" ref="J79">_xlfn.IFS(OR(ISBLANK('Results'!E79),ISBLANK('Results'!F79)),0,OR(ISBLANK(E79),ISBLANK(F79)),0,AND(E79='Results'!E79,F79='Results'!F79),Rules!$K$29,_xlfn.XOR(AND(E79&gt;F79,'Results'!E79&gt;'Results'!F79),AND(E79&lt;F79,'Results'!E79&lt;'Results'!F79),AND(E79=F79,'Results'!E79='Results'!F79)),Rules!$K$30,TRUE,0)</f>
        <v>0</v>
      </c>
    </row>
    <row r="80" spans="1:10">
      <c r="A80">
        <f>Fixtures!A80</f>
        <v>79</v>
      </c>
      <c r="B80" s="50" t="str">
        <f>Fixtures!B80</f>
        <v>01/07/2026 01:00</v>
      </c>
      <c r="C80" s="4" t="str">
        <f>Fixtures!C80</f>
        <v>Round of 32</v>
      </c>
      <c r="D80" s="3" t="str">
        <f>Fixtures!D80</f>
        <v>Winner Group A</v>
      </c>
      <c r="G80" s="3" t="str">
        <f>Fixtures!E80</f>
        <v>3rd Group C/E/F/H/I</v>
      </c>
      <c r="H80" s="3" t="str">
        <f>Fixtures!F80</f>
        <v>Mexico City, Estadio Azteca</v>
      </c>
      <c r="I80" s="3"/>
      <c r="J80" s="1" cm="1">
        <f t="array" ref="J80">_xlfn.IFS(OR(ISBLANK('Results'!E80),ISBLANK('Results'!F80)),0,OR(ISBLANK(E80),ISBLANK(F80)),0,AND(E80='Results'!E80,F80='Results'!F80),Rules!$K$29,_xlfn.XOR(AND(E80&gt;F80,'Results'!E80&gt;'Results'!F80),AND(E80&lt;F80,'Results'!E80&lt;'Results'!F80),AND(E80=F80,'Results'!E80='Results'!F80)),Rules!$K$30,TRUE,0)</f>
        <v>0</v>
      </c>
    </row>
    <row r="81" spans="1:10">
      <c r="A81">
        <f>Fixtures!A81</f>
        <v>80</v>
      </c>
      <c r="B81" s="50" t="str">
        <f>Fixtures!B81</f>
        <v>01/07/2026 16:00</v>
      </c>
      <c r="C81" s="4" t="str">
        <f>Fixtures!C81</f>
        <v>Round of 32</v>
      </c>
      <c r="D81" s="3" t="str">
        <f>Fixtures!D81</f>
        <v>Winner Group L</v>
      </c>
      <c r="G81" s="3" t="str">
        <f>Fixtures!E81</f>
        <v>3rd Group E/H/I/J/K</v>
      </c>
      <c r="H81" s="3" t="str">
        <f>Fixtures!F81</f>
        <v>Atlanta, Mercedes-Benz Stadium</v>
      </c>
      <c r="I81" s="3"/>
      <c r="J81" s="1" cm="1">
        <f t="array" ref="J81">_xlfn.IFS(OR(ISBLANK('Results'!E81),ISBLANK('Results'!F81)),0,OR(ISBLANK(E81),ISBLANK(F81)),0,AND(E81='Results'!E81,F81='Results'!F81),Rules!$K$29,_xlfn.XOR(AND(E81&gt;F81,'Results'!E81&gt;'Results'!F81),AND(E81&lt;F81,'Results'!E81&lt;'Results'!F81),AND(E81=F81,'Results'!E81='Results'!F81)),Rules!$K$30,TRUE,0)</f>
        <v>0</v>
      </c>
    </row>
    <row r="82" spans="1:10">
      <c r="A82">
        <f>Fixtures!A82</f>
        <v>81</v>
      </c>
      <c r="B82" s="50" t="str">
        <f>Fixtures!B82</f>
        <v>02/07/2026 00:00</v>
      </c>
      <c r="C82" s="4" t="str">
        <f>Fixtures!C82</f>
        <v>Round of 32</v>
      </c>
      <c r="D82" s="3" t="str">
        <f>Fixtures!D82</f>
        <v>Winner Group D</v>
      </c>
      <c r="G82" s="3" t="str">
        <f>Fixtures!E82</f>
        <v>3rd Group B/E/F/I/J</v>
      </c>
      <c r="H82" s="3" t="str">
        <f>Fixtures!F82</f>
        <v>San Francisco, Levi's Stadium</v>
      </c>
      <c r="I82" s="3"/>
      <c r="J82" s="1" cm="1">
        <f t="array" ref="J82">_xlfn.IFS(OR(ISBLANK('Results'!E82),ISBLANK('Results'!F82)),0,OR(ISBLANK(E82),ISBLANK(F82)),0,AND(E82='Results'!E82,F82='Results'!F82),Rules!$K$29,_xlfn.XOR(AND(E82&gt;F82,'Results'!E82&gt;'Results'!F82),AND(E82&lt;F82,'Results'!E82&lt;'Results'!F82),AND(E82=F82,'Results'!E82='Results'!F82)),Rules!$K$30,TRUE,0)</f>
        <v>0</v>
      </c>
    </row>
    <row r="83" spans="1:10">
      <c r="A83">
        <f>Fixtures!A83</f>
        <v>82</v>
      </c>
      <c r="B83" s="50" t="str">
        <f>Fixtures!B83</f>
        <v>01/07/2026 20:00</v>
      </c>
      <c r="C83" s="4" t="str">
        <f>Fixtures!C83</f>
        <v>Round of 32</v>
      </c>
      <c r="D83" s="3" t="str">
        <f>Fixtures!D83</f>
        <v>Winner Group G</v>
      </c>
      <c r="G83" s="3" t="str">
        <f>Fixtures!E83</f>
        <v>3rd Group A/E/H/I/J</v>
      </c>
      <c r="H83" s="3" t="str">
        <f>Fixtures!F83</f>
        <v>Seattle, Lumen Field</v>
      </c>
      <c r="I83" s="3"/>
      <c r="J83" s="1" cm="1">
        <f t="array" ref="J83">_xlfn.IFS(OR(ISBLANK('Results'!E83),ISBLANK('Results'!F83)),0,OR(ISBLANK(E83),ISBLANK(F83)),0,AND(E83='Results'!E83,F83='Results'!F83),Rules!$K$29,_xlfn.XOR(AND(E83&gt;F83,'Results'!E83&gt;'Results'!F83),AND(E83&lt;F83,'Results'!E83&lt;'Results'!F83),AND(E83=F83,'Results'!E83='Results'!F83)),Rules!$K$30,TRUE,0)</f>
        <v>0</v>
      </c>
    </row>
    <row r="84" spans="1:10">
      <c r="A84">
        <f>Fixtures!A84</f>
        <v>83</v>
      </c>
      <c r="B84" s="50" t="str">
        <f>Fixtures!B84</f>
        <v>02/07/2026 23:00</v>
      </c>
      <c r="C84" s="4" t="str">
        <f>Fixtures!C84</f>
        <v>Round of 32</v>
      </c>
      <c r="D84" s="3" t="str">
        <f>Fixtures!D84</f>
        <v>Runner-up Group K</v>
      </c>
      <c r="G84" s="3" t="str">
        <f>Fixtures!E84</f>
        <v>Runner-up Group L</v>
      </c>
      <c r="H84" s="3" t="str">
        <f>Fixtures!F84</f>
        <v>Toronto, BMO Field</v>
      </c>
      <c r="I84" s="3"/>
      <c r="J84" s="1" cm="1">
        <f t="array" ref="J84">_xlfn.IFS(OR(ISBLANK('Results'!E84),ISBLANK('Results'!F84)),0,OR(ISBLANK(E84),ISBLANK(F84)),0,AND(E84='Results'!E84,F84='Results'!F84),Rules!$K$29,_xlfn.XOR(AND(E84&gt;F84,'Results'!E84&gt;'Results'!F84),AND(E84&lt;F84,'Results'!E84&lt;'Results'!F84),AND(E84=F84,'Results'!E84='Results'!F84)),Rules!$K$30,TRUE,0)</f>
        <v>0</v>
      </c>
    </row>
    <row r="85" spans="1:10">
      <c r="A85">
        <f>Fixtures!A85</f>
        <v>84</v>
      </c>
      <c r="B85" s="50" t="str">
        <f>Fixtures!B85</f>
        <v>02/07/2026 19:00</v>
      </c>
      <c r="C85" s="4" t="str">
        <f>Fixtures!C85</f>
        <v>Round of 32</v>
      </c>
      <c r="D85" s="3" t="str">
        <f>Fixtures!D85</f>
        <v>Winner Group H</v>
      </c>
      <c r="G85" s="3" t="str">
        <f>Fixtures!E85</f>
        <v>Runner-up Group J</v>
      </c>
      <c r="H85" s="3" t="str">
        <f>Fixtures!F85</f>
        <v>Los Angeles, SoFi Stadium</v>
      </c>
      <c r="I85" s="3"/>
      <c r="J85" s="1" cm="1">
        <f t="array" ref="J85">_xlfn.IFS(OR(ISBLANK('Results'!E85),ISBLANK('Results'!F85)),0,OR(ISBLANK(E85),ISBLANK(F85)),0,AND(E85='Results'!E85,F85='Results'!F85),Rules!$K$29,_xlfn.XOR(AND(E85&gt;F85,'Results'!E85&gt;'Results'!F85),AND(E85&lt;F85,'Results'!E85&lt;'Results'!F85),AND(E85=F85,'Results'!E85='Results'!F85)),Rules!$K$30,TRUE,0)</f>
        <v>0</v>
      </c>
    </row>
    <row r="86" spans="1:10">
      <c r="A86">
        <f>Fixtures!A86</f>
        <v>85</v>
      </c>
      <c r="B86" s="50" t="str">
        <f>Fixtures!B86</f>
        <v>03/07/2026 03:00</v>
      </c>
      <c r="C86" s="4" t="str">
        <f>Fixtures!C86</f>
        <v>Round of 32</v>
      </c>
      <c r="D86" s="3" t="str">
        <f>Fixtures!D86</f>
        <v>Winner Group B</v>
      </c>
      <c r="G86" s="3" t="str">
        <f>Fixtures!E86</f>
        <v>3rd Group E/F/G/I/J</v>
      </c>
      <c r="H86" s="3" t="str">
        <f>Fixtures!F86</f>
        <v>Vancouver, BC Place</v>
      </c>
      <c r="I86" s="3"/>
      <c r="J86" s="1" cm="1">
        <f t="array" ref="J86">_xlfn.IFS(OR(ISBLANK('Results'!E86),ISBLANK('Results'!F86)),0,OR(ISBLANK(E86),ISBLANK(F86)),0,AND(E86='Results'!E86,F86='Results'!F86),Rules!$K$29,_xlfn.XOR(AND(E86&gt;F86,'Results'!E86&gt;'Results'!F86),AND(E86&lt;F86,'Results'!E86&lt;'Results'!F86),AND(E86=F86,'Results'!E86='Results'!F86)),Rules!$K$30,TRUE,0)</f>
        <v>0</v>
      </c>
    </row>
    <row r="87" spans="1:10">
      <c r="A87">
        <f>Fixtures!A87</f>
        <v>86</v>
      </c>
      <c r="B87" s="50" t="str">
        <f>Fixtures!B87</f>
        <v>03/07/2026 22:00</v>
      </c>
      <c r="C87" s="4" t="str">
        <f>Fixtures!C87</f>
        <v>Round of 32</v>
      </c>
      <c r="D87" s="3" t="str">
        <f>Fixtures!D87</f>
        <v>Winner Group J</v>
      </c>
      <c r="G87" s="3" t="str">
        <f>Fixtures!E87</f>
        <v>Runner-up Group H</v>
      </c>
      <c r="H87" s="3" t="str">
        <f>Fixtures!F87</f>
        <v>Miami, Hard Rock Stadium</v>
      </c>
      <c r="I87" s="3"/>
      <c r="J87" s="1" cm="1">
        <f t="array" ref="J87">_xlfn.IFS(OR(ISBLANK('Results'!E87),ISBLANK('Results'!F87)),0,OR(ISBLANK(E87),ISBLANK(F87)),0,AND(E87='Results'!E87,F87='Results'!F87),Rules!$K$29,_xlfn.XOR(AND(E87&gt;F87,'Results'!E87&gt;'Results'!F87),AND(E87&lt;F87,'Results'!E87&lt;'Results'!F87),AND(E87=F87,'Results'!E87='Results'!F87)),Rules!$K$30,TRUE,0)</f>
        <v>0</v>
      </c>
    </row>
    <row r="88" spans="1:10">
      <c r="A88">
        <f>Fixtures!A88</f>
        <v>87</v>
      </c>
      <c r="B88" s="50" t="str">
        <f>Fixtures!B88</f>
        <v>04/07/2026 01:30</v>
      </c>
      <c r="C88" s="4" t="str">
        <f>Fixtures!C88</f>
        <v>Round of 32</v>
      </c>
      <c r="D88" s="3" t="str">
        <f>Fixtures!D88</f>
        <v>Winner Group K</v>
      </c>
      <c r="G88" s="3" t="str">
        <f>Fixtures!E88</f>
        <v>3rd Group D/E/I/J/L</v>
      </c>
      <c r="H88" s="3" t="str">
        <f>Fixtures!F88</f>
        <v>Kansas City, Arrowhead Stadium</v>
      </c>
      <c r="I88" s="3"/>
      <c r="J88" s="1" cm="1">
        <f t="array" ref="J88">_xlfn.IFS(OR(ISBLANK('Results'!E88),ISBLANK('Results'!F88)),0,OR(ISBLANK(E88),ISBLANK(F88)),0,AND(E88='Results'!E88,F88='Results'!F88),Rules!$K$29,_xlfn.XOR(AND(E88&gt;F88,'Results'!E88&gt;'Results'!F88),AND(E88&lt;F88,'Results'!E88&lt;'Results'!F88),AND(E88=F88,'Results'!E88='Results'!F88)),Rules!$K$30,TRUE,0)</f>
        <v>0</v>
      </c>
    </row>
    <row r="89" spans="1:10">
      <c r="A89">
        <f>Fixtures!A89</f>
        <v>88</v>
      </c>
      <c r="B89" s="50" t="str">
        <f>Fixtures!B89</f>
        <v>03/07/2026 18:00</v>
      </c>
      <c r="C89" s="4" t="str">
        <f>Fixtures!C89</f>
        <v>Round of 32</v>
      </c>
      <c r="D89" s="3" t="str">
        <f>Fixtures!D89</f>
        <v>Runner-up Group D</v>
      </c>
      <c r="G89" s="3" t="str">
        <f>Fixtures!E89</f>
        <v>Runner-up Group G</v>
      </c>
      <c r="H89" s="3" t="str">
        <f>Fixtures!F89</f>
        <v>Dallas, AT&amp;T Stadium</v>
      </c>
      <c r="I89" s="3"/>
      <c r="J89" s="1" cm="1">
        <f t="array" ref="J89">_xlfn.IFS(OR(ISBLANK('Results'!E89),ISBLANK('Results'!F89)),0,OR(ISBLANK(E89),ISBLANK(F89)),0,AND(E89='Results'!E89,F89='Results'!F89),Rules!$K$29,_xlfn.XOR(AND(E89&gt;F89,'Results'!E89&gt;'Results'!F89),AND(E89&lt;F89,'Results'!E89&lt;'Results'!F89),AND(E89=F89,'Results'!E89='Results'!F89)),Rules!$K$30,TRUE,0)</f>
        <v>0</v>
      </c>
    </row>
    <row r="90" spans="1:10">
      <c r="A90">
        <f>Fixtures!A90</f>
        <v>89</v>
      </c>
      <c r="B90" s="50" t="str">
        <f>Fixtures!B90</f>
        <v>04/07/2026 21:00</v>
      </c>
      <c r="C90" s="4" t="str">
        <f>Fixtures!C90</f>
        <v>Round of 16</v>
      </c>
      <c r="D90" s="3" t="str">
        <f>Fixtures!D90</f>
        <v>Winner 74</v>
      </c>
      <c r="G90" s="3" t="str">
        <f>Fixtures!E90</f>
        <v>Winner 77</v>
      </c>
      <c r="H90" s="3" t="str">
        <f>Fixtures!F90</f>
        <v>Philadelphia, Lincoln Financial Field</v>
      </c>
      <c r="I90" s="3"/>
      <c r="J90" s="1" cm="1">
        <f t="array" ref="J90">_xlfn.IFS(OR(ISBLANK('Results'!E90),ISBLANK('Results'!F90)),0,OR(ISBLANK(E90),ISBLANK(F90)),0,AND(E90='Results'!E90,F90='Results'!F90),Rules!$K$29,_xlfn.XOR(AND(E90&gt;F90,'Results'!E90&gt;'Results'!F90),AND(E90&lt;F90,'Results'!E90&lt;'Results'!F90),AND(E90=F90,'Results'!E90='Results'!F90)),Rules!$K$30,TRUE,0)</f>
        <v>0</v>
      </c>
    </row>
    <row r="91" spans="1:10">
      <c r="A91">
        <f>Fixtures!A91</f>
        <v>90</v>
      </c>
      <c r="B91" s="50" t="str">
        <f>Fixtures!B91</f>
        <v>04/07/2026 17:00</v>
      </c>
      <c r="C91" s="4" t="str">
        <f>Fixtures!C91</f>
        <v>Round of 16</v>
      </c>
      <c r="D91" s="3" t="str">
        <f>Fixtures!D91</f>
        <v>Winner 73</v>
      </c>
      <c r="G91" s="3" t="str">
        <f>Fixtures!E91</f>
        <v>Winner 75</v>
      </c>
      <c r="H91" s="3" t="str">
        <f>Fixtures!F91</f>
        <v>Houston, NRG Stadium</v>
      </c>
      <c r="I91" s="3"/>
      <c r="J91" s="1" cm="1">
        <f t="array" ref="J91">_xlfn.IFS(OR(ISBLANK('Results'!E91),ISBLANK('Results'!F91)),0,OR(ISBLANK(E91),ISBLANK(F91)),0,AND(E91='Results'!E91,F91='Results'!F91),Rules!$K$29,_xlfn.XOR(AND(E91&gt;F91,'Results'!E91&gt;'Results'!F91),AND(E91&lt;F91,'Results'!E91&lt;'Results'!F91),AND(E91=F91,'Results'!E91='Results'!F91)),Rules!$K$30,TRUE,0)</f>
        <v>0</v>
      </c>
    </row>
    <row r="92" spans="1:10">
      <c r="A92">
        <f>Fixtures!A92</f>
        <v>91</v>
      </c>
      <c r="B92" s="50" t="str">
        <f>Fixtures!B92</f>
        <v>05/07/2026 20:00</v>
      </c>
      <c r="C92" s="4" t="str">
        <f>Fixtures!C92</f>
        <v>Round of 16</v>
      </c>
      <c r="D92" s="3" t="str">
        <f>Fixtures!D92</f>
        <v>Winner 76</v>
      </c>
      <c r="G92" s="3" t="str">
        <f>Fixtures!E92</f>
        <v>Winner 78</v>
      </c>
      <c r="H92" s="3" t="str">
        <f>Fixtures!F92</f>
        <v>New York/New Jersey, MetLife Stadium</v>
      </c>
      <c r="I92" s="3"/>
      <c r="J92" s="1" cm="1">
        <f t="array" ref="J92">_xlfn.IFS(OR(ISBLANK('Results'!E92),ISBLANK('Results'!F92)),0,OR(ISBLANK(E92),ISBLANK(F92)),0,AND(E92='Results'!E92,F92='Results'!F92),Rules!$K$29,_xlfn.XOR(AND(E92&gt;F92,'Results'!E92&gt;'Results'!F92),AND(E92&lt;F92,'Results'!E92&lt;'Results'!F92),AND(E92=F92,'Results'!E92='Results'!F92)),Rules!$K$30,TRUE,0)</f>
        <v>0</v>
      </c>
    </row>
    <row r="93" spans="1:10">
      <c r="A93">
        <f>Fixtures!A93</f>
        <v>92</v>
      </c>
      <c r="B93" s="50" t="str">
        <f>Fixtures!B93</f>
        <v>06/07/2026 00:00</v>
      </c>
      <c r="C93" s="4" t="str">
        <f>Fixtures!C93</f>
        <v>Round of 16</v>
      </c>
      <c r="D93" s="3" t="str">
        <f>Fixtures!D93</f>
        <v>Winner 79</v>
      </c>
      <c r="G93" s="3" t="str">
        <f>Fixtures!E93</f>
        <v>Winner 80</v>
      </c>
      <c r="H93" s="3" t="str">
        <f>Fixtures!F93</f>
        <v>Mexico City, Estadio Azteca</v>
      </c>
      <c r="I93" s="3"/>
      <c r="J93" s="1" cm="1">
        <f t="array" ref="J93">_xlfn.IFS(OR(ISBLANK('Results'!E93),ISBLANK('Results'!F93)),0,OR(ISBLANK(E93),ISBLANK(F93)),0,AND(E93='Results'!E93,F93='Results'!F93),Rules!$K$29,_xlfn.XOR(AND(E93&gt;F93,'Results'!E93&gt;'Results'!F93),AND(E93&lt;F93,'Results'!E93&lt;'Results'!F93),AND(E93=F93,'Results'!E93='Results'!F93)),Rules!$K$30,TRUE,0)</f>
        <v>0</v>
      </c>
    </row>
    <row r="94" spans="1:10">
      <c r="A94">
        <f>Fixtures!A94</f>
        <v>93</v>
      </c>
      <c r="B94" s="50">
        <f>Fixtures!B94</f>
        <v>46209.791666666664</v>
      </c>
      <c r="C94" s="4" t="str">
        <f>Fixtures!C94</f>
        <v>Round of 16</v>
      </c>
      <c r="D94" s="3" t="str">
        <f>Fixtures!D94</f>
        <v>Winner 83</v>
      </c>
      <c r="G94" s="3" t="str">
        <f>Fixtures!E94</f>
        <v>Winner 84</v>
      </c>
      <c r="H94" s="3" t="str">
        <f>Fixtures!F94</f>
        <v>Dallas, AT&amp;T Stadium</v>
      </c>
      <c r="I94" s="3"/>
      <c r="J94" s="1" cm="1">
        <f t="array" ref="J94">_xlfn.IFS(OR(ISBLANK('Results'!E94),ISBLANK('Results'!F94)),0,OR(ISBLANK(E94),ISBLANK(F94)),0,AND(E94='Results'!E94,F94='Results'!F94),Rules!$K$29,_xlfn.XOR(AND(E94&gt;F94,'Results'!E94&gt;'Results'!F94),AND(E94&lt;F94,'Results'!E94&lt;'Results'!F94),AND(E94=F94,'Results'!E94='Results'!F94)),Rules!$K$30,TRUE,0)</f>
        <v>0</v>
      </c>
    </row>
    <row r="95" spans="1:10">
      <c r="A95">
        <f>Fixtures!A95</f>
        <v>94</v>
      </c>
      <c r="B95" s="50" t="str">
        <f>Fixtures!B95</f>
        <v>07/07/2026 00:00</v>
      </c>
      <c r="C95" s="4" t="str">
        <f>Fixtures!C95</f>
        <v>Round of 16</v>
      </c>
      <c r="D95" s="3" t="str">
        <f>Fixtures!D95</f>
        <v>Winner 81</v>
      </c>
      <c r="G95" s="3" t="str">
        <f>Fixtures!E95</f>
        <v>Winner 82</v>
      </c>
      <c r="H95" s="3" t="str">
        <f>Fixtures!F95</f>
        <v>Seattle, Lumen Field</v>
      </c>
      <c r="I95" s="3"/>
      <c r="J95" s="1" cm="1">
        <f t="array" ref="J95">_xlfn.IFS(OR(ISBLANK('Results'!E95),ISBLANK('Results'!F95)),0,OR(ISBLANK(E95),ISBLANK(F95)),0,AND(E95='Results'!E95,F95='Results'!F95),Rules!$K$29,_xlfn.XOR(AND(E95&gt;F95,'Results'!E95&gt;'Results'!F95),AND(E95&lt;F95,'Results'!E95&lt;'Results'!F95),AND(E95=F95,'Results'!E95='Results'!F95)),Rules!$K$30,TRUE,0)</f>
        <v>0</v>
      </c>
    </row>
    <row r="96" spans="1:10">
      <c r="A96">
        <f>Fixtures!A96</f>
        <v>95</v>
      </c>
      <c r="B96" s="50" t="str">
        <f>Fixtures!B96</f>
        <v>07/07/2026 16:00</v>
      </c>
      <c r="C96" s="4" t="str">
        <f>Fixtures!C96</f>
        <v>Round of 16</v>
      </c>
      <c r="D96" s="3" t="str">
        <f>Fixtures!D96</f>
        <v>Winner 86</v>
      </c>
      <c r="G96" s="3" t="str">
        <f>Fixtures!E96</f>
        <v>Winner 88</v>
      </c>
      <c r="H96" s="3" t="str">
        <f>Fixtures!F96</f>
        <v>Atlanta, Mercedes-Benz Stadium</v>
      </c>
      <c r="I96" s="3"/>
      <c r="J96" s="1" cm="1">
        <f t="array" ref="J96">_xlfn.IFS(OR(ISBLANK('Results'!E96),ISBLANK('Results'!F96)),0,OR(ISBLANK(E96),ISBLANK(F96)),0,AND(E96='Results'!E96,F96='Results'!F96),Rules!$K$29,_xlfn.XOR(AND(E96&gt;F96,'Results'!E96&gt;'Results'!F96),AND(E96&lt;F96,'Results'!E96&lt;'Results'!F96),AND(E96=F96,'Results'!E96='Results'!F96)),Rules!$K$30,TRUE,0)</f>
        <v>0</v>
      </c>
    </row>
    <row r="97" spans="1:10">
      <c r="A97">
        <f>Fixtures!A97</f>
        <v>96</v>
      </c>
      <c r="B97" s="50" t="str">
        <f>Fixtures!B97</f>
        <v>07/07/2026 20:00</v>
      </c>
      <c r="C97" s="4" t="str">
        <f>Fixtures!C97</f>
        <v>Round of 16</v>
      </c>
      <c r="D97" s="3" t="str">
        <f>Fixtures!D97</f>
        <v>Winner 85</v>
      </c>
      <c r="G97" s="3" t="str">
        <f>Fixtures!E97</f>
        <v>Winner 87</v>
      </c>
      <c r="H97" s="3" t="str">
        <f>Fixtures!F97</f>
        <v>Vancouver, BC Place</v>
      </c>
      <c r="I97" s="3"/>
      <c r="J97" s="1" cm="1">
        <f t="array" ref="J97">_xlfn.IFS(OR(ISBLANK('Results'!E97),ISBLANK('Results'!F97)),0,OR(ISBLANK(E97),ISBLANK(F97)),0,AND(E97='Results'!E97,F97='Results'!F97),Rules!$K$29,_xlfn.XOR(AND(E97&gt;F97,'Results'!E97&gt;'Results'!F97),AND(E97&lt;F97,'Results'!E97&lt;'Results'!F97),AND(E97=F97,'Results'!E97='Results'!F97)),Rules!$K$30,TRUE,0)</f>
        <v>0</v>
      </c>
    </row>
    <row r="98" spans="1:10">
      <c r="A98">
        <f>Fixtures!A98</f>
        <v>97</v>
      </c>
      <c r="B98" s="50" t="str">
        <f>Fixtures!B98</f>
        <v>09/07/2026 20:00</v>
      </c>
      <c r="C98" s="4" t="str">
        <f>Fixtures!C98</f>
        <v>Quarter-final</v>
      </c>
      <c r="D98" s="3" t="str">
        <f>Fixtures!D98</f>
        <v>Winner 89</v>
      </c>
      <c r="G98" s="3" t="str">
        <f>Fixtures!E98</f>
        <v>Winner 90</v>
      </c>
      <c r="H98" s="3" t="str">
        <f>Fixtures!F98</f>
        <v>Boston, Gillette Stadium</v>
      </c>
      <c r="I98" s="3"/>
      <c r="J98" s="1" cm="1">
        <f t="array" ref="J98">_xlfn.IFS(OR(ISBLANK('Results'!E98),ISBLANK('Results'!F98)),0,OR(ISBLANK(E98),ISBLANK(F98)),0,AND(E98='Results'!E98,F98='Results'!F98),Rules!$K$29,_xlfn.XOR(AND(E98&gt;F98,'Results'!E98&gt;'Results'!F98),AND(E98&lt;F98,'Results'!E98&lt;'Results'!F98),AND(E98=F98,'Results'!E98='Results'!F98)),Rules!$K$30,TRUE,0)</f>
        <v>0</v>
      </c>
    </row>
    <row r="99" spans="1:10">
      <c r="A99">
        <f>Fixtures!A99</f>
        <v>98</v>
      </c>
      <c r="B99" s="50">
        <f>Fixtures!B99</f>
        <v>46213.791666666664</v>
      </c>
      <c r="C99" s="4" t="str">
        <f>Fixtures!C99</f>
        <v>Quarter-final</v>
      </c>
      <c r="D99" s="3" t="str">
        <f>Fixtures!D99</f>
        <v>Winner 93</v>
      </c>
      <c r="G99" s="3" t="str">
        <f>Fixtures!E99</f>
        <v>Winner 94</v>
      </c>
      <c r="H99" s="3" t="str">
        <f>Fixtures!F99</f>
        <v>Los Angeles, SoFi Stadium</v>
      </c>
      <c r="I99" s="3"/>
      <c r="J99" s="1" cm="1">
        <f t="array" ref="J99">_xlfn.IFS(OR(ISBLANK('Results'!E99),ISBLANK('Results'!F99)),0,OR(ISBLANK(E99),ISBLANK(F99)),0,AND(E99='Results'!E99,F99='Results'!F99),Rules!$K$29,_xlfn.XOR(AND(E99&gt;F99,'Results'!E99&gt;'Results'!F99),AND(E99&lt;F99,'Results'!E99&lt;'Results'!F99),AND(E99=F99,'Results'!E99='Results'!F99)),Rules!$K$30,TRUE,0)</f>
        <v>0</v>
      </c>
    </row>
    <row r="100" spans="1:10">
      <c r="A100">
        <f>Fixtures!A100</f>
        <v>99</v>
      </c>
      <c r="B100" s="50" t="str">
        <f>Fixtures!B100</f>
        <v>11/07/2026 21:00</v>
      </c>
      <c r="C100" s="4" t="str">
        <f>Fixtures!C100</f>
        <v>Quarter-final</v>
      </c>
      <c r="D100" s="3" t="str">
        <f>Fixtures!D100</f>
        <v>Winner 91</v>
      </c>
      <c r="G100" s="3" t="str">
        <f>Fixtures!E100</f>
        <v>Winner 92</v>
      </c>
      <c r="H100" s="3" t="str">
        <f>Fixtures!F100</f>
        <v>Miami, Hard Rock Stadium</v>
      </c>
      <c r="I100" s="3"/>
      <c r="J100" s="1" cm="1">
        <f t="array" ref="J100">_xlfn.IFS(OR(ISBLANK('Results'!E100),ISBLANK('Results'!F100)),0,OR(ISBLANK(E100),ISBLANK(F100)),0,AND(E100='Results'!E100,F100='Results'!F100),Rules!$K$29,_xlfn.XOR(AND(E100&gt;F100,'Results'!E100&gt;'Results'!F100),AND(E100&lt;F100,'Results'!E100&lt;'Results'!F100),AND(E100=F100,'Results'!E100='Results'!F100)),Rules!$K$30,TRUE,0)</f>
        <v>0</v>
      </c>
    </row>
    <row r="101" spans="1:10">
      <c r="A101">
        <f>Fixtures!A101</f>
        <v>100</v>
      </c>
      <c r="B101" s="50" t="str">
        <f>Fixtures!B101</f>
        <v>12/07/2026 01:00</v>
      </c>
      <c r="C101" s="4" t="str">
        <f>Fixtures!C101</f>
        <v>Quarter-final</v>
      </c>
      <c r="D101" s="3" t="str">
        <f>Fixtures!D101</f>
        <v>Winner 95</v>
      </c>
      <c r="G101" s="3" t="str">
        <f>Fixtures!E101</f>
        <v>Winner 96</v>
      </c>
      <c r="H101" s="3" t="str">
        <f>Fixtures!F101</f>
        <v>Kansas City, Arrowhead Stadium</v>
      </c>
      <c r="I101" s="3"/>
      <c r="J101" s="1" cm="1">
        <f t="array" ref="J101">_xlfn.IFS(OR(ISBLANK('Results'!E101),ISBLANK('Results'!F101)),0,OR(ISBLANK(E101),ISBLANK(F101)),0,AND(E101='Results'!E101,F101='Results'!F101),Rules!$K$29,_xlfn.XOR(AND(E101&gt;F101,'Results'!E101&gt;'Results'!F101),AND(E101&lt;F101,'Results'!E101&lt;'Results'!F101),AND(E101=F101,'Results'!E101='Results'!F101)),Rules!$K$30,TRUE,0)</f>
        <v>0</v>
      </c>
    </row>
    <row r="102" spans="1:10">
      <c r="A102">
        <f>Fixtures!A102</f>
        <v>101</v>
      </c>
      <c r="B102" s="50">
        <f>Fixtures!B102</f>
        <v>46217.791666666664</v>
      </c>
      <c r="C102" s="4" t="str">
        <f>Fixtures!C102</f>
        <v>Semi-final</v>
      </c>
      <c r="D102" s="3" t="str">
        <f>Fixtures!D102</f>
        <v>Winner 97</v>
      </c>
      <c r="G102" s="3" t="str">
        <f>Fixtures!E102</f>
        <v>Winner 98</v>
      </c>
      <c r="H102" s="3" t="str">
        <f>Fixtures!F102</f>
        <v>Dallas, AT&amp;T Stadium</v>
      </c>
      <c r="I102" s="3"/>
      <c r="J102" s="1" cm="1">
        <f t="array" ref="J102">_xlfn.IFS(OR(ISBLANK('Results'!E102),ISBLANK('Results'!F102)),0,OR(ISBLANK(E102),ISBLANK(F102)),0,AND(E102='Results'!E102,F102='Results'!F102),Rules!$K$29,_xlfn.XOR(AND(E102&gt;F102,'Results'!E102&gt;'Results'!F102),AND(E102&lt;F102,'Results'!E102&lt;'Results'!F102),AND(E102=F102,'Results'!E102='Results'!F102)),Rules!$K$30,TRUE,0)</f>
        <v>0</v>
      </c>
    </row>
    <row r="103" spans="1:10">
      <c r="A103">
        <f>Fixtures!A103</f>
        <v>102</v>
      </c>
      <c r="B103" s="50">
        <f>Fixtures!B103</f>
        <v>46218.791666666664</v>
      </c>
      <c r="C103" s="4" t="str">
        <f>Fixtures!C103</f>
        <v>Semi-final</v>
      </c>
      <c r="D103" s="3" t="str">
        <f>Fixtures!D103</f>
        <v>Winner 99</v>
      </c>
      <c r="G103" s="3" t="str">
        <f>Fixtures!E103</f>
        <v>Winner 100</v>
      </c>
      <c r="H103" s="3" t="str">
        <f>Fixtures!F103</f>
        <v>Atlanta, Mercedes-Benz Stadium</v>
      </c>
      <c r="I103" s="3"/>
      <c r="J103" s="1" cm="1">
        <f t="array" ref="J103">_xlfn.IFS(OR(ISBLANK('Results'!E103),ISBLANK('Results'!F103)),0,OR(ISBLANK(E103),ISBLANK(F103)),0,AND(E103='Results'!E103,F103='Results'!F103),Rules!$K$29,_xlfn.XOR(AND(E103&gt;F103,'Results'!E103&gt;'Results'!F103),AND(E103&lt;F103,'Results'!E103&lt;'Results'!F103),AND(E103=F103,'Results'!E103='Results'!F103)),Rules!$K$30,TRUE,0)</f>
        <v>0</v>
      </c>
    </row>
    <row r="104" spans="1:10">
      <c r="A104">
        <f>Fixtures!A104</f>
        <v>103</v>
      </c>
      <c r="B104" s="50" t="str">
        <f>Fixtures!B104</f>
        <v>18/07/2026 21:00</v>
      </c>
      <c r="C104" s="4" t="str">
        <f>Fixtures!C104</f>
        <v>Third-place play-off</v>
      </c>
      <c r="D104" s="3" t="str">
        <f>Fixtures!D104</f>
        <v>Loser 101</v>
      </c>
      <c r="G104" s="3" t="str">
        <f>Fixtures!E104</f>
        <v>Loser 102</v>
      </c>
      <c r="H104" s="3" t="str">
        <f>Fixtures!F104</f>
        <v>Miami, Hard Rock Stadium</v>
      </c>
      <c r="I104" s="3"/>
      <c r="J104" s="1" cm="1">
        <f t="array" ref="J104">_xlfn.IFS(OR(ISBLANK('Results'!E104),ISBLANK('Results'!F104)),0,OR(ISBLANK(E104),ISBLANK(F104)),0,AND(E104='Results'!E104,F104='Results'!F104),Rules!$K$29,_xlfn.XOR(AND(E104&gt;F104,'Results'!E104&gt;'Results'!F104),AND(E104&lt;F104,'Results'!E104&lt;'Results'!F104),AND(E104=F104,'Results'!E104='Results'!F104)),Rules!$K$30,TRUE,0)</f>
        <v>0</v>
      </c>
    </row>
    <row r="105" spans="1:10">
      <c r="A105">
        <f>Fixtures!A105</f>
        <v>104</v>
      </c>
      <c r="B105" s="50">
        <f>Fixtures!B105</f>
        <v>46222.791666666664</v>
      </c>
      <c r="C105" s="4" t="str">
        <f>Fixtures!C105</f>
        <v>Final</v>
      </c>
      <c r="D105" s="3" t="str">
        <f>Fixtures!D105</f>
        <v>Winner 101</v>
      </c>
      <c r="G105" s="3" t="str">
        <f>Fixtures!E105</f>
        <v>Winner 102</v>
      </c>
      <c r="H105" s="3" t="str">
        <f>Fixtures!F105</f>
        <v>New York/New Jersey, MetLife Stadium</v>
      </c>
      <c r="I105" s="3"/>
      <c r="J105" s="1" cm="1">
        <f t="array" ref="J105">_xlfn.IFS(OR(ISBLANK('Results'!E105),ISBLANK('Results'!F105)),0,OR(ISBLANK(E105),ISBLANK(F105)),0,AND(E105='Results'!E105,F105='Results'!F105),Rules!$K$29,_xlfn.XOR(AND(E105&gt;F105,'Results'!E105&gt;'Results'!F105),AND(E105&lt;F105,'Results'!E105&lt;'Results'!F105),AND(E105=F105,'Results'!E105='Results'!F105)),Rules!$K$30,TRUE,0)</f>
        <v>0</v>
      </c>
    </row>
  </sheetData>
  <protectedRanges>
    <protectedRange sqref="E2:F73" name="Groups"/>
  </protectedRanges>
  <mergeCells count="9">
    <mergeCell ref="L2:M3"/>
    <mergeCell ref="L29:M29"/>
    <mergeCell ref="L32:M32"/>
    <mergeCell ref="L27:M27"/>
    <mergeCell ref="L24:M24"/>
    <mergeCell ref="L4:M4"/>
    <mergeCell ref="L19:M19"/>
    <mergeCell ref="L23:M23"/>
    <mergeCell ref="L26:M26"/>
  </mergeCells>
  <conditionalFormatting sqref="E2:F105 M6:M17 M20:M21 L24 L27 M30 M33:M35">
    <cfRule type="containsBlanks" dxfId="0" priority="2">
      <formula>LEN(TRIM(E2))=0</formula>
    </cfRule>
  </conditionalFormatting>
  <dataValidations count="2">
    <dataValidation type="whole" allowBlank="1" showInputMessage="1" showErrorMessage="1" sqref="E2:F105" xr:uid="{9CE97CB4-E236-43CC-BDA2-E7D81C68FF70}">
      <formula1>0</formula1>
      <formula2>20</formula2>
    </dataValidation>
    <dataValidation type="whole" allowBlank="1" showInputMessage="1" showErrorMessage="1" sqref="M33:M35" xr:uid="{DE9FE0CB-E33E-4FA3-8352-342FEED02A76}">
      <formula1>0</formula1>
      <formula2>50</formula2>
    </dataValidation>
  </dataValidations>
  <pageMargins left="0.7" right="0.7" top="0.75" bottom="0.75" header="0.3" footer="0.3"/>
  <pageSetup scale="46" fitToHeight="0"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9EE3FCC8-AA6D-418D-A94A-B51C1E0CE712}">
          <x14:formula1>
            <xm:f>'Countries'!$A$2:$A$49</xm:f>
          </x14:formula1>
          <xm:sqref>M20:M21 L27 M6:M11 M13:M17 L24</xm:sqref>
        </x14:dataValidation>
        <x14:dataValidation type="list" allowBlank="1" showInputMessage="1" showErrorMessage="1" xr:uid="{168A712E-97E1-4A42-B3EB-72D89726B91F}">
          <x14:formula1>
            <xm:f>'Team_Sheet(s)'!$B$4:$B$29</xm:f>
          </x14:formula1>
          <xm:sqref>M30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54B88-9A11-49A0-90B2-7C67A54FC4E6}">
  <sheetPr>
    <pageSetUpPr fitToPage="1"/>
  </sheetPr>
  <dimension ref="A1:K105"/>
  <sheetViews>
    <sheetView workbookViewId="0">
      <pane ySplit="1" topLeftCell="A2" activePane="bottomLeft" state="frozen"/>
      <selection pane="bottomLeft" activeCell="A2" sqref="A2"/>
    </sheetView>
  </sheetViews>
  <sheetFormatPr defaultRowHeight="14.4"/>
  <cols>
    <col min="1" max="1" width="10" bestFit="1" customWidth="1"/>
    <col min="2" max="2" width="17.77734375" style="11" bestFit="1" customWidth="1"/>
    <col min="3" max="3" width="18.21875" style="4" bestFit="1" customWidth="1"/>
    <col min="4" max="4" width="21.77734375" style="3" bestFit="1" customWidth="1"/>
    <col min="5" max="6" width="8.88671875" bestFit="1" customWidth="1"/>
    <col min="7" max="7" width="21.77734375" style="3" bestFit="1" customWidth="1"/>
    <col min="8" max="8" width="12.88671875" style="3" bestFit="1" customWidth="1"/>
    <col min="10" max="10" width="8.77734375" customWidth="1"/>
    <col min="11" max="11" width="16.44140625" customWidth="1"/>
  </cols>
  <sheetData>
    <row r="1" spans="1:11" ht="14.4" customHeight="1">
      <c r="A1" s="18" t="s">
        <v>50</v>
      </c>
      <c r="B1" s="24" t="s">
        <v>51</v>
      </c>
      <c r="C1" s="25" t="s">
        <v>52</v>
      </c>
      <c r="D1" s="26" t="s">
        <v>53</v>
      </c>
      <c r="E1" s="18" t="s">
        <v>59</v>
      </c>
      <c r="F1" s="18" t="s">
        <v>60</v>
      </c>
      <c r="G1" s="26" t="s">
        <v>54</v>
      </c>
      <c r="H1" s="26" t="s">
        <v>138</v>
      </c>
      <c r="J1" s="51"/>
      <c r="K1" s="51"/>
    </row>
    <row r="2" spans="1:11" ht="14.4" customHeight="1">
      <c r="A2">
        <f>Fixtures!A2</f>
        <v>1</v>
      </c>
      <c r="B2" s="11">
        <f>Fixtures!B2</f>
        <v>46184.791666666664</v>
      </c>
      <c r="C2" s="4" t="str">
        <f>Fixtures!C2</f>
        <v>Group A</v>
      </c>
      <c r="D2" s="3" t="str">
        <f>Fixtures!D2</f>
        <v>Mexico</v>
      </c>
      <c r="G2" s="3" t="str">
        <f>Fixtures!E2</f>
        <v>South Africa</v>
      </c>
      <c r="J2" s="79" t="s">
        <v>143</v>
      </c>
      <c r="K2" s="79"/>
    </row>
    <row r="3" spans="1:11">
      <c r="A3">
        <f>Fixtures!A3</f>
        <v>2</v>
      </c>
      <c r="B3" s="11">
        <f>Fixtures!B3</f>
        <v>46185.083333333336</v>
      </c>
      <c r="C3" s="4" t="str">
        <f>Fixtures!C3</f>
        <v>Group A</v>
      </c>
      <c r="D3" s="3" t="str">
        <f>Fixtures!D3</f>
        <v>Korea Republic</v>
      </c>
      <c r="G3" s="3" t="str">
        <f>Fixtures!E3</f>
        <v>Czechia</v>
      </c>
      <c r="J3" s="80"/>
      <c r="K3" s="80"/>
    </row>
    <row r="4" spans="1:11">
      <c r="A4">
        <f>Fixtures!A4</f>
        <v>3</v>
      </c>
      <c r="B4" s="11">
        <f>Fixtures!B4</f>
        <v>46185.791666666664</v>
      </c>
      <c r="C4" s="4" t="str">
        <f>Fixtures!C4</f>
        <v>Group B</v>
      </c>
      <c r="D4" s="3" t="str">
        <f>Fixtures!D4</f>
        <v>Canada</v>
      </c>
      <c r="G4" s="3" t="str">
        <f>Fixtures!E4</f>
        <v>Bosnia and Herzegovina</v>
      </c>
      <c r="J4" s="81" t="s">
        <v>188</v>
      </c>
      <c r="K4" s="82"/>
    </row>
    <row r="5" spans="1:11">
      <c r="A5">
        <f>Fixtures!A5</f>
        <v>4</v>
      </c>
      <c r="B5" s="11">
        <f>Fixtures!B5</f>
        <v>46186.041666666664</v>
      </c>
      <c r="C5" s="4" t="str">
        <f>Fixtures!C5</f>
        <v>Group D</v>
      </c>
      <c r="D5" s="3" t="str">
        <f>Fixtures!D5</f>
        <v>USA</v>
      </c>
      <c r="G5" s="3" t="str">
        <f>Fixtures!E5</f>
        <v>Paraguay</v>
      </c>
      <c r="J5" s="31" t="s">
        <v>1</v>
      </c>
      <c r="K5" s="32" t="s">
        <v>61</v>
      </c>
    </row>
    <row r="6" spans="1:11">
      <c r="A6">
        <f>Fixtures!A6</f>
        <v>5</v>
      </c>
      <c r="B6" s="11">
        <f>Fixtures!B6</f>
        <v>46186.791666666664</v>
      </c>
      <c r="C6" s="4" t="str">
        <f>Fixtures!C6</f>
        <v>Group B</v>
      </c>
      <c r="D6" s="3" t="str">
        <f>Fixtures!D6</f>
        <v>Qatar</v>
      </c>
      <c r="G6" s="3" t="str">
        <f>Fixtures!E6</f>
        <v>Switzerland</v>
      </c>
      <c r="J6" s="28" t="s">
        <v>7</v>
      </c>
      <c r="K6" s="29"/>
    </row>
    <row r="7" spans="1:11">
      <c r="A7">
        <f>Fixtures!A7</f>
        <v>6</v>
      </c>
      <c r="B7" s="11">
        <f>Fixtures!B7</f>
        <v>46186.916666666664</v>
      </c>
      <c r="C7" s="4" t="str">
        <f>Fixtures!C7</f>
        <v>Group C</v>
      </c>
      <c r="D7" s="3" t="str">
        <f>Fixtures!D7</f>
        <v>Brazil</v>
      </c>
      <c r="G7" s="3" t="str">
        <f>Fixtures!E7</f>
        <v>Morocco</v>
      </c>
      <c r="J7" s="28" t="s">
        <v>8</v>
      </c>
      <c r="K7" s="29"/>
    </row>
    <row r="8" spans="1:11">
      <c r="A8">
        <f>Fixtures!A8</f>
        <v>7</v>
      </c>
      <c r="B8" s="11">
        <f>Fixtures!B8</f>
        <v>46187.041666666664</v>
      </c>
      <c r="C8" s="4" t="str">
        <f>Fixtures!C8</f>
        <v>Group C</v>
      </c>
      <c r="D8" s="3" t="str">
        <f>Fixtures!D8</f>
        <v>Haiti</v>
      </c>
      <c r="G8" s="3" t="str">
        <f>Fixtures!E8</f>
        <v>Scotland</v>
      </c>
      <c r="J8" s="28" t="s">
        <v>10</v>
      </c>
      <c r="K8" s="29"/>
    </row>
    <row r="9" spans="1:11">
      <c r="A9">
        <f>Fixtures!A9</f>
        <v>8</v>
      </c>
      <c r="B9" s="11">
        <f>Fixtures!B9</f>
        <v>46187.166666666664</v>
      </c>
      <c r="C9" s="4" t="str">
        <f>Fixtures!C9</f>
        <v>Group D</v>
      </c>
      <c r="D9" s="3" t="str">
        <f>Fixtures!D9</f>
        <v>Australia</v>
      </c>
      <c r="G9" s="3" t="str">
        <f>Fixtures!E9</f>
        <v>Türkiye</v>
      </c>
      <c r="J9" s="28" t="s">
        <v>6</v>
      </c>
      <c r="K9" s="29"/>
    </row>
    <row r="10" spans="1:11">
      <c r="A10">
        <f>Fixtures!A10</f>
        <v>9</v>
      </c>
      <c r="B10" s="11">
        <f>Fixtures!B10</f>
        <v>46187.708333333336</v>
      </c>
      <c r="C10" s="4" t="str">
        <f>Fixtures!C10</f>
        <v>Group E</v>
      </c>
      <c r="D10" s="3" t="str">
        <f>Fixtures!D10</f>
        <v>Germany</v>
      </c>
      <c r="G10" s="3" t="str">
        <f>Fixtures!E10</f>
        <v>Curaçao</v>
      </c>
      <c r="J10" s="28" t="s">
        <v>13</v>
      </c>
      <c r="K10" s="29"/>
    </row>
    <row r="11" spans="1:11">
      <c r="A11">
        <f>Fixtures!A11</f>
        <v>10</v>
      </c>
      <c r="B11" s="11">
        <f>Fixtures!B11</f>
        <v>46187.833333333336</v>
      </c>
      <c r="C11" s="4" t="str">
        <f>Fixtures!C11</f>
        <v>Group F</v>
      </c>
      <c r="D11" s="3" t="str">
        <f>Fixtures!D11</f>
        <v>Netherlands</v>
      </c>
      <c r="G11" s="3" t="str">
        <f>Fixtures!E11</f>
        <v>Japan</v>
      </c>
      <c r="J11" s="28" t="s">
        <v>15</v>
      </c>
      <c r="K11" s="29"/>
    </row>
    <row r="12" spans="1:11">
      <c r="A12">
        <f>Fixtures!A12</f>
        <v>11</v>
      </c>
      <c r="B12" s="11">
        <f>Fixtures!B12</f>
        <v>46187.958333333336</v>
      </c>
      <c r="C12" s="4" t="str">
        <f>Fixtures!C12</f>
        <v>Group E</v>
      </c>
      <c r="D12" s="3" t="str">
        <f>Fixtures!D12</f>
        <v>Côte d'Ivoire</v>
      </c>
      <c r="G12" s="3" t="str">
        <f>Fixtures!E12</f>
        <v>Ecuador</v>
      </c>
      <c r="J12" s="28" t="s">
        <v>9</v>
      </c>
      <c r="K12" s="29"/>
    </row>
    <row r="13" spans="1:11">
      <c r="A13">
        <f>Fixtures!A13</f>
        <v>12</v>
      </c>
      <c r="B13" s="11">
        <f>Fixtures!B13</f>
        <v>46188.083333333336</v>
      </c>
      <c r="C13" s="4" t="str">
        <f>Fixtures!C13</f>
        <v>Group F</v>
      </c>
      <c r="D13" s="3" t="str">
        <f>Fixtures!D13</f>
        <v>Sweden</v>
      </c>
      <c r="G13" s="3" t="str">
        <f>Fixtures!E13</f>
        <v>Tunisia</v>
      </c>
      <c r="J13" s="28" t="s">
        <v>14</v>
      </c>
      <c r="K13" s="29"/>
    </row>
    <row r="14" spans="1:11">
      <c r="A14">
        <f>Fixtures!A14</f>
        <v>13</v>
      </c>
      <c r="B14" s="11">
        <f>Fixtures!B14</f>
        <v>46188.666666666664</v>
      </c>
      <c r="C14" s="4" t="str">
        <f>Fixtures!C14</f>
        <v>Group H</v>
      </c>
      <c r="D14" s="3" t="str">
        <f>Fixtures!D14</f>
        <v>Spain</v>
      </c>
      <c r="G14" s="3" t="str">
        <f>Fixtures!E14</f>
        <v>Cabo Verde</v>
      </c>
      <c r="J14" s="28" t="s">
        <v>21</v>
      </c>
      <c r="K14" s="29"/>
    </row>
    <row r="15" spans="1:11">
      <c r="A15">
        <f>Fixtures!A15</f>
        <v>14</v>
      </c>
      <c r="B15" s="11">
        <f>Fixtures!B15</f>
        <v>46188.791666666664</v>
      </c>
      <c r="C15" s="4" t="str">
        <f>Fixtures!C15</f>
        <v>Group G</v>
      </c>
      <c r="D15" s="3" t="str">
        <f>Fixtures!D15</f>
        <v>Belgium</v>
      </c>
      <c r="G15" s="3" t="str">
        <f>Fixtures!E15</f>
        <v>Egypt</v>
      </c>
      <c r="J15" s="28" t="s">
        <v>3</v>
      </c>
      <c r="K15" s="29"/>
    </row>
    <row r="16" spans="1:11">
      <c r="A16">
        <f>Fixtures!A16</f>
        <v>15</v>
      </c>
      <c r="B16" s="11">
        <f>Fixtures!B16</f>
        <v>46188.916666666664</v>
      </c>
      <c r="C16" s="4" t="str">
        <f>Fixtures!C16</f>
        <v>Group H</v>
      </c>
      <c r="D16" s="3" t="str">
        <f>Fixtures!D16</f>
        <v>Saudi Arabia</v>
      </c>
      <c r="G16" s="3" t="str">
        <f>Fixtures!E16</f>
        <v>Uruguay</v>
      </c>
      <c r="J16" s="28" t="s">
        <v>17</v>
      </c>
      <c r="K16" s="29"/>
    </row>
    <row r="17" spans="1:11">
      <c r="A17">
        <f>Fixtures!A17</f>
        <v>16</v>
      </c>
      <c r="B17" s="11">
        <f>Fixtures!B17</f>
        <v>46189.041666666664</v>
      </c>
      <c r="C17" s="4" t="str">
        <f>Fixtures!C17</f>
        <v>Group G</v>
      </c>
      <c r="D17" s="3" t="str">
        <f>Fixtures!D17</f>
        <v>IR Iran</v>
      </c>
      <c r="G17" s="3" t="str">
        <f>Fixtures!E17</f>
        <v>New Zealand</v>
      </c>
      <c r="J17" s="30" t="s">
        <v>19</v>
      </c>
      <c r="K17" s="12"/>
    </row>
    <row r="18" spans="1:11">
      <c r="A18">
        <f>Fixtures!A18</f>
        <v>17</v>
      </c>
      <c r="B18" s="11">
        <f>Fixtures!B18</f>
        <v>46189.791666666664</v>
      </c>
      <c r="C18" s="4" t="str">
        <f>Fixtures!C18</f>
        <v>Group I</v>
      </c>
      <c r="D18" s="3" t="str">
        <f>Fixtures!D18</f>
        <v>France</v>
      </c>
      <c r="G18" s="3" t="str">
        <f>Fixtures!E18</f>
        <v>Senegal</v>
      </c>
      <c r="J18" s="83"/>
      <c r="K18" s="83"/>
    </row>
    <row r="19" spans="1:11">
      <c r="A19">
        <f>Fixtures!A19</f>
        <v>18</v>
      </c>
      <c r="B19" s="11">
        <f>Fixtures!B19</f>
        <v>46189.916666666664</v>
      </c>
      <c r="C19" s="4" t="str">
        <f>Fixtures!C19</f>
        <v>Group I</v>
      </c>
      <c r="D19" s="3" t="str">
        <f>Fixtures!D19</f>
        <v>Iraq</v>
      </c>
      <c r="G19" s="3" t="str">
        <f>Fixtures!E19</f>
        <v>Norway</v>
      </c>
      <c r="J19" s="84" t="s">
        <v>62</v>
      </c>
      <c r="K19" s="85"/>
    </row>
    <row r="20" spans="1:11">
      <c r="A20">
        <f>Fixtures!A20</f>
        <v>19</v>
      </c>
      <c r="B20" s="11">
        <f>Fixtures!B20</f>
        <v>46190.041666666664</v>
      </c>
      <c r="C20" s="4" t="str">
        <f>Fixtures!C20</f>
        <v>Group J</v>
      </c>
      <c r="D20" s="3" t="str">
        <f>Fixtures!D20</f>
        <v>Argentina</v>
      </c>
      <c r="G20" s="3" t="str">
        <f>Fixtures!E20</f>
        <v>Algeria</v>
      </c>
      <c r="J20" s="7" t="s">
        <v>63</v>
      </c>
      <c r="K20" s="9"/>
    </row>
    <row r="21" spans="1:11">
      <c r="A21">
        <f>Fixtures!A21</f>
        <v>20</v>
      </c>
      <c r="B21" s="11">
        <f>Fixtures!B21</f>
        <v>46190.166666666664</v>
      </c>
      <c r="C21" s="4" t="str">
        <f>Fixtures!C21</f>
        <v>Group J</v>
      </c>
      <c r="D21" s="3" t="str">
        <f>Fixtures!D21</f>
        <v>Austria</v>
      </c>
      <c r="G21" s="3" t="str">
        <f>Fixtures!E21</f>
        <v>Jordan</v>
      </c>
      <c r="J21" s="8" t="s">
        <v>64</v>
      </c>
      <c r="K21" s="10"/>
    </row>
    <row r="22" spans="1:11">
      <c r="A22">
        <f>Fixtures!A22</f>
        <v>21</v>
      </c>
      <c r="B22" s="11">
        <f>Fixtures!B22</f>
        <v>46190.708333333336</v>
      </c>
      <c r="C22" s="4" t="str">
        <f>Fixtures!C22</f>
        <v>Group K</v>
      </c>
      <c r="D22" s="3" t="str">
        <f>Fixtures!D22</f>
        <v>Portugal</v>
      </c>
      <c r="G22" s="3" t="str">
        <f>Fixtures!E22</f>
        <v>Congo DR</v>
      </c>
    </row>
    <row r="23" spans="1:11">
      <c r="A23">
        <f>Fixtures!A23</f>
        <v>22</v>
      </c>
      <c r="B23" s="11">
        <f>Fixtures!B23</f>
        <v>46190.833333333336</v>
      </c>
      <c r="C23" s="4" t="str">
        <f>Fixtures!C23</f>
        <v>Group L</v>
      </c>
      <c r="D23" s="3" t="str">
        <f>Fixtures!D23</f>
        <v>England</v>
      </c>
      <c r="G23" s="3" t="str">
        <f>Fixtures!E23</f>
        <v>Croatia</v>
      </c>
      <c r="J23" s="84" t="s">
        <v>65</v>
      </c>
      <c r="K23" s="85"/>
    </row>
    <row r="24" spans="1:11">
      <c r="A24">
        <f>Fixtures!A24</f>
        <v>23</v>
      </c>
      <c r="B24" s="11">
        <f>Fixtures!B24</f>
        <v>46190.958333333336</v>
      </c>
      <c r="C24" s="4" t="str">
        <f>Fixtures!C24</f>
        <v>Group L</v>
      </c>
      <c r="D24" s="3" t="str">
        <f>Fixtures!D24</f>
        <v>Ghana</v>
      </c>
      <c r="G24" s="3" t="str">
        <f>Fixtures!E24</f>
        <v>Panama</v>
      </c>
      <c r="J24" s="89"/>
      <c r="K24" s="90"/>
    </row>
    <row r="25" spans="1:11">
      <c r="A25">
        <f>Fixtures!A25</f>
        <v>24</v>
      </c>
      <c r="B25" s="11">
        <f>Fixtures!B25</f>
        <v>46191.083333333336</v>
      </c>
      <c r="C25" s="4" t="str">
        <f>Fixtures!C25</f>
        <v>Group K</v>
      </c>
      <c r="D25" s="3" t="str">
        <f>Fixtures!D25</f>
        <v>Uzbekistan</v>
      </c>
      <c r="G25" s="3" t="str">
        <f>Fixtures!E25</f>
        <v>Colombia</v>
      </c>
    </row>
    <row r="26" spans="1:11">
      <c r="A26">
        <f>Fixtures!A26</f>
        <v>25</v>
      </c>
      <c r="B26" s="11">
        <f>Fixtures!B26</f>
        <v>46191.666666666664</v>
      </c>
      <c r="C26" s="4" t="str">
        <f>Fixtures!C26</f>
        <v>Group A</v>
      </c>
      <c r="D26" s="3" t="str">
        <f>Fixtures!D26</f>
        <v>Czechia</v>
      </c>
      <c r="G26" s="3" t="str">
        <f>Fixtures!E26</f>
        <v>South Africa</v>
      </c>
      <c r="J26" s="86" t="s">
        <v>66</v>
      </c>
      <c r="K26" s="86"/>
    </row>
    <row r="27" spans="1:11">
      <c r="A27">
        <f>Fixtures!A27</f>
        <v>26</v>
      </c>
      <c r="B27" s="11">
        <f>Fixtures!B27</f>
        <v>46191.791666666664</v>
      </c>
      <c r="C27" s="4" t="str">
        <f>Fixtures!C27</f>
        <v>Group B</v>
      </c>
      <c r="D27" s="3" t="str">
        <f>Fixtures!D27</f>
        <v>Switzerland</v>
      </c>
      <c r="G27" s="3" t="str">
        <f>Fixtures!E27</f>
        <v>Bosnia and Herzegovina</v>
      </c>
      <c r="J27" s="91"/>
      <c r="K27" s="91"/>
    </row>
    <row r="28" spans="1:11">
      <c r="A28">
        <f>Fixtures!A28</f>
        <v>27</v>
      </c>
      <c r="B28" s="11">
        <f>Fixtures!B28</f>
        <v>46191.916666666664</v>
      </c>
      <c r="C28" s="4" t="str">
        <f>Fixtures!C28</f>
        <v>Group B</v>
      </c>
      <c r="D28" s="3" t="str">
        <f>Fixtures!D28</f>
        <v>Canada</v>
      </c>
      <c r="G28" s="3" t="str">
        <f>Fixtures!E28</f>
        <v>Qatar</v>
      </c>
    </row>
    <row r="29" spans="1:11">
      <c r="A29">
        <f>Fixtures!A29</f>
        <v>28</v>
      </c>
      <c r="B29" s="11">
        <f>Fixtures!B29</f>
        <v>46192.041666666664</v>
      </c>
      <c r="C29" s="4" t="str">
        <f>Fixtures!C29</f>
        <v>Group A</v>
      </c>
      <c r="D29" s="3" t="str">
        <f>Fixtures!D29</f>
        <v>Mexico</v>
      </c>
      <c r="G29" s="3" t="str">
        <f>Fixtures!E29</f>
        <v>Korea Republic</v>
      </c>
      <c r="J29" s="81" t="s">
        <v>67</v>
      </c>
      <c r="K29" s="82"/>
    </row>
    <row r="30" spans="1:11">
      <c r="A30">
        <f>Fixtures!A30</f>
        <v>29</v>
      </c>
      <c r="B30" s="11">
        <f>Fixtures!B30</f>
        <v>46192.791666666664</v>
      </c>
      <c r="C30" s="4" t="str">
        <f>Fixtures!C30</f>
        <v>Group D</v>
      </c>
      <c r="D30" s="3" t="str">
        <f>Fixtures!D30</f>
        <v>USA</v>
      </c>
      <c r="G30" s="3" t="str">
        <f>Fixtures!E30</f>
        <v>Australia</v>
      </c>
      <c r="J30" s="52" t="s">
        <v>23</v>
      </c>
      <c r="K30" s="53"/>
    </row>
    <row r="31" spans="1:11">
      <c r="A31">
        <f>Fixtures!A31</f>
        <v>30</v>
      </c>
      <c r="B31" s="11">
        <f>Fixtures!B31</f>
        <v>46192.916666666664</v>
      </c>
      <c r="C31" s="4" t="str">
        <f>Fixtures!C31</f>
        <v>Group C</v>
      </c>
      <c r="D31" s="3" t="str">
        <f>Fixtures!D31</f>
        <v>Scotland</v>
      </c>
      <c r="G31" s="3" t="str">
        <f>Fixtures!E31</f>
        <v>Morocco</v>
      </c>
    </row>
    <row r="32" spans="1:11">
      <c r="A32">
        <f>Fixtures!A32</f>
        <v>31</v>
      </c>
      <c r="B32" s="11">
        <f>Fixtures!B32</f>
        <v>46193.020833333336</v>
      </c>
      <c r="C32" s="4" t="str">
        <f>Fixtures!C32</f>
        <v>Group C</v>
      </c>
      <c r="D32" s="3" t="str">
        <f>Fixtures!D32</f>
        <v>Brazil</v>
      </c>
      <c r="G32" s="3" t="str">
        <f>Fixtures!E32</f>
        <v>Haiti</v>
      </c>
      <c r="J32" s="62" t="s">
        <v>144</v>
      </c>
      <c r="K32" s="63"/>
    </row>
    <row r="33" spans="1:11">
      <c r="A33">
        <f>Fixtures!A33</f>
        <v>32</v>
      </c>
      <c r="B33" s="11">
        <f>Fixtures!B33</f>
        <v>46193.125</v>
      </c>
      <c r="C33" s="4" t="str">
        <f>Fixtures!C33</f>
        <v>Group D</v>
      </c>
      <c r="D33" s="3" t="str">
        <f>Fixtures!D33</f>
        <v>Türkiye</v>
      </c>
      <c r="G33" s="3" t="str">
        <f>Fixtures!E33</f>
        <v>Paraguay</v>
      </c>
      <c r="J33" s="15" t="s">
        <v>12</v>
      </c>
      <c r="K33" s="15"/>
    </row>
    <row r="34" spans="1:11">
      <c r="A34">
        <f>Fixtures!A34</f>
        <v>33</v>
      </c>
      <c r="B34" s="11">
        <f>Fixtures!B34</f>
        <v>46193.708333333336</v>
      </c>
      <c r="C34" s="4" t="str">
        <f>Fixtures!C34</f>
        <v>Group F</v>
      </c>
      <c r="D34" s="3" t="str">
        <f>Fixtures!D34</f>
        <v>Netherlands</v>
      </c>
      <c r="G34" s="3" t="str">
        <f>Fixtures!E34</f>
        <v>Sweden</v>
      </c>
      <c r="J34" s="16" t="s">
        <v>31</v>
      </c>
      <c r="K34" s="16"/>
    </row>
    <row r="35" spans="1:11">
      <c r="A35">
        <f>Fixtures!A35</f>
        <v>34</v>
      </c>
      <c r="B35" s="11">
        <f>Fixtures!B35</f>
        <v>46193.833333333336</v>
      </c>
      <c r="C35" s="4" t="str">
        <f>Fixtures!C35</f>
        <v>Group E</v>
      </c>
      <c r="D35" s="3" t="str">
        <f>Fixtures!D35</f>
        <v>Germany</v>
      </c>
      <c r="G35" s="3" t="str">
        <f>Fixtures!E35</f>
        <v>Côte d'Ivoire</v>
      </c>
      <c r="J35" s="17" t="s">
        <v>260</v>
      </c>
      <c r="K35" s="17"/>
    </row>
    <row r="36" spans="1:11">
      <c r="A36">
        <f>Fixtures!A36</f>
        <v>35</v>
      </c>
      <c r="B36" s="11">
        <f>Fixtures!B36</f>
        <v>46194</v>
      </c>
      <c r="C36" s="4" t="str">
        <f>Fixtures!C36</f>
        <v>Group E</v>
      </c>
      <c r="D36" s="3" t="str">
        <f>Fixtures!D36</f>
        <v>Ecuador</v>
      </c>
      <c r="G36" s="3" t="str">
        <f>Fixtures!E36</f>
        <v>Curaçao</v>
      </c>
    </row>
    <row r="37" spans="1:11">
      <c r="A37">
        <f>Fixtures!A37</f>
        <v>36</v>
      </c>
      <c r="B37" s="11">
        <f>Fixtures!B37</f>
        <v>46194.166666666664</v>
      </c>
      <c r="C37" s="4" t="str">
        <f>Fixtures!C37</f>
        <v>Group F</v>
      </c>
      <c r="D37" s="3" t="str">
        <f>Fixtures!D37</f>
        <v>Tunisia</v>
      </c>
      <c r="G37" s="3" t="str">
        <f>Fixtures!E37</f>
        <v>Japan</v>
      </c>
    </row>
    <row r="38" spans="1:11">
      <c r="A38">
        <f>Fixtures!A38</f>
        <v>37</v>
      </c>
      <c r="B38" s="11">
        <f>Fixtures!B38</f>
        <v>46194.666666666664</v>
      </c>
      <c r="C38" s="4" t="str">
        <f>Fixtures!C38</f>
        <v>Group H</v>
      </c>
      <c r="D38" s="3" t="str">
        <f>Fixtures!D38</f>
        <v>Spain</v>
      </c>
      <c r="G38" s="3" t="str">
        <f>Fixtures!E38</f>
        <v>Saudi Arabia</v>
      </c>
    </row>
    <row r="39" spans="1:11">
      <c r="A39">
        <f>Fixtures!A39</f>
        <v>38</v>
      </c>
      <c r="B39" s="11">
        <f>Fixtures!B39</f>
        <v>46194.791666666664</v>
      </c>
      <c r="C39" s="4" t="str">
        <f>Fixtures!C39</f>
        <v>Group G</v>
      </c>
      <c r="D39" s="3" t="str">
        <f>Fixtures!D39</f>
        <v>Belgium</v>
      </c>
      <c r="G39" s="3" t="str">
        <f>Fixtures!E39</f>
        <v>IR Iran</v>
      </c>
    </row>
    <row r="40" spans="1:11">
      <c r="A40">
        <f>Fixtures!A40</f>
        <v>39</v>
      </c>
      <c r="B40" s="11">
        <f>Fixtures!B40</f>
        <v>46194.916666666664</v>
      </c>
      <c r="C40" s="4" t="str">
        <f>Fixtures!C40</f>
        <v>Group H</v>
      </c>
      <c r="D40" s="3" t="str">
        <f>Fixtures!D40</f>
        <v>Uruguay</v>
      </c>
      <c r="G40" s="3" t="str">
        <f>Fixtures!E40</f>
        <v>Cabo Verde</v>
      </c>
    </row>
    <row r="41" spans="1:11">
      <c r="A41">
        <f>Fixtures!A41</f>
        <v>40</v>
      </c>
      <c r="B41" s="11">
        <f>Fixtures!B41</f>
        <v>46195.041666666664</v>
      </c>
      <c r="C41" s="4" t="str">
        <f>Fixtures!C41</f>
        <v>Group G</v>
      </c>
      <c r="D41" s="3" t="str">
        <f>Fixtures!D41</f>
        <v>New Zealand</v>
      </c>
      <c r="G41" s="3" t="str">
        <f>Fixtures!E41</f>
        <v>Egypt</v>
      </c>
    </row>
    <row r="42" spans="1:11">
      <c r="A42">
        <f>Fixtures!A42</f>
        <v>41</v>
      </c>
      <c r="B42" s="11">
        <f>Fixtures!B42</f>
        <v>46195.708333333336</v>
      </c>
      <c r="C42" s="4" t="str">
        <f>Fixtures!C42</f>
        <v>Group J</v>
      </c>
      <c r="D42" s="3" t="str">
        <f>Fixtures!D42</f>
        <v>Argentina</v>
      </c>
      <c r="G42" s="3" t="str">
        <f>Fixtures!E42</f>
        <v>Austria</v>
      </c>
    </row>
    <row r="43" spans="1:11">
      <c r="A43">
        <f>Fixtures!A43</f>
        <v>42</v>
      </c>
      <c r="B43" s="11">
        <f>Fixtures!B43</f>
        <v>46195.833333333336</v>
      </c>
      <c r="C43" s="4" t="str">
        <f>Fixtures!C43</f>
        <v>Group I</v>
      </c>
      <c r="D43" s="3" t="str">
        <f>Fixtures!D43</f>
        <v>France</v>
      </c>
      <c r="G43" s="3" t="str">
        <f>Fixtures!E43</f>
        <v>Iraq</v>
      </c>
    </row>
    <row r="44" spans="1:11">
      <c r="A44">
        <f>Fixtures!A44</f>
        <v>43</v>
      </c>
      <c r="B44" s="11">
        <f>Fixtures!B44</f>
        <v>46195.958333333336</v>
      </c>
      <c r="C44" s="4" t="str">
        <f>Fixtures!C44</f>
        <v>Group I</v>
      </c>
      <c r="D44" s="3" t="str">
        <f>Fixtures!D44</f>
        <v>Norway</v>
      </c>
      <c r="G44" s="3" t="str">
        <f>Fixtures!E44</f>
        <v>Senegal</v>
      </c>
    </row>
    <row r="45" spans="1:11">
      <c r="A45">
        <f>Fixtures!A45</f>
        <v>44</v>
      </c>
      <c r="B45" s="11">
        <f>Fixtures!B45</f>
        <v>46196.125</v>
      </c>
      <c r="C45" s="4" t="str">
        <f>Fixtures!C45</f>
        <v>Group J</v>
      </c>
      <c r="D45" s="3" t="str">
        <f>Fixtures!D45</f>
        <v>Jordan</v>
      </c>
      <c r="G45" s="3" t="str">
        <f>Fixtures!E45</f>
        <v>Algeria</v>
      </c>
    </row>
    <row r="46" spans="1:11">
      <c r="A46">
        <f>Fixtures!A46</f>
        <v>45</v>
      </c>
      <c r="B46" s="11">
        <f>Fixtures!B46</f>
        <v>46196.708333333336</v>
      </c>
      <c r="C46" s="4" t="str">
        <f>Fixtures!C46</f>
        <v>Group K</v>
      </c>
      <c r="D46" s="3" t="str">
        <f>Fixtures!D46</f>
        <v>Portugal</v>
      </c>
      <c r="G46" s="3" t="str">
        <f>Fixtures!E46</f>
        <v>Uzbekistan</v>
      </c>
    </row>
    <row r="47" spans="1:11">
      <c r="A47">
        <f>Fixtures!A47</f>
        <v>46</v>
      </c>
      <c r="B47" s="11">
        <f>Fixtures!B47</f>
        <v>46196.833333333336</v>
      </c>
      <c r="C47" s="4" t="str">
        <f>Fixtures!C47</f>
        <v>Group L</v>
      </c>
      <c r="D47" s="3" t="str">
        <f>Fixtures!D47</f>
        <v>England</v>
      </c>
      <c r="G47" s="3" t="str">
        <f>Fixtures!E47</f>
        <v>Ghana</v>
      </c>
    </row>
    <row r="48" spans="1:11">
      <c r="A48">
        <f>Fixtures!A48</f>
        <v>47</v>
      </c>
      <c r="B48" s="11">
        <f>Fixtures!B48</f>
        <v>46196.958333333336</v>
      </c>
      <c r="C48" s="4" t="str">
        <f>Fixtures!C48</f>
        <v>Group L</v>
      </c>
      <c r="D48" s="3" t="str">
        <f>Fixtures!D48</f>
        <v>Panama</v>
      </c>
      <c r="G48" s="3" t="str">
        <f>Fixtures!E48</f>
        <v>Croatia</v>
      </c>
    </row>
    <row r="49" spans="1:7">
      <c r="A49">
        <f>Fixtures!A49</f>
        <v>48</v>
      </c>
      <c r="B49" s="11">
        <f>Fixtures!B49</f>
        <v>46197.083333333336</v>
      </c>
      <c r="C49" s="4" t="str">
        <f>Fixtures!C49</f>
        <v>Group K</v>
      </c>
      <c r="D49" s="3" t="str">
        <f>Fixtures!D49</f>
        <v>Colombia</v>
      </c>
      <c r="G49" s="3" t="str">
        <f>Fixtures!E49</f>
        <v>Congo DR</v>
      </c>
    </row>
    <row r="50" spans="1:7">
      <c r="A50">
        <f>Fixtures!A50</f>
        <v>49</v>
      </c>
      <c r="B50" s="11">
        <f>Fixtures!B50</f>
        <v>46197.791666666664</v>
      </c>
      <c r="C50" s="4" t="str">
        <f>Fixtures!C50</f>
        <v>Group B</v>
      </c>
      <c r="D50" s="3" t="str">
        <f>Fixtures!D50</f>
        <v>Switzerland</v>
      </c>
      <c r="G50" s="3" t="str">
        <f>Fixtures!E50</f>
        <v>Canada</v>
      </c>
    </row>
    <row r="51" spans="1:7">
      <c r="A51">
        <f>Fixtures!A51</f>
        <v>50</v>
      </c>
      <c r="B51" s="11">
        <f>Fixtures!B51</f>
        <v>46197.791666666664</v>
      </c>
      <c r="C51" s="4" t="str">
        <f>Fixtures!C51</f>
        <v>Group B</v>
      </c>
      <c r="D51" s="3" t="str">
        <f>Fixtures!D51</f>
        <v>Bosnia and Herzegovina</v>
      </c>
      <c r="G51" s="3" t="str">
        <f>Fixtures!E51</f>
        <v>Qatar</v>
      </c>
    </row>
    <row r="52" spans="1:7">
      <c r="A52">
        <f>Fixtures!A52</f>
        <v>51</v>
      </c>
      <c r="B52" s="11">
        <f>Fixtures!B52</f>
        <v>46197.916666666664</v>
      </c>
      <c r="C52" s="4" t="str">
        <f>Fixtures!C52</f>
        <v>Group C</v>
      </c>
      <c r="D52" s="3" t="str">
        <f>Fixtures!D52</f>
        <v>Scotland</v>
      </c>
      <c r="G52" s="3" t="str">
        <f>Fixtures!E52</f>
        <v>Brazil</v>
      </c>
    </row>
    <row r="53" spans="1:7">
      <c r="A53">
        <f>Fixtures!A53</f>
        <v>52</v>
      </c>
      <c r="B53" s="11">
        <f>Fixtures!B53</f>
        <v>46197.916666666664</v>
      </c>
      <c r="C53" s="4" t="str">
        <f>Fixtures!C53</f>
        <v>Group C</v>
      </c>
      <c r="D53" s="3" t="str">
        <f>Fixtures!D53</f>
        <v>Morocco</v>
      </c>
      <c r="G53" s="3" t="str">
        <f>Fixtures!E53</f>
        <v>Haiti</v>
      </c>
    </row>
    <row r="54" spans="1:7">
      <c r="A54">
        <f>Fixtures!A54</f>
        <v>53</v>
      </c>
      <c r="B54" s="11">
        <f>Fixtures!B54</f>
        <v>46198.041666666664</v>
      </c>
      <c r="C54" s="4" t="str">
        <f>Fixtures!C54</f>
        <v>Group A</v>
      </c>
      <c r="D54" s="3" t="str">
        <f>Fixtures!D54</f>
        <v>Czechia</v>
      </c>
      <c r="G54" s="3" t="str">
        <f>Fixtures!E54</f>
        <v>Mexico</v>
      </c>
    </row>
    <row r="55" spans="1:7">
      <c r="A55">
        <f>Fixtures!A55</f>
        <v>54</v>
      </c>
      <c r="B55" s="11">
        <f>Fixtures!B55</f>
        <v>46198.041666666664</v>
      </c>
      <c r="C55" s="4" t="str">
        <f>Fixtures!C55</f>
        <v>Group A</v>
      </c>
      <c r="D55" s="3" t="str">
        <f>Fixtures!D55</f>
        <v>South Africa</v>
      </c>
      <c r="G55" s="3" t="str">
        <f>Fixtures!E55</f>
        <v>Korea Republic</v>
      </c>
    </row>
    <row r="56" spans="1:7">
      <c r="A56">
        <f>Fixtures!A56</f>
        <v>55</v>
      </c>
      <c r="B56" s="11">
        <f>Fixtures!B56</f>
        <v>46198.791666666664</v>
      </c>
      <c r="C56" s="4" t="str">
        <f>Fixtures!C56</f>
        <v>Group D</v>
      </c>
      <c r="D56" s="3" t="str">
        <f>Fixtures!D56</f>
        <v>Paraguay</v>
      </c>
      <c r="G56" s="3" t="str">
        <f>Fixtures!E56</f>
        <v>Australia</v>
      </c>
    </row>
    <row r="57" spans="1:7">
      <c r="A57">
        <f>Fixtures!A57</f>
        <v>56</v>
      </c>
      <c r="B57" s="11">
        <f>Fixtures!B57</f>
        <v>46198.791666666664</v>
      </c>
      <c r="C57" s="4" t="str">
        <f>Fixtures!C57</f>
        <v>Group D</v>
      </c>
      <c r="D57" s="3" t="str">
        <f>Fixtures!D57</f>
        <v>Türkiye</v>
      </c>
      <c r="G57" s="3" t="str">
        <f>Fixtures!E57</f>
        <v>USA</v>
      </c>
    </row>
    <row r="58" spans="1:7">
      <c r="A58">
        <f>Fixtures!A58</f>
        <v>57</v>
      </c>
      <c r="B58" s="11">
        <f>Fixtures!B58</f>
        <v>46198.916666666664</v>
      </c>
      <c r="C58" s="4" t="str">
        <f>Fixtures!C58</f>
        <v>Group E</v>
      </c>
      <c r="D58" s="3" t="str">
        <f>Fixtures!D58</f>
        <v>Ecuador</v>
      </c>
      <c r="G58" s="3" t="str">
        <f>Fixtures!E58</f>
        <v>Germany</v>
      </c>
    </row>
    <row r="59" spans="1:7">
      <c r="A59">
        <f>Fixtures!A59</f>
        <v>58</v>
      </c>
      <c r="B59" s="11">
        <f>Fixtures!B59</f>
        <v>46198.916666666664</v>
      </c>
      <c r="C59" s="4" t="str">
        <f>Fixtures!C59</f>
        <v>Group E</v>
      </c>
      <c r="D59" s="3" t="str">
        <f>Fixtures!D59</f>
        <v>Curaçao</v>
      </c>
      <c r="G59" s="3" t="str">
        <f>Fixtures!E59</f>
        <v>Côte d'Ivoire</v>
      </c>
    </row>
    <row r="60" spans="1:7">
      <c r="A60">
        <f>Fixtures!A60</f>
        <v>59</v>
      </c>
      <c r="B60" s="11">
        <f>Fixtures!B60</f>
        <v>46199.041666666664</v>
      </c>
      <c r="C60" s="4" t="str">
        <f>Fixtures!C60</f>
        <v>Group F</v>
      </c>
      <c r="D60" s="3" t="str">
        <f>Fixtures!D60</f>
        <v>Japan</v>
      </c>
      <c r="G60" s="3" t="str">
        <f>Fixtures!E60</f>
        <v>Sweden</v>
      </c>
    </row>
    <row r="61" spans="1:7">
      <c r="A61">
        <f>Fixtures!A61</f>
        <v>60</v>
      </c>
      <c r="B61" s="11">
        <f>Fixtures!B61</f>
        <v>46199.041666666664</v>
      </c>
      <c r="C61" s="4" t="str">
        <f>Fixtures!C61</f>
        <v>Group F</v>
      </c>
      <c r="D61" s="3" t="str">
        <f>Fixtures!D61</f>
        <v>Tunisia</v>
      </c>
      <c r="G61" s="3" t="str">
        <f>Fixtures!E61</f>
        <v>Netherlands</v>
      </c>
    </row>
    <row r="62" spans="1:7">
      <c r="A62">
        <f>Fixtures!A62</f>
        <v>61</v>
      </c>
      <c r="B62" s="11">
        <f>Fixtures!B62</f>
        <v>46199.791666666664</v>
      </c>
      <c r="C62" s="4" t="str">
        <f>Fixtures!C62</f>
        <v>Group G</v>
      </c>
      <c r="D62" s="3" t="str">
        <f>Fixtures!D62</f>
        <v>Egypt</v>
      </c>
      <c r="G62" s="3" t="str">
        <f>Fixtures!E62</f>
        <v>IR Iran</v>
      </c>
    </row>
    <row r="63" spans="1:7">
      <c r="A63">
        <f>Fixtures!A63</f>
        <v>62</v>
      </c>
      <c r="B63" s="11">
        <f>Fixtures!B63</f>
        <v>46199.791666666664</v>
      </c>
      <c r="C63" s="4" t="str">
        <f>Fixtures!C63</f>
        <v>Group G</v>
      </c>
      <c r="D63" s="3" t="str">
        <f>Fixtures!D63</f>
        <v>New Zealand</v>
      </c>
      <c r="G63" s="3" t="str">
        <f>Fixtures!E63</f>
        <v>Belgium</v>
      </c>
    </row>
    <row r="64" spans="1:7">
      <c r="A64">
        <f>Fixtures!A64</f>
        <v>63</v>
      </c>
      <c r="B64" s="11">
        <f>Fixtures!B64</f>
        <v>46199.916666666664</v>
      </c>
      <c r="C64" s="4" t="str">
        <f>Fixtures!C64</f>
        <v>Group H</v>
      </c>
      <c r="D64" s="3" t="str">
        <f>Fixtures!D64</f>
        <v>Uruguay</v>
      </c>
      <c r="G64" s="3" t="str">
        <f>Fixtures!E64</f>
        <v>Spain</v>
      </c>
    </row>
    <row r="65" spans="1:7">
      <c r="A65">
        <f>Fixtures!A65</f>
        <v>64</v>
      </c>
      <c r="B65" s="11">
        <f>Fixtures!B65</f>
        <v>46199.916666666664</v>
      </c>
      <c r="C65" s="4" t="str">
        <f>Fixtures!C65</f>
        <v>Group H</v>
      </c>
      <c r="D65" s="3" t="str">
        <f>Fixtures!D65</f>
        <v>Cabo Verde</v>
      </c>
      <c r="G65" s="3" t="str">
        <f>Fixtures!E65</f>
        <v>Saudi Arabia</v>
      </c>
    </row>
    <row r="66" spans="1:7">
      <c r="A66">
        <f>Fixtures!A66</f>
        <v>65</v>
      </c>
      <c r="B66" s="11">
        <f>Fixtures!B66</f>
        <v>46200.041666666664</v>
      </c>
      <c r="C66" s="4" t="str">
        <f>Fixtures!C66</f>
        <v>Group I</v>
      </c>
      <c r="D66" s="3" t="str">
        <f>Fixtures!D66</f>
        <v>Norway</v>
      </c>
      <c r="G66" s="3" t="str">
        <f>Fixtures!E66</f>
        <v>France</v>
      </c>
    </row>
    <row r="67" spans="1:7">
      <c r="A67">
        <f>Fixtures!A67</f>
        <v>66</v>
      </c>
      <c r="B67" s="11">
        <f>Fixtures!B67</f>
        <v>46200.041666666664</v>
      </c>
      <c r="C67" s="4" t="str">
        <f>Fixtures!C67</f>
        <v>Group I</v>
      </c>
      <c r="D67" s="3" t="str">
        <f>Fixtures!D67</f>
        <v>Senegal</v>
      </c>
      <c r="G67" s="3" t="str">
        <f>Fixtures!E67</f>
        <v>Iraq</v>
      </c>
    </row>
    <row r="68" spans="1:7">
      <c r="A68">
        <f>Fixtures!A68</f>
        <v>67</v>
      </c>
      <c r="B68" s="11">
        <f>Fixtures!B68</f>
        <v>46200.791666666664</v>
      </c>
      <c r="C68" s="4" t="str">
        <f>Fixtures!C68</f>
        <v>Group J</v>
      </c>
      <c r="D68" s="3" t="str">
        <f>Fixtures!D68</f>
        <v>Algeria</v>
      </c>
      <c r="G68" s="3" t="str">
        <f>Fixtures!E68</f>
        <v>Austria</v>
      </c>
    </row>
    <row r="69" spans="1:7">
      <c r="A69">
        <f>Fixtures!A69</f>
        <v>68</v>
      </c>
      <c r="B69" s="11">
        <f>Fixtures!B69</f>
        <v>46200.791666666664</v>
      </c>
      <c r="C69" s="4" t="str">
        <f>Fixtures!C69</f>
        <v>Group J</v>
      </c>
      <c r="D69" s="3" t="str">
        <f>Fixtures!D69</f>
        <v>Jordan</v>
      </c>
      <c r="G69" s="3" t="str">
        <f>Fixtures!E69</f>
        <v>Argentina</v>
      </c>
    </row>
    <row r="70" spans="1:7">
      <c r="A70">
        <f>Fixtures!A70</f>
        <v>69</v>
      </c>
      <c r="B70" s="11">
        <f>Fixtures!B70</f>
        <v>46200.916666666664</v>
      </c>
      <c r="C70" s="4" t="str">
        <f>Fixtures!C70</f>
        <v>Group K</v>
      </c>
      <c r="D70" s="3" t="str">
        <f>Fixtures!D70</f>
        <v>Congo DR</v>
      </c>
      <c r="G70" s="3" t="str">
        <f>Fixtures!E70</f>
        <v>Uzbekistan</v>
      </c>
    </row>
    <row r="71" spans="1:7">
      <c r="A71">
        <f>Fixtures!A71</f>
        <v>70</v>
      </c>
      <c r="B71" s="11">
        <f>Fixtures!B71</f>
        <v>46200.916666666664</v>
      </c>
      <c r="C71" s="4" t="str">
        <f>Fixtures!C71</f>
        <v>Group K</v>
      </c>
      <c r="D71" s="3" t="str">
        <f>Fixtures!D71</f>
        <v>Colombia</v>
      </c>
      <c r="G71" s="3" t="str">
        <f>Fixtures!E71</f>
        <v>Portugal</v>
      </c>
    </row>
    <row r="72" spans="1:7">
      <c r="A72">
        <f>Fixtures!A72</f>
        <v>71</v>
      </c>
      <c r="B72" s="11">
        <f>Fixtures!B72</f>
        <v>46201.041666666664</v>
      </c>
      <c r="C72" s="4" t="str">
        <f>Fixtures!C72</f>
        <v>Group L</v>
      </c>
      <c r="D72" s="3" t="str">
        <f>Fixtures!D72</f>
        <v>Panama</v>
      </c>
      <c r="G72" s="3" t="str">
        <f>Fixtures!E72</f>
        <v>England</v>
      </c>
    </row>
    <row r="73" spans="1:7">
      <c r="A73">
        <f>Fixtures!A73</f>
        <v>72</v>
      </c>
      <c r="B73" s="11">
        <f>Fixtures!B73</f>
        <v>46201.041666666664</v>
      </c>
      <c r="C73" s="4" t="str">
        <f>Fixtures!C73</f>
        <v>Group L</v>
      </c>
      <c r="D73" s="3" t="str">
        <f>Fixtures!D73</f>
        <v>Croatia</v>
      </c>
      <c r="G73" s="3" t="str">
        <f>Fixtures!E73</f>
        <v>Ghana</v>
      </c>
    </row>
    <row r="74" spans="1:7">
      <c r="A74">
        <f>Fixtures!A74</f>
        <v>73</v>
      </c>
      <c r="B74" s="11">
        <f>Fixtures!B74</f>
        <v>46201.791666666664</v>
      </c>
      <c r="C74" s="4" t="str">
        <f>Fixtures!C74</f>
        <v>Round of 32</v>
      </c>
      <c r="D74" s="3" t="str">
        <f>Fixtures!D74</f>
        <v>Runner-up Group A</v>
      </c>
      <c r="G74" s="3" t="str">
        <f>Fixtures!E74</f>
        <v>Runner-up Group B</v>
      </c>
    </row>
    <row r="75" spans="1:7">
      <c r="A75">
        <f>Fixtures!A75</f>
        <v>74</v>
      </c>
      <c r="B75" s="11" t="str">
        <f>Fixtures!B75</f>
        <v>29/06/2026 20:30</v>
      </c>
      <c r="C75" s="4" t="str">
        <f>Fixtures!C75</f>
        <v>Round of 32</v>
      </c>
      <c r="D75" s="3" t="str">
        <f>Fixtures!D75</f>
        <v>Winner Group E</v>
      </c>
      <c r="G75" s="3" t="str">
        <f>Fixtures!E75</f>
        <v>3rd Group A/B/C/D/F</v>
      </c>
    </row>
    <row r="76" spans="1:7">
      <c r="A76">
        <f>Fixtures!A76</f>
        <v>75</v>
      </c>
      <c r="B76" s="11" t="str">
        <f>Fixtures!B76</f>
        <v>30/06/2026 01:00</v>
      </c>
      <c r="C76" s="4" t="str">
        <f>Fixtures!C76</f>
        <v>Round of 32</v>
      </c>
      <c r="D76" s="3" t="str">
        <f>Fixtures!D76</f>
        <v>Winner Group F</v>
      </c>
      <c r="G76" s="3" t="str">
        <f>Fixtures!E76</f>
        <v>Runner-up Group C</v>
      </c>
    </row>
    <row r="77" spans="1:7">
      <c r="A77">
        <f>Fixtures!A77</f>
        <v>76</v>
      </c>
      <c r="B77" s="11" t="str">
        <f>Fixtures!B77</f>
        <v>29/06/2026 17:00</v>
      </c>
      <c r="C77" s="4" t="str">
        <f>Fixtures!C77</f>
        <v>Round of 32</v>
      </c>
      <c r="D77" s="3" t="str">
        <f>Fixtures!D77</f>
        <v>Winner Group C</v>
      </c>
      <c r="G77" s="3" t="str">
        <f>Fixtures!E77</f>
        <v>Runner-up Group F</v>
      </c>
    </row>
    <row r="78" spans="1:7">
      <c r="A78">
        <f>Fixtures!A78</f>
        <v>77</v>
      </c>
      <c r="B78" s="11" t="str">
        <f>Fixtures!B78</f>
        <v>30/06/2026 21:00</v>
      </c>
      <c r="C78" s="4" t="str">
        <f>Fixtures!C78</f>
        <v>Round of 32</v>
      </c>
      <c r="D78" s="3" t="str">
        <f>Fixtures!D78</f>
        <v>Winner Group I</v>
      </c>
      <c r="G78" s="3" t="str">
        <f>Fixtures!E78</f>
        <v>3rd Group C/D/F/G/H</v>
      </c>
    </row>
    <row r="79" spans="1:7">
      <c r="A79">
        <f>Fixtures!A79</f>
        <v>78</v>
      </c>
      <c r="B79" s="11" t="str">
        <f>Fixtures!B79</f>
        <v>30/06/2026 17:00</v>
      </c>
      <c r="C79" s="4" t="str">
        <f>Fixtures!C79</f>
        <v>Round of 32</v>
      </c>
      <c r="D79" s="3" t="str">
        <f>Fixtures!D79</f>
        <v>Runner-up Group E</v>
      </c>
      <c r="G79" s="3" t="str">
        <f>Fixtures!E79</f>
        <v>Runner-up Group I</v>
      </c>
    </row>
    <row r="80" spans="1:7">
      <c r="A80">
        <f>Fixtures!A80</f>
        <v>79</v>
      </c>
      <c r="B80" s="11" t="str">
        <f>Fixtures!B80</f>
        <v>01/07/2026 01:00</v>
      </c>
      <c r="C80" s="4" t="str">
        <f>Fixtures!C80</f>
        <v>Round of 32</v>
      </c>
      <c r="D80" s="3" t="str">
        <f>Fixtures!D80</f>
        <v>Winner Group A</v>
      </c>
      <c r="G80" s="3" t="str">
        <f>Fixtures!E80</f>
        <v>3rd Group C/E/F/H/I</v>
      </c>
    </row>
    <row r="81" spans="1:7">
      <c r="A81">
        <f>Fixtures!A81</f>
        <v>80</v>
      </c>
      <c r="B81" s="11" t="str">
        <f>Fixtures!B81</f>
        <v>01/07/2026 16:00</v>
      </c>
      <c r="C81" s="4" t="str">
        <f>Fixtures!C81</f>
        <v>Round of 32</v>
      </c>
      <c r="D81" s="3" t="str">
        <f>Fixtures!D81</f>
        <v>Winner Group L</v>
      </c>
      <c r="G81" s="3" t="str">
        <f>Fixtures!E81</f>
        <v>3rd Group E/H/I/J/K</v>
      </c>
    </row>
    <row r="82" spans="1:7">
      <c r="A82">
        <f>Fixtures!A82</f>
        <v>81</v>
      </c>
      <c r="B82" s="11" t="str">
        <f>Fixtures!B82</f>
        <v>02/07/2026 00:00</v>
      </c>
      <c r="C82" s="4" t="str">
        <f>Fixtures!C82</f>
        <v>Round of 32</v>
      </c>
      <c r="D82" s="3" t="str">
        <f>Fixtures!D82</f>
        <v>Winner Group D</v>
      </c>
      <c r="G82" s="3" t="str">
        <f>Fixtures!E82</f>
        <v>3rd Group B/E/F/I/J</v>
      </c>
    </row>
    <row r="83" spans="1:7">
      <c r="A83">
        <f>Fixtures!A83</f>
        <v>82</v>
      </c>
      <c r="B83" s="11" t="str">
        <f>Fixtures!B83</f>
        <v>01/07/2026 20:00</v>
      </c>
      <c r="C83" s="4" t="str">
        <f>Fixtures!C83</f>
        <v>Round of 32</v>
      </c>
      <c r="D83" s="3" t="str">
        <f>Fixtures!D83</f>
        <v>Winner Group G</v>
      </c>
      <c r="G83" s="3" t="str">
        <f>Fixtures!E83</f>
        <v>3rd Group A/E/H/I/J</v>
      </c>
    </row>
    <row r="84" spans="1:7">
      <c r="A84">
        <f>Fixtures!A84</f>
        <v>83</v>
      </c>
      <c r="B84" s="11" t="str">
        <f>Fixtures!B84</f>
        <v>02/07/2026 23:00</v>
      </c>
      <c r="C84" s="4" t="str">
        <f>Fixtures!C84</f>
        <v>Round of 32</v>
      </c>
      <c r="D84" s="3" t="str">
        <f>Fixtures!D84</f>
        <v>Runner-up Group K</v>
      </c>
      <c r="G84" s="3" t="str">
        <f>Fixtures!E84</f>
        <v>Runner-up Group L</v>
      </c>
    </row>
    <row r="85" spans="1:7">
      <c r="A85">
        <f>Fixtures!A85</f>
        <v>84</v>
      </c>
      <c r="B85" s="11" t="str">
        <f>Fixtures!B85</f>
        <v>02/07/2026 19:00</v>
      </c>
      <c r="C85" s="4" t="str">
        <f>Fixtures!C85</f>
        <v>Round of 32</v>
      </c>
      <c r="D85" s="3" t="str">
        <f>Fixtures!D85</f>
        <v>Winner Group H</v>
      </c>
      <c r="G85" s="3" t="str">
        <f>Fixtures!E85</f>
        <v>Runner-up Group J</v>
      </c>
    </row>
    <row r="86" spans="1:7">
      <c r="A86">
        <f>Fixtures!A86</f>
        <v>85</v>
      </c>
      <c r="B86" s="11" t="str">
        <f>Fixtures!B86</f>
        <v>03/07/2026 03:00</v>
      </c>
      <c r="C86" s="4" t="str">
        <f>Fixtures!C86</f>
        <v>Round of 32</v>
      </c>
      <c r="D86" s="3" t="str">
        <f>Fixtures!D86</f>
        <v>Winner Group B</v>
      </c>
      <c r="G86" s="3" t="str">
        <f>Fixtures!E86</f>
        <v>3rd Group E/F/G/I/J</v>
      </c>
    </row>
    <row r="87" spans="1:7">
      <c r="A87">
        <f>Fixtures!A87</f>
        <v>86</v>
      </c>
      <c r="B87" s="11" t="str">
        <f>Fixtures!B87</f>
        <v>03/07/2026 22:00</v>
      </c>
      <c r="C87" s="4" t="str">
        <f>Fixtures!C87</f>
        <v>Round of 32</v>
      </c>
      <c r="D87" s="3" t="str">
        <f>Fixtures!D87</f>
        <v>Winner Group J</v>
      </c>
      <c r="G87" s="3" t="str">
        <f>Fixtures!E87</f>
        <v>Runner-up Group H</v>
      </c>
    </row>
    <row r="88" spans="1:7">
      <c r="A88">
        <f>Fixtures!A88</f>
        <v>87</v>
      </c>
      <c r="B88" s="11" t="str">
        <f>Fixtures!B88</f>
        <v>04/07/2026 01:30</v>
      </c>
      <c r="C88" s="4" t="str">
        <f>Fixtures!C88</f>
        <v>Round of 32</v>
      </c>
      <c r="D88" s="3" t="str">
        <f>Fixtures!D88</f>
        <v>Winner Group K</v>
      </c>
      <c r="G88" s="3" t="str">
        <f>Fixtures!E88</f>
        <v>3rd Group D/E/I/J/L</v>
      </c>
    </row>
    <row r="89" spans="1:7">
      <c r="A89">
        <f>Fixtures!A89</f>
        <v>88</v>
      </c>
      <c r="B89" s="11" t="str">
        <f>Fixtures!B89</f>
        <v>03/07/2026 18:00</v>
      </c>
      <c r="C89" s="4" t="str">
        <f>Fixtures!C89</f>
        <v>Round of 32</v>
      </c>
      <c r="D89" s="3" t="str">
        <f>Fixtures!D89</f>
        <v>Runner-up Group D</v>
      </c>
      <c r="G89" s="3" t="str">
        <f>Fixtures!E89</f>
        <v>Runner-up Group G</v>
      </c>
    </row>
    <row r="90" spans="1:7">
      <c r="A90">
        <f>Fixtures!A90</f>
        <v>89</v>
      </c>
      <c r="B90" s="11" t="str">
        <f>Fixtures!B90</f>
        <v>04/07/2026 21:00</v>
      </c>
      <c r="C90" s="4" t="str">
        <f>Fixtures!C90</f>
        <v>Round of 16</v>
      </c>
      <c r="D90" s="3" t="str">
        <f>Fixtures!D90</f>
        <v>Winner 74</v>
      </c>
      <c r="G90" s="3" t="str">
        <f>Fixtures!E90</f>
        <v>Winner 77</v>
      </c>
    </row>
    <row r="91" spans="1:7">
      <c r="A91">
        <f>Fixtures!A91</f>
        <v>90</v>
      </c>
      <c r="B91" s="11" t="str">
        <f>Fixtures!B91</f>
        <v>04/07/2026 17:00</v>
      </c>
      <c r="C91" s="4" t="str">
        <f>Fixtures!C91</f>
        <v>Round of 16</v>
      </c>
      <c r="D91" s="3" t="str">
        <f>Fixtures!D91</f>
        <v>Winner 73</v>
      </c>
      <c r="G91" s="3" t="str">
        <f>Fixtures!E91</f>
        <v>Winner 75</v>
      </c>
    </row>
    <row r="92" spans="1:7">
      <c r="A92">
        <f>Fixtures!A92</f>
        <v>91</v>
      </c>
      <c r="B92" s="11" t="str">
        <f>Fixtures!B92</f>
        <v>05/07/2026 20:00</v>
      </c>
      <c r="C92" s="4" t="str">
        <f>Fixtures!C92</f>
        <v>Round of 16</v>
      </c>
      <c r="D92" s="3" t="str">
        <f>Fixtures!D92</f>
        <v>Winner 76</v>
      </c>
      <c r="G92" s="3" t="str">
        <f>Fixtures!E92</f>
        <v>Winner 78</v>
      </c>
    </row>
    <row r="93" spans="1:7">
      <c r="A93">
        <f>Fixtures!A93</f>
        <v>92</v>
      </c>
      <c r="B93" s="11" t="str">
        <f>Fixtures!B93</f>
        <v>06/07/2026 00:00</v>
      </c>
      <c r="C93" s="4" t="str">
        <f>Fixtures!C93</f>
        <v>Round of 16</v>
      </c>
      <c r="D93" s="3" t="str">
        <f>Fixtures!D93</f>
        <v>Winner 79</v>
      </c>
      <c r="G93" s="3" t="str">
        <f>Fixtures!E93</f>
        <v>Winner 80</v>
      </c>
    </row>
    <row r="94" spans="1:7">
      <c r="A94">
        <f>Fixtures!A94</f>
        <v>93</v>
      </c>
      <c r="B94" s="11">
        <f>Fixtures!B94</f>
        <v>46209.791666666664</v>
      </c>
      <c r="C94" s="4" t="str">
        <f>Fixtures!C94</f>
        <v>Round of 16</v>
      </c>
      <c r="D94" s="3" t="str">
        <f>Fixtures!D94</f>
        <v>Winner 83</v>
      </c>
      <c r="G94" s="3" t="str">
        <f>Fixtures!E94</f>
        <v>Winner 84</v>
      </c>
    </row>
    <row r="95" spans="1:7">
      <c r="A95">
        <f>Fixtures!A95</f>
        <v>94</v>
      </c>
      <c r="B95" s="11" t="str">
        <f>Fixtures!B95</f>
        <v>07/07/2026 00:00</v>
      </c>
      <c r="C95" s="4" t="str">
        <f>Fixtures!C95</f>
        <v>Round of 16</v>
      </c>
      <c r="D95" s="3" t="str">
        <f>Fixtures!D95</f>
        <v>Winner 81</v>
      </c>
      <c r="G95" s="3" t="str">
        <f>Fixtures!E95</f>
        <v>Winner 82</v>
      </c>
    </row>
    <row r="96" spans="1:7">
      <c r="A96">
        <f>Fixtures!A96</f>
        <v>95</v>
      </c>
      <c r="B96" s="11" t="str">
        <f>Fixtures!B96</f>
        <v>07/07/2026 16:00</v>
      </c>
      <c r="C96" s="4" t="str">
        <f>Fixtures!C96</f>
        <v>Round of 16</v>
      </c>
      <c r="D96" s="3" t="str">
        <f>Fixtures!D96</f>
        <v>Winner 86</v>
      </c>
      <c r="G96" s="3" t="str">
        <f>Fixtures!E96</f>
        <v>Winner 88</v>
      </c>
    </row>
    <row r="97" spans="1:7">
      <c r="A97">
        <f>Fixtures!A97</f>
        <v>96</v>
      </c>
      <c r="B97" s="11" t="str">
        <f>Fixtures!B97</f>
        <v>07/07/2026 20:00</v>
      </c>
      <c r="C97" s="4" t="str">
        <f>Fixtures!C97</f>
        <v>Round of 16</v>
      </c>
      <c r="D97" s="3" t="str">
        <f>Fixtures!D97</f>
        <v>Winner 85</v>
      </c>
      <c r="G97" s="3" t="str">
        <f>Fixtures!E97</f>
        <v>Winner 87</v>
      </c>
    </row>
    <row r="98" spans="1:7">
      <c r="A98">
        <f>Fixtures!A98</f>
        <v>97</v>
      </c>
      <c r="B98" s="11" t="str">
        <f>Fixtures!B98</f>
        <v>09/07/2026 20:00</v>
      </c>
      <c r="C98" s="4" t="str">
        <f>Fixtures!C98</f>
        <v>Quarter-final</v>
      </c>
      <c r="D98" s="3" t="str">
        <f>Fixtures!D98</f>
        <v>Winner 89</v>
      </c>
      <c r="G98" s="3" t="str">
        <f>Fixtures!E98</f>
        <v>Winner 90</v>
      </c>
    </row>
    <row r="99" spans="1:7">
      <c r="A99">
        <f>Fixtures!A99</f>
        <v>98</v>
      </c>
      <c r="B99" s="11">
        <f>Fixtures!B99</f>
        <v>46213.791666666664</v>
      </c>
      <c r="C99" s="4" t="str">
        <f>Fixtures!C99</f>
        <v>Quarter-final</v>
      </c>
      <c r="D99" s="3" t="str">
        <f>Fixtures!D99</f>
        <v>Winner 93</v>
      </c>
      <c r="G99" s="3" t="str">
        <f>Fixtures!E99</f>
        <v>Winner 94</v>
      </c>
    </row>
    <row r="100" spans="1:7">
      <c r="A100">
        <f>Fixtures!A100</f>
        <v>99</v>
      </c>
      <c r="B100" s="11" t="str">
        <f>Fixtures!B100</f>
        <v>11/07/2026 21:00</v>
      </c>
      <c r="C100" s="4" t="str">
        <f>Fixtures!C100</f>
        <v>Quarter-final</v>
      </c>
      <c r="D100" s="3" t="str">
        <f>Fixtures!D100</f>
        <v>Winner 91</v>
      </c>
      <c r="G100" s="3" t="str">
        <f>Fixtures!E100</f>
        <v>Winner 92</v>
      </c>
    </row>
    <row r="101" spans="1:7">
      <c r="A101">
        <f>Fixtures!A101</f>
        <v>100</v>
      </c>
      <c r="B101" s="11" t="str">
        <f>Fixtures!B101</f>
        <v>12/07/2026 01:00</v>
      </c>
      <c r="C101" s="4" t="str">
        <f>Fixtures!C101</f>
        <v>Quarter-final</v>
      </c>
      <c r="D101" s="3" t="str">
        <f>Fixtures!D101</f>
        <v>Winner 95</v>
      </c>
      <c r="G101" s="3" t="str">
        <f>Fixtures!E101</f>
        <v>Winner 96</v>
      </c>
    </row>
    <row r="102" spans="1:7">
      <c r="A102">
        <f>Fixtures!A102</f>
        <v>101</v>
      </c>
      <c r="B102" s="11">
        <f>Fixtures!B102</f>
        <v>46217.791666666664</v>
      </c>
      <c r="C102" s="4" t="str">
        <f>Fixtures!C102</f>
        <v>Semi-final</v>
      </c>
      <c r="D102" s="3" t="str">
        <f>Fixtures!D102</f>
        <v>Winner 97</v>
      </c>
      <c r="G102" s="3" t="str">
        <f>Fixtures!E102</f>
        <v>Winner 98</v>
      </c>
    </row>
    <row r="103" spans="1:7">
      <c r="A103">
        <f>Fixtures!A103</f>
        <v>102</v>
      </c>
      <c r="B103" s="11">
        <f>Fixtures!B103</f>
        <v>46218.791666666664</v>
      </c>
      <c r="C103" s="4" t="str">
        <f>Fixtures!C103</f>
        <v>Semi-final</v>
      </c>
      <c r="D103" s="3" t="str">
        <f>Fixtures!D103</f>
        <v>Winner 99</v>
      </c>
      <c r="G103" s="3" t="str">
        <f>Fixtures!E103</f>
        <v>Winner 100</v>
      </c>
    </row>
    <row r="104" spans="1:7">
      <c r="A104">
        <f>Fixtures!A104</f>
        <v>103</v>
      </c>
      <c r="B104" s="11" t="str">
        <f>Fixtures!B104</f>
        <v>18/07/2026 21:00</v>
      </c>
      <c r="C104" s="4" t="str">
        <f>Fixtures!C104</f>
        <v>Third-place play-off</v>
      </c>
      <c r="D104" s="3" t="str">
        <f>Fixtures!D104</f>
        <v>Loser 101</v>
      </c>
      <c r="G104" s="3" t="str">
        <f>Fixtures!E104</f>
        <v>Loser 102</v>
      </c>
    </row>
    <row r="105" spans="1:7">
      <c r="A105">
        <f>Fixtures!A105</f>
        <v>104</v>
      </c>
      <c r="B105" s="11">
        <f>Fixtures!B105</f>
        <v>46222.791666666664</v>
      </c>
      <c r="C105" s="4" t="str">
        <f>Fixtures!C105</f>
        <v>Final</v>
      </c>
      <c r="D105" s="3" t="str">
        <f>Fixtures!D105</f>
        <v>Winner 101</v>
      </c>
      <c r="G105" s="3" t="str">
        <f>Fixtures!E105</f>
        <v>Winner 102</v>
      </c>
    </row>
  </sheetData>
  <mergeCells count="10">
    <mergeCell ref="J32:K32"/>
    <mergeCell ref="J19:K19"/>
    <mergeCell ref="J24:K24"/>
    <mergeCell ref="J27:K27"/>
    <mergeCell ref="J29:K29"/>
    <mergeCell ref="J4:K4"/>
    <mergeCell ref="J18:K18"/>
    <mergeCell ref="J23:K23"/>
    <mergeCell ref="J26:K26"/>
    <mergeCell ref="J2:K3"/>
  </mergeCells>
  <dataValidations count="2">
    <dataValidation type="whole" allowBlank="1" showInputMessage="1" showErrorMessage="1" sqref="K33:K35" xr:uid="{FE3EDD75-A847-4350-96F5-344570F6B336}">
      <formula1>0</formula1>
      <formula2>50</formula2>
    </dataValidation>
    <dataValidation type="list" allowBlank="1" showInputMessage="1" showErrorMessage="1" sqref="H2:H73" xr:uid="{FB52A5DE-C8C9-4AA7-9DAE-0E5B514D41EE}">
      <formula1>$I$1</formula1>
    </dataValidation>
  </dataValidations>
  <pageMargins left="0.7" right="0.7" top="0.75" bottom="0.75" header="0.3" footer="0.3"/>
  <pageSetup scale="58" fitToHeight="0"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82EFD46-9DB1-4786-A6B9-81CDC42393EA}">
          <x14:formula1>
            <xm:f>'Countries'!$A$2:$A$49</xm:f>
          </x14:formula1>
          <xm:sqref>H74:H105 K6:K11 K13:K16 J27:K27 J24:K24 K20:K21</xm:sqref>
        </x14:dataValidation>
        <x14:dataValidation type="list" allowBlank="1" showInputMessage="1" showErrorMessage="1" xr:uid="{5A1A6F7D-3E34-47DF-B82B-9F0E67EB3651}">
          <x14:formula1>
            <xm:f>'Team_Sheet(s)'!$B$4:$B$29</xm:f>
          </x14:formula1>
          <xm:sqref>K30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B6A1F-D79D-4321-8F52-BDBD61B3545D}">
  <sheetPr>
    <pageSetUpPr fitToPage="1"/>
  </sheetPr>
  <dimension ref="C3:L6"/>
  <sheetViews>
    <sheetView workbookViewId="0">
      <selection activeCell="H9" sqref="H9"/>
    </sheetView>
  </sheetViews>
  <sheetFormatPr defaultRowHeight="14.4"/>
  <cols>
    <col min="3" max="3" width="10.109375" bestFit="1" customWidth="1"/>
    <col min="4" max="4" width="8.6640625" bestFit="1" customWidth="1"/>
    <col min="5" max="5" width="10.109375" bestFit="1" customWidth="1"/>
    <col min="6" max="6" width="9.33203125" bestFit="1" customWidth="1"/>
    <col min="7" max="7" width="11.77734375" bestFit="1" customWidth="1"/>
    <col min="8" max="8" width="9.77734375" bestFit="1" customWidth="1"/>
    <col min="9" max="9" width="9.33203125" bestFit="1" customWidth="1"/>
    <col min="10" max="10" width="7.44140625" bestFit="1" customWidth="1"/>
    <col min="11" max="11" width="10.33203125" bestFit="1" customWidth="1"/>
    <col min="12" max="12" width="10.5546875" bestFit="1" customWidth="1"/>
  </cols>
  <sheetData>
    <row r="3" spans="3:12" ht="21">
      <c r="C3" s="54" t="s">
        <v>70</v>
      </c>
      <c r="D3" s="54"/>
      <c r="E3" s="54"/>
      <c r="F3" s="54"/>
      <c r="G3" s="54"/>
      <c r="H3" s="54"/>
      <c r="I3" s="54"/>
      <c r="J3" s="54"/>
      <c r="K3" s="54"/>
      <c r="L3" s="23"/>
    </row>
    <row r="4" spans="3:12" ht="43.2">
      <c r="C4" t="s">
        <v>71</v>
      </c>
      <c r="D4" s="1" t="s">
        <v>72</v>
      </c>
      <c r="E4" s="1" t="s">
        <v>73</v>
      </c>
      <c r="F4" s="1" t="s">
        <v>74</v>
      </c>
      <c r="G4" s="1" t="s">
        <v>75</v>
      </c>
      <c r="H4" t="s">
        <v>62</v>
      </c>
      <c r="I4" s="1" t="s">
        <v>65</v>
      </c>
      <c r="J4" t="s">
        <v>76</v>
      </c>
      <c r="K4" s="1" t="s">
        <v>77</v>
      </c>
    </row>
    <row r="5" spans="3:12">
      <c r="C5" t="s">
        <v>145</v>
      </c>
      <c r="D5" s="1" cm="1">
        <f t="array" aca="1" ref="D5" ca="1">SUMPRODUCT(IFERROR(INDIRECT(C5&amp;"[Points]"),0)*--ISNUMBER(SEARCH("Group",INDIRECT(C5&amp;"[Group/Stage]"))))</f>
        <v>0</v>
      </c>
      <c r="E5" s="1">
        <f ca="1">SUM(INDIRECT(C5&amp;"!N6:N17"))</f>
        <v>0</v>
      </c>
      <c r="F5" s="1">
        <f ca="1">SUM(INDIRECT(C5&amp;"!N27:N35"))</f>
        <v>0</v>
      </c>
      <c r="G5" s="1" cm="1">
        <f t="array" aca="1" ref="G5" ca="1">SUMPRODUCT(IFERROR(INDIRECT(C5&amp;"[Points]"),0)*--NOT(ISNUMBER(SEARCH("Group",INDIRECT(C5&amp;"[Group/Stage]")))))</f>
        <v>0</v>
      </c>
      <c r="H5">
        <f ca="1">SUM(INDIRECT(C5&amp;"!N20:N21"))</f>
        <v>0</v>
      </c>
      <c r="I5" s="1" cm="1">
        <f t="array" aca="1" ref="I5" ca="1">INDIRECT(C5&amp;"!N24")</f>
        <v>0</v>
      </c>
      <c r="J5">
        <f ca="1">SUM(D5:I5)</f>
        <v>0</v>
      </c>
      <c r="K5" cm="1">
        <f t="array" aca="1" ref="K5" ca="1">SUMPRODUCT(--(IFERROR(INDIRECT(C5&amp;"[Points]"),0)&gt;0))</f>
        <v>0</v>
      </c>
    </row>
    <row r="6" spans="3:12">
      <c r="C6" t="s">
        <v>146</v>
      </c>
      <c r="D6" s="1" cm="1">
        <f t="array" aca="1" ref="D6" ca="1">SUMPRODUCT(IFERROR(INDIRECT(C6&amp;"[Points]"),0)*--ISNUMBER(SEARCH("Group",INDIRECT(C6&amp;"[Group/Stage]"))))</f>
        <v>0</v>
      </c>
      <c r="E6" s="1">
        <f ca="1">SUM(INDIRECT($C6&amp;"!N6:N17"))</f>
        <v>0</v>
      </c>
      <c r="F6" s="1">
        <f ca="1">SUM(INDIRECT(C6&amp;"!N27:N35"))</f>
        <v>0</v>
      </c>
      <c r="G6" s="1" cm="1">
        <f t="array" aca="1" ref="G6" ca="1">SUMPRODUCT(IFERROR(INDIRECT(C6&amp;"[Points]"),0)*--NOT(ISNUMBER(SEARCH("Group",INDIRECT(C6&amp;"[Group/Stage]")))))</f>
        <v>0</v>
      </c>
      <c r="H6">
        <f ca="1">SUM(INDIRECT(C6&amp;"!N20:N21"))</f>
        <v>0</v>
      </c>
      <c r="I6" s="1" cm="1">
        <f t="array" aca="1" ref="I6" ca="1">INDIRECT(C6&amp;"!N24")</f>
        <v>0</v>
      </c>
      <c r="J6">
        <f ca="1">SUM(D6:I6)</f>
        <v>0</v>
      </c>
      <c r="K6" cm="1">
        <f t="array" aca="1" ref="K6" ca="1">SUMPRODUCT(--(IFERROR(INDIRECT(C6&amp;"[Points]"),0)&gt;0))</f>
        <v>0</v>
      </c>
    </row>
  </sheetData>
  <mergeCells count="1">
    <mergeCell ref="C3:K3"/>
  </mergeCells>
  <pageMargins left="0.7" right="0.7" top="0.75" bottom="0.75" header="0.3" footer="0.3"/>
  <pageSetup scale="86" fitToHeight="0" orientation="portrait" r:id="rId1"/>
  <ignoredErrors>
    <ignoredError sqref="E5:E6 F5:F6" calculatedColumn="1"/>
  </ignoredErrors>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Rules</vt:lpstr>
      <vt:lpstr>Extra_Details</vt:lpstr>
      <vt:lpstr>Countries</vt:lpstr>
      <vt:lpstr>Team_Sheet(s)</vt:lpstr>
      <vt:lpstr>Fixtures</vt:lpstr>
      <vt:lpstr>Benchmark</vt:lpstr>
      <vt:lpstr>Demo</vt:lpstr>
      <vt:lpstr>Results</vt:lpstr>
      <vt:lpstr>Points_Table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 Medland</dc:creator>
  <cp:keywords/>
  <dc:description/>
  <cp:lastModifiedBy>Max Medland</cp:lastModifiedBy>
  <cp:revision/>
  <cp:lastPrinted>2026-04-25T15:50:01Z</cp:lastPrinted>
  <dcterms:created xsi:type="dcterms:W3CDTF">2026-02-26T12:15:43Z</dcterms:created>
  <dcterms:modified xsi:type="dcterms:W3CDTF">2026-06-14T16:02:48Z</dcterms:modified>
  <cp:category/>
  <cp:contentStatus/>
</cp:coreProperties>
</file>