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5" yWindow="-90" windowWidth="19440" windowHeight="99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est_2D_name">Sheet1!$J$15:$K$18</definedName>
    <definedName name="test_name1">Sheet1!$G$16</definedName>
  </definedNames>
  <calcPr calcId="125725"/>
</workbook>
</file>

<file path=xl/calcChain.xml><?xml version="1.0" encoding="utf-8"?>
<calcChain xmlns="http://schemas.openxmlformats.org/spreadsheetml/2006/main">
  <c r="B1" i="5"/>
  <c r="B8"/>
  <c r="C7"/>
  <c r="D7"/>
  <c r="E7"/>
  <c r="E6"/>
  <c r="C6"/>
  <c r="D6"/>
  <c r="H6"/>
  <c r="F7"/>
  <c r="F6"/>
  <c r="A56"/>
  <c r="A55"/>
  <c r="A54"/>
  <c r="A53"/>
  <c r="A52"/>
  <c r="A51"/>
  <c r="A50"/>
  <c r="A49"/>
  <c r="A48"/>
  <c r="A47"/>
  <c r="A46"/>
  <c r="A45"/>
  <c r="A39"/>
  <c r="A38"/>
  <c r="A37"/>
  <c r="A36"/>
  <c r="A35"/>
  <c r="A34"/>
  <c r="A33"/>
  <c r="A32"/>
  <c r="A31"/>
  <c r="A30"/>
  <c r="A29"/>
  <c r="A22"/>
  <c r="A21"/>
  <c r="A20"/>
  <c r="A19"/>
  <c r="A15"/>
  <c r="A14"/>
  <c r="A13"/>
  <c r="A12"/>
  <c r="A11"/>
  <c r="A10"/>
  <c r="A9"/>
  <c r="A8"/>
  <c r="I7"/>
  <c r="H7"/>
  <c r="G7"/>
  <c r="B7"/>
  <c r="A7"/>
  <c r="I6"/>
  <c r="G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I3"/>
  <c r="H3"/>
  <c r="G3"/>
  <c r="F3"/>
  <c r="E3"/>
  <c r="D3"/>
  <c r="C3"/>
  <c r="B3"/>
  <c r="A3"/>
  <c r="I2"/>
  <c r="H2"/>
  <c r="G2"/>
  <c r="F2"/>
  <c r="E2"/>
  <c r="D2"/>
  <c r="C2"/>
  <c r="B2"/>
  <c r="A2"/>
  <c r="I1"/>
  <c r="H1"/>
  <c r="G1"/>
  <c r="F1"/>
  <c r="E1"/>
  <c r="D1"/>
  <c r="C1"/>
  <c r="A1"/>
  <c r="H37" i="2"/>
  <c r="G37"/>
  <c r="F37"/>
  <c r="E37"/>
  <c r="D37"/>
  <c r="C37"/>
  <c r="J36"/>
  <c r="I36"/>
  <c r="H36"/>
  <c r="G36"/>
  <c r="F36"/>
  <c r="E36"/>
  <c r="D36"/>
  <c r="C36"/>
  <c r="J35"/>
  <c r="I35"/>
  <c r="H35"/>
  <c r="G35"/>
  <c r="F35"/>
  <c r="E35"/>
  <c r="D35"/>
  <c r="C35"/>
  <c r="F32"/>
  <c r="G28"/>
  <c r="F26"/>
  <c r="C25"/>
  <c r="H24"/>
  <c r="E18"/>
  <c r="D18"/>
  <c r="C18"/>
  <c r="J17"/>
  <c r="I17"/>
  <c r="H17"/>
  <c r="G17"/>
  <c r="F17"/>
  <c r="E17"/>
  <c r="D17"/>
  <c r="C17"/>
  <c r="J16"/>
  <c r="I16"/>
  <c r="H16"/>
  <c r="G16"/>
  <c r="F16"/>
  <c r="E16"/>
  <c r="D16"/>
  <c r="C16"/>
  <c r="J15"/>
  <c r="I15"/>
  <c r="H15"/>
  <c r="G15"/>
  <c r="F15"/>
  <c r="E15"/>
  <c r="D15"/>
  <c r="C15"/>
  <c r="J14"/>
  <c r="I14"/>
  <c r="H14"/>
  <c r="G14"/>
  <c r="F14"/>
  <c r="E14"/>
  <c r="D14"/>
  <c r="C14"/>
  <c r="J13"/>
  <c r="I13"/>
  <c r="H13"/>
  <c r="G13"/>
  <c r="F13"/>
  <c r="E13"/>
  <c r="D13"/>
  <c r="C13"/>
  <c r="J12"/>
  <c r="I12"/>
  <c r="H12"/>
  <c r="G12"/>
  <c r="F12"/>
  <c r="E12"/>
  <c r="D12"/>
  <c r="C12"/>
  <c r="J11"/>
  <c r="I11"/>
  <c r="H11"/>
  <c r="G11"/>
  <c r="F11"/>
  <c r="E11"/>
  <c r="D11"/>
  <c r="C11"/>
  <c r="J10"/>
  <c r="I10"/>
  <c r="H10"/>
  <c r="G10"/>
  <c r="F10"/>
  <c r="E10"/>
  <c r="D10"/>
  <c r="C10"/>
  <c r="J9"/>
  <c r="I9"/>
  <c r="H9"/>
  <c r="G9"/>
  <c r="F9"/>
  <c r="E9"/>
  <c r="D9"/>
  <c r="C9"/>
  <c r="J8"/>
  <c r="I8"/>
  <c r="H8"/>
  <c r="G8"/>
  <c r="F8"/>
  <c r="E8"/>
  <c r="D8"/>
  <c r="C8"/>
  <c r="J7"/>
  <c r="I7"/>
  <c r="H7"/>
  <c r="G7"/>
  <c r="F7"/>
  <c r="E7"/>
  <c r="D7"/>
  <c r="C7"/>
  <c r="J6"/>
  <c r="I6"/>
  <c r="H6"/>
  <c r="G6"/>
  <c r="F6"/>
  <c r="E6"/>
  <c r="D6"/>
  <c r="C6"/>
  <c r="J5"/>
  <c r="I5"/>
  <c r="H5"/>
  <c r="G5"/>
  <c r="F5"/>
  <c r="E5"/>
  <c r="D5"/>
  <c r="C5"/>
  <c r="J4"/>
  <c r="I4"/>
  <c r="H4"/>
  <c r="G4"/>
  <c r="F4"/>
  <c r="E4"/>
  <c r="D4"/>
  <c r="C4"/>
  <c r="G25" i="1"/>
  <c r="G24"/>
  <c r="E25" i="2" l="1"/>
  <c r="F25"/>
  <c r="G25"/>
  <c r="E26" s="1"/>
  <c r="E27"/>
  <c r="E30" s="1"/>
  <c r="F27"/>
</calcChain>
</file>

<file path=xl/connections.xml><?xml version="1.0" encoding="utf-8"?>
<connections xmlns="http://schemas.openxmlformats.org/spreadsheetml/2006/main">
  <connection id="1" odcFile="C:\Program Files\Microsoft Office\Office12\QUERIES\MSN MoneyCentral Investor Stock Quotes.iqy" name="MSN MoneyCentral Investor Stock Quotes" type="4" refreshedVersion="0" background="1">
    <webPr parsePre="1" consecutive="1" url="http://moneycentral.msn.com/investor/external/excel/quotes.asp?SYMBOL=[&quot;QUOTE&quot;,&quot;Enter stock, fund or other MSN MoneyCentral Investor symbols separated by commas.&quot;]" htmlFormat="all"/>
    <parameters count="1">
      <parameter name="QUOTE" prompt="Enter stock, fund or other MSN MoneyCentral Investor symbols separated by commas."/>
    </parameters>
  </connection>
</connections>
</file>

<file path=xl/sharedStrings.xml><?xml version="1.0" encoding="utf-8"?>
<sst xmlns="http://schemas.openxmlformats.org/spreadsheetml/2006/main" count="618" uniqueCount="111">
  <si>
    <t>Test ExtenXLS -&gt; Excel 2007 Conversion</t>
  </si>
  <si>
    <t>yellow</t>
  </si>
  <si>
    <t>blue</t>
  </si>
  <si>
    <t>conditional formatting</t>
  </si>
  <si>
    <t>image handling</t>
  </si>
  <si>
    <t>red</t>
  </si>
  <si>
    <t>named range one</t>
  </si>
  <si>
    <t>2D Range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</si>
  <si>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</si>
  <si>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</si>
  <si>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</si>
  <si>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</si>
  <si>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</si>
  <si>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</si>
  <si>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</si>
  <si>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</si>
  <si>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</si>
  <si>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</si>
  <si>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bg11</t>
  </si>
  <si>
    <t>bg12</t>
  </si>
  <si>
    <t>colum width</t>
  </si>
  <si>
    <t>row height</t>
  </si>
  <si>
    <t>merged cell range</t>
  </si>
  <si>
    <t>borders</t>
  </si>
  <si>
    <t>text align</t>
  </si>
  <si>
    <t>text align center</t>
  </si>
  <si>
    <t>text align right</t>
  </si>
  <si>
    <t>text top</t>
  </si>
  <si>
    <t>text center</t>
  </si>
  <si>
    <t>text bottom</t>
  </si>
  <si>
    <t>format patterns and background fill</t>
  </si>
  <si>
    <t>indented 2x</t>
  </si>
  <si>
    <t>formula</t>
  </si>
  <si>
    <t>one</t>
  </si>
  <si>
    <t>two</t>
  </si>
  <si>
    <t>THIS ONE IS A NIGHTMARE!</t>
  </si>
  <si>
    <t>Cell2 0</t>
  </si>
  <si>
    <t>STR0110</t>
  </si>
  <si>
    <t>Product</t>
  </si>
  <si>
    <t>Date</t>
  </si>
  <si>
    <t>Cell2 1</t>
  </si>
  <si>
    <t>Number</t>
  </si>
  <si>
    <t>DR-CHEESE (304)</t>
  </si>
  <si>
    <t>Cell2 2</t>
  </si>
  <si>
    <t>Cell2 3</t>
  </si>
  <si>
    <t>Cell2 4</t>
  </si>
  <si>
    <t>Cell2 5</t>
  </si>
  <si>
    <t>Cell2 6</t>
  </si>
  <si>
    <t>DR-JUICE, REFRIG. (331)</t>
  </si>
  <si>
    <t>Cell2 7</t>
  </si>
  <si>
    <t>Cell2 8</t>
  </si>
  <si>
    <t>Cell2 9</t>
  </si>
  <si>
    <t>S0109</t>
  </si>
  <si>
    <t>Cell2 10</t>
  </si>
  <si>
    <t>Cell2 11</t>
  </si>
  <si>
    <t>Cell2 12</t>
  </si>
  <si>
    <t>Cell2 13</t>
  </si>
  <si>
    <t>Cell2 14</t>
  </si>
  <si>
    <t>Cell2 15</t>
  </si>
  <si>
    <t>Cell2 16</t>
  </si>
  <si>
    <t>Cell2 17</t>
  </si>
  <si>
    <t>Cell2 18</t>
  </si>
  <si>
    <t>STR0105</t>
  </si>
  <si>
    <t>Cell2 19</t>
  </si>
  <si>
    <t>Cell2 20</t>
  </si>
  <si>
    <t>Cell2 21</t>
  </si>
  <si>
    <t>Cell2 22</t>
  </si>
  <si>
    <t>Cell2 23</t>
  </si>
  <si>
    <t>Cell2 24</t>
  </si>
  <si>
    <t>Cell2 25</t>
  </si>
  <si>
    <t>Cell2 26</t>
  </si>
  <si>
    <t>Cell2 27</t>
  </si>
  <si>
    <t>Cell2 28</t>
  </si>
  <si>
    <t>Cell2 29</t>
  </si>
  <si>
    <t>Cell2 30</t>
  </si>
  <si>
    <t>Cell2 31</t>
  </si>
  <si>
    <t>Cell2 32</t>
  </si>
  <si>
    <t>Cell2 33</t>
  </si>
  <si>
    <t>Cell2 34</t>
  </si>
  <si>
    <t>Cell2 35</t>
  </si>
  <si>
    <t>Cell2 36</t>
  </si>
  <si>
    <t>Cell2 37</t>
  </si>
  <si>
    <t>Cell2 38</t>
  </si>
  <si>
    <t>Cell2 39</t>
  </si>
  <si>
    <t>Cell2 40</t>
  </si>
  <si>
    <t>Cell2 41</t>
  </si>
  <si>
    <t>Cell2 42</t>
  </si>
  <si>
    <t>Cell2 43</t>
  </si>
  <si>
    <t>Cell2 44</t>
  </si>
  <si>
    <t>Cell2 45</t>
  </si>
  <si>
    <t>Cell2 46</t>
  </si>
  <si>
    <t>Cell2 47</t>
  </si>
  <si>
    <t>Cell2 48</t>
  </si>
  <si>
    <t>Cell2 49</t>
  </si>
  <si>
    <t>Cell2 50</t>
  </si>
  <si>
    <t>Cell2 51</t>
  </si>
  <si>
    <t>Cell2 52</t>
  </si>
  <si>
    <t>Cell2 53</t>
  </si>
  <si>
    <t>Cell2 54</t>
  </si>
  <si>
    <t>Cell2 55</t>
  </si>
  <si>
    <t>Cell2 56</t>
  </si>
  <si>
    <t>Cell2 57</t>
  </si>
  <si>
    <t>Cell2 58</t>
  </si>
  <si>
    <t>Cell2 59</t>
  </si>
  <si>
    <t>Cell2 60</t>
  </si>
  <si>
    <t>Cell2 61</t>
  </si>
  <si>
    <t>Cell2 62</t>
  </si>
  <si>
    <t>Cell2 63</t>
  </si>
  <si>
    <t>Cell2 64</t>
  </si>
  <si>
    <t>Range validation</t>
  </si>
  <si>
    <t>Single cell validation</t>
  </si>
</sst>
</file>

<file path=xl/styles.xml><?xml version="1.0" encoding="utf-8"?>
<styleSheet xmlns="http://schemas.openxmlformats.org/spreadsheetml/2006/main">
  <numFmts count="11">
    <numFmt numFmtId="8" formatCode="&quot;$&quot;#,##0.00_);[Red]\(&quot;$&quot;#,##0.00\)"/>
    <numFmt numFmtId="164" formatCode="#,##0.0"/>
    <numFmt numFmtId="165" formatCode="#,##0.000"/>
    <numFmt numFmtId="166" formatCode="#,##0.0000"/>
    <numFmt numFmtId="167" formatCode="#,##0.00000"/>
    <numFmt numFmtId="168" formatCode="0.0%"/>
    <numFmt numFmtId="169" formatCode="0.000%"/>
    <numFmt numFmtId="170" formatCode="0.0000%"/>
    <numFmt numFmtId="171" formatCode="0.00000%"/>
    <numFmt numFmtId="172" formatCode="d\-mmm\-yyyy"/>
    <numFmt numFmtId="173" formatCode="000\-00\-0000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color theme="1"/>
      <name val="Eurostile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"/>
      <name val="Arial"/>
      <family val="2"/>
    </font>
    <font>
      <b/>
      <sz val="10"/>
      <color indexed="11"/>
      <name val="Arial"/>
      <family val="2"/>
    </font>
    <font>
      <sz val="10"/>
      <name val="Garamond"/>
      <family val="1"/>
    </font>
    <font>
      <sz val="10"/>
      <color indexed="3"/>
      <name val="Arial"/>
      <family val="2"/>
    </font>
    <font>
      <sz val="10"/>
      <color indexed="4"/>
      <name val="Arial"/>
      <family val="2"/>
    </font>
    <font>
      <sz val="10"/>
      <color indexed="5"/>
      <name val="Arial"/>
      <family val="2"/>
    </font>
    <font>
      <sz val="10"/>
      <color indexed="6"/>
      <name val="Arial"/>
      <family val="2"/>
    </font>
    <font>
      <sz val="10"/>
      <color indexed="7"/>
      <name val="Arial"/>
      <family val="2"/>
    </font>
    <font>
      <sz val="10"/>
      <color indexed="0"/>
      <name val="Arial"/>
      <family val="2"/>
    </font>
    <font>
      <sz val="10"/>
      <color indexed="2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sz val="10"/>
      <color indexed="22"/>
      <name val="Arial"/>
      <family val="2"/>
    </font>
    <font>
      <sz val="10"/>
      <color indexed="23"/>
      <name val="Arial"/>
      <family val="2"/>
    </font>
    <font>
      <sz val="10"/>
      <color indexed="24"/>
      <name val="Arial"/>
      <family val="2"/>
    </font>
    <font>
      <sz val="10"/>
      <color indexed="25"/>
      <name val="Arial"/>
      <family val="2"/>
    </font>
    <font>
      <sz val="10"/>
      <color indexed="30"/>
      <name val="Arial"/>
      <family val="2"/>
    </font>
    <font>
      <sz val="10"/>
      <color indexed="31"/>
      <name val="Arial"/>
      <family val="2"/>
    </font>
    <font>
      <sz val="10"/>
      <color indexed="37"/>
      <name val="Arial"/>
      <family val="2"/>
    </font>
    <font>
      <sz val="10"/>
      <color indexed="38"/>
      <name val="Arial"/>
      <family val="2"/>
    </font>
    <font>
      <sz val="10"/>
      <color indexed="27"/>
      <name val="Arial"/>
      <family val="2"/>
    </font>
    <font>
      <sz val="10"/>
      <color indexed="42"/>
      <name val="Arial"/>
      <family val="2"/>
    </font>
    <font>
      <sz val="10"/>
      <color indexed="26"/>
      <name val="Arial"/>
      <family val="2"/>
    </font>
    <font>
      <sz val="10"/>
      <color indexed="45"/>
      <name val="Arial"/>
      <family val="2"/>
    </font>
    <font>
      <sz val="10"/>
      <color indexed="46"/>
      <name val="Arial"/>
      <family val="2"/>
    </font>
    <font>
      <sz val="10"/>
      <color indexed="47"/>
      <name val="Arial"/>
      <family val="2"/>
    </font>
    <font>
      <sz val="10"/>
      <color indexed="49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52"/>
      <name val="Arial"/>
      <family val="2"/>
    </font>
    <font>
      <sz val="10"/>
      <color indexed="53"/>
      <name val="Arial"/>
      <family val="2"/>
    </font>
    <font>
      <sz val="10"/>
      <color indexed="55"/>
      <name val="Arial"/>
      <family val="2"/>
    </font>
    <font>
      <sz val="10"/>
      <color indexed="56"/>
      <name val="Arial"/>
      <family val="2"/>
    </font>
    <font>
      <sz val="10"/>
      <color indexed="58"/>
      <name val="Arial"/>
      <family val="2"/>
    </font>
    <font>
      <sz val="10"/>
      <color indexed="59"/>
      <name val="Arial"/>
      <family val="2"/>
    </font>
    <font>
      <sz val="10"/>
      <color indexed="62"/>
      <name val="Arial"/>
      <family val="2"/>
    </font>
    <font>
      <sz val="10"/>
      <color indexed="63"/>
      <name val="Arial"/>
      <family val="2"/>
    </font>
  </fonts>
  <fills count="9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darkGray">
        <fgColor rgb="FFFF0000"/>
        <bgColor theme="2" tint="-9.9948118533890809E-2"/>
      </patternFill>
    </fill>
    <fill>
      <patternFill patternType="darkDown"/>
    </fill>
    <fill>
      <patternFill patternType="lightGrid">
        <bgColor rgb="FF92D050"/>
      </patternFill>
    </fill>
    <fill>
      <patternFill patternType="lightTrellis">
        <fgColor theme="0"/>
        <bgColor rgb="FF002060"/>
      </patternFill>
    </fill>
    <fill>
      <patternFill patternType="lightVertical"/>
    </fill>
    <fill>
      <patternFill patternType="lightHorizontal"/>
    </fill>
    <fill>
      <patternFill patternType="darkTrellis"/>
    </fill>
    <fill>
      <patternFill patternType="darkHorizontal"/>
    </fill>
    <fill>
      <patternFill patternType="darkVertical"/>
    </fill>
    <fill>
      <patternFill patternType="darkGrid"/>
    </fill>
    <fill>
      <patternFill patternType="mediumGray">
        <bgColor rgb="FF92D050"/>
      </patternFill>
    </fill>
    <fill>
      <patternFill patternType="solid">
        <fgColor indexed="1"/>
        <bgColor indexed="64"/>
      </patternFill>
    </fill>
    <fill>
      <patternFill patternType="darkGrid">
        <fgColor indexed="0"/>
      </patternFill>
    </fill>
    <fill>
      <patternFill patternType="solid">
        <fgColor indexed="0"/>
        <bgColor indexed="64"/>
      </patternFill>
    </fill>
    <fill>
      <patternFill patternType="solid">
        <fgColor indexed="2"/>
        <bgColor indexed="64"/>
      </patternFill>
    </fill>
    <fill>
      <patternFill patternType="darkGrid">
        <fgColor indexed="1"/>
      </patternFill>
    </fill>
    <fill>
      <patternFill patternType="solid">
        <fgColor indexed="19"/>
        <bgColor indexed="64"/>
      </patternFill>
    </fill>
    <fill>
      <patternFill patternType="solid">
        <fgColor indexed="9"/>
      </patternFill>
    </fill>
    <fill>
      <patternFill patternType="darkGrid">
        <fgColor indexed="2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darkGrid">
        <fgColor indexed="3"/>
      </patternFill>
    </fill>
    <fill>
      <patternFill patternType="solid">
        <fgColor indexed="3"/>
        <bgColor indexed="64"/>
      </patternFill>
    </fill>
    <fill>
      <patternFill patternType="darkGrid">
        <fgColor indexed="4"/>
      </patternFill>
    </fill>
    <fill>
      <patternFill patternType="solid">
        <fgColor indexed="4"/>
        <bgColor indexed="64"/>
      </patternFill>
    </fill>
    <fill>
      <patternFill patternType="darkGrid">
        <fgColor indexed="5"/>
      </patternFill>
    </fill>
    <fill>
      <patternFill patternType="solid">
        <fgColor indexed="5"/>
        <bgColor indexed="64"/>
      </patternFill>
    </fill>
    <fill>
      <patternFill patternType="darkGrid">
        <fgColor indexed="6"/>
      </patternFill>
    </fill>
    <fill>
      <patternFill patternType="solid">
        <fgColor indexed="6"/>
        <bgColor indexed="64"/>
      </patternFill>
    </fill>
    <fill>
      <patternFill patternType="darkGrid">
        <fgColor indexed="7"/>
      </patternFill>
    </fill>
    <fill>
      <patternFill patternType="solid">
        <fgColor indexed="7"/>
        <bgColor indexed="64"/>
      </patternFill>
    </fill>
    <fill>
      <patternFill patternType="darkGrid">
        <fgColor indexed="11"/>
      </patternFill>
    </fill>
    <fill>
      <patternFill patternType="solid">
        <fgColor indexed="11"/>
        <bgColor indexed="64"/>
      </patternFill>
    </fill>
    <fill>
      <patternFill patternType="darkGrid">
        <fgColor indexed="16"/>
      </patternFill>
    </fill>
    <fill>
      <patternFill patternType="solid">
        <fgColor indexed="16"/>
        <bgColor indexed="64"/>
      </patternFill>
    </fill>
    <fill>
      <patternFill patternType="darkGrid">
        <fgColor indexed="18"/>
      </patternFill>
    </fill>
    <fill>
      <patternFill patternType="solid">
        <fgColor indexed="18"/>
        <bgColor indexed="64"/>
      </patternFill>
    </fill>
    <fill>
      <patternFill patternType="darkGrid">
        <fgColor indexed="19"/>
      </patternFill>
    </fill>
    <fill>
      <patternFill patternType="darkGrid">
        <fgColor indexed="20"/>
      </patternFill>
    </fill>
    <fill>
      <patternFill patternType="solid">
        <fgColor indexed="20"/>
        <bgColor indexed="64"/>
      </patternFill>
    </fill>
    <fill>
      <patternFill patternType="darkGrid">
        <fgColor indexed="21"/>
      </patternFill>
    </fill>
    <fill>
      <patternFill patternType="solid">
        <fgColor indexed="21"/>
        <bgColor indexed="64"/>
      </patternFill>
    </fill>
    <fill>
      <patternFill patternType="darkGrid">
        <fgColor indexed="22"/>
      </patternFill>
    </fill>
    <fill>
      <patternFill patternType="solid">
        <fgColor indexed="22"/>
        <bgColor indexed="64"/>
      </patternFill>
    </fill>
    <fill>
      <patternFill patternType="darkGrid">
        <fgColor indexed="23"/>
      </patternFill>
    </fill>
    <fill>
      <patternFill patternType="darkGrid">
        <fgColor indexed="24"/>
      </patternFill>
    </fill>
    <fill>
      <patternFill patternType="solid">
        <fgColor indexed="24"/>
        <bgColor indexed="64"/>
      </patternFill>
    </fill>
    <fill>
      <patternFill patternType="darkGrid">
        <fgColor indexed="25"/>
      </patternFill>
    </fill>
    <fill>
      <patternFill patternType="solid">
        <fgColor indexed="25"/>
        <bgColor indexed="64"/>
      </patternFill>
    </fill>
    <fill>
      <patternFill patternType="darkGrid">
        <fgColor indexed="26"/>
      </patternFill>
    </fill>
    <fill>
      <patternFill patternType="solid">
        <fgColor indexed="26"/>
        <bgColor indexed="64"/>
      </patternFill>
    </fill>
    <fill>
      <patternFill patternType="darkGrid">
        <fgColor indexed="27"/>
      </patternFill>
    </fill>
    <fill>
      <patternFill patternType="darkGrid">
        <fgColor indexed="30"/>
      </patternFill>
    </fill>
    <fill>
      <patternFill patternType="solid">
        <fgColor indexed="30"/>
        <bgColor indexed="64"/>
      </patternFill>
    </fill>
    <fill>
      <patternFill patternType="darkGrid">
        <fgColor indexed="31"/>
      </patternFill>
    </fill>
    <fill>
      <patternFill patternType="solid">
        <fgColor indexed="31"/>
        <bgColor indexed="64"/>
      </patternFill>
    </fill>
    <fill>
      <patternFill patternType="darkGrid">
        <fgColor indexed="37"/>
      </patternFill>
    </fill>
    <fill>
      <patternFill patternType="solid">
        <fgColor indexed="37"/>
        <bgColor indexed="64"/>
      </patternFill>
    </fill>
    <fill>
      <patternFill patternType="darkGrid">
        <fgColor indexed="38"/>
      </patternFill>
    </fill>
    <fill>
      <patternFill patternType="solid">
        <fgColor indexed="38"/>
        <bgColor indexed="64"/>
      </patternFill>
    </fill>
    <fill>
      <patternFill patternType="darkGrid">
        <fgColor indexed="42"/>
      </patternFill>
    </fill>
    <fill>
      <patternFill patternType="solid">
        <fgColor indexed="42"/>
        <bgColor indexed="64"/>
      </patternFill>
    </fill>
    <fill>
      <patternFill patternType="darkGrid">
        <fgColor indexed="45"/>
      </patternFill>
    </fill>
    <fill>
      <patternFill patternType="solid">
        <fgColor indexed="45"/>
        <bgColor indexed="64"/>
      </patternFill>
    </fill>
    <fill>
      <patternFill patternType="darkGrid">
        <fgColor indexed="46"/>
      </patternFill>
    </fill>
    <fill>
      <patternFill patternType="solid">
        <fgColor indexed="46"/>
        <bgColor indexed="64"/>
      </patternFill>
    </fill>
    <fill>
      <patternFill patternType="darkGrid">
        <fgColor indexed="47"/>
      </patternFill>
    </fill>
    <fill>
      <patternFill patternType="solid">
        <fgColor indexed="47"/>
        <bgColor indexed="64"/>
      </patternFill>
    </fill>
    <fill>
      <patternFill patternType="darkGrid">
        <fgColor indexed="49"/>
      </patternFill>
    </fill>
    <fill>
      <patternFill patternType="darkGrid">
        <fgColor indexed="50"/>
      </patternFill>
    </fill>
    <fill>
      <patternFill patternType="solid">
        <fgColor indexed="50"/>
        <bgColor indexed="64"/>
      </patternFill>
    </fill>
    <fill>
      <patternFill patternType="darkGrid">
        <fgColor indexed="51"/>
      </patternFill>
    </fill>
    <fill>
      <patternFill patternType="solid">
        <fgColor indexed="51"/>
        <bgColor indexed="64"/>
      </patternFill>
    </fill>
    <fill>
      <patternFill patternType="darkGrid">
        <fgColor indexed="52"/>
      </patternFill>
    </fill>
    <fill>
      <patternFill patternType="solid">
        <fgColor indexed="52"/>
        <bgColor indexed="64"/>
      </patternFill>
    </fill>
    <fill>
      <patternFill patternType="darkGrid">
        <fgColor indexed="53"/>
      </patternFill>
    </fill>
    <fill>
      <patternFill patternType="solid">
        <fgColor indexed="53"/>
        <bgColor indexed="64"/>
      </patternFill>
    </fill>
    <fill>
      <patternFill patternType="darkGrid">
        <fgColor indexed="55"/>
      </patternFill>
    </fill>
    <fill>
      <patternFill patternType="solid">
        <fgColor indexed="55"/>
        <bgColor indexed="64"/>
      </patternFill>
    </fill>
    <fill>
      <patternFill patternType="darkGrid">
        <fgColor indexed="56"/>
      </patternFill>
    </fill>
    <fill>
      <patternFill patternType="solid">
        <fgColor indexed="56"/>
        <bgColor indexed="64"/>
      </patternFill>
    </fill>
    <fill>
      <patternFill patternType="darkGrid">
        <fgColor indexed="58"/>
      </patternFill>
    </fill>
    <fill>
      <patternFill patternType="solid">
        <fgColor indexed="58"/>
        <bgColor indexed="64"/>
      </patternFill>
    </fill>
    <fill>
      <patternFill patternType="darkGrid">
        <fgColor indexed="59"/>
      </patternFill>
    </fill>
    <fill>
      <patternFill patternType="solid">
        <fgColor indexed="59"/>
        <bgColor indexed="64"/>
      </patternFill>
    </fill>
    <fill>
      <patternFill patternType="darkGrid">
        <fgColor indexed="62"/>
      </patternFill>
    </fill>
    <fill>
      <patternFill patternType="solid">
        <fgColor indexed="62"/>
        <bgColor indexed="64"/>
      </patternFill>
    </fill>
    <fill>
      <patternFill patternType="darkGrid">
        <fgColor indexed="63"/>
      </patternFill>
    </fill>
    <fill>
      <patternFill patternType="solid">
        <fgColor indexed="63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/>
      <right style="medium">
        <color auto="1"/>
      </right>
      <top/>
      <bottom/>
      <diagonal/>
    </border>
    <border>
      <left style="dashed">
        <color indexed="0"/>
      </left>
      <right style="dashed">
        <color indexed="0"/>
      </right>
      <top style="dashed">
        <color indexed="0"/>
      </top>
      <bottom style="dashed">
        <color indexed="0"/>
      </bottom>
      <diagonal/>
    </border>
    <border>
      <left style="dashed">
        <color indexed="1"/>
      </left>
      <right style="dashed">
        <color indexed="1"/>
      </right>
      <top style="dashed">
        <color indexed="1"/>
      </top>
      <bottom style="dashed">
        <color indexed="1"/>
      </bottom>
      <diagonal/>
    </border>
    <border>
      <left style="dashed">
        <color indexed="11"/>
      </left>
      <right style="dashed">
        <color indexed="11"/>
      </right>
      <top style="dashed">
        <color indexed="11"/>
      </top>
      <bottom style="dashed">
        <color indexed="11"/>
      </bottom>
      <diagonal/>
    </border>
    <border>
      <left style="dashed">
        <color indexed="2"/>
      </left>
      <right style="dashed">
        <color indexed="2"/>
      </right>
      <top style="dashed">
        <color indexed="2"/>
      </top>
      <bottom style="dashed">
        <color indexed="2"/>
      </bottom>
      <diagonal/>
    </border>
    <border>
      <left style="dashed">
        <color indexed="20"/>
      </left>
      <right style="dashed">
        <color indexed="20"/>
      </right>
      <top style="dashed">
        <color indexed="20"/>
      </top>
      <bottom style="dashed">
        <color indexed="20"/>
      </bottom>
      <diagonal/>
    </border>
    <border>
      <left style="dashed">
        <color indexed="3"/>
      </left>
      <right style="dashed">
        <color indexed="3"/>
      </right>
      <top style="dashed">
        <color indexed="3"/>
      </top>
      <bottom style="dashed">
        <color indexed="3"/>
      </bottom>
      <diagonal/>
    </border>
    <border>
      <left style="dashed">
        <color indexed="25"/>
      </left>
      <right style="dashed">
        <color indexed="25"/>
      </right>
      <top style="dashed">
        <color indexed="25"/>
      </top>
      <bottom style="dashed">
        <color indexed="25"/>
      </bottom>
      <diagonal/>
    </border>
    <border>
      <left style="dashed">
        <color indexed="24"/>
      </left>
      <right style="dashed">
        <color indexed="24"/>
      </right>
      <top style="dashed">
        <color indexed="24"/>
      </top>
      <bottom style="dashed">
        <color indexed="24"/>
      </bottom>
      <diagonal/>
    </border>
    <border>
      <left style="dashed">
        <color indexed="4"/>
      </left>
      <right style="dashed">
        <color indexed="4"/>
      </right>
      <top style="dashed">
        <color indexed="4"/>
      </top>
      <bottom style="dashed">
        <color indexed="4"/>
      </bottom>
      <diagonal/>
    </border>
    <border>
      <left style="dashed">
        <color indexed="5"/>
      </left>
      <right style="dashed">
        <color indexed="5"/>
      </right>
      <top style="dashed">
        <color indexed="5"/>
      </top>
      <bottom style="dashed">
        <color indexed="5"/>
      </bottom>
      <diagonal/>
    </border>
    <border>
      <left style="dashed">
        <color indexed="6"/>
      </left>
      <right style="dashed">
        <color indexed="6"/>
      </right>
      <top style="dashed">
        <color indexed="6"/>
      </top>
      <bottom style="dashed">
        <color indexed="6"/>
      </bottom>
      <diagonal/>
    </border>
    <border>
      <left style="dashed">
        <color indexed="7"/>
      </left>
      <right style="dashed">
        <color indexed="7"/>
      </right>
      <top style="dashed">
        <color indexed="7"/>
      </top>
      <bottom style="dashed">
        <color indexed="7"/>
      </bottom>
      <diagonal/>
    </border>
    <border>
      <left style="dashed">
        <color indexed="16"/>
      </left>
      <right style="dashed">
        <color indexed="16"/>
      </right>
      <top style="dashed">
        <color indexed="16"/>
      </top>
      <bottom style="dashed">
        <color indexed="16"/>
      </bottom>
      <diagonal/>
    </border>
    <border>
      <left style="dashed">
        <color indexed="18"/>
      </left>
      <right style="dashed">
        <color indexed="18"/>
      </right>
      <top style="dashed">
        <color indexed="18"/>
      </top>
      <bottom style="dashed">
        <color indexed="18"/>
      </bottom>
      <diagonal/>
    </border>
    <border>
      <left style="dashed">
        <color indexed="19"/>
      </left>
      <right style="dashed">
        <color indexed="19"/>
      </right>
      <top style="dashed">
        <color indexed="19"/>
      </top>
      <bottom style="dashed">
        <color indexed="19"/>
      </bottom>
      <diagonal/>
    </border>
    <border>
      <left style="dashed">
        <color indexed="21"/>
      </left>
      <right style="dashed">
        <color indexed="21"/>
      </right>
      <top style="dashed">
        <color indexed="21"/>
      </top>
      <bottom style="dashed">
        <color indexed="21"/>
      </bottom>
      <diagonal/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dashed">
        <color indexed="23"/>
      </left>
      <right style="dashed">
        <color indexed="23"/>
      </right>
      <top style="dashed">
        <color indexed="23"/>
      </top>
      <bottom style="dashed">
        <color indexed="23"/>
      </bottom>
      <diagonal/>
    </border>
    <border>
      <left style="dashed">
        <color indexed="26"/>
      </left>
      <right style="dashed">
        <color indexed="26"/>
      </right>
      <top style="dashed">
        <color indexed="26"/>
      </top>
      <bottom style="dashed">
        <color indexed="26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dashed">
        <color indexed="30"/>
      </left>
      <right style="dashed">
        <color indexed="30"/>
      </right>
      <top style="dashed">
        <color indexed="30"/>
      </top>
      <bottom style="dashed">
        <color indexed="30"/>
      </bottom>
      <diagonal/>
    </border>
    <border>
      <left style="dashed">
        <color indexed="31"/>
      </left>
      <right style="dashed">
        <color indexed="31"/>
      </right>
      <top style="dashed">
        <color indexed="31"/>
      </top>
      <bottom style="dashed">
        <color indexed="31"/>
      </bottom>
      <diagonal/>
    </border>
    <border>
      <left style="dashed">
        <color indexed="37"/>
      </left>
      <right style="dashed">
        <color indexed="37"/>
      </right>
      <top style="dashed">
        <color indexed="37"/>
      </top>
      <bottom style="dashed">
        <color indexed="37"/>
      </bottom>
      <diagonal/>
    </border>
    <border>
      <left style="dashed">
        <color indexed="38"/>
      </left>
      <right style="dashed">
        <color indexed="38"/>
      </right>
      <top style="dashed">
        <color indexed="38"/>
      </top>
      <bottom style="dashed">
        <color indexed="38"/>
      </bottom>
      <diagonal/>
    </border>
    <border>
      <left style="dashed">
        <color indexed="42"/>
      </left>
      <right style="dashed">
        <color indexed="42"/>
      </right>
      <top style="dashed">
        <color indexed="42"/>
      </top>
      <bottom style="dashed">
        <color indexed="42"/>
      </bottom>
      <diagonal/>
    </border>
    <border>
      <left style="dashed">
        <color indexed="45"/>
      </left>
      <right style="dashed">
        <color indexed="45"/>
      </right>
      <top style="dashed">
        <color indexed="45"/>
      </top>
      <bottom style="dashed">
        <color indexed="45"/>
      </bottom>
      <diagonal/>
    </border>
    <border>
      <left style="dashed">
        <color indexed="46"/>
      </left>
      <right style="dashed">
        <color indexed="46"/>
      </right>
      <top style="dashed">
        <color indexed="46"/>
      </top>
      <bottom style="dashed">
        <color indexed="46"/>
      </bottom>
      <diagonal/>
    </border>
    <border>
      <left style="dashed">
        <color indexed="47"/>
      </left>
      <right style="dashed">
        <color indexed="47"/>
      </right>
      <top style="dashed">
        <color indexed="47"/>
      </top>
      <bottom style="dashed">
        <color indexed="47"/>
      </bottom>
      <diagonal/>
    </border>
    <border>
      <left style="dashed">
        <color indexed="49"/>
      </left>
      <right style="dashed">
        <color indexed="49"/>
      </right>
      <top style="dashed">
        <color indexed="49"/>
      </top>
      <bottom style="dashed">
        <color indexed="49"/>
      </bottom>
      <diagonal/>
    </border>
    <border>
      <left style="dashed">
        <color indexed="50"/>
      </left>
      <right style="dashed">
        <color indexed="50"/>
      </right>
      <top style="dashed">
        <color indexed="50"/>
      </top>
      <bottom style="dashed">
        <color indexed="50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2"/>
      </left>
      <right style="dashed">
        <color indexed="52"/>
      </right>
      <top style="dashed">
        <color indexed="52"/>
      </top>
      <bottom style="dashed">
        <color indexed="52"/>
      </bottom>
      <diagonal/>
    </border>
    <border>
      <left style="dashed">
        <color indexed="53"/>
      </left>
      <right style="dashed">
        <color indexed="53"/>
      </right>
      <top style="dashed">
        <color indexed="53"/>
      </top>
      <bottom style="dashed">
        <color indexed="53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8"/>
      </left>
      <right style="dashed">
        <color indexed="58"/>
      </right>
      <top style="dashed">
        <color indexed="58"/>
      </top>
      <bottom style="dashed">
        <color indexed="58"/>
      </bottom>
      <diagonal/>
    </border>
    <border>
      <left style="dashed">
        <color indexed="59"/>
      </left>
      <right style="dashed">
        <color indexed="59"/>
      </right>
      <top style="dashed">
        <color indexed="59"/>
      </top>
      <bottom style="dashed">
        <color indexed="59"/>
      </bottom>
      <diagonal/>
    </border>
    <border>
      <left style="dashed">
        <color indexed="62"/>
      </left>
      <right style="dashed">
        <color indexed="62"/>
      </right>
      <top style="dashed">
        <color indexed="62"/>
      </top>
      <bottom style="dashed">
        <color indexed="62"/>
      </bottom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</borders>
  <cellStyleXfs count="2">
    <xf numFmtId="0" fontId="0" fillId="0" borderId="0"/>
    <xf numFmtId="0" fontId="4" fillId="0" borderId="0"/>
  </cellStyleXfs>
  <cellXfs count="264">
    <xf numFmtId="0" fontId="0" fillId="0" borderId="0" xfId="0"/>
    <xf numFmtId="3" fontId="1" fillId="2" borderId="0" xfId="0" applyNumberFormat="1" applyFont="1" applyFill="1"/>
    <xf numFmtId="3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4" fontId="1" fillId="2" borderId="0" xfId="0" applyNumberFormat="1" applyFont="1" applyFill="1"/>
    <xf numFmtId="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9" fontId="1" fillId="2" borderId="0" xfId="0" applyNumberFormat="1" applyFont="1" applyFill="1"/>
    <xf numFmtId="9" fontId="1" fillId="0" borderId="0" xfId="0" applyNumberFormat="1" applyFont="1" applyFill="1"/>
    <xf numFmtId="168" fontId="1" fillId="0" borderId="0" xfId="0" applyNumberFormat="1" applyFont="1" applyFill="1"/>
    <xf numFmtId="10" fontId="1" fillId="2" borderId="0" xfId="0" applyNumberFormat="1" applyFont="1" applyFill="1"/>
    <xf numFmtId="10" fontId="1" fillId="0" borderId="0" xfId="0" applyNumberFormat="1" applyFont="1" applyFill="1"/>
    <xf numFmtId="169" fontId="1" fillId="0" borderId="0" xfId="0" applyNumberFormat="1" applyFont="1" applyFill="1"/>
    <xf numFmtId="170" fontId="1" fillId="0" borderId="0" xfId="0" applyNumberFormat="1" applyFont="1" applyFill="1"/>
    <xf numFmtId="171" fontId="1" fillId="0" borderId="0" xfId="0" applyNumberFormat="1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3" fillId="0" borderId="0" xfId="0" applyFont="1"/>
    <xf numFmtId="0" fontId="0" fillId="17" borderId="13" xfId="0" applyFill="1" applyBorder="1"/>
    <xf numFmtId="0" fontId="4" fillId="18" borderId="14" xfId="0" applyFont="1" applyFill="1" applyBorder="1"/>
    <xf numFmtId="164" fontId="0" fillId="0" borderId="0" xfId="0" applyNumberFormat="1"/>
    <xf numFmtId="0" fontId="5" fillId="19" borderId="14" xfId="0" applyFont="1" applyFill="1" applyBorder="1"/>
    <xf numFmtId="0" fontId="0" fillId="17" borderId="13" xfId="0" applyFill="1" applyBorder="1" applyAlignment="1">
      <alignment horizontal="right"/>
    </xf>
    <xf numFmtId="0" fontId="6" fillId="20" borderId="15" xfId="0" applyFont="1" applyFill="1" applyBorder="1"/>
    <xf numFmtId="0" fontId="4" fillId="21" borderId="16" xfId="0" applyFont="1" applyFill="1" applyBorder="1"/>
    <xf numFmtId="164" fontId="6" fillId="0" borderId="0" xfId="0" applyNumberFormat="1" applyFont="1"/>
    <xf numFmtId="0" fontId="6" fillId="22" borderId="17" xfId="0" applyFont="1" applyFill="1" applyBorder="1" applyAlignment="1">
      <alignment horizontal="right"/>
    </xf>
    <xf numFmtId="0" fontId="4" fillId="0" borderId="0" xfId="0" applyFont="1"/>
    <xf numFmtId="0" fontId="7" fillId="23" borderId="1" xfId="0" applyNumberFormat="1" applyFont="1" applyFill="1" applyBorder="1" applyAlignment="1">
      <alignment horizontal="left" vertical="center"/>
    </xf>
    <xf numFmtId="172" fontId="0" fillId="0" borderId="0" xfId="0" applyNumberFormat="1"/>
    <xf numFmtId="0" fontId="4" fillId="24" borderId="18" xfId="0" applyFont="1" applyFill="1" applyBorder="1"/>
    <xf numFmtId="173" fontId="0" fillId="25" borderId="19" xfId="0" applyNumberFormat="1" applyFill="1" applyBorder="1"/>
    <xf numFmtId="10" fontId="0" fillId="26" borderId="20" xfId="0" applyNumberFormat="1" applyFill="1" applyBorder="1"/>
    <xf numFmtId="0" fontId="8" fillId="20" borderId="18" xfId="0" applyFont="1" applyFill="1" applyBorder="1"/>
    <xf numFmtId="0" fontId="4" fillId="27" borderId="21" xfId="0" applyFont="1" applyFill="1" applyBorder="1"/>
    <xf numFmtId="0" fontId="9" fillId="28" borderId="21" xfId="0" applyFont="1" applyFill="1" applyBorder="1"/>
    <xf numFmtId="0" fontId="4" fillId="29" borderId="22" xfId="0" applyFont="1" applyFill="1" applyBorder="1"/>
    <xf numFmtId="9" fontId="0" fillId="25" borderId="19" xfId="0" applyNumberFormat="1" applyFill="1" applyBorder="1"/>
    <xf numFmtId="0" fontId="10" fillId="30" borderId="22" xfId="0" applyFont="1" applyFill="1" applyBorder="1"/>
    <xf numFmtId="0" fontId="4" fillId="31" borderId="23" xfId="0" applyFont="1" applyFill="1" applyBorder="1"/>
    <xf numFmtId="0" fontId="11" fillId="32" borderId="23" xfId="0" applyFont="1" applyFill="1" applyBorder="1"/>
    <xf numFmtId="0" fontId="4" fillId="33" borderId="24" xfId="0" applyFont="1" applyFill="1" applyBorder="1"/>
    <xf numFmtId="0" fontId="12" fillId="34" borderId="24" xfId="0" applyFont="1" applyFill="1" applyBorder="1"/>
    <xf numFmtId="0" fontId="4" fillId="35" borderId="13" xfId="0" applyFont="1" applyFill="1" applyBorder="1"/>
    <xf numFmtId="0" fontId="13" fillId="36" borderId="13" xfId="0" applyFont="1" applyFill="1" applyBorder="1"/>
    <xf numFmtId="0" fontId="14" fillId="17" borderId="16" xfId="0" applyFont="1" applyFill="1" applyBorder="1"/>
    <xf numFmtId="0" fontId="4" fillId="24" borderId="15" xfId="0" applyFont="1" applyFill="1" applyBorder="1"/>
    <xf numFmtId="0" fontId="4" fillId="37" borderId="21" xfId="0" applyFont="1" applyFill="1" applyBorder="1"/>
    <xf numFmtId="0" fontId="9" fillId="38" borderId="21" xfId="0" applyFont="1" applyFill="1" applyBorder="1"/>
    <xf numFmtId="0" fontId="4" fillId="35" borderId="25" xfId="0" applyFont="1" applyFill="1" applyBorder="1"/>
    <xf numFmtId="0" fontId="15" fillId="36" borderId="25" xfId="0" applyFont="1" applyFill="1" applyBorder="1"/>
    <xf numFmtId="0" fontId="4" fillId="39" borderId="18" xfId="0" applyFont="1" applyFill="1" applyBorder="1"/>
    <xf numFmtId="0" fontId="8" fillId="40" borderId="18" xfId="0" applyFont="1" applyFill="1" applyBorder="1"/>
    <xf numFmtId="0" fontId="4" fillId="27" borderId="26" xfId="0" applyFont="1" applyFill="1" applyBorder="1"/>
    <xf numFmtId="0" fontId="16" fillId="28" borderId="26" xfId="0" applyFont="1" applyFill="1" applyBorder="1"/>
    <xf numFmtId="0" fontId="4" fillId="41" borderId="27" xfId="0" applyFont="1" applyFill="1" applyBorder="1"/>
    <xf numFmtId="0" fontId="17" fillId="42" borderId="27" xfId="0" applyFont="1" applyFill="1" applyBorder="1"/>
    <xf numFmtId="0" fontId="4" fillId="43" borderId="17" xfId="0" applyFont="1" applyFill="1" applyBorder="1"/>
    <xf numFmtId="0" fontId="18" fillId="22" borderId="17" xfId="0" applyFont="1" applyFill="1" applyBorder="1"/>
    <xf numFmtId="0" fontId="4" fillId="44" borderId="28" xfId="0" applyFont="1" applyFill="1" applyBorder="1"/>
    <xf numFmtId="0" fontId="19" fillId="45" borderId="28" xfId="0" applyFont="1" applyFill="1" applyBorder="1"/>
    <xf numFmtId="0" fontId="4" fillId="46" borderId="29" xfId="0" applyFont="1" applyFill="1" applyBorder="1"/>
    <xf numFmtId="0" fontId="20" fillId="47" borderId="29" xfId="0" applyFont="1" applyFill="1" applyBorder="1"/>
    <xf numFmtId="0" fontId="4" fillId="48" borderId="30" xfId="0" applyFont="1" applyFill="1" applyBorder="1"/>
    <xf numFmtId="0" fontId="21" fillId="49" borderId="30" xfId="0" applyFont="1" applyFill="1" applyBorder="1"/>
    <xf numFmtId="0" fontId="4" fillId="50" borderId="20" xfId="0" applyFont="1" applyFill="1" applyBorder="1"/>
    <xf numFmtId="0" fontId="22" fillId="26" borderId="20" xfId="0" applyFont="1" applyFill="1" applyBorder="1"/>
    <xf numFmtId="0" fontId="4" fillId="51" borderId="19" xfId="0" applyFont="1" applyFill="1" applyBorder="1"/>
    <xf numFmtId="0" fontId="23" fillId="52" borderId="19" xfId="0" applyFont="1" applyFill="1" applyBorder="1"/>
    <xf numFmtId="0" fontId="4" fillId="53" borderId="31" xfId="0" applyFont="1" applyFill="1" applyBorder="1"/>
    <xf numFmtId="0" fontId="0" fillId="53" borderId="31" xfId="0" applyFill="1" applyBorder="1"/>
    <xf numFmtId="0" fontId="0" fillId="54" borderId="31" xfId="0" applyFill="1" applyBorder="1"/>
    <xf numFmtId="0" fontId="4" fillId="55" borderId="32" xfId="0" applyFont="1" applyFill="1" applyBorder="1"/>
    <xf numFmtId="0" fontId="0" fillId="55" borderId="32" xfId="0" applyFill="1" applyBorder="1"/>
    <xf numFmtId="0" fontId="0" fillId="56" borderId="32" xfId="0" applyFill="1" applyBorder="1"/>
    <xf numFmtId="0" fontId="4" fillId="57" borderId="19" xfId="0" applyFont="1" applyFill="1" applyBorder="1"/>
    <xf numFmtId="0" fontId="0" fillId="57" borderId="19" xfId="0" applyFill="1" applyBorder="1"/>
    <xf numFmtId="0" fontId="0" fillId="25" borderId="19" xfId="0" applyFill="1" applyBorder="1"/>
    <xf numFmtId="0" fontId="4" fillId="53" borderId="16" xfId="0" applyFont="1" applyFill="1" applyBorder="1"/>
    <xf numFmtId="0" fontId="14" fillId="54" borderId="16" xfId="0" applyFont="1" applyFill="1" applyBorder="1"/>
    <xf numFmtId="0" fontId="0" fillId="53" borderId="16" xfId="0" applyFill="1" applyBorder="1"/>
    <xf numFmtId="0" fontId="0" fillId="54" borderId="16" xfId="0" applyFill="1" applyBorder="1"/>
    <xf numFmtId="0" fontId="4" fillId="24" borderId="33" xfId="0" applyFont="1" applyFill="1" applyBorder="1"/>
    <xf numFmtId="0" fontId="24" fillId="20" borderId="33" xfId="0" applyFont="1" applyFill="1" applyBorder="1"/>
    <xf numFmtId="0" fontId="0" fillId="24" borderId="33" xfId="0" applyFill="1" applyBorder="1"/>
    <xf numFmtId="0" fontId="0" fillId="20" borderId="33" xfId="0" applyFill="1" applyBorder="1"/>
    <xf numFmtId="0" fontId="4" fillId="58" borderId="34" xfId="0" applyFont="1" applyFill="1" applyBorder="1"/>
    <xf numFmtId="0" fontId="25" fillId="59" borderId="34" xfId="0" applyFont="1" applyFill="1" applyBorder="1"/>
    <xf numFmtId="0" fontId="0" fillId="58" borderId="34" xfId="0" applyFill="1" applyBorder="1"/>
    <xf numFmtId="0" fontId="0" fillId="59" borderId="34" xfId="0" applyFill="1" applyBorder="1"/>
    <xf numFmtId="0" fontId="4" fillId="60" borderId="26" xfId="0" applyFont="1" applyFill="1" applyBorder="1"/>
    <xf numFmtId="0" fontId="16" fillId="61" borderId="26" xfId="0" applyFont="1" applyFill="1" applyBorder="1"/>
    <xf numFmtId="0" fontId="0" fillId="60" borderId="26" xfId="0" applyFill="1" applyBorder="1"/>
    <xf numFmtId="0" fontId="0" fillId="61" borderId="26" xfId="0" applyFill="1" applyBorder="1"/>
    <xf numFmtId="0" fontId="4" fillId="41" borderId="23" xfId="0" applyFont="1" applyFill="1" applyBorder="1"/>
    <xf numFmtId="0" fontId="11" fillId="42" borderId="23" xfId="0" applyFont="1" applyFill="1" applyBorder="1"/>
    <xf numFmtId="0" fontId="0" fillId="41" borderId="23" xfId="0" applyFill="1" applyBorder="1"/>
    <xf numFmtId="0" fontId="0" fillId="42" borderId="23" xfId="0" applyFill="1" applyBorder="1"/>
    <xf numFmtId="0" fontId="4" fillId="33" borderId="22" xfId="0" applyFont="1" applyFill="1" applyBorder="1"/>
    <xf numFmtId="0" fontId="10" fillId="34" borderId="22" xfId="0" applyFont="1" applyFill="1" applyBorder="1"/>
    <xf numFmtId="0" fontId="0" fillId="33" borderId="22" xfId="0" applyFill="1" applyBorder="1"/>
    <xf numFmtId="0" fontId="0" fillId="34" borderId="22" xfId="0" applyFill="1" applyBorder="1"/>
    <xf numFmtId="0" fontId="4" fillId="31" borderId="24" xfId="0" applyFont="1" applyFill="1" applyBorder="1"/>
    <xf numFmtId="0" fontId="12" fillId="32" borderId="24" xfId="0" applyFont="1" applyFill="1" applyBorder="1"/>
    <xf numFmtId="0" fontId="0" fillId="31" borderId="24" xfId="0" applyFill="1" applyBorder="1"/>
    <xf numFmtId="0" fontId="0" fillId="32" borderId="24" xfId="0" applyFill="1" applyBorder="1"/>
    <xf numFmtId="0" fontId="4" fillId="35" borderId="19" xfId="0" applyFont="1" applyFill="1" applyBorder="1"/>
    <xf numFmtId="0" fontId="23" fillId="36" borderId="19" xfId="0" applyFont="1" applyFill="1" applyBorder="1"/>
    <xf numFmtId="0" fontId="0" fillId="35" borderId="19" xfId="0" applyFill="1" applyBorder="1"/>
    <xf numFmtId="0" fontId="0" fillId="36" borderId="19" xfId="0" applyFill="1" applyBorder="1"/>
    <xf numFmtId="0" fontId="4" fillId="53" borderId="35" xfId="0" applyFont="1" applyFill="1" applyBorder="1"/>
    <xf numFmtId="0" fontId="26" fillId="54" borderId="35" xfId="0" applyFont="1" applyFill="1" applyBorder="1"/>
    <xf numFmtId="0" fontId="0" fillId="53" borderId="35" xfId="0" applyFill="1" applyBorder="1"/>
    <xf numFmtId="0" fontId="0" fillId="54" borderId="35" xfId="0" applyFill="1" applyBorder="1"/>
    <xf numFmtId="0" fontId="4" fillId="62" borderId="36" xfId="0" applyFont="1" applyFill="1" applyBorder="1"/>
    <xf numFmtId="0" fontId="27" fillId="63" borderId="36" xfId="0" applyFont="1" applyFill="1" applyBorder="1"/>
    <xf numFmtId="0" fontId="0" fillId="62" borderId="36" xfId="0" applyFill="1" applyBorder="1"/>
    <xf numFmtId="0" fontId="0" fillId="63" borderId="36" xfId="0" applyFill="1" applyBorder="1"/>
    <xf numFmtId="0" fontId="4" fillId="64" borderId="21" xfId="0" applyFont="1" applyFill="1" applyBorder="1"/>
    <xf numFmtId="0" fontId="9" fillId="65" borderId="21" xfId="0" applyFont="1" applyFill="1" applyBorder="1"/>
    <xf numFmtId="0" fontId="0" fillId="64" borderId="21" xfId="0" applyFill="1" applyBorder="1"/>
    <xf numFmtId="0" fontId="0" fillId="65" borderId="21" xfId="0" applyFill="1" applyBorder="1"/>
    <xf numFmtId="0" fontId="4" fillId="29" borderId="20" xfId="0" applyFont="1" applyFill="1" applyBorder="1"/>
    <xf numFmtId="0" fontId="22" fillId="30" borderId="20" xfId="0" applyFont="1" applyFill="1" applyBorder="1"/>
    <xf numFmtId="0" fontId="0" fillId="29" borderId="20" xfId="0" applyFill="1" applyBorder="1"/>
    <xf numFmtId="0" fontId="0" fillId="30" borderId="20" xfId="0" applyFill="1" applyBorder="1"/>
    <xf numFmtId="0" fontId="4" fillId="51" borderId="32" xfId="0" applyFont="1" applyFill="1" applyBorder="1"/>
    <xf numFmtId="0" fontId="28" fillId="52" borderId="32" xfId="0" applyFont="1" applyFill="1" applyBorder="1"/>
    <xf numFmtId="0" fontId="0" fillId="51" borderId="32" xfId="0" applyFill="1" applyBorder="1"/>
    <xf numFmtId="0" fontId="0" fillId="52" borderId="32" xfId="0" applyFill="1" applyBorder="1"/>
    <xf numFmtId="0" fontId="4" fillId="57" borderId="37" xfId="0" applyFont="1" applyFill="1" applyBorder="1"/>
    <xf numFmtId="0" fontId="29" fillId="25" borderId="37" xfId="0" applyFont="1" applyFill="1" applyBorder="1"/>
    <xf numFmtId="0" fontId="0" fillId="57" borderId="37" xfId="0" applyFill="1" applyBorder="1"/>
    <xf numFmtId="0" fontId="0" fillId="25" borderId="37" xfId="0" applyFill="1" applyBorder="1"/>
    <xf numFmtId="0" fontId="4" fillId="66" borderId="31" xfId="0" applyFont="1" applyFill="1" applyBorder="1"/>
    <xf numFmtId="0" fontId="30" fillId="67" borderId="31" xfId="0" applyFont="1" applyFill="1" applyBorder="1"/>
    <xf numFmtId="0" fontId="0" fillId="66" borderId="31" xfId="0" applyFill="1" applyBorder="1"/>
    <xf numFmtId="0" fontId="0" fillId="67" borderId="31" xfId="0" applyFill="1" applyBorder="1"/>
    <xf numFmtId="0" fontId="4" fillId="55" borderId="34" xfId="0" applyFont="1" applyFill="1" applyBorder="1"/>
    <xf numFmtId="0" fontId="25" fillId="56" borderId="34" xfId="0" applyFont="1" applyFill="1" applyBorder="1"/>
    <xf numFmtId="0" fontId="0" fillId="55" borderId="34" xfId="0" applyFill="1" applyBorder="1"/>
    <xf numFmtId="0" fontId="0" fillId="56" borderId="34" xfId="0" applyFill="1" applyBorder="1"/>
    <xf numFmtId="0" fontId="4" fillId="60" borderId="38" xfId="0" applyFont="1" applyFill="1" applyBorder="1"/>
    <xf numFmtId="0" fontId="31" fillId="61" borderId="38" xfId="0" applyFont="1" applyFill="1" applyBorder="1"/>
    <xf numFmtId="0" fontId="0" fillId="60" borderId="38" xfId="0" applyFill="1" applyBorder="1"/>
    <xf numFmtId="0" fontId="0" fillId="61" borderId="38" xfId="0" applyFill="1" applyBorder="1"/>
    <xf numFmtId="0" fontId="4" fillId="68" borderId="39" xfId="0" applyFont="1" applyFill="1" applyBorder="1"/>
    <xf numFmtId="0" fontId="32" fillId="69" borderId="39" xfId="0" applyFont="1" applyFill="1" applyBorder="1"/>
    <xf numFmtId="0" fontId="0" fillId="68" borderId="39" xfId="0" applyFill="1" applyBorder="1"/>
    <xf numFmtId="0" fontId="0" fillId="69" borderId="39" xfId="0" applyFill="1" applyBorder="1"/>
    <xf numFmtId="0" fontId="4" fillId="70" borderId="40" xfId="0" applyFont="1" applyFill="1" applyBorder="1"/>
    <xf numFmtId="0" fontId="33" fillId="71" borderId="40" xfId="0" applyFont="1" applyFill="1" applyBorder="1"/>
    <xf numFmtId="0" fontId="0" fillId="70" borderId="40" xfId="0" applyFill="1" applyBorder="1"/>
    <xf numFmtId="0" fontId="0" fillId="71" borderId="40" xfId="0" applyFill="1" applyBorder="1"/>
    <xf numFmtId="0" fontId="4" fillId="72" borderId="21" xfId="0" applyFont="1" applyFill="1" applyBorder="1"/>
    <xf numFmtId="0" fontId="9" fillId="73" borderId="21" xfId="0" applyFont="1" applyFill="1" applyBorder="1"/>
    <xf numFmtId="0" fontId="0" fillId="72" borderId="21" xfId="0" applyFill="1" applyBorder="1"/>
    <xf numFmtId="0" fontId="0" fillId="73" borderId="21" xfId="0" applyFill="1" applyBorder="1"/>
    <xf numFmtId="0" fontId="4" fillId="29" borderId="41" xfId="0" applyFont="1" applyFill="1" applyBorder="1"/>
    <xf numFmtId="0" fontId="34" fillId="30" borderId="41" xfId="0" applyFont="1" applyFill="1" applyBorder="1"/>
    <xf numFmtId="0" fontId="0" fillId="29" borderId="41" xfId="0" applyFill="1" applyBorder="1"/>
    <xf numFmtId="0" fontId="0" fillId="30" borderId="41" xfId="0" applyFill="1" applyBorder="1"/>
    <xf numFmtId="0" fontId="4" fillId="74" borderId="42" xfId="0" applyFont="1" applyFill="1" applyBorder="1"/>
    <xf numFmtId="0" fontId="35" fillId="2" borderId="42" xfId="0" applyFont="1" applyFill="1" applyBorder="1"/>
    <xf numFmtId="0" fontId="0" fillId="74" borderId="42" xfId="0" applyFill="1" applyBorder="1"/>
    <xf numFmtId="0" fontId="0" fillId="2" borderId="42" xfId="0" applyFill="1" applyBorder="1"/>
    <xf numFmtId="0" fontId="4" fillId="75" borderId="43" xfId="0" applyFont="1" applyFill="1" applyBorder="1"/>
    <xf numFmtId="0" fontId="36" fillId="76" borderId="43" xfId="0" applyFont="1" applyFill="1" applyBorder="1"/>
    <xf numFmtId="0" fontId="0" fillId="75" borderId="43" xfId="0" applyFill="1" applyBorder="1"/>
    <xf numFmtId="0" fontId="0" fillId="76" borderId="43" xfId="0" applyFill="1" applyBorder="1"/>
    <xf numFmtId="0" fontId="4" fillId="77" borderId="44" xfId="0" applyFont="1" applyFill="1" applyBorder="1"/>
    <xf numFmtId="0" fontId="37" fillId="78" borderId="44" xfId="0" applyFont="1" applyFill="1" applyBorder="1"/>
    <xf numFmtId="0" fontId="0" fillId="77" borderId="44" xfId="0" applyFill="1" applyBorder="1"/>
    <xf numFmtId="0" fontId="0" fillId="78" borderId="44" xfId="0" applyFill="1" applyBorder="1"/>
    <xf numFmtId="0" fontId="4" fillId="79" borderId="45" xfId="0" applyFont="1" applyFill="1" applyBorder="1"/>
    <xf numFmtId="0" fontId="38" fillId="80" borderId="45" xfId="0" applyFont="1" applyFill="1" applyBorder="1"/>
    <xf numFmtId="0" fontId="0" fillId="79" borderId="45" xfId="0" applyFill="1" applyBorder="1"/>
    <xf numFmtId="0" fontId="0" fillId="80" borderId="45" xfId="0" applyFill="1" applyBorder="1"/>
    <xf numFmtId="0" fontId="4" fillId="81" borderId="33" xfId="0" applyFont="1" applyFill="1" applyBorder="1"/>
    <xf numFmtId="0" fontId="24" fillId="82" borderId="33" xfId="0" applyFont="1" applyFill="1" applyBorder="1"/>
    <xf numFmtId="0" fontId="0" fillId="81" borderId="33" xfId="0" applyFill="1" applyBorder="1"/>
    <xf numFmtId="0" fontId="0" fillId="82" borderId="33" xfId="0" applyFill="1" applyBorder="1"/>
    <xf numFmtId="0" fontId="4" fillId="58" borderId="46" xfId="0" applyFont="1" applyFill="1" applyBorder="1"/>
    <xf numFmtId="0" fontId="39" fillId="59" borderId="46" xfId="0" applyFont="1" applyFill="1" applyBorder="1"/>
    <xf numFmtId="0" fontId="0" fillId="58" borderId="46" xfId="0" applyFill="1" applyBorder="1"/>
    <xf numFmtId="0" fontId="0" fillId="59" borderId="46" xfId="0" applyFill="1" applyBorder="1"/>
    <xf numFmtId="0" fontId="4" fillId="83" borderId="47" xfId="0" applyFont="1" applyFill="1" applyBorder="1"/>
    <xf numFmtId="0" fontId="40" fillId="84" borderId="47" xfId="0" applyFont="1" applyFill="1" applyBorder="1"/>
    <xf numFmtId="0" fontId="0" fillId="83" borderId="47" xfId="0" applyFill="1" applyBorder="1"/>
    <xf numFmtId="0" fontId="0" fillId="84" borderId="47" xfId="0" applyFill="1" applyBorder="1"/>
    <xf numFmtId="0" fontId="4" fillId="85" borderId="36" xfId="0" applyFont="1" applyFill="1" applyBorder="1"/>
    <xf numFmtId="0" fontId="27" fillId="86" borderId="36" xfId="0" applyFont="1" applyFill="1" applyBorder="1"/>
    <xf numFmtId="0" fontId="0" fillId="85" borderId="36" xfId="0" applyFill="1" applyBorder="1"/>
    <xf numFmtId="0" fontId="0" fillId="86" borderId="36" xfId="0" applyFill="1" applyBorder="1"/>
    <xf numFmtId="0" fontId="4" fillId="64" borderId="48" xfId="0" applyFont="1" applyFill="1" applyBorder="1"/>
    <xf numFmtId="0" fontId="41" fillId="65" borderId="48" xfId="0" applyFont="1" applyFill="1" applyBorder="1"/>
    <xf numFmtId="0" fontId="0" fillId="64" borderId="48" xfId="0" applyFill="1" applyBorder="1"/>
    <xf numFmtId="0" fontId="0" fillId="65" borderId="48" xfId="0" applyFill="1" applyBorder="1"/>
    <xf numFmtId="0" fontId="4" fillId="87" borderId="49" xfId="0" applyFont="1" applyFill="1" applyBorder="1"/>
    <xf numFmtId="0" fontId="42" fillId="88" borderId="49" xfId="0" applyFont="1" applyFill="1" applyBorder="1"/>
    <xf numFmtId="0" fontId="0" fillId="87" borderId="49" xfId="0" applyFill="1" applyBorder="1"/>
    <xf numFmtId="0" fontId="0" fillId="88" borderId="49" xfId="0" applyFill="1" applyBorder="1"/>
    <xf numFmtId="0" fontId="4" fillId="89" borderId="35" xfId="0" applyFont="1" applyFill="1" applyBorder="1"/>
    <xf numFmtId="0" fontId="26" fillId="90" borderId="35" xfId="0" applyFont="1" applyFill="1" applyBorder="1"/>
    <xf numFmtId="0" fontId="0" fillId="89" borderId="35" xfId="0" applyFill="1" applyBorder="1"/>
    <xf numFmtId="0" fontId="0" fillId="90" borderId="35" xfId="0" applyFill="1" applyBorder="1"/>
    <xf numFmtId="0" fontId="4" fillId="62" borderId="19" xfId="0" applyFont="1" applyFill="1" applyBorder="1"/>
    <xf numFmtId="0" fontId="23" fillId="63" borderId="19" xfId="0" applyFont="1" applyFill="1" applyBorder="1"/>
    <xf numFmtId="0" fontId="0" fillId="62" borderId="19" xfId="0" applyFill="1" applyBorder="1"/>
    <xf numFmtId="0" fontId="0" fillId="63" borderId="19" xfId="0" applyFill="1" applyBorder="1"/>
    <xf numFmtId="0" fontId="4" fillId="53" borderId="50" xfId="0" applyFont="1" applyFill="1" applyBorder="1"/>
    <xf numFmtId="0" fontId="43" fillId="54" borderId="50" xfId="0" applyFont="1" applyFill="1" applyBorder="1"/>
    <xf numFmtId="0" fontId="0" fillId="53" borderId="50" xfId="0" applyFill="1" applyBorder="1"/>
    <xf numFmtId="0" fontId="0" fillId="54" borderId="50" xfId="0" applyFill="1" applyBorder="1"/>
    <xf numFmtId="0" fontId="4" fillId="91" borderId="51" xfId="0" applyFont="1" applyFill="1" applyBorder="1"/>
    <xf numFmtId="0" fontId="44" fillId="92" borderId="51" xfId="0" applyFont="1" applyFill="1" applyBorder="1"/>
    <xf numFmtId="0" fontId="0" fillId="91" borderId="51" xfId="0" applyFill="1" applyBorder="1"/>
    <xf numFmtId="0" fontId="0" fillId="92" borderId="51" xfId="0" applyFill="1" applyBorder="1"/>
    <xf numFmtId="0" fontId="4" fillId="93" borderId="14" xfId="0" applyFont="1" applyFill="1" applyBorder="1"/>
    <xf numFmtId="0" fontId="5" fillId="94" borderId="14" xfId="0" applyFont="1" applyFill="1" applyBorder="1"/>
    <xf numFmtId="0" fontId="0" fillId="93" borderId="14" xfId="0" applyFill="1" applyBorder="1"/>
    <xf numFmtId="0" fontId="0" fillId="94" borderId="14" xfId="0" applyFill="1" applyBorder="1"/>
    <xf numFmtId="0" fontId="4" fillId="21" borderId="13" xfId="0" applyFont="1" applyFill="1" applyBorder="1"/>
    <xf numFmtId="0" fontId="13" fillId="17" borderId="13" xfId="0" applyFont="1" applyFill="1" applyBorder="1"/>
    <xf numFmtId="0" fontId="0" fillId="21" borderId="13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</cellXfs>
  <cellStyles count="2">
    <cellStyle name="Normal" xfId="0" builtinId="0"/>
    <cellStyle name="Normal 2" xfId="1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Sheet1!$K$15:$K$18</c:f>
              <c:numCache>
                <c:formatCode>General</c:formatCode>
                <c:ptCount val="4"/>
                <c:pt idx="0">
                  <c:v>45</c:v>
                </c:pt>
                <c:pt idx="1">
                  <c:v>56</c:v>
                </c:pt>
                <c:pt idx="2">
                  <c:v>56</c:v>
                </c:pt>
                <c:pt idx="3">
                  <c:v>67</c:v>
                </c:pt>
              </c:numCache>
            </c:numRef>
          </c:val>
        </c:ser>
        <c:axId val="74188672"/>
        <c:axId val="74190208"/>
      </c:barChart>
      <c:catAx>
        <c:axId val="74188672"/>
        <c:scaling>
          <c:orientation val="minMax"/>
        </c:scaling>
        <c:axPos val="b"/>
        <c:tickLblPos val="nextTo"/>
        <c:crossAx val="74190208"/>
        <c:crosses val="autoZero"/>
        <c:auto val="1"/>
        <c:lblAlgn val="ctr"/>
        <c:lblOffset val="100"/>
      </c:catAx>
      <c:valAx>
        <c:axId val="74190208"/>
        <c:scaling>
          <c:orientation val="minMax"/>
        </c:scaling>
        <c:axPos val="l"/>
        <c:majorGridlines/>
        <c:numFmt formatCode="General" sourceLinked="1"/>
        <c:tickLblPos val="nextTo"/>
        <c:crossAx val="74188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Sheet1!$K$15:$K$18</c:f>
              <c:numCache>
                <c:formatCode>General</c:formatCode>
                <c:ptCount val="4"/>
                <c:pt idx="0">
                  <c:v>45</c:v>
                </c:pt>
                <c:pt idx="1">
                  <c:v>56</c:v>
                </c:pt>
                <c:pt idx="2">
                  <c:v>56</c:v>
                </c:pt>
                <c:pt idx="3">
                  <c:v>67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0.2204997609499556"/>
          <c:y val="0.13675175953324306"/>
          <c:w val="0.31917610670413421"/>
          <c:h val="0.62986508851998613"/>
        </c:manualLayout>
      </c:layout>
      <c:line3DChart>
        <c:grouping val="standard"/>
        <c:ser>
          <c:idx val="0"/>
          <c:order val="0"/>
          <c:val>
            <c:numRef>
              <c:f>Sheet1!$K$15:$K$18</c:f>
              <c:numCache>
                <c:formatCode>General</c:formatCode>
                <c:ptCount val="4"/>
                <c:pt idx="0">
                  <c:v>45</c:v>
                </c:pt>
                <c:pt idx="1">
                  <c:v>56</c:v>
                </c:pt>
                <c:pt idx="2">
                  <c:v>56</c:v>
                </c:pt>
                <c:pt idx="3">
                  <c:v>67</c:v>
                </c:pt>
              </c:numCache>
            </c:numRef>
          </c:val>
        </c:ser>
        <c:axId val="77533952"/>
        <c:axId val="77535488"/>
        <c:axId val="74236800"/>
      </c:line3DChart>
      <c:catAx>
        <c:axId val="77533952"/>
        <c:scaling>
          <c:orientation val="minMax"/>
        </c:scaling>
        <c:axPos val="b"/>
        <c:tickLblPos val="nextTo"/>
        <c:crossAx val="77535488"/>
        <c:crosses val="autoZero"/>
        <c:auto val="1"/>
        <c:lblAlgn val="ctr"/>
        <c:lblOffset val="100"/>
      </c:catAx>
      <c:valAx>
        <c:axId val="77535488"/>
        <c:scaling>
          <c:orientation val="minMax"/>
        </c:scaling>
        <c:axPos val="l"/>
        <c:majorGridlines/>
        <c:numFmt formatCode="General" sourceLinked="1"/>
        <c:tickLblPos val="nextTo"/>
        <c:crossAx val="77533952"/>
        <c:crosses val="autoZero"/>
        <c:crossBetween val="between"/>
      </c:valAx>
      <c:serAx>
        <c:axId val="74236800"/>
        <c:scaling>
          <c:orientation val="minMax"/>
        </c:scaling>
        <c:axPos val="b"/>
        <c:tickLblPos val="nextTo"/>
        <c:crossAx val="77535488"/>
        <c:crosses val="autoZero"/>
      </c:ser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138111</xdr:rowOff>
    </xdr:from>
    <xdr:to>
      <xdr:col>17</xdr:col>
      <xdr:colOff>133350</xdr:colOff>
      <xdr:row>9</xdr:row>
      <xdr:rowOff>33336</xdr:rowOff>
    </xdr:to>
    <xdr:pic>
      <xdr:nvPicPr>
        <xdr:cNvPr id="3" name="Picture 2" descr="testImag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96325" y="957261"/>
          <a:ext cx="1943100" cy="1457325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</xdr:row>
      <xdr:rowOff>66675</xdr:rowOff>
    </xdr:from>
    <xdr:to>
      <xdr:col>16</xdr:col>
      <xdr:colOff>438150</xdr:colOff>
      <xdr:row>2</xdr:row>
      <xdr:rowOff>371475</xdr:rowOff>
    </xdr:to>
    <xdr:pic>
      <xdr:nvPicPr>
        <xdr:cNvPr id="4" name="Picture 3" descr="testImage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9825" y="447675"/>
          <a:ext cx="304800" cy="304800"/>
        </a:xfrm>
        <a:prstGeom prst="rect">
          <a:avLst/>
        </a:prstGeom>
      </xdr:spPr>
    </xdr:pic>
    <xdr:clientData/>
  </xdr:twoCellAnchor>
  <xdr:twoCellAnchor>
    <xdr:from>
      <xdr:col>12</xdr:col>
      <xdr:colOff>28575</xdr:colOff>
      <xdr:row>12</xdr:row>
      <xdr:rowOff>66675</xdr:rowOff>
    </xdr:from>
    <xdr:to>
      <xdr:col>16</xdr:col>
      <xdr:colOff>152400</xdr:colOff>
      <xdr:row>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20</xdr:row>
      <xdr:rowOff>142875</xdr:rowOff>
    </xdr:from>
    <xdr:to>
      <xdr:col>16</xdr:col>
      <xdr:colOff>142875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247650</xdr:colOff>
      <xdr:row>12</xdr:row>
      <xdr:rowOff>57150</xdr:rowOff>
    </xdr:from>
    <xdr:to>
      <xdr:col>20</xdr:col>
      <xdr:colOff>371475</xdr:colOff>
      <xdr:row>20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J30" sqref="J30"/>
    </sheetView>
  </sheetViews>
  <sheetFormatPr defaultRowHeight="15"/>
  <cols>
    <col min="1" max="1" width="12.28515625" customWidth="1"/>
    <col min="2" max="2" width="18.5703125" customWidth="1"/>
    <col min="3" max="3" width="27.140625" customWidth="1"/>
    <col min="4" max="4" width="25.85546875" customWidth="1"/>
    <col min="5" max="5" width="23.42578125" customWidth="1"/>
  </cols>
  <sheetData>
    <row r="1" spans="1:15">
      <c r="C1" t="s">
        <v>20</v>
      </c>
    </row>
    <row r="3" spans="1:15" ht="101.25" customHeight="1">
      <c r="A3" t="s">
        <v>21</v>
      </c>
      <c r="B3" s="19" t="s">
        <v>0</v>
      </c>
      <c r="O3" t="s">
        <v>4</v>
      </c>
    </row>
    <row r="5" spans="1:15">
      <c r="B5" s="261" t="s">
        <v>22</v>
      </c>
      <c r="C5" s="261"/>
      <c r="D5" s="261"/>
      <c r="E5" s="261"/>
      <c r="F5" s="261"/>
      <c r="G5" s="261"/>
      <c r="H5" s="261"/>
      <c r="I5" s="261"/>
      <c r="J5" s="261"/>
    </row>
    <row r="6" spans="1:15">
      <c r="B6" s="38" t="s">
        <v>24</v>
      </c>
      <c r="C6" s="34" t="s">
        <v>25</v>
      </c>
      <c r="D6" s="39" t="s">
        <v>26</v>
      </c>
      <c r="E6" s="40" t="s">
        <v>31</v>
      </c>
    </row>
    <row r="7" spans="1:15" ht="48" customHeight="1">
      <c r="B7" s="35" t="s">
        <v>27</v>
      </c>
      <c r="C7" s="36" t="s">
        <v>28</v>
      </c>
      <c r="D7" s="37" t="s">
        <v>29</v>
      </c>
    </row>
    <row r="9" spans="1:15">
      <c r="B9" t="s">
        <v>30</v>
      </c>
    </row>
    <row r="10" spans="1:15">
      <c r="B10" s="1">
        <v>1.2345600000000001</v>
      </c>
      <c r="C10" s="2">
        <v>1.2345600000000001</v>
      </c>
      <c r="D10" s="22" t="s">
        <v>8</v>
      </c>
      <c r="E10" s="18" t="s">
        <v>1</v>
      </c>
      <c r="G10" t="s">
        <v>3</v>
      </c>
      <c r="J10">
        <v>200</v>
      </c>
    </row>
    <row r="11" spans="1:15">
      <c r="B11" s="3">
        <v>1.2345600000000001</v>
      </c>
      <c r="C11" s="4">
        <v>1.2345600000000001</v>
      </c>
      <c r="D11" s="23" t="s">
        <v>9</v>
      </c>
      <c r="E11" s="20" t="s">
        <v>2</v>
      </c>
      <c r="J11">
        <v>23</v>
      </c>
    </row>
    <row r="12" spans="1:15">
      <c r="B12" s="5">
        <v>1.2345600000000001</v>
      </c>
      <c r="C12" s="6">
        <v>1.2345600000000001</v>
      </c>
      <c r="D12" s="24" t="s">
        <v>10</v>
      </c>
      <c r="E12" s="21" t="s">
        <v>5</v>
      </c>
    </row>
    <row r="13" spans="1:15">
      <c r="B13" s="3">
        <v>1.2345600000000001</v>
      </c>
      <c r="C13" s="7">
        <v>1.2345600000000001</v>
      </c>
      <c r="D13" s="25" t="s">
        <v>11</v>
      </c>
    </row>
    <row r="14" spans="1:15">
      <c r="B14" s="3">
        <v>1.2345600000000001</v>
      </c>
      <c r="C14" s="8">
        <v>1.2345600000000001</v>
      </c>
      <c r="D14" s="26" t="s">
        <v>12</v>
      </c>
      <c r="J14" t="s">
        <v>7</v>
      </c>
    </row>
    <row r="15" spans="1:15">
      <c r="B15" s="3">
        <v>1.2345600000000001</v>
      </c>
      <c r="C15" s="9">
        <v>1.2345600000000001</v>
      </c>
      <c r="D15" s="27" t="s">
        <v>13</v>
      </c>
      <c r="J15">
        <v>12</v>
      </c>
      <c r="K15">
        <v>45</v>
      </c>
    </row>
    <row r="16" spans="1:15">
      <c r="B16" s="10">
        <v>1.2345600000000001</v>
      </c>
      <c r="C16" s="11">
        <v>1.2345600000000001</v>
      </c>
      <c r="D16" s="28" t="s">
        <v>14</v>
      </c>
      <c r="G16" t="s">
        <v>6</v>
      </c>
      <c r="J16">
        <v>23</v>
      </c>
      <c r="K16">
        <v>56</v>
      </c>
    </row>
    <row r="17" spans="2:11">
      <c r="B17" s="3">
        <v>1.2345600000000001</v>
      </c>
      <c r="C17" s="12">
        <v>1.2345600000000001</v>
      </c>
      <c r="D17" s="29" t="s">
        <v>15</v>
      </c>
      <c r="J17">
        <v>34</v>
      </c>
      <c r="K17">
        <v>56</v>
      </c>
    </row>
    <row r="18" spans="2:11">
      <c r="B18" s="13">
        <v>1.2345600000000001</v>
      </c>
      <c r="C18" s="14">
        <v>1.2345600000000001</v>
      </c>
      <c r="D18" s="30" t="s">
        <v>16</v>
      </c>
      <c r="J18">
        <v>45</v>
      </c>
      <c r="K18">
        <v>67</v>
      </c>
    </row>
    <row r="19" spans="2:11">
      <c r="B19" s="3">
        <v>1.2345600000000001</v>
      </c>
      <c r="C19" s="15">
        <v>1.2345600000000001</v>
      </c>
      <c r="D19" s="31" t="s">
        <v>17</v>
      </c>
    </row>
    <row r="20" spans="2:11">
      <c r="B20" s="3">
        <v>1.2345600000000001</v>
      </c>
      <c r="C20" s="16">
        <v>1.2345600000000001</v>
      </c>
      <c r="D20" s="32" t="s">
        <v>18</v>
      </c>
    </row>
    <row r="21" spans="2:11">
      <c r="B21" s="3">
        <v>1.2345600000000001</v>
      </c>
      <c r="C21" s="17">
        <v>1.2345600000000001</v>
      </c>
      <c r="D21" s="33" t="s">
        <v>19</v>
      </c>
    </row>
    <row r="22" spans="2:11">
      <c r="F22" t="s">
        <v>32</v>
      </c>
    </row>
    <row r="23" spans="2:11">
      <c r="C23" t="s">
        <v>23</v>
      </c>
    </row>
    <row r="24" spans="2:11">
      <c r="C24" s="47"/>
      <c r="D24" s="51"/>
      <c r="F24">
        <v>1</v>
      </c>
      <c r="G24">
        <f>SUM(F24:F33)</f>
        <v>64</v>
      </c>
    </row>
    <row r="25" spans="2:11" ht="15.75" thickBot="1">
      <c r="C25" s="48"/>
      <c r="D25" s="51"/>
      <c r="F25">
        <v>2</v>
      </c>
      <c r="G25">
        <f>AVERAGE(F24:F33)</f>
        <v>6.4</v>
      </c>
    </row>
    <row r="26" spans="2:11" ht="15.75" thickBot="1">
      <c r="C26" s="49"/>
      <c r="D26" s="51"/>
      <c r="F26">
        <v>3</v>
      </c>
    </row>
    <row r="27" spans="2:11">
      <c r="D27" s="51"/>
      <c r="F27">
        <v>4</v>
      </c>
    </row>
    <row r="28" spans="2:11" ht="15.75" thickBot="1">
      <c r="C28" s="41"/>
      <c r="D28" s="51"/>
      <c r="F28">
        <v>5</v>
      </c>
    </row>
    <row r="29" spans="2:11" ht="16.5" thickTop="1" thickBot="1">
      <c r="C29" s="42"/>
      <c r="D29" s="52"/>
      <c r="F29">
        <v>6</v>
      </c>
    </row>
    <row r="30" spans="2:11" ht="15.75" thickBot="1">
      <c r="C30" s="43"/>
      <c r="D30" s="50"/>
      <c r="F30">
        <v>7</v>
      </c>
    </row>
    <row r="31" spans="2:11">
      <c r="C31" s="44"/>
      <c r="D31" s="44"/>
      <c r="F31">
        <v>8</v>
      </c>
    </row>
    <row r="32" spans="2:11">
      <c r="C32" s="45"/>
      <c r="D32" s="45"/>
      <c r="F32">
        <v>9</v>
      </c>
    </row>
    <row r="33" spans="3:6" ht="15.75" thickBot="1">
      <c r="C33" s="46"/>
      <c r="D33" s="46"/>
      <c r="F33">
        <v>19</v>
      </c>
    </row>
  </sheetData>
  <mergeCells count="1">
    <mergeCell ref="B5:J5"/>
  </mergeCells>
  <conditionalFormatting sqref="J10">
    <cfRule type="cellIs" dxfId="2" priority="3" operator="greaterThan">
      <formula>100</formula>
    </cfRule>
  </conditionalFormatting>
  <conditionalFormatting sqref="J11">
    <cfRule type="cellIs" dxfId="1" priority="1" operator="lessThan">
      <formula>100</formula>
    </cfRule>
    <cfRule type="cellIs" dxfId="0" priority="2" operator="lessThan">
      <formula>200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J37"/>
  <sheetViews>
    <sheetView topLeftCell="A13" workbookViewId="0">
      <selection activeCell="P13" sqref="P13:X78"/>
    </sheetView>
  </sheetViews>
  <sheetFormatPr defaultRowHeight="15"/>
  <sheetData>
    <row r="4" spans="3:10">
      <c r="C4">
        <f>BIN2DEC(101010)</f>
        <v>42</v>
      </c>
      <c r="D4">
        <f>BIN2DEC(10101)</f>
        <v>21</v>
      </c>
      <c r="E4">
        <f>BIN2DEC(10111101)</f>
        <v>189</v>
      </c>
      <c r="F4">
        <f>BIN2DEC(1010101)</f>
        <v>85</v>
      </c>
      <c r="G4" t="str">
        <f>BIN2HEX(11100011,4)</f>
        <v>00E3</v>
      </c>
      <c r="H4" t="str">
        <f>BIN2HEX(111110)</f>
        <v>3E</v>
      </c>
      <c r="I4" t="str">
        <f>BIN2HEX(1110111)</f>
        <v>77</v>
      </c>
      <c r="J4" t="str">
        <f>BIN2HEX(11101)</f>
        <v>1D</v>
      </c>
    </row>
    <row r="5" spans="3:10">
      <c r="C5" t="str">
        <f>BIN2HEX(10000111)</f>
        <v>87</v>
      </c>
      <c r="D5" t="str">
        <f>BIN2OCT(1001,3)</f>
        <v>011</v>
      </c>
      <c r="E5" t="str">
        <f>BIN2OCT(10101)</f>
        <v>25</v>
      </c>
      <c r="F5" t="str">
        <f>BIN2OCT(111000)</f>
        <v>70</v>
      </c>
      <c r="G5" t="str">
        <f>BIN2OCT(10101)</f>
        <v>25</v>
      </c>
      <c r="H5" t="str">
        <f>BIN2OCT(11100011)</f>
        <v>343</v>
      </c>
      <c r="I5" t="str">
        <f>DEC2BIN(9,4)</f>
        <v>1001</v>
      </c>
      <c r="J5" t="str">
        <f>DEC2BIN(-100)</f>
        <v>1110011100</v>
      </c>
    </row>
    <row r="6" spans="3:10">
      <c r="C6" t="str">
        <f>DEC2HEX(100,4)</f>
        <v>0064</v>
      </c>
      <c r="D6" t="str">
        <f>DEC2HEX(-54)</f>
        <v>FFFFFFFFCA</v>
      </c>
      <c r="E6" t="str">
        <f>DEC2OCT(58,3)</f>
        <v>072</v>
      </c>
      <c r="F6" t="str">
        <f>DEC2OCT(-100)</f>
        <v>7777777634</v>
      </c>
      <c r="G6" t="str">
        <f>HEX2BIN("F",8)</f>
        <v>00001111</v>
      </c>
      <c r="H6" t="str">
        <f>HEX2BIN("B7")</f>
        <v>10110111</v>
      </c>
      <c r="I6" t="str">
        <f>HEX2BIN("FFFFFFFFFF")</f>
        <v>1111111111</v>
      </c>
      <c r="J6" t="str">
        <f>HEX2BIN("FFFFFFFE00")</f>
        <v>1000000000</v>
      </c>
    </row>
    <row r="7" spans="3:10">
      <c r="C7">
        <f>HEX2DEC("A5")</f>
        <v>165</v>
      </c>
      <c r="D7">
        <f>HEX2DEC("FFFFFFFF5B")</f>
        <v>-165</v>
      </c>
      <c r="E7">
        <f>HEX2DEC("3DA408B9")</f>
        <v>1034160313</v>
      </c>
      <c r="F7">
        <f>HEX2DEC("FFFFFFFE00")</f>
        <v>-512</v>
      </c>
      <c r="G7">
        <f>HEX2DEC("FFFFFFFC00")</f>
        <v>-1024</v>
      </c>
      <c r="H7" t="str">
        <f>HEX2OCT("F",3)</f>
        <v>017</v>
      </c>
      <c r="I7" t="str">
        <f>HEX2OCT("3B4E")</f>
        <v>35516</v>
      </c>
      <c r="J7" t="str">
        <f>HEX2OCT("FFFFFFFF00")</f>
        <v>7777777400</v>
      </c>
    </row>
    <row r="8" spans="3:10">
      <c r="C8" t="str">
        <f>HEX2OCT("FFFFFFFE00")</f>
        <v>7777777000</v>
      </c>
      <c r="D8" t="str">
        <f>OCT2BIN(3,3)</f>
        <v>011</v>
      </c>
      <c r="E8" t="str">
        <f>OCT2BIN(7777777000)</f>
        <v>1000000000</v>
      </c>
      <c r="F8">
        <f>OCT2DEC(54)</f>
        <v>44</v>
      </c>
      <c r="G8">
        <f>OCT2DEC(7777777533)</f>
        <v>-165</v>
      </c>
      <c r="H8">
        <f>OCT2DEC(7777776000)</f>
        <v>-1024</v>
      </c>
      <c r="I8" t="str">
        <f>OCT2HEX(100,4)</f>
        <v>0040</v>
      </c>
      <c r="J8" t="str">
        <f>OCT2HEX(7777777533)</f>
        <v>FFFFFFFF5B</v>
      </c>
    </row>
    <row r="9" spans="3:10">
      <c r="C9" t="str">
        <f>OCT2HEX(7777776000)</f>
        <v>FFFFFFFC00</v>
      </c>
      <c r="D9">
        <f>HEX2DEC("FFFFFFFFFF")</f>
        <v>-1</v>
      </c>
      <c r="E9">
        <f>HEX2DEC("FFFFFFFE00")</f>
        <v>-512</v>
      </c>
      <c r="F9">
        <f>HEX2DEC("FFFFFFFC00")</f>
        <v>-1024</v>
      </c>
      <c r="G9">
        <f>HEX2DEC("FFFFFFD8D8")</f>
        <v>-10024</v>
      </c>
      <c r="H9">
        <f>HEX2DEC("FFFA067580")</f>
        <v>-100240000</v>
      </c>
      <c r="I9">
        <f>HEX2DEC("1999999960")</f>
        <v>109951162720</v>
      </c>
      <c r="J9" t="str">
        <f>HEX2OCT("FFFFFFFE00")</f>
        <v>7777777000</v>
      </c>
    </row>
    <row r="10" spans="3:10">
      <c r="C10" t="str">
        <f>HEX2OCT("FFFFFFFF00")</f>
        <v>7777777400</v>
      </c>
      <c r="D10" t="str">
        <f>HEX2OCT("1FFFFFFF")</f>
        <v>3777777777</v>
      </c>
      <c r="E10">
        <f>OCT2DEC(4214515401)</f>
        <v>-499999999</v>
      </c>
      <c r="F10">
        <f>OCT2DEC(7777777533)</f>
        <v>-165</v>
      </c>
      <c r="G10">
        <f>OCT2DEC(7777776000)</f>
        <v>-1024</v>
      </c>
      <c r="H10">
        <f>OCT2DEC(3745624200)</f>
        <v>530000000</v>
      </c>
      <c r="I10" t="str">
        <f>OCT2HEX(4214515401)</f>
        <v>FFE2329B01</v>
      </c>
      <c r="J10" t="str">
        <f>OCT2HEX(7777776000)</f>
        <v>FFFFFFFC00</v>
      </c>
    </row>
    <row r="11" spans="3:10">
      <c r="C11" t="str">
        <f>OCT2HEX(3745624200)</f>
        <v>1F972880</v>
      </c>
      <c r="D11">
        <f>GESTEP(-3.3,-3.31)</f>
        <v>1</v>
      </c>
      <c r="E11">
        <f>DELTA(5,4)</f>
        <v>0</v>
      </c>
      <c r="F11">
        <f>DELTA(5,5)</f>
        <v>1</v>
      </c>
      <c r="G11">
        <f>DELTA(0.5,0)</f>
        <v>0</v>
      </c>
      <c r="H11" t="str">
        <f>COMPLEX(3,4)</f>
        <v>3+4i</v>
      </c>
      <c r="I11" t="str">
        <f>COMPLEX(3,4,"j")</f>
        <v>3+4j</v>
      </c>
      <c r="J11" t="str">
        <f>COMPLEX(0,1)</f>
        <v>i</v>
      </c>
    </row>
    <row r="12" spans="3:10">
      <c r="C12" t="str">
        <f>COMPLEX(1,0)</f>
        <v>1</v>
      </c>
      <c r="D12" t="str">
        <f>COMPLEX(1,0)</f>
        <v>1</v>
      </c>
      <c r="E12" t="str">
        <f>COMPLEX(-3,-53)</f>
        <v>-3-53i</v>
      </c>
      <c r="F12">
        <f>IMAGINARY("3+4i")</f>
        <v>4</v>
      </c>
      <c r="G12">
        <f>IMAGINARY("0-j")</f>
        <v>-1</v>
      </c>
      <c r="H12">
        <f>IMAGINARY(4)</f>
        <v>0</v>
      </c>
      <c r="I12">
        <f>IMAGINARY("5j")</f>
        <v>5</v>
      </c>
      <c r="J12" t="e">
        <f>IMAGINARY("43-5J")</f>
        <v>#NUM!</v>
      </c>
    </row>
    <row r="13" spans="3:10">
      <c r="C13">
        <f>IMREAL("6-9i")</f>
        <v>6</v>
      </c>
      <c r="D13">
        <f>IMREAL("368.256 -2i")</f>
        <v>368.25599999999997</v>
      </c>
      <c r="E13">
        <f>IMREAL("-2i")</f>
        <v>0</v>
      </c>
      <c r="F13">
        <f>IMARGUMENT("3+4i")</f>
        <v>0.92729521800161219</v>
      </c>
      <c r="G13">
        <f>IMARGUMENT("368.256 -2i")</f>
        <v>-5.4309511222481281E-3</v>
      </c>
      <c r="H13">
        <f>IMABS("5+12i")</f>
        <v>13</v>
      </c>
      <c r="I13">
        <f>IMABS("23+6i")</f>
        <v>23.769728648009423</v>
      </c>
      <c r="J13" t="str">
        <f>IMCONJUGATE("3+4j")</f>
        <v>3-4j</v>
      </c>
    </row>
    <row r="14" spans="3:10">
      <c r="C14" t="str">
        <f>IMCONJUGATE("3  -4j")</f>
        <v>3+4j</v>
      </c>
      <c r="D14" t="str">
        <f>IMCOS("1+i")</f>
        <v>0.833730025131149-0.988897705762865i</v>
      </c>
      <c r="E14" t="str">
        <f>IMCOS("3+4j")</f>
        <v>-27.0349456030742-3.85115333481178j</v>
      </c>
      <c r="F14" t="str">
        <f>IMSIN("1+i")</f>
        <v>1.29845758141598+0.634963914784736i</v>
      </c>
      <c r="G14" t="str">
        <f>IMSIN("3+4j")</f>
        <v>3.85373803791938-27.0168132580039j</v>
      </c>
      <c r="H14" t="str">
        <f>IMEXP("1+i")</f>
        <v>1.46869393991589+2.28735528717884i</v>
      </c>
      <c r="I14" t="str">
        <f>IMEXP("3+4j")</f>
        <v>-13.1287830814622-15.200784463068j</v>
      </c>
      <c r="J14" t="str">
        <f>IMPOWER("2+3j",3)</f>
        <v>-46+9.00000000000001j</v>
      </c>
    </row>
    <row r="15" spans="3:10">
      <c r="C15" t="str">
        <f>IMPOWER("1+i",8.2)</f>
        <v>16.937250443302+2.68259693209888i</v>
      </c>
      <c r="D15" t="str">
        <f>IMSQRT("1+i")</f>
        <v>1.09868411346781+0.455089860562227i</v>
      </c>
      <c r="E15" t="str">
        <f>IMSQRT("3+4j")</f>
        <v>2+j</v>
      </c>
      <c r="F15" t="str">
        <f>IMSUB("13+4i","5+3i")</f>
        <v>8+i</v>
      </c>
      <c r="G15" t="str">
        <f>IMSUB("2+6j","-5+8j")</f>
        <v>7-2j</v>
      </c>
      <c r="H15" t="str">
        <f>IMDIV("-238 +240i","10 +24i")</f>
        <v>5+12i</v>
      </c>
      <c r="I15" t="str">
        <f>IMDIV("3+5i","5+3i")</f>
        <v>0.882352941176471+0.470588235294118i</v>
      </c>
      <c r="J15" t="str">
        <f>IMSUM("3+4i","5-3i")</f>
        <v>8+i</v>
      </c>
    </row>
    <row r="16" spans="3:10">
      <c r="C16" t="str">
        <f>IMSUM("3+4i","5-3i","2-8i","6-3i")</f>
        <v>16-10i</v>
      </c>
      <c r="D16" t="str">
        <f>IMPRODUCT("3+4i","5-3i")</f>
        <v>27+11i</v>
      </c>
      <c r="E16" t="str">
        <f>IMPRODUCT("3+4i","5-3i","2-8i","6-3i")</f>
        <v>270-1590i</v>
      </c>
      <c r="F16" t="str">
        <f>IMLN("3+4j")</f>
        <v>1.6094379124341+0.927295218001612j</v>
      </c>
      <c r="G16" t="str">
        <f>IMLN("23.4-83.2i")</f>
        <v>4.45931175200336-1.29662887567524i</v>
      </c>
      <c r="H16" t="str">
        <f>IMLOG10("3+4j")</f>
        <v>0.698970004336019+0.402719196273373j</v>
      </c>
      <c r="I16" t="str">
        <f>IMLOG10("23.4-83.2i")</f>
        <v>1.93665448698138-0.563118765782173i</v>
      </c>
      <c r="J16" t="str">
        <f>IMLOG2("3+4j")</f>
        <v>2.32192809506607+1.33780421255394j</v>
      </c>
    </row>
    <row r="17" spans="3:10">
      <c r="C17" t="str">
        <f>IMLOG2("23.4-83.2i")</f>
        <v>6.43342695088827-1.87064004895407i</v>
      </c>
      <c r="D17">
        <f>CONVERT(1,"ozm","g")</f>
        <v>28.349515207973205</v>
      </c>
      <c r="E17">
        <f>CONVERT(16.8,"Pica","yd")</f>
        <v>6.4814814793554198E-3</v>
      </c>
      <c r="F17">
        <f>CONVERT(48,"sec","day")</f>
        <v>5.5555555555555556E-4</v>
      </c>
      <c r="G17">
        <f>CONVERT(82,"Pa","atm")</f>
        <v>8.092771059985183E-4</v>
      </c>
      <c r="H17">
        <f>CONVERT(16.8,"dyn","N")</f>
        <v>1.6800000000000002E-4</v>
      </c>
      <c r="I17">
        <f>CONVERT(380,"Wh","BTU")</f>
        <v>1296.6103658258796</v>
      </c>
      <c r="J17">
        <f>CONVERT(4.5,"W","HP")</f>
        <v>6.0345902714358706E-3</v>
      </c>
    </row>
    <row r="18" spans="3:10">
      <c r="C18">
        <f>CONVERT(800,"ga","T")</f>
        <v>0.08</v>
      </c>
      <c r="D18">
        <f>CONVERT(16.8,"F","K")</f>
        <v>264.70555555555552</v>
      </c>
      <c r="E18">
        <f>CONVERT(16.8,"l","cup")</f>
        <v>70.994</v>
      </c>
    </row>
    <row r="21" spans="3:10">
      <c r="C21">
        <v>123.43</v>
      </c>
      <c r="H21">
        <v>2</v>
      </c>
    </row>
    <row r="22" spans="3:10">
      <c r="C22">
        <v>232.34200000000001</v>
      </c>
      <c r="E22" t="s">
        <v>33</v>
      </c>
      <c r="F22" t="s">
        <v>34</v>
      </c>
      <c r="H22">
        <v>3</v>
      </c>
    </row>
    <row r="23" spans="3:10">
      <c r="C23">
        <v>23215.235199999999</v>
      </c>
      <c r="H23">
        <v>4</v>
      </c>
    </row>
    <row r="24" spans="3:10">
      <c r="C24">
        <v>234222.234</v>
      </c>
      <c r="F24">
        <v>4</v>
      </c>
      <c r="H24">
        <f>H21+H22</f>
        <v>5</v>
      </c>
    </row>
    <row r="25" spans="3:10">
      <c r="C25">
        <f>SUM(C21:C24)+C22</f>
        <v>258025.58319999999</v>
      </c>
      <c r="E25">
        <f>SUM(C25/C21+C23)</f>
        <v>25305.696053925301</v>
      </c>
      <c r="F25">
        <f>(C25/C21)*(C25*C22)</f>
        <v>125323504584.17514</v>
      </c>
      <c r="G25">
        <f>SUM(C25*10+EXP(3))</f>
        <v>2580275.9175369232</v>
      </c>
    </row>
    <row r="26" spans="3:10">
      <c r="E26">
        <f>SUM((C23+G25)+SUM(C21:C22))</f>
        <v>2603846.9247369231</v>
      </c>
      <c r="F26">
        <f>F24</f>
        <v>4</v>
      </c>
    </row>
    <row r="27" spans="3:10">
      <c r="E27" t="str">
        <f>CONCATENATE(E22,F22,C25,H23)</f>
        <v>onetwo258025.58324</v>
      </c>
      <c r="F27">
        <f>(C25/C21)/(C25*C22)</f>
        <v>3.486996789863084E-5</v>
      </c>
    </row>
    <row r="28" spans="3:10">
      <c r="G28">
        <f>5^2</f>
        <v>25</v>
      </c>
    </row>
    <row r="29" spans="3:10">
      <c r="E29" t="s">
        <v>35</v>
      </c>
    </row>
    <row r="30" spans="3:10">
      <c r="E30" s="53">
        <f>IF(CONCATENATE(E22,(F24+EXP(4))*2,SUM(C25,E27,C22),SUM(C21:C25))=1,3,22)</f>
        <v>22</v>
      </c>
    </row>
    <row r="32" spans="3:10">
      <c r="F32" t="e">
        <f>100/0</f>
        <v>#DIV/0!</v>
      </c>
    </row>
    <row r="35" spans="3:10">
      <c r="C35">
        <f>FACTDOUBLE(6)</f>
        <v>48</v>
      </c>
      <c r="D35">
        <f>FACTDOUBLE(7)</f>
        <v>105</v>
      </c>
      <c r="E35">
        <f>FACTDOUBLE(160)</f>
        <v>8.6522164519028458E+142</v>
      </c>
      <c r="F35">
        <f>SQRTPI(1)</f>
        <v>1.7724538509055159</v>
      </c>
      <c r="G35">
        <f>SQRTPI(2)</f>
        <v>2.5066282746310002</v>
      </c>
      <c r="H35">
        <f>SQRTPI(5)</f>
        <v>3.963327297606011</v>
      </c>
      <c r="I35">
        <f>GCD(819,462)</f>
        <v>21</v>
      </c>
      <c r="J35">
        <f>GCD(40902,24140)</f>
        <v>34</v>
      </c>
    </row>
    <row r="36" spans="3:10">
      <c r="C36">
        <f>GCD(819)</f>
        <v>819</v>
      </c>
      <c r="D36">
        <f>GCD(112,500,565)</f>
        <v>1</v>
      </c>
      <c r="E36">
        <f>LCM(24,36)</f>
        <v>72</v>
      </c>
      <c r="F36">
        <f>LCM(24,36,5,11)</f>
        <v>3960</v>
      </c>
      <c r="G36">
        <f>MROUND(1.3,0.2)</f>
        <v>1.4000000000000001</v>
      </c>
      <c r="H36">
        <f>MROUND(56,15)</f>
        <v>60</v>
      </c>
      <c r="I36" t="e">
        <f>MROUND(10,-3)</f>
        <v>#NUM!</v>
      </c>
      <c r="J36">
        <f>MULTINOMIAL(2,3,4)</f>
        <v>1259.9999999999991</v>
      </c>
    </row>
    <row r="37" spans="3:10">
      <c r="C37">
        <f>MULTINOMIAL(2,3.5,9.9)</f>
        <v>20019.999999999949</v>
      </c>
      <c r="D37">
        <f>QUOTIENT(3.1,1.1)</f>
        <v>2</v>
      </c>
      <c r="E37">
        <f>TANH(3)</f>
        <v>0.99505475368673058</v>
      </c>
      <c r="F37">
        <f>TANH(0.5)</f>
        <v>0.46211715726000979</v>
      </c>
      <c r="G37">
        <f>TANH(0)</f>
        <v>0</v>
      </c>
      <c r="H37">
        <f ca="1">RANDBETWEEN(-2,2)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sqref="A1:L65"/>
    </sheetView>
  </sheetViews>
  <sheetFormatPr defaultRowHeight="15"/>
  <sheetData>
    <row r="1" spans="1:12">
      <c r="A1" s="54"/>
      <c r="B1" s="54"/>
      <c r="C1" s="54"/>
      <c r="D1" s="55" t="s">
        <v>36</v>
      </c>
      <c r="E1" s="56"/>
      <c r="F1" s="54" t="s">
        <v>36</v>
      </c>
      <c r="G1" s="55" t="s">
        <v>36</v>
      </c>
      <c r="H1" s="57" t="s">
        <v>36</v>
      </c>
      <c r="I1" s="55" t="s">
        <v>36</v>
      </c>
      <c r="J1" s="58" t="s">
        <v>36</v>
      </c>
      <c r="K1" s="55" t="s">
        <v>36</v>
      </c>
      <c r="L1" s="57" t="s">
        <v>36</v>
      </c>
    </row>
    <row r="2" spans="1:12">
      <c r="A2" s="59" t="s">
        <v>37</v>
      </c>
      <c r="B2" s="59" t="s">
        <v>38</v>
      </c>
      <c r="C2" s="59" t="s">
        <v>39</v>
      </c>
      <c r="D2" s="60" t="s">
        <v>40</v>
      </c>
      <c r="E2" s="61" t="s">
        <v>41</v>
      </c>
      <c r="F2" s="59" t="s">
        <v>40</v>
      </c>
      <c r="G2" s="60" t="s">
        <v>40</v>
      </c>
      <c r="H2" s="59" t="s">
        <v>40</v>
      </c>
      <c r="I2" s="60" t="s">
        <v>40</v>
      </c>
      <c r="J2" s="62" t="s">
        <v>40</v>
      </c>
      <c r="K2" s="60" t="s">
        <v>40</v>
      </c>
      <c r="L2" s="59" t="s">
        <v>40</v>
      </c>
    </row>
    <row r="3" spans="1:12">
      <c r="A3" s="63" t="s">
        <v>37</v>
      </c>
      <c r="B3" s="64" t="s">
        <v>42</v>
      </c>
      <c r="C3" s="65">
        <v>38930</v>
      </c>
      <c r="D3" s="66" t="s">
        <v>43</v>
      </c>
      <c r="E3" s="56">
        <v>123.22234</v>
      </c>
      <c r="F3" s="67" t="s">
        <v>43</v>
      </c>
      <c r="G3" s="66" t="s">
        <v>43</v>
      </c>
      <c r="H3" s="68" t="s">
        <v>43</v>
      </c>
      <c r="I3" s="66" t="s">
        <v>43</v>
      </c>
      <c r="J3" s="58" t="s">
        <v>43</v>
      </c>
      <c r="K3" s="66" t="s">
        <v>43</v>
      </c>
      <c r="L3" s="69" t="s">
        <v>43</v>
      </c>
    </row>
    <row r="4" spans="1:12">
      <c r="A4" s="63" t="s">
        <v>37</v>
      </c>
      <c r="B4" s="64" t="s">
        <v>42</v>
      </c>
      <c r="C4" s="65">
        <v>38566</v>
      </c>
      <c r="D4" s="70" t="s">
        <v>44</v>
      </c>
      <c r="E4" s="56">
        <v>234.23423399999999</v>
      </c>
      <c r="F4" s="67" t="s">
        <v>44</v>
      </c>
      <c r="G4" s="70" t="s">
        <v>44</v>
      </c>
      <c r="H4" s="68" t="s">
        <v>44</v>
      </c>
      <c r="I4" s="70" t="s">
        <v>44</v>
      </c>
      <c r="J4" s="58" t="s">
        <v>44</v>
      </c>
      <c r="K4" s="70" t="s">
        <v>44</v>
      </c>
      <c r="L4" s="71" t="s">
        <v>44</v>
      </c>
    </row>
    <row r="5" spans="1:12">
      <c r="A5" s="63" t="s">
        <v>37</v>
      </c>
      <c r="B5" s="64" t="s">
        <v>42</v>
      </c>
      <c r="C5" s="65">
        <v>38202</v>
      </c>
      <c r="D5" s="72" t="s">
        <v>45</v>
      </c>
      <c r="E5" s="56">
        <v>232.22234</v>
      </c>
      <c r="F5" s="67" t="s">
        <v>45</v>
      </c>
      <c r="G5" s="72" t="s">
        <v>45</v>
      </c>
      <c r="H5" s="73" t="s">
        <v>45</v>
      </c>
      <c r="I5" s="72" t="s">
        <v>45</v>
      </c>
      <c r="J5" s="58" t="s">
        <v>45</v>
      </c>
      <c r="K5" s="72" t="s">
        <v>45</v>
      </c>
      <c r="L5" s="74" t="s">
        <v>45</v>
      </c>
    </row>
    <row r="6" spans="1:12">
      <c r="A6" s="63" t="s">
        <v>37</v>
      </c>
      <c r="B6" s="64" t="s">
        <v>42</v>
      </c>
      <c r="C6" s="65">
        <v>37838</v>
      </c>
      <c r="D6" s="75" t="s">
        <v>46</v>
      </c>
      <c r="E6" s="56">
        <v>332.44</v>
      </c>
      <c r="F6" s="67" t="s">
        <v>46</v>
      </c>
      <c r="G6" s="75" t="s">
        <v>46</v>
      </c>
      <c r="H6" s="68" t="s">
        <v>46</v>
      </c>
      <c r="I6" s="75" t="s">
        <v>46</v>
      </c>
      <c r="J6" s="58" t="s">
        <v>46</v>
      </c>
      <c r="K6" s="75" t="s">
        <v>46</v>
      </c>
      <c r="L6" s="76" t="s">
        <v>46</v>
      </c>
    </row>
    <row r="7" spans="1:12">
      <c r="A7" s="63" t="s">
        <v>37</v>
      </c>
      <c r="B7" s="64" t="s">
        <v>42</v>
      </c>
      <c r="C7" s="65">
        <v>37474</v>
      </c>
      <c r="D7" s="77" t="s">
        <v>47</v>
      </c>
      <c r="E7" s="56">
        <v>1234.1231230000001</v>
      </c>
      <c r="F7" s="67" t="s">
        <v>47</v>
      </c>
      <c r="G7" s="77" t="s">
        <v>47</v>
      </c>
      <c r="H7" s="73" t="s">
        <v>47</v>
      </c>
      <c r="I7" s="77" t="s">
        <v>47</v>
      </c>
      <c r="J7" s="58" t="s">
        <v>47</v>
      </c>
      <c r="K7" s="77" t="s">
        <v>47</v>
      </c>
      <c r="L7" s="78" t="s">
        <v>47</v>
      </c>
    </row>
    <row r="8" spans="1:12">
      <c r="A8" s="63" t="s">
        <v>37</v>
      </c>
      <c r="B8" s="64" t="s">
        <v>48</v>
      </c>
      <c r="C8" s="65">
        <v>37110</v>
      </c>
      <c r="D8" s="79" t="s">
        <v>49</v>
      </c>
      <c r="E8" s="56">
        <v>123.1</v>
      </c>
      <c r="F8" s="67" t="s">
        <v>49</v>
      </c>
      <c r="G8" s="79" t="s">
        <v>49</v>
      </c>
      <c r="H8" s="73" t="s">
        <v>49</v>
      </c>
      <c r="I8" s="79" t="s">
        <v>49</v>
      </c>
      <c r="J8" s="58" t="s">
        <v>49</v>
      </c>
      <c r="K8" s="79" t="s">
        <v>49</v>
      </c>
      <c r="L8" s="80" t="s">
        <v>49</v>
      </c>
    </row>
    <row r="9" spans="1:12">
      <c r="A9" s="63" t="s">
        <v>37</v>
      </c>
      <c r="B9" s="64" t="s">
        <v>48</v>
      </c>
      <c r="C9" s="65">
        <v>36746</v>
      </c>
      <c r="D9" s="55" t="s">
        <v>50</v>
      </c>
      <c r="E9" s="56">
        <v>123</v>
      </c>
      <c r="F9" s="67" t="s">
        <v>50</v>
      </c>
      <c r="G9" s="55" t="s">
        <v>50</v>
      </c>
      <c r="H9" s="73" t="s">
        <v>50</v>
      </c>
      <c r="I9" s="55" t="s">
        <v>50</v>
      </c>
      <c r="J9" s="58" t="s">
        <v>50</v>
      </c>
      <c r="K9" s="55" t="s">
        <v>50</v>
      </c>
      <c r="L9" s="57" t="s">
        <v>50</v>
      </c>
    </row>
    <row r="10" spans="1:12">
      <c r="A10" s="63" t="s">
        <v>37</v>
      </c>
      <c r="B10" s="64" t="s">
        <v>48</v>
      </c>
      <c r="C10" s="65">
        <v>36382</v>
      </c>
      <c r="D10" s="60" t="s">
        <v>51</v>
      </c>
      <c r="E10" s="56">
        <v>123423.234234</v>
      </c>
      <c r="F10" s="67" t="s">
        <v>51</v>
      </c>
      <c r="G10" s="60" t="s">
        <v>51</v>
      </c>
      <c r="H10" s="73" t="s">
        <v>51</v>
      </c>
      <c r="I10" s="60" t="s">
        <v>51</v>
      </c>
      <c r="J10" s="58" t="s">
        <v>51</v>
      </c>
      <c r="K10" s="60" t="s">
        <v>51</v>
      </c>
      <c r="L10" s="81" t="s">
        <v>51</v>
      </c>
    </row>
    <row r="11" spans="1:12">
      <c r="A11" s="59" t="s">
        <v>52</v>
      </c>
      <c r="B11" s="59" t="s">
        <v>38</v>
      </c>
      <c r="C11" s="59" t="s">
        <v>39</v>
      </c>
      <c r="D11" s="82" t="s">
        <v>53</v>
      </c>
      <c r="E11" s="61" t="s">
        <v>41</v>
      </c>
      <c r="F11" s="59" t="s">
        <v>53</v>
      </c>
      <c r="G11" s="82" t="s">
        <v>53</v>
      </c>
      <c r="H11" s="59" t="s">
        <v>53</v>
      </c>
      <c r="I11" s="82" t="s">
        <v>53</v>
      </c>
      <c r="J11" s="62" t="s">
        <v>53</v>
      </c>
      <c r="K11" s="82" t="s">
        <v>53</v>
      </c>
      <c r="L11" s="59" t="s">
        <v>53</v>
      </c>
    </row>
    <row r="12" spans="1:12">
      <c r="A12" s="63" t="s">
        <v>52</v>
      </c>
      <c r="B12" s="64" t="s">
        <v>42</v>
      </c>
      <c r="C12" s="65">
        <v>38930</v>
      </c>
      <c r="D12" s="83" t="s">
        <v>54</v>
      </c>
      <c r="E12" s="56">
        <v>123.22234</v>
      </c>
      <c r="F12" s="67" t="s">
        <v>54</v>
      </c>
      <c r="G12" s="83" t="s">
        <v>54</v>
      </c>
      <c r="H12" s="68" t="s">
        <v>54</v>
      </c>
      <c r="I12" s="83" t="s">
        <v>54</v>
      </c>
      <c r="J12" s="58" t="s">
        <v>54</v>
      </c>
      <c r="K12" s="83" t="s">
        <v>54</v>
      </c>
      <c r="L12" s="84" t="s">
        <v>54</v>
      </c>
    </row>
    <row r="13" spans="1:12">
      <c r="A13" s="63" t="s">
        <v>52</v>
      </c>
      <c r="B13" s="64" t="s">
        <v>42</v>
      </c>
      <c r="C13" s="65">
        <v>38566</v>
      </c>
      <c r="D13" s="72" t="s">
        <v>55</v>
      </c>
      <c r="E13" s="56">
        <v>234.23423399999999</v>
      </c>
      <c r="F13" s="67" t="s">
        <v>55</v>
      </c>
      <c r="G13" s="72" t="s">
        <v>55</v>
      </c>
      <c r="H13" s="68" t="s">
        <v>55</v>
      </c>
      <c r="I13" s="72" t="s">
        <v>55</v>
      </c>
      <c r="J13" s="58" t="s">
        <v>55</v>
      </c>
      <c r="K13" s="72" t="s">
        <v>55</v>
      </c>
      <c r="L13" s="74" t="s">
        <v>55</v>
      </c>
    </row>
    <row r="14" spans="1:12">
      <c r="A14" s="63" t="s">
        <v>52</v>
      </c>
      <c r="B14" s="64" t="s">
        <v>42</v>
      </c>
      <c r="C14" s="65">
        <v>38202</v>
      </c>
      <c r="D14" s="75" t="s">
        <v>56</v>
      </c>
      <c r="E14" s="56">
        <v>232.22234</v>
      </c>
      <c r="F14" s="67" t="s">
        <v>56</v>
      </c>
      <c r="G14" s="75" t="s">
        <v>56</v>
      </c>
      <c r="H14" s="73" t="s">
        <v>56</v>
      </c>
      <c r="I14" s="75" t="s">
        <v>56</v>
      </c>
      <c r="J14" s="58" t="s">
        <v>56</v>
      </c>
      <c r="K14" s="75" t="s">
        <v>56</v>
      </c>
      <c r="L14" s="76" t="s">
        <v>56</v>
      </c>
    </row>
    <row r="15" spans="1:12">
      <c r="A15" s="63" t="s">
        <v>52</v>
      </c>
      <c r="B15" s="64" t="s">
        <v>42</v>
      </c>
      <c r="C15" s="65">
        <v>37838</v>
      </c>
      <c r="D15" s="77" t="s">
        <v>57</v>
      </c>
      <c r="E15" s="56">
        <v>332.44</v>
      </c>
      <c r="F15" s="67" t="s">
        <v>57</v>
      </c>
      <c r="G15" s="77" t="s">
        <v>57</v>
      </c>
      <c r="H15" s="68" t="s">
        <v>57</v>
      </c>
      <c r="I15" s="77" t="s">
        <v>57</v>
      </c>
      <c r="J15" s="58" t="s">
        <v>57</v>
      </c>
      <c r="K15" s="77" t="s">
        <v>57</v>
      </c>
      <c r="L15" s="78" t="s">
        <v>57</v>
      </c>
    </row>
    <row r="16" spans="1:12">
      <c r="A16" s="63" t="s">
        <v>52</v>
      </c>
      <c r="B16" s="64" t="s">
        <v>42</v>
      </c>
      <c r="C16" s="65">
        <v>37474</v>
      </c>
      <c r="D16" s="85" t="s">
        <v>58</v>
      </c>
      <c r="E16" s="56">
        <v>1234.1231230000001</v>
      </c>
      <c r="F16" s="67" t="s">
        <v>58</v>
      </c>
      <c r="G16" s="85" t="s">
        <v>58</v>
      </c>
      <c r="H16" s="73" t="s">
        <v>58</v>
      </c>
      <c r="I16" s="85" t="s">
        <v>58</v>
      </c>
      <c r="J16" s="58" t="s">
        <v>58</v>
      </c>
      <c r="K16" s="85" t="s">
        <v>58</v>
      </c>
      <c r="L16" s="86" t="s">
        <v>58</v>
      </c>
    </row>
    <row r="17" spans="1:12">
      <c r="A17" s="63" t="s">
        <v>52</v>
      </c>
      <c r="B17" s="64" t="s">
        <v>48</v>
      </c>
      <c r="C17" s="65">
        <v>37110</v>
      </c>
      <c r="D17" s="87" t="s">
        <v>59</v>
      </c>
      <c r="E17" s="56">
        <v>123.1</v>
      </c>
      <c r="F17" s="67" t="s">
        <v>59</v>
      </c>
      <c r="G17" s="87" t="s">
        <v>59</v>
      </c>
      <c r="H17" s="73" t="s">
        <v>59</v>
      </c>
      <c r="I17" s="87" t="s">
        <v>59</v>
      </c>
      <c r="J17" s="58" t="s">
        <v>59</v>
      </c>
      <c r="K17" s="87" t="s">
        <v>59</v>
      </c>
      <c r="L17" s="88" t="s">
        <v>59</v>
      </c>
    </row>
    <row r="18" spans="1:12">
      <c r="A18" s="63" t="s">
        <v>52</v>
      </c>
      <c r="B18" s="64" t="s">
        <v>48</v>
      </c>
      <c r="C18" s="65">
        <v>36746</v>
      </c>
      <c r="D18" s="89" t="s">
        <v>60</v>
      </c>
      <c r="E18" s="56">
        <v>123</v>
      </c>
      <c r="F18" s="67" t="s">
        <v>60</v>
      </c>
      <c r="G18" s="89" t="s">
        <v>60</v>
      </c>
      <c r="H18" s="73" t="s">
        <v>60</v>
      </c>
      <c r="I18" s="89" t="s">
        <v>60</v>
      </c>
      <c r="J18" s="58" t="s">
        <v>60</v>
      </c>
      <c r="K18" s="89" t="s">
        <v>60</v>
      </c>
      <c r="L18" s="90" t="s">
        <v>60</v>
      </c>
    </row>
    <row r="19" spans="1:12">
      <c r="A19" s="63" t="s">
        <v>52</v>
      </c>
      <c r="B19" s="64" t="s">
        <v>48</v>
      </c>
      <c r="C19" s="65">
        <v>36382</v>
      </c>
      <c r="D19" s="91" t="s">
        <v>61</v>
      </c>
      <c r="E19" s="56">
        <v>123423.234234</v>
      </c>
      <c r="F19" s="67" t="s">
        <v>61</v>
      </c>
      <c r="G19" s="91" t="s">
        <v>61</v>
      </c>
      <c r="H19" s="73" t="s">
        <v>61</v>
      </c>
      <c r="I19" s="91" t="s">
        <v>61</v>
      </c>
      <c r="J19" s="58" t="s">
        <v>61</v>
      </c>
      <c r="K19" s="91" t="s">
        <v>61</v>
      </c>
      <c r="L19" s="92" t="s">
        <v>61</v>
      </c>
    </row>
    <row r="20" spans="1:12">
      <c r="A20" s="59" t="s">
        <v>62</v>
      </c>
      <c r="B20" s="59" t="s">
        <v>38</v>
      </c>
      <c r="C20" s="59" t="s">
        <v>39</v>
      </c>
      <c r="D20" s="93" t="s">
        <v>63</v>
      </c>
      <c r="E20" s="61" t="s">
        <v>41</v>
      </c>
      <c r="F20" s="59" t="s">
        <v>63</v>
      </c>
      <c r="G20" s="93" t="s">
        <v>63</v>
      </c>
      <c r="H20" s="59" t="s">
        <v>63</v>
      </c>
      <c r="I20" s="93" t="s">
        <v>63</v>
      </c>
      <c r="J20" s="62" t="s">
        <v>63</v>
      </c>
      <c r="K20" s="93" t="s">
        <v>63</v>
      </c>
      <c r="L20" s="94" t="s">
        <v>63</v>
      </c>
    </row>
    <row r="21" spans="1:12">
      <c r="A21" s="63" t="s">
        <v>62</v>
      </c>
      <c r="B21" s="64" t="s">
        <v>42</v>
      </c>
      <c r="C21" s="65">
        <v>38930</v>
      </c>
      <c r="D21" s="95" t="s">
        <v>64</v>
      </c>
      <c r="E21" s="56">
        <v>123.22234</v>
      </c>
      <c r="F21" s="67" t="s">
        <v>64</v>
      </c>
      <c r="G21" s="95" t="s">
        <v>64</v>
      </c>
      <c r="H21" s="68" t="s">
        <v>64</v>
      </c>
      <c r="I21" s="95" t="s">
        <v>64</v>
      </c>
      <c r="J21" s="58" t="s">
        <v>64</v>
      </c>
      <c r="K21" s="95" t="s">
        <v>64</v>
      </c>
      <c r="L21" s="96" t="s">
        <v>64</v>
      </c>
    </row>
    <row r="22" spans="1:12">
      <c r="A22" s="63" t="s">
        <v>62</v>
      </c>
      <c r="B22" s="64" t="s">
        <v>42</v>
      </c>
      <c r="C22" s="65">
        <v>38566</v>
      </c>
      <c r="D22" s="97" t="s">
        <v>65</v>
      </c>
      <c r="E22" s="56">
        <v>234.23423399999999</v>
      </c>
      <c r="F22" s="67" t="s">
        <v>65</v>
      </c>
      <c r="G22" s="97" t="s">
        <v>65</v>
      </c>
      <c r="H22" s="68" t="s">
        <v>65</v>
      </c>
      <c r="I22" s="97" t="s">
        <v>65</v>
      </c>
      <c r="J22" s="58" t="s">
        <v>65</v>
      </c>
      <c r="K22" s="97" t="s">
        <v>65</v>
      </c>
      <c r="L22" s="98" t="s">
        <v>65</v>
      </c>
    </row>
    <row r="23" spans="1:12">
      <c r="A23" s="63" t="s">
        <v>62</v>
      </c>
      <c r="B23" s="64" t="s">
        <v>42</v>
      </c>
      <c r="C23" s="65">
        <v>38202</v>
      </c>
      <c r="D23" s="99" t="s">
        <v>66</v>
      </c>
      <c r="E23" s="56">
        <v>232.22234</v>
      </c>
      <c r="F23" s="67" t="s">
        <v>66</v>
      </c>
      <c r="G23" s="99" t="s">
        <v>66</v>
      </c>
      <c r="H23" s="73" t="s">
        <v>66</v>
      </c>
      <c r="I23" s="99" t="s">
        <v>66</v>
      </c>
      <c r="J23" s="58" t="s">
        <v>66</v>
      </c>
      <c r="K23" s="99" t="s">
        <v>66</v>
      </c>
      <c r="L23" s="100" t="s">
        <v>66</v>
      </c>
    </row>
    <row r="24" spans="1:12">
      <c r="A24" s="63" t="s">
        <v>62</v>
      </c>
      <c r="B24" s="64" t="s">
        <v>42</v>
      </c>
      <c r="C24" s="65">
        <v>37838</v>
      </c>
      <c r="D24" s="101" t="s">
        <v>67</v>
      </c>
      <c r="E24" s="56">
        <v>332.44</v>
      </c>
      <c r="F24" s="67" t="s">
        <v>67</v>
      </c>
      <c r="G24" s="101" t="s">
        <v>67</v>
      </c>
      <c r="H24" s="68" t="s">
        <v>67</v>
      </c>
      <c r="I24" s="101" t="s">
        <v>67</v>
      </c>
      <c r="J24" s="58" t="s">
        <v>67</v>
      </c>
      <c r="K24" s="101" t="s">
        <v>67</v>
      </c>
      <c r="L24" s="102" t="s">
        <v>67</v>
      </c>
    </row>
    <row r="25" spans="1:12">
      <c r="A25" s="63" t="s">
        <v>62</v>
      </c>
      <c r="B25" s="64" t="s">
        <v>42</v>
      </c>
      <c r="C25" s="65">
        <v>37474</v>
      </c>
      <c r="D25" s="103" t="s">
        <v>68</v>
      </c>
      <c r="E25" s="56">
        <v>1234.1231230000001</v>
      </c>
      <c r="F25" s="67" t="s">
        <v>68</v>
      </c>
      <c r="G25" s="103" t="s">
        <v>68</v>
      </c>
      <c r="H25" s="73" t="s">
        <v>68</v>
      </c>
      <c r="I25" s="103" t="s">
        <v>68</v>
      </c>
      <c r="J25" s="58" t="s">
        <v>68</v>
      </c>
      <c r="K25" s="103" t="s">
        <v>68</v>
      </c>
      <c r="L25" s="104" t="s">
        <v>68</v>
      </c>
    </row>
    <row r="26" spans="1:12">
      <c r="A26" s="63" t="s">
        <v>62</v>
      </c>
      <c r="B26" s="64" t="s">
        <v>48</v>
      </c>
      <c r="C26" s="65">
        <v>37110</v>
      </c>
      <c r="D26" s="105" t="s">
        <v>69</v>
      </c>
      <c r="E26" s="56">
        <v>123.1</v>
      </c>
      <c r="F26" s="67" t="s">
        <v>69</v>
      </c>
      <c r="G26" s="105" t="s">
        <v>69</v>
      </c>
      <c r="H26" s="73" t="s">
        <v>69</v>
      </c>
      <c r="I26" s="105" t="s">
        <v>69</v>
      </c>
      <c r="J26" s="58" t="s">
        <v>69</v>
      </c>
      <c r="K26" s="106" t="s">
        <v>69</v>
      </c>
      <c r="L26" s="107" t="s">
        <v>69</v>
      </c>
    </row>
    <row r="27" spans="1:12">
      <c r="A27" s="63" t="s">
        <v>62</v>
      </c>
      <c r="B27" s="64" t="s">
        <v>48</v>
      </c>
      <c r="C27" s="65">
        <v>36746</v>
      </c>
      <c r="D27" s="108" t="s">
        <v>70</v>
      </c>
      <c r="E27" s="56">
        <v>123</v>
      </c>
      <c r="F27" s="67" t="s">
        <v>70</v>
      </c>
      <c r="G27" s="108" t="s">
        <v>70</v>
      </c>
      <c r="H27" s="73" t="s">
        <v>70</v>
      </c>
      <c r="I27" s="108" t="s">
        <v>70</v>
      </c>
      <c r="J27" s="58" t="s">
        <v>70</v>
      </c>
      <c r="K27" s="109" t="s">
        <v>70</v>
      </c>
      <c r="L27" s="110" t="s">
        <v>70</v>
      </c>
    </row>
    <row r="28" spans="1:12">
      <c r="A28" s="63" t="s">
        <v>62</v>
      </c>
      <c r="B28" s="64" t="s">
        <v>48</v>
      </c>
      <c r="C28" s="65">
        <v>36382</v>
      </c>
      <c r="D28" s="111" t="s">
        <v>71</v>
      </c>
      <c r="E28" s="56">
        <v>123423.234234</v>
      </c>
      <c r="F28" s="67" t="s">
        <v>71</v>
      </c>
      <c r="G28" s="111" t="s">
        <v>71</v>
      </c>
      <c r="H28" s="73" t="s">
        <v>71</v>
      </c>
      <c r="I28" s="111" t="s">
        <v>71</v>
      </c>
      <c r="J28" s="58" t="s">
        <v>71</v>
      </c>
      <c r="K28" s="112" t="s">
        <v>71</v>
      </c>
      <c r="L28" s="113" t="s">
        <v>71</v>
      </c>
    </row>
    <row r="29" spans="1:12">
      <c r="A29" s="54"/>
      <c r="B29" s="54"/>
      <c r="C29" s="54"/>
      <c r="D29" s="114" t="s">
        <v>72</v>
      </c>
      <c r="E29" s="56"/>
      <c r="F29" s="54" t="s">
        <v>72</v>
      </c>
      <c r="G29" s="114" t="s">
        <v>72</v>
      </c>
      <c r="H29" s="115" t="s">
        <v>72</v>
      </c>
      <c r="I29" s="114" t="s">
        <v>72</v>
      </c>
      <c r="J29" s="58" t="s">
        <v>72</v>
      </c>
      <c r="K29" s="116" t="s">
        <v>72</v>
      </c>
      <c r="L29" s="117" t="s">
        <v>72</v>
      </c>
    </row>
    <row r="30" spans="1:12">
      <c r="A30" s="54"/>
      <c r="B30" s="54"/>
      <c r="C30" s="54"/>
      <c r="D30" s="118" t="s">
        <v>73</v>
      </c>
      <c r="E30" s="56"/>
      <c r="F30" s="54" t="s">
        <v>73</v>
      </c>
      <c r="G30" s="118" t="s">
        <v>73</v>
      </c>
      <c r="H30" s="119" t="s">
        <v>73</v>
      </c>
      <c r="I30" s="118" t="s">
        <v>73</v>
      </c>
      <c r="J30" s="58" t="s">
        <v>73</v>
      </c>
      <c r="K30" s="120" t="s">
        <v>73</v>
      </c>
      <c r="L30" s="121" t="s">
        <v>73</v>
      </c>
    </row>
    <row r="31" spans="1:12">
      <c r="A31" s="54"/>
      <c r="B31" s="54"/>
      <c r="C31" s="54"/>
      <c r="D31" s="122" t="s">
        <v>74</v>
      </c>
      <c r="E31" s="56"/>
      <c r="F31" s="54" t="s">
        <v>74</v>
      </c>
      <c r="G31" s="122" t="s">
        <v>74</v>
      </c>
      <c r="H31" s="123" t="s">
        <v>74</v>
      </c>
      <c r="I31" s="122" t="s">
        <v>74</v>
      </c>
      <c r="J31" s="58" t="s">
        <v>74</v>
      </c>
      <c r="K31" s="124" t="s">
        <v>74</v>
      </c>
      <c r="L31" s="125" t="s">
        <v>74</v>
      </c>
    </row>
    <row r="32" spans="1:12">
      <c r="A32" s="54"/>
      <c r="B32" s="54"/>
      <c r="C32" s="54"/>
      <c r="D32" s="126" t="s">
        <v>75</v>
      </c>
      <c r="E32" s="56"/>
      <c r="F32" s="54" t="s">
        <v>75</v>
      </c>
      <c r="G32" s="126" t="s">
        <v>75</v>
      </c>
      <c r="H32" s="127" t="s">
        <v>75</v>
      </c>
      <c r="I32" s="126" t="s">
        <v>75</v>
      </c>
      <c r="J32" s="58" t="s">
        <v>75</v>
      </c>
      <c r="K32" s="128" t="s">
        <v>75</v>
      </c>
      <c r="L32" s="129" t="s">
        <v>75</v>
      </c>
    </row>
    <row r="33" spans="1:12">
      <c r="A33" s="54"/>
      <c r="B33" s="54"/>
      <c r="C33" s="54"/>
      <c r="D33" s="130" t="s">
        <v>76</v>
      </c>
      <c r="E33" s="56"/>
      <c r="F33" s="54" t="s">
        <v>76</v>
      </c>
      <c r="G33" s="130" t="s">
        <v>76</v>
      </c>
      <c r="H33" s="131" t="s">
        <v>76</v>
      </c>
      <c r="I33" s="130" t="s">
        <v>76</v>
      </c>
      <c r="J33" s="58" t="s">
        <v>76</v>
      </c>
      <c r="K33" s="132" t="s">
        <v>76</v>
      </c>
      <c r="L33" s="133" t="s">
        <v>76</v>
      </c>
    </row>
    <row r="34" spans="1:12">
      <c r="A34" s="54"/>
      <c r="B34" s="54"/>
      <c r="C34" s="54"/>
      <c r="D34" s="134" t="s">
        <v>77</v>
      </c>
      <c r="E34" s="56"/>
      <c r="F34" s="54" t="s">
        <v>77</v>
      </c>
      <c r="G34" s="134" t="s">
        <v>77</v>
      </c>
      <c r="H34" s="135" t="s">
        <v>77</v>
      </c>
      <c r="I34" s="134" t="s">
        <v>77</v>
      </c>
      <c r="J34" s="58" t="s">
        <v>77</v>
      </c>
      <c r="K34" s="136" t="s">
        <v>77</v>
      </c>
      <c r="L34" s="137" t="s">
        <v>77</v>
      </c>
    </row>
    <row r="35" spans="1:12">
      <c r="A35" s="54"/>
      <c r="B35" s="54"/>
      <c r="C35" s="54"/>
      <c r="D35" s="138" t="s">
        <v>78</v>
      </c>
      <c r="E35" s="56"/>
      <c r="F35" s="54" t="s">
        <v>78</v>
      </c>
      <c r="G35" s="138" t="s">
        <v>78</v>
      </c>
      <c r="H35" s="139" t="s">
        <v>78</v>
      </c>
      <c r="I35" s="138" t="s">
        <v>78</v>
      </c>
      <c r="J35" s="58" t="s">
        <v>78</v>
      </c>
      <c r="K35" s="140" t="s">
        <v>78</v>
      </c>
      <c r="L35" s="141" t="s">
        <v>78</v>
      </c>
    </row>
    <row r="36" spans="1:12">
      <c r="A36" s="54"/>
      <c r="B36" s="54"/>
      <c r="C36" s="54"/>
      <c r="D36" s="142" t="s">
        <v>79</v>
      </c>
      <c r="E36" s="56"/>
      <c r="F36" s="54" t="s">
        <v>79</v>
      </c>
      <c r="G36" s="142" t="s">
        <v>79</v>
      </c>
      <c r="H36" s="143" t="s">
        <v>79</v>
      </c>
      <c r="I36" s="142" t="s">
        <v>79</v>
      </c>
      <c r="J36" s="58" t="s">
        <v>79</v>
      </c>
      <c r="K36" s="144" t="s">
        <v>79</v>
      </c>
      <c r="L36" s="145" t="s">
        <v>79</v>
      </c>
    </row>
    <row r="37" spans="1:12">
      <c r="A37" s="54"/>
      <c r="B37" s="54"/>
      <c r="C37" s="54"/>
      <c r="D37" s="146" t="s">
        <v>80</v>
      </c>
      <c r="E37" s="56"/>
      <c r="F37" s="54" t="s">
        <v>80</v>
      </c>
      <c r="G37" s="146" t="s">
        <v>80</v>
      </c>
      <c r="H37" s="147" t="s">
        <v>80</v>
      </c>
      <c r="I37" s="146" t="s">
        <v>80</v>
      </c>
      <c r="J37" s="58" t="s">
        <v>80</v>
      </c>
      <c r="K37" s="148" t="s">
        <v>80</v>
      </c>
      <c r="L37" s="149" t="s">
        <v>80</v>
      </c>
    </row>
    <row r="38" spans="1:12">
      <c r="A38" s="54"/>
      <c r="B38" s="54"/>
      <c r="C38" s="54"/>
      <c r="D38" s="150" t="s">
        <v>81</v>
      </c>
      <c r="E38" s="56"/>
      <c r="F38" s="54" t="s">
        <v>81</v>
      </c>
      <c r="G38" s="150" t="s">
        <v>81</v>
      </c>
      <c r="H38" s="151" t="s">
        <v>81</v>
      </c>
      <c r="I38" s="150" t="s">
        <v>81</v>
      </c>
      <c r="J38" s="58" t="s">
        <v>81</v>
      </c>
      <c r="K38" s="152" t="s">
        <v>81</v>
      </c>
      <c r="L38" s="153" t="s">
        <v>81</v>
      </c>
    </row>
    <row r="39" spans="1:12">
      <c r="A39" s="54"/>
      <c r="B39" s="54"/>
      <c r="C39" s="54"/>
      <c r="D39" s="154" t="s">
        <v>82</v>
      </c>
      <c r="E39" s="56"/>
      <c r="F39" s="54" t="s">
        <v>82</v>
      </c>
      <c r="G39" s="154" t="s">
        <v>82</v>
      </c>
      <c r="H39" s="155" t="s">
        <v>82</v>
      </c>
      <c r="I39" s="154" t="s">
        <v>82</v>
      </c>
      <c r="J39" s="58" t="s">
        <v>82</v>
      </c>
      <c r="K39" s="156" t="s">
        <v>82</v>
      </c>
      <c r="L39" s="157" t="s">
        <v>82</v>
      </c>
    </row>
    <row r="40" spans="1:12">
      <c r="A40" s="54"/>
      <c r="B40" s="54"/>
      <c r="C40" s="54"/>
      <c r="D40" s="158" t="s">
        <v>83</v>
      </c>
      <c r="E40" s="56"/>
      <c r="F40" s="54" t="s">
        <v>83</v>
      </c>
      <c r="G40" s="158" t="s">
        <v>83</v>
      </c>
      <c r="H40" s="159" t="s">
        <v>83</v>
      </c>
      <c r="I40" s="158" t="s">
        <v>83</v>
      </c>
      <c r="J40" s="58" t="s">
        <v>83</v>
      </c>
      <c r="K40" s="160" t="s">
        <v>83</v>
      </c>
      <c r="L40" s="161" t="s">
        <v>83</v>
      </c>
    </row>
    <row r="41" spans="1:12">
      <c r="A41" s="54"/>
      <c r="B41" s="54"/>
      <c r="C41" s="54"/>
      <c r="D41" s="162" t="s">
        <v>84</v>
      </c>
      <c r="E41" s="56"/>
      <c r="F41" s="54" t="s">
        <v>84</v>
      </c>
      <c r="G41" s="162" t="s">
        <v>84</v>
      </c>
      <c r="H41" s="163" t="s">
        <v>84</v>
      </c>
      <c r="I41" s="162" t="s">
        <v>84</v>
      </c>
      <c r="J41" s="58" t="s">
        <v>84</v>
      </c>
      <c r="K41" s="164" t="s">
        <v>84</v>
      </c>
      <c r="L41" s="165" t="s">
        <v>84</v>
      </c>
    </row>
    <row r="42" spans="1:12">
      <c r="A42" s="54"/>
      <c r="B42" s="54"/>
      <c r="C42" s="54"/>
      <c r="D42" s="166" t="s">
        <v>85</v>
      </c>
      <c r="E42" s="56"/>
      <c r="F42" s="54" t="s">
        <v>85</v>
      </c>
      <c r="G42" s="166" t="s">
        <v>85</v>
      </c>
      <c r="H42" s="167" t="s">
        <v>85</v>
      </c>
      <c r="I42" s="166" t="s">
        <v>85</v>
      </c>
      <c r="J42" s="58" t="s">
        <v>85</v>
      </c>
      <c r="K42" s="168" t="s">
        <v>85</v>
      </c>
      <c r="L42" s="169" t="s">
        <v>85</v>
      </c>
    </row>
    <row r="43" spans="1:12">
      <c r="A43" s="54"/>
      <c r="B43" s="54"/>
      <c r="C43" s="54"/>
      <c r="D43" s="170" t="s">
        <v>86</v>
      </c>
      <c r="E43" s="56"/>
      <c r="F43" s="54" t="s">
        <v>86</v>
      </c>
      <c r="G43" s="170" t="s">
        <v>86</v>
      </c>
      <c r="H43" s="171" t="s">
        <v>86</v>
      </c>
      <c r="I43" s="170" t="s">
        <v>86</v>
      </c>
      <c r="J43" s="58" t="s">
        <v>86</v>
      </c>
      <c r="K43" s="172" t="s">
        <v>86</v>
      </c>
      <c r="L43" s="173" t="s">
        <v>86</v>
      </c>
    </row>
    <row r="44" spans="1:12">
      <c r="A44" s="54"/>
      <c r="B44" s="54"/>
      <c r="C44" s="54"/>
      <c r="D44" s="174" t="s">
        <v>87</v>
      </c>
      <c r="E44" s="56"/>
      <c r="F44" s="54" t="s">
        <v>87</v>
      </c>
      <c r="G44" s="174" t="s">
        <v>87</v>
      </c>
      <c r="H44" s="175" t="s">
        <v>87</v>
      </c>
      <c r="I44" s="174" t="s">
        <v>87</v>
      </c>
      <c r="J44" s="58" t="s">
        <v>87</v>
      </c>
      <c r="K44" s="176" t="s">
        <v>87</v>
      </c>
      <c r="L44" s="177" t="s">
        <v>87</v>
      </c>
    </row>
    <row r="45" spans="1:12">
      <c r="A45" s="54"/>
      <c r="B45" s="54"/>
      <c r="C45" s="54"/>
      <c r="D45" s="178" t="s">
        <v>88</v>
      </c>
      <c r="E45" s="56"/>
      <c r="F45" s="54" t="s">
        <v>88</v>
      </c>
      <c r="G45" s="178" t="s">
        <v>88</v>
      </c>
      <c r="H45" s="179" t="s">
        <v>88</v>
      </c>
      <c r="I45" s="178" t="s">
        <v>88</v>
      </c>
      <c r="J45" s="58" t="s">
        <v>88</v>
      </c>
      <c r="K45" s="180" t="s">
        <v>88</v>
      </c>
      <c r="L45" s="181" t="s">
        <v>88</v>
      </c>
    </row>
    <row r="46" spans="1:12">
      <c r="A46" s="54"/>
      <c r="B46" s="54"/>
      <c r="C46" s="54"/>
      <c r="D46" s="182" t="s">
        <v>89</v>
      </c>
      <c r="E46" s="56"/>
      <c r="F46" s="54" t="s">
        <v>89</v>
      </c>
      <c r="G46" s="182" t="s">
        <v>89</v>
      </c>
      <c r="H46" s="183" t="s">
        <v>89</v>
      </c>
      <c r="I46" s="182" t="s">
        <v>89</v>
      </c>
      <c r="J46" s="58" t="s">
        <v>89</v>
      </c>
      <c r="K46" s="184" t="s">
        <v>89</v>
      </c>
      <c r="L46" s="185" t="s">
        <v>89</v>
      </c>
    </row>
    <row r="47" spans="1:12">
      <c r="A47" s="54"/>
      <c r="B47" s="54"/>
      <c r="C47" s="54"/>
      <c r="D47" s="186" t="s">
        <v>90</v>
      </c>
      <c r="E47" s="56"/>
      <c r="F47" s="54" t="s">
        <v>90</v>
      </c>
      <c r="G47" s="186" t="s">
        <v>90</v>
      </c>
      <c r="H47" s="187" t="s">
        <v>90</v>
      </c>
      <c r="I47" s="186" t="s">
        <v>90</v>
      </c>
      <c r="J47" s="58" t="s">
        <v>90</v>
      </c>
      <c r="K47" s="188" t="s">
        <v>90</v>
      </c>
      <c r="L47" s="189" t="s">
        <v>90</v>
      </c>
    </row>
    <row r="48" spans="1:12">
      <c r="A48" s="54"/>
      <c r="B48" s="54"/>
      <c r="C48" s="54"/>
      <c r="D48" s="190" t="s">
        <v>91</v>
      </c>
      <c r="E48" s="56"/>
      <c r="F48" s="54" t="s">
        <v>91</v>
      </c>
      <c r="G48" s="190" t="s">
        <v>91</v>
      </c>
      <c r="H48" s="191" t="s">
        <v>91</v>
      </c>
      <c r="I48" s="190" t="s">
        <v>91</v>
      </c>
      <c r="J48" s="58" t="s">
        <v>91</v>
      </c>
      <c r="K48" s="192" t="s">
        <v>91</v>
      </c>
      <c r="L48" s="193" t="s">
        <v>91</v>
      </c>
    </row>
    <row r="49" spans="1:12">
      <c r="A49" s="54"/>
      <c r="B49" s="54"/>
      <c r="C49" s="54"/>
      <c r="D49" s="194" t="s">
        <v>92</v>
      </c>
      <c r="E49" s="56"/>
      <c r="F49" s="54" t="s">
        <v>92</v>
      </c>
      <c r="G49" s="194" t="s">
        <v>92</v>
      </c>
      <c r="H49" s="195" t="s">
        <v>92</v>
      </c>
      <c r="I49" s="194" t="s">
        <v>92</v>
      </c>
      <c r="J49" s="58" t="s">
        <v>92</v>
      </c>
      <c r="K49" s="196" t="s">
        <v>92</v>
      </c>
      <c r="L49" s="197" t="s">
        <v>92</v>
      </c>
    </row>
    <row r="50" spans="1:12">
      <c r="A50" s="54"/>
      <c r="B50" s="54"/>
      <c r="C50" s="54"/>
      <c r="D50" s="198" t="s">
        <v>93</v>
      </c>
      <c r="E50" s="56"/>
      <c r="F50" s="54" t="s">
        <v>93</v>
      </c>
      <c r="G50" s="198" t="s">
        <v>93</v>
      </c>
      <c r="H50" s="199" t="s">
        <v>93</v>
      </c>
      <c r="I50" s="198" t="s">
        <v>93</v>
      </c>
      <c r="J50" s="58" t="s">
        <v>93</v>
      </c>
      <c r="K50" s="200" t="s">
        <v>93</v>
      </c>
      <c r="L50" s="201" t="s">
        <v>93</v>
      </c>
    </row>
    <row r="51" spans="1:12">
      <c r="A51" s="54"/>
      <c r="B51" s="54"/>
      <c r="C51" s="54"/>
      <c r="D51" s="202" t="s">
        <v>94</v>
      </c>
      <c r="E51" s="56"/>
      <c r="F51" s="54" t="s">
        <v>94</v>
      </c>
      <c r="G51" s="202" t="s">
        <v>94</v>
      </c>
      <c r="H51" s="203" t="s">
        <v>94</v>
      </c>
      <c r="I51" s="202" t="s">
        <v>94</v>
      </c>
      <c r="J51" s="58" t="s">
        <v>94</v>
      </c>
      <c r="K51" s="204" t="s">
        <v>94</v>
      </c>
      <c r="L51" s="205" t="s">
        <v>94</v>
      </c>
    </row>
    <row r="52" spans="1:12">
      <c r="A52" s="54"/>
      <c r="B52" s="54"/>
      <c r="C52" s="54"/>
      <c r="D52" s="206" t="s">
        <v>95</v>
      </c>
      <c r="E52" s="56"/>
      <c r="F52" s="54" t="s">
        <v>95</v>
      </c>
      <c r="G52" s="206" t="s">
        <v>95</v>
      </c>
      <c r="H52" s="207" t="s">
        <v>95</v>
      </c>
      <c r="I52" s="206" t="s">
        <v>95</v>
      </c>
      <c r="J52" s="58" t="s">
        <v>95</v>
      </c>
      <c r="K52" s="208" t="s">
        <v>95</v>
      </c>
      <c r="L52" s="209" t="s">
        <v>95</v>
      </c>
    </row>
    <row r="53" spans="1:12">
      <c r="A53" s="54"/>
      <c r="B53" s="54"/>
      <c r="C53" s="54"/>
      <c r="D53" s="210" t="s">
        <v>96</v>
      </c>
      <c r="E53" s="56"/>
      <c r="F53" s="54" t="s">
        <v>96</v>
      </c>
      <c r="G53" s="210" t="s">
        <v>96</v>
      </c>
      <c r="H53" s="211" t="s">
        <v>96</v>
      </c>
      <c r="I53" s="210" t="s">
        <v>96</v>
      </c>
      <c r="J53" s="58" t="s">
        <v>96</v>
      </c>
      <c r="K53" s="212" t="s">
        <v>96</v>
      </c>
      <c r="L53" s="213" t="s">
        <v>96</v>
      </c>
    </row>
    <row r="54" spans="1:12">
      <c r="A54" s="54"/>
      <c r="B54" s="54"/>
      <c r="C54" s="54"/>
      <c r="D54" s="214" t="s">
        <v>97</v>
      </c>
      <c r="E54" s="56"/>
      <c r="F54" s="54" t="s">
        <v>97</v>
      </c>
      <c r="G54" s="214" t="s">
        <v>97</v>
      </c>
      <c r="H54" s="215" t="s">
        <v>97</v>
      </c>
      <c r="I54" s="214" t="s">
        <v>97</v>
      </c>
      <c r="J54" s="58" t="s">
        <v>97</v>
      </c>
      <c r="K54" s="216" t="s">
        <v>97</v>
      </c>
      <c r="L54" s="217" t="s">
        <v>97</v>
      </c>
    </row>
    <row r="55" spans="1:12">
      <c r="A55" s="54"/>
      <c r="B55" s="54"/>
      <c r="C55" s="54"/>
      <c r="D55" s="218" t="s">
        <v>98</v>
      </c>
      <c r="E55" s="56"/>
      <c r="F55" s="54" t="s">
        <v>98</v>
      </c>
      <c r="G55" s="218" t="s">
        <v>98</v>
      </c>
      <c r="H55" s="219" t="s">
        <v>98</v>
      </c>
      <c r="I55" s="218" t="s">
        <v>98</v>
      </c>
      <c r="J55" s="58" t="s">
        <v>98</v>
      </c>
      <c r="K55" s="220" t="s">
        <v>98</v>
      </c>
      <c r="L55" s="221" t="s">
        <v>98</v>
      </c>
    </row>
    <row r="56" spans="1:12">
      <c r="A56" s="54"/>
      <c r="B56" s="54"/>
      <c r="C56" s="54"/>
      <c r="D56" s="222" t="s">
        <v>99</v>
      </c>
      <c r="E56" s="56"/>
      <c r="F56" s="54" t="s">
        <v>99</v>
      </c>
      <c r="G56" s="222" t="s">
        <v>99</v>
      </c>
      <c r="H56" s="223" t="s">
        <v>99</v>
      </c>
      <c r="I56" s="222" t="s">
        <v>99</v>
      </c>
      <c r="J56" s="58" t="s">
        <v>99</v>
      </c>
      <c r="K56" s="224" t="s">
        <v>99</v>
      </c>
      <c r="L56" s="225" t="s">
        <v>99</v>
      </c>
    </row>
    <row r="57" spans="1:12">
      <c r="A57" s="54"/>
      <c r="B57" s="54"/>
      <c r="C57" s="54"/>
      <c r="D57" s="226" t="s">
        <v>100</v>
      </c>
      <c r="E57" s="56"/>
      <c r="F57" s="54" t="s">
        <v>100</v>
      </c>
      <c r="G57" s="226" t="s">
        <v>100</v>
      </c>
      <c r="H57" s="227" t="s">
        <v>100</v>
      </c>
      <c r="I57" s="226" t="s">
        <v>100</v>
      </c>
      <c r="J57" s="58" t="s">
        <v>100</v>
      </c>
      <c r="K57" s="228" t="s">
        <v>100</v>
      </c>
      <c r="L57" s="229" t="s">
        <v>100</v>
      </c>
    </row>
    <row r="58" spans="1:12">
      <c r="A58" s="54"/>
      <c r="B58" s="54"/>
      <c r="C58" s="54"/>
      <c r="D58" s="230" t="s">
        <v>101</v>
      </c>
      <c r="E58" s="56"/>
      <c r="F58" s="54" t="s">
        <v>101</v>
      </c>
      <c r="G58" s="230" t="s">
        <v>101</v>
      </c>
      <c r="H58" s="231" t="s">
        <v>101</v>
      </c>
      <c r="I58" s="230" t="s">
        <v>101</v>
      </c>
      <c r="J58" s="58" t="s">
        <v>101</v>
      </c>
      <c r="K58" s="232" t="s">
        <v>101</v>
      </c>
      <c r="L58" s="233" t="s">
        <v>101</v>
      </c>
    </row>
    <row r="59" spans="1:12">
      <c r="A59" s="54"/>
      <c r="B59" s="54"/>
      <c r="C59" s="54"/>
      <c r="D59" s="234" t="s">
        <v>102</v>
      </c>
      <c r="E59" s="56"/>
      <c r="F59" s="54" t="s">
        <v>102</v>
      </c>
      <c r="G59" s="234" t="s">
        <v>102</v>
      </c>
      <c r="H59" s="235" t="s">
        <v>102</v>
      </c>
      <c r="I59" s="234" t="s">
        <v>102</v>
      </c>
      <c r="J59" s="58" t="s">
        <v>102</v>
      </c>
      <c r="K59" s="236" t="s">
        <v>102</v>
      </c>
      <c r="L59" s="237" t="s">
        <v>102</v>
      </c>
    </row>
    <row r="60" spans="1:12">
      <c r="A60" s="54"/>
      <c r="B60" s="54"/>
      <c r="C60" s="54"/>
      <c r="D60" s="238" t="s">
        <v>103</v>
      </c>
      <c r="E60" s="56"/>
      <c r="F60" s="54" t="s">
        <v>103</v>
      </c>
      <c r="G60" s="238" t="s">
        <v>103</v>
      </c>
      <c r="H60" s="239" t="s">
        <v>103</v>
      </c>
      <c r="I60" s="238" t="s">
        <v>103</v>
      </c>
      <c r="J60" s="58" t="s">
        <v>103</v>
      </c>
      <c r="K60" s="240" t="s">
        <v>103</v>
      </c>
      <c r="L60" s="241" t="s">
        <v>103</v>
      </c>
    </row>
    <row r="61" spans="1:12">
      <c r="A61" s="54"/>
      <c r="B61" s="54"/>
      <c r="C61" s="54"/>
      <c r="D61" s="242" t="s">
        <v>104</v>
      </c>
      <c r="E61" s="56"/>
      <c r="F61" s="54" t="s">
        <v>104</v>
      </c>
      <c r="G61" s="242" t="s">
        <v>104</v>
      </c>
      <c r="H61" s="243" t="s">
        <v>104</v>
      </c>
      <c r="I61" s="242" t="s">
        <v>104</v>
      </c>
      <c r="J61" s="58" t="s">
        <v>104</v>
      </c>
      <c r="K61" s="244" t="s">
        <v>104</v>
      </c>
      <c r="L61" s="245" t="s">
        <v>104</v>
      </c>
    </row>
    <row r="62" spans="1:12">
      <c r="A62" s="54"/>
      <c r="B62" s="54"/>
      <c r="C62" s="54"/>
      <c r="D62" s="246" t="s">
        <v>105</v>
      </c>
      <c r="E62" s="56"/>
      <c r="F62" s="54" t="s">
        <v>105</v>
      </c>
      <c r="G62" s="246" t="s">
        <v>105</v>
      </c>
      <c r="H62" s="247" t="s">
        <v>105</v>
      </c>
      <c r="I62" s="246" t="s">
        <v>105</v>
      </c>
      <c r="J62" s="58" t="s">
        <v>105</v>
      </c>
      <c r="K62" s="248" t="s">
        <v>105</v>
      </c>
      <c r="L62" s="249" t="s">
        <v>105</v>
      </c>
    </row>
    <row r="63" spans="1:12">
      <c r="A63" s="54"/>
      <c r="B63" s="54"/>
      <c r="C63" s="54"/>
      <c r="D63" s="250" t="s">
        <v>106</v>
      </c>
      <c r="E63" s="56"/>
      <c r="F63" s="54" t="s">
        <v>106</v>
      </c>
      <c r="G63" s="250" t="s">
        <v>106</v>
      </c>
      <c r="H63" s="251" t="s">
        <v>106</v>
      </c>
      <c r="I63" s="250" t="s">
        <v>106</v>
      </c>
      <c r="J63" s="58" t="s">
        <v>106</v>
      </c>
      <c r="K63" s="252" t="s">
        <v>106</v>
      </c>
      <c r="L63" s="253" t="s">
        <v>106</v>
      </c>
    </row>
    <row r="64" spans="1:12">
      <c r="A64" s="54"/>
      <c r="B64" s="54"/>
      <c r="C64" s="54"/>
      <c r="D64" s="254" t="s">
        <v>107</v>
      </c>
      <c r="E64" s="56"/>
      <c r="F64" s="54" t="s">
        <v>107</v>
      </c>
      <c r="G64" s="254" t="s">
        <v>107</v>
      </c>
      <c r="H64" s="255" t="s">
        <v>107</v>
      </c>
      <c r="I64" s="254" t="s">
        <v>107</v>
      </c>
      <c r="J64" s="58" t="s">
        <v>107</v>
      </c>
      <c r="K64" s="256" t="s">
        <v>107</v>
      </c>
      <c r="L64" s="257" t="s">
        <v>107</v>
      </c>
    </row>
    <row r="65" spans="1:12">
      <c r="A65" s="54"/>
      <c r="B65" s="54"/>
      <c r="C65" s="54"/>
      <c r="D65" s="258" t="s">
        <v>108</v>
      </c>
      <c r="E65" s="56"/>
      <c r="F65" s="54" t="s">
        <v>108</v>
      </c>
      <c r="G65" s="258" t="s">
        <v>108</v>
      </c>
      <c r="H65" s="259" t="s">
        <v>108</v>
      </c>
      <c r="I65" s="258" t="s">
        <v>108</v>
      </c>
      <c r="J65" s="58" t="s">
        <v>108</v>
      </c>
      <c r="K65" s="260" t="s">
        <v>108</v>
      </c>
      <c r="L65" s="54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D24"/>
  <sheetViews>
    <sheetView workbookViewId="0">
      <selection activeCell="I15" sqref="I15"/>
    </sheetView>
  </sheetViews>
  <sheetFormatPr defaultRowHeight="15"/>
  <sheetData>
    <row r="3" spans="2:4">
      <c r="B3" t="s">
        <v>109</v>
      </c>
    </row>
    <row r="4" spans="2:4">
      <c r="B4">
        <v>1</v>
      </c>
    </row>
    <row r="5" spans="2:4">
      <c r="B5">
        <v>2</v>
      </c>
    </row>
    <row r="6" spans="2:4">
      <c r="B6">
        <v>3</v>
      </c>
    </row>
    <row r="7" spans="2:4">
      <c r="B7">
        <v>4</v>
      </c>
    </row>
    <row r="8" spans="2:4">
      <c r="B8">
        <v>5</v>
      </c>
    </row>
    <row r="9" spans="2:4">
      <c r="B9">
        <v>6</v>
      </c>
      <c r="D9" t="s">
        <v>110</v>
      </c>
    </row>
    <row r="10" spans="2:4">
      <c r="B10">
        <v>7</v>
      </c>
      <c r="D10">
        <v>4</v>
      </c>
    </row>
    <row r="11" spans="2:4">
      <c r="B11">
        <v>8</v>
      </c>
    </row>
    <row r="12" spans="2:4">
      <c r="B12">
        <v>9</v>
      </c>
    </row>
    <row r="13" spans="2:4">
      <c r="B13">
        <v>10</v>
      </c>
    </row>
    <row r="14" spans="2:4">
      <c r="B14">
        <v>11</v>
      </c>
    </row>
    <row r="15" spans="2:4">
      <c r="B15">
        <v>12</v>
      </c>
    </row>
    <row r="16" spans="2:4">
      <c r="B16">
        <v>13</v>
      </c>
    </row>
    <row r="17" spans="2:2">
      <c r="B17">
        <v>14</v>
      </c>
    </row>
    <row r="18" spans="2:2">
      <c r="B18">
        <v>15</v>
      </c>
    </row>
    <row r="19" spans="2:2">
      <c r="B19">
        <v>16</v>
      </c>
    </row>
    <row r="20" spans="2:2">
      <c r="B20">
        <v>17</v>
      </c>
    </row>
    <row r="21" spans="2:2">
      <c r="B21">
        <v>18</v>
      </c>
    </row>
    <row r="22" spans="2:2">
      <c r="B22">
        <v>19</v>
      </c>
    </row>
    <row r="23" spans="2:2">
      <c r="B23">
        <v>20</v>
      </c>
    </row>
    <row r="24" spans="2:2">
      <c r="B24">
        <v>21</v>
      </c>
    </row>
  </sheetData>
  <dataValidations count="3">
    <dataValidation type="whole" operator="notBetween" allowBlank="1" showInputMessage="1" showErrorMessage="1" errorTitle="error title" error="Error message" promptTitle="validation title" prompt="Validation message" sqref="B10">
      <formula1>1</formula1>
      <formula2>24</formula2>
    </dataValidation>
    <dataValidation type="whole" allowBlank="1" showInputMessage="1" showErrorMessage="1" errorTitle="error title" error="Error message" promptTitle="validation title" prompt="Validation message" sqref="B4:B9 B11:B24">
      <formula1>1</formula1>
      <formula2>24</formula2>
    </dataValidation>
    <dataValidation type="whole" allowBlank="1" showInputMessage="1" showErrorMessage="1" errorTitle="This is not a valid entry" error="Please enter a value between 2 and 4" promptTitle="input title" prompt="input message" sqref="D10">
      <formula1>2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E15" sqref="E15"/>
    </sheetView>
  </sheetViews>
  <sheetFormatPr defaultRowHeight="15"/>
  <cols>
    <col min="4" max="4" width="9.85546875" bestFit="1" customWidth="1"/>
    <col min="5" max="5" width="10.5703125" bestFit="1" customWidth="1"/>
  </cols>
  <sheetData>
    <row r="1" spans="1:9">
      <c r="A1">
        <f>DATE(2008,3,1)</f>
        <v>39508</v>
      </c>
      <c r="B1">
        <f>ACCRINT(A1,A2,A3,0.1,1000,2,0)</f>
        <v>16.666666666666664</v>
      </c>
      <c r="C1">
        <f>ACCRINTM($A$4,$A$5,0.1,1000,3)</f>
        <v>20.547945205479451</v>
      </c>
      <c r="D1">
        <f>AMORDEGRC(2400,$A$6,$A$7,300,1,0.15,1)</f>
        <v>776</v>
      </c>
      <c r="E1">
        <f>AMORLINC(2400,$A$8,$A$9,300,1,0.15,1)</f>
        <v>360</v>
      </c>
      <c r="F1">
        <f>COUPDAYBS($A$10,$A$11,2,1)</f>
        <v>71</v>
      </c>
      <c r="G1">
        <f>COUPDAYS($A$10,$A$11,2,1)</f>
        <v>181</v>
      </c>
      <c r="H1">
        <f>COUPDAYSNC($A$10,$A$11,2,1)</f>
        <v>110</v>
      </c>
      <c r="I1">
        <f>COUPNCD($A$10,$A$11,2,1)</f>
        <v>39217</v>
      </c>
    </row>
    <row r="2" spans="1:9">
      <c r="A2">
        <f>DATE(2008,8,31)</f>
        <v>39691</v>
      </c>
      <c r="B2">
        <f>COUPNUM($A$10,$A$11,2,1)</f>
        <v>4</v>
      </c>
      <c r="C2">
        <f>COUPPCD($A$10,$A$11,2,1)</f>
        <v>39036</v>
      </c>
      <c r="D2">
        <f>CUMIPMT(0.09/12,30*12,59464,13,24,0)</f>
        <v>-5297.163547383745</v>
      </c>
      <c r="E2">
        <f>CUMPRINC(0.09/12,30*12,59464,13,24,0)</f>
        <v>-444.36596789679004</v>
      </c>
      <c r="F2">
        <f>DISC($A$12,$A$13,97.975,100,1)</f>
        <v>5.2420212765957708E-2</v>
      </c>
      <c r="G2">
        <f>DOLLARDE(1.02,16)</f>
        <v>1.125</v>
      </c>
      <c r="H2">
        <f>DOLLARFR(1.125,16)</f>
        <v>1.02</v>
      </c>
      <c r="I2">
        <f>DURATION($A$14,$A$15,0.08,0.09,2,1)</f>
        <v>5.9937749555451862</v>
      </c>
    </row>
    <row r="3" spans="1:9">
      <c r="A3">
        <f>DATE(2008,5,1)</f>
        <v>39569</v>
      </c>
      <c r="B3">
        <f>EFFECT(0.0525,4)</f>
        <v>5.3542667370758412E-2</v>
      </c>
      <c r="C3">
        <f>FVSCHEDULE(1,$A$16:$A$18)</f>
        <v>1.3308900000000004</v>
      </c>
      <c r="D3">
        <f>INTRATE($A$19,$A$20,16960,31380,2)</f>
        <v>3.4009433962264151</v>
      </c>
      <c r="E3">
        <f>MDURATION($A$21,$A$22,0.08,0.09,2,1)</f>
        <v>5.7356698139188387</v>
      </c>
      <c r="F3">
        <f>MIRR($A$23:$A$28,0.1,0.12)</f>
        <v>0.12609413036590511</v>
      </c>
      <c r="G3">
        <f>NOMINAL(0.053543,4)</f>
        <v>5.2500319868356016E-2</v>
      </c>
      <c r="H3">
        <f>PRICE($A$29,$A$30,0.0575,0.065,100,2,0)</f>
        <v>94.634361621322128</v>
      </c>
      <c r="I3">
        <f>PRICEDISC($A$31,$A$32,0.0525,100,2)</f>
        <v>99.795833333333334</v>
      </c>
    </row>
    <row r="4" spans="1:9">
      <c r="A4">
        <f>DATE(2008,4,1)</f>
        <v>39539</v>
      </c>
      <c r="B4">
        <f>PRICEMAT($A$33,$A$34,$A$35,0.061,0.061,0)</f>
        <v>99.984498875556937</v>
      </c>
      <c r="C4">
        <f>RECEIVED($A$36,$A$37,16960,0.0575,2)</f>
        <v>17207.355738744453</v>
      </c>
      <c r="D4">
        <f>TBILLEQ($A$38,$A$39,0.0914)</f>
        <v>9.4151493565943017E-2</v>
      </c>
      <c r="E4">
        <f>TBILLPRICE($A$38,$A$39,0.09)</f>
        <v>98.45</v>
      </c>
      <c r="F4">
        <f>TBILLYIELD($A$38,$A$39,98.45)</f>
        <v>9.141696292534264E-2</v>
      </c>
      <c r="G4">
        <f>XIRR($A$40:$A$44,$A$45:$A$49,0.1)</f>
        <v>0.3733625352382659</v>
      </c>
      <c r="H4">
        <f>XNPV(0.09,$A$40:$A$44,$A$45:$A$49)</f>
        <v>2086.6476020315349</v>
      </c>
      <c r="I4">
        <f>YIELD($A$50,$A$51,0.0575,95.04287,100,2,0)</f>
        <v>6.5000006880731431E-2</v>
      </c>
    </row>
    <row r="5" spans="1:9">
      <c r="A5">
        <f>DATE(2008,6,15)</f>
        <v>39614</v>
      </c>
      <c r="B5">
        <f>YIELDDISC($A$52,$A$53,99.795,100,2)</f>
        <v>5.2822571986858337E-2</v>
      </c>
      <c r="C5">
        <f>YIELDMAT($A$54,$A$55,$A$56,0.0625,100.0123,0)</f>
        <v>6.0954333691538673E-2</v>
      </c>
      <c r="D5">
        <f>DB(16960,34464,6,1,7)</f>
        <v>-1236.6666666666667</v>
      </c>
      <c r="E5">
        <f>DB(16960,34464,6,2,7)</f>
        <v>-2274.5833333333335</v>
      </c>
      <c r="F5">
        <f>DB(16960,34464,6,3,7)</f>
        <v>-2558.90625</v>
      </c>
      <c r="G5">
        <f>DB(16960,34464,6,4,7)</f>
        <v>-2878.76953125</v>
      </c>
      <c r="H5">
        <f>DB(16960,34464,6,5,7)</f>
        <v>-3238.61572265625</v>
      </c>
      <c r="I5">
        <f>DB(16960,34464,6,6,7)</f>
        <v>-3643.4426879882812</v>
      </c>
    </row>
    <row r="6" spans="1:9">
      <c r="A6">
        <f>DATE(2008,8,19)</f>
        <v>39679</v>
      </c>
      <c r="B6">
        <f>DB(16960,34464,6,7,7)</f>
        <v>-1707.8637599945068</v>
      </c>
      <c r="C6" s="263">
        <f>DDB(2400,300,3650,1)</f>
        <v>1.3150684931506849</v>
      </c>
      <c r="D6" s="263">
        <f>FV(0.06/12,10,-200,-500,1)</f>
        <v>2581.4033740601185</v>
      </c>
      <c r="E6" s="263">
        <f>IPMT(0.1/12,1*3,3,8000)</f>
        <v>-22.406893015923917</v>
      </c>
      <c r="F6" s="262">
        <f>IRR($A$57:$A$61)</f>
        <v>-2.1244848273020495E-2</v>
      </c>
      <c r="G6">
        <f>ISPMT(0.1/12,1,3*12,4608)</f>
        <v>-37.333333333333336</v>
      </c>
      <c r="H6">
        <f>NPER(0.12/12,-100,-1000,10000,1)</f>
        <v>59.673865674294568</v>
      </c>
      <c r="I6">
        <f>NPV(0.08,$A$62:$A$66)</f>
        <v>41922.06155493237</v>
      </c>
    </row>
    <row r="7" spans="1:9">
      <c r="A7">
        <f>DATE(2008,12,31)</f>
        <v>39813</v>
      </c>
      <c r="B7">
        <f>PMT(0.08/12,10,10000,0,1)</f>
        <v>-1030.164327177974</v>
      </c>
      <c r="C7" s="263">
        <f>PPMT(0.1/12,1,24,2000)</f>
        <v>-75.623186008366716</v>
      </c>
      <c r="D7" s="263">
        <f>PPMT(0.08,10,10,3392)</f>
        <v>-468.06298672266632</v>
      </c>
      <c r="E7" s="263">
        <f>PV(0.8/12,12*20,500,0,0)</f>
        <v>-7499.9985934097613</v>
      </c>
      <c r="F7" s="262">
        <f>RATE(4*12,-200,8000)</f>
        <v>7.7014724882013682E-3</v>
      </c>
      <c r="G7" t="e">
        <f>#N/A</f>
        <v>#N/A</v>
      </c>
      <c r="H7">
        <f>SLN(30000,7500,10)</f>
        <v>2250</v>
      </c>
      <c r="I7">
        <f>SYD(30000,7500,10,1)</f>
        <v>4090.909090909091</v>
      </c>
    </row>
    <row r="8" spans="1:9">
      <c r="A8">
        <f>DATE(2008,8,19)</f>
        <v>39679</v>
      </c>
      <c r="B8" s="263">
        <f>VDB(2400,300,3650,0,1)</f>
        <v>1.3150684931506849</v>
      </c>
    </row>
    <row r="9" spans="1:9">
      <c r="A9">
        <f>DATE(2008,12,31)</f>
        <v>39813</v>
      </c>
    </row>
    <row r="10" spans="1:9">
      <c r="A10">
        <f>DATE(2007,1,25)</f>
        <v>39107</v>
      </c>
    </row>
    <row r="11" spans="1:9">
      <c r="A11">
        <f>DATE(2008,11,15)</f>
        <v>39767</v>
      </c>
    </row>
    <row r="12" spans="1:9">
      <c r="A12">
        <f>DATE(2007,1,25)</f>
        <v>39107</v>
      </c>
    </row>
    <row r="13" spans="1:9">
      <c r="A13">
        <f>DATE(2007,6,15)</f>
        <v>39248</v>
      </c>
    </row>
    <row r="14" spans="1:9">
      <c r="A14">
        <f>DATE(2008,1,1)</f>
        <v>39448</v>
      </c>
    </row>
    <row r="15" spans="1:9">
      <c r="A15">
        <f>DATE(2016,1,1)</f>
        <v>42370</v>
      </c>
    </row>
    <row r="16" spans="1:9">
      <c r="A16">
        <v>0.09</v>
      </c>
    </row>
    <row r="17" spans="1:1">
      <c r="A17">
        <v>0.11</v>
      </c>
    </row>
    <row r="18" spans="1:1">
      <c r="A18">
        <v>0.1</v>
      </c>
    </row>
    <row r="19" spans="1:1">
      <c r="A19">
        <f>DATE(2008,2,15)</f>
        <v>39493</v>
      </c>
    </row>
    <row r="20" spans="1:1">
      <c r="A20">
        <f>DATE(2008,5,15)</f>
        <v>39583</v>
      </c>
    </row>
    <row r="21" spans="1:1">
      <c r="A21">
        <f>DATE(2008,1,1)</f>
        <v>39448</v>
      </c>
    </row>
    <row r="22" spans="1:1">
      <c r="A22">
        <f>DATE(2016,1,1)</f>
        <v>42370</v>
      </c>
    </row>
    <row r="23" spans="1:1">
      <c r="A23">
        <v>-120000</v>
      </c>
    </row>
    <row r="24" spans="1:1">
      <c r="A24">
        <v>39000</v>
      </c>
    </row>
    <row r="25" spans="1:1">
      <c r="A25">
        <v>30000</v>
      </c>
    </row>
    <row r="26" spans="1:1">
      <c r="A26">
        <v>21000</v>
      </c>
    </row>
    <row r="27" spans="1:1">
      <c r="A27">
        <v>37000</v>
      </c>
    </row>
    <row r="28" spans="1:1">
      <c r="A28">
        <v>46000</v>
      </c>
    </row>
    <row r="29" spans="1:1">
      <c r="A29">
        <f>DATE(2008,2,15)</f>
        <v>39493</v>
      </c>
    </row>
    <row r="30" spans="1:1">
      <c r="A30">
        <f>DATE(2017,11,15)</f>
        <v>43054</v>
      </c>
    </row>
    <row r="31" spans="1:1">
      <c r="A31">
        <f>DATE(2008,2,16)</f>
        <v>39494</v>
      </c>
    </row>
    <row r="32" spans="1:1">
      <c r="A32">
        <f>DATE(2008,3,1)</f>
        <v>39508</v>
      </c>
    </row>
    <row r="33" spans="1:1">
      <c r="A33">
        <f>DATE(2008,2,15)</f>
        <v>39493</v>
      </c>
    </row>
    <row r="34" spans="1:1">
      <c r="A34">
        <f>DATE(2008,4,13)</f>
        <v>39551</v>
      </c>
    </row>
    <row r="35" spans="1:1">
      <c r="A35">
        <f>DATE(2007,11,11)</f>
        <v>39397</v>
      </c>
    </row>
    <row r="36" spans="1:1">
      <c r="A36">
        <f>DATE(2008,2,15)</f>
        <v>39493</v>
      </c>
    </row>
    <row r="37" spans="1:1">
      <c r="A37">
        <f>DATE(2008,5,15)</f>
        <v>39583</v>
      </c>
    </row>
    <row r="38" spans="1:1">
      <c r="A38">
        <f>DATE(2008,3,31)</f>
        <v>39538</v>
      </c>
    </row>
    <row r="39" spans="1:1">
      <c r="A39">
        <f>DATE(2008,6,1)</f>
        <v>39600</v>
      </c>
    </row>
    <row r="40" spans="1:1">
      <c r="A40">
        <v>-10000</v>
      </c>
    </row>
    <row r="41" spans="1:1">
      <c r="A41">
        <v>2750</v>
      </c>
    </row>
    <row r="42" spans="1:1">
      <c r="A42">
        <v>4250</v>
      </c>
    </row>
    <row r="43" spans="1:1">
      <c r="A43">
        <v>3250</v>
      </c>
    </row>
    <row r="44" spans="1:1">
      <c r="A44">
        <v>2750</v>
      </c>
    </row>
    <row r="45" spans="1:1">
      <c r="A45">
        <f>DATE(2008,1,1)</f>
        <v>39448</v>
      </c>
    </row>
    <row r="46" spans="1:1">
      <c r="A46">
        <f>DATE(2008,3,1)</f>
        <v>39508</v>
      </c>
    </row>
    <row r="47" spans="1:1">
      <c r="A47">
        <f>DATE(2008,10,30)</f>
        <v>39751</v>
      </c>
    </row>
    <row r="48" spans="1:1">
      <c r="A48">
        <f>DATE(2009,2,15)</f>
        <v>39859</v>
      </c>
    </row>
    <row r="49" spans="1:1">
      <c r="A49">
        <f>DATE(2009,4,1)</f>
        <v>39904</v>
      </c>
    </row>
    <row r="50" spans="1:1">
      <c r="A50">
        <f>DATE(2008,2,15)</f>
        <v>39493</v>
      </c>
    </row>
    <row r="51" spans="1:1">
      <c r="A51">
        <f>DATE(2016,11,15)</f>
        <v>42689</v>
      </c>
    </row>
    <row r="52" spans="1:1">
      <c r="A52">
        <f>DATE(2008,2,16)</f>
        <v>39494</v>
      </c>
    </row>
    <row r="53" spans="1:1">
      <c r="A53">
        <f>DATE(2008,3,1)</f>
        <v>39508</v>
      </c>
    </row>
    <row r="54" spans="1:1">
      <c r="A54">
        <f>DATE(2008,3,15)</f>
        <v>39522</v>
      </c>
    </row>
    <row r="55" spans="1:1">
      <c r="A55">
        <f>DATE(2008,11,3)</f>
        <v>39755</v>
      </c>
    </row>
    <row r="56" spans="1:1">
      <c r="A56">
        <f>DATE(2007,11,8)</f>
        <v>39394</v>
      </c>
    </row>
    <row r="57" spans="1:1">
      <c r="A57">
        <v>-70000</v>
      </c>
    </row>
    <row r="58" spans="1:1">
      <c r="A58">
        <v>12000</v>
      </c>
    </row>
    <row r="59" spans="1:1">
      <c r="A59">
        <v>15000</v>
      </c>
    </row>
    <row r="60" spans="1:1">
      <c r="A60">
        <v>18000</v>
      </c>
    </row>
    <row r="61" spans="1:1">
      <c r="A61">
        <v>21000</v>
      </c>
    </row>
    <row r="62" spans="1:1">
      <c r="A62">
        <v>8000</v>
      </c>
    </row>
    <row r="63" spans="1:1">
      <c r="A63">
        <v>9200</v>
      </c>
    </row>
    <row r="64" spans="1:1">
      <c r="A64">
        <v>10000</v>
      </c>
    </row>
    <row r="65" spans="1:1">
      <c r="A65">
        <v>12000</v>
      </c>
    </row>
    <row r="66" spans="1:1">
      <c r="A66">
        <v>14500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test_2D_name</vt:lpstr>
      <vt:lpstr>test_name1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John McMahon</cp:lastModifiedBy>
  <dcterms:created xsi:type="dcterms:W3CDTF">2008-05-03T00:28:30Z</dcterms:created>
  <dcterms:modified xsi:type="dcterms:W3CDTF">2010-01-19T06:02:22Z</dcterms:modified>
</cp:coreProperties>
</file>