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AAA-Sistemas\cotizador-merch\"/>
    </mc:Choice>
  </mc:AlternateContent>
  <xr:revisionPtr revIDLastSave="0" documentId="13_ncr:1_{26594234-17E3-4EE6-A719-E24D52429D53}" xr6:coauthVersionLast="47" xr6:coauthVersionMax="47" xr10:uidLastSave="{00000000-0000-0000-0000-000000000000}"/>
  <bookViews>
    <workbookView xWindow="-108" yWindow="-108" windowWidth="23256" windowHeight="12576" activeTab="8" xr2:uid="{00000000-000D-0000-FFFF-FFFF00000000}"/>
  </bookViews>
  <sheets>
    <sheet name="Varios" sheetId="1" r:id="rId1"/>
    <sheet name="Variables" sheetId="3" r:id="rId2"/>
    <sheet name="Kits" sheetId="5" r:id="rId3"/>
    <sheet name="Maxi" sheetId="6" r:id="rId4"/>
    <sheet name="Version 2025" sheetId="7" r:id="rId5"/>
    <sheet name="BPN" sheetId="8" r:id="rId6"/>
    <sheet name="Imeda" sheetId="9" r:id="rId7"/>
    <sheet name="Kit" sheetId="10" r:id="rId8"/>
    <sheet name="Tablas" sheetId="11" r:id="rId9"/>
  </sheets>
  <definedNames>
    <definedName name="_xlnm._FilterDatabase" localSheetId="3" hidden="1">Maxi!$B$2:$L$197</definedName>
    <definedName name="_xlnm._FilterDatabase" localSheetId="0" hidden="1">Varios!$B$1:$L$196</definedName>
    <definedName name="_FilterDatabase_0" localSheetId="3">Maxi!$B$2:$L$2</definedName>
    <definedName name="_FilterDatabase_0" localSheetId="0">Varios!$B$1:$L$1</definedName>
    <definedName name="_FilterDatabase_0_0" localSheetId="3">Maxi!$B$2:$L$2</definedName>
    <definedName name="_FilterDatabase_0_0" localSheetId="0">Varios!$B$1:$L$1</definedName>
    <definedName name="_FilterDatabase_0_0_0" localSheetId="3">Maxi!$B$2:$L$2</definedName>
    <definedName name="_FilterDatabase_0_0_0" localSheetId="0">Varios!$B$1:$L$1</definedName>
    <definedName name="_FilterDatabase_0_0_0_0" localSheetId="3">Maxi!$B$2:$L$2</definedName>
    <definedName name="_FilterDatabase_0_0_0_0" localSheetId="0">Varios!$B$1:$L$1</definedName>
    <definedName name="_FilterDatabase_0_0_0_0_0" localSheetId="3">Maxi!$B$2:$L$2</definedName>
    <definedName name="_FilterDatabase_0_0_0_0_0" localSheetId="0">Varios!$B$1:$L$1</definedName>
    <definedName name="_FilterDatabase_0_0_0_0_0_0" localSheetId="3">Maxi!$B$2:$L$2</definedName>
    <definedName name="_FilterDatabase_0_0_0_0_0_0" localSheetId="0">Varios!$B$1:$L$1</definedName>
    <definedName name="_FilterDatabase_0_0_0_0_0_0_0" localSheetId="3">Maxi!$B$2:$L$2</definedName>
    <definedName name="_FilterDatabase_0_0_0_0_0_0_0" localSheetId="0">Varios!$B$1:$L$1</definedName>
    <definedName name="_FilterDatabase_0_0_0_0_0_0_0_0" localSheetId="3">Maxi!$B$2:$L$2</definedName>
    <definedName name="_FilterDatabase_0_0_0_0_0_0_0_0" localSheetId="0">Varios!$B$1:$L$1</definedName>
    <definedName name="_FilterDatabase_0_0_0_0_0_0_0_0_0" localSheetId="3">Maxi!$B$2:$L$2</definedName>
    <definedName name="_FilterDatabase_0_0_0_0_0_0_0_0_0" localSheetId="0">Varios!$B$1:$L$1</definedName>
    <definedName name="_FilterDatabase_0_0_0_0_0_0_0_0_0_0" localSheetId="3">Maxi!$B$2:$L$2</definedName>
    <definedName name="_FilterDatabase_0_0_0_0_0_0_0_0_0_0" localSheetId="0">Varios!$B$1:$L$1</definedName>
    <definedName name="_FilterDatabase_0_0_0_0_0_0_0_0_0_0_0" localSheetId="3">Maxi!$B$2:$L$2</definedName>
    <definedName name="_FilterDatabase_0_0_0_0_0_0_0_0_0_0_0" localSheetId="0">Varios!$B$1:$L$1</definedName>
    <definedName name="_FilterDatabase_0_0_0_0_0_0_0_0_0_0_0_0" localSheetId="3">Maxi!$B$2:$L$2</definedName>
    <definedName name="_FilterDatabase_0_0_0_0_0_0_0_0_0_0_0_0" localSheetId="0">Varios!$B$1:$L$1</definedName>
    <definedName name="_FilterDatabase_0_0_0_0_0_0_0_0_0_0_0_0_0" localSheetId="3">Maxi!$B$2:$L$2</definedName>
    <definedName name="_FilterDatabase_0_0_0_0_0_0_0_0_0_0_0_0_0" localSheetId="0">Varios!$B$1:$L$1</definedName>
    <definedName name="_FilterDatabase_0_0_0_0_0_0_0_0_0_0_0_0_0_0" localSheetId="3">Maxi!$B$2:$L$2</definedName>
    <definedName name="_FilterDatabase_0_0_0_0_0_0_0_0_0_0_0_0_0_0" localSheetId="0">Varios!$B$1:$L$1</definedName>
    <definedName name="OLE_LINK1" localSheetId="3">#REF!</definedName>
    <definedName name="OLE_LINK1" localSheetId="0">#REF!</definedName>
    <definedName name="utilidad">Variables!$A$2:$C$8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5" i="10" l="1"/>
  <c r="E63" i="10"/>
  <c r="E62" i="10"/>
  <c r="F61" i="10"/>
  <c r="E57" i="10"/>
  <c r="E56" i="10"/>
  <c r="E49" i="10"/>
  <c r="D48" i="10"/>
  <c r="E48" i="10" s="1"/>
  <c r="D19" i="10"/>
  <c r="E19" i="10" s="1"/>
  <c r="E76" i="10"/>
  <c r="E75" i="10"/>
  <c r="F32" i="10" s="1"/>
  <c r="G36" i="10"/>
  <c r="E34" i="10"/>
  <c r="E33" i="10"/>
  <c r="E28" i="10"/>
  <c r="E27" i="10"/>
  <c r="E20" i="10"/>
  <c r="G37" i="9"/>
  <c r="E53" i="9"/>
  <c r="E52" i="9"/>
  <c r="F32" i="9" s="1"/>
  <c r="E35" i="9"/>
  <c r="E34" i="9"/>
  <c r="E33" i="9"/>
  <c r="E28" i="9"/>
  <c r="E27" i="9"/>
  <c r="E20" i="9"/>
  <c r="E19" i="9"/>
  <c r="F31" i="8"/>
  <c r="F32" i="8"/>
  <c r="F30" i="8"/>
  <c r="F42" i="8"/>
  <c r="F43" i="8"/>
  <c r="F25" i="8"/>
  <c r="F24" i="8"/>
  <c r="F19" i="8"/>
  <c r="F18" i="8"/>
  <c r="E59" i="10" l="1"/>
  <c r="E61" i="10"/>
  <c r="D59" i="10"/>
  <c r="E30" i="10"/>
  <c r="E32" i="10" s="1"/>
  <c r="E30" i="9"/>
  <c r="F27" i="8"/>
  <c r="D61" i="10" l="1"/>
  <c r="E64" i="10"/>
  <c r="D30" i="10"/>
  <c r="E77" i="10"/>
  <c r="E78" i="10"/>
  <c r="D78" i="10" s="1"/>
  <c r="D32" i="10"/>
  <c r="E35" i="10"/>
  <c r="E32" i="9"/>
  <c r="D32" i="9" s="1"/>
  <c r="E54" i="9"/>
  <c r="D30" i="9"/>
  <c r="E55" i="9"/>
  <c r="D55" i="9" s="1"/>
  <c r="F45" i="8"/>
  <c r="E45" i="8" s="1"/>
  <c r="F29" i="8"/>
  <c r="F33" i="8" s="1"/>
  <c r="E33" i="8" s="1"/>
  <c r="F44" i="8"/>
  <c r="E27" i="8"/>
  <c r="D64" i="10" l="1"/>
  <c r="E66" i="10"/>
  <c r="D66" i="10" s="1"/>
  <c r="D35" i="10"/>
  <c r="E81" i="10"/>
  <c r="E83" i="10" s="1"/>
  <c r="E36" i="9"/>
  <c r="F48" i="8"/>
  <c r="F50" i="8"/>
  <c r="E90" i="10" l="1"/>
  <c r="D83" i="10"/>
  <c r="E87" i="10"/>
  <c r="D87" i="10" s="1"/>
  <c r="E82" i="10"/>
  <c r="E79" i="10" s="1"/>
  <c r="E85" i="10" s="1"/>
  <c r="D36" i="9"/>
  <c r="E58" i="9"/>
  <c r="E60" i="9" s="1"/>
  <c r="E67" i="9" s="1"/>
  <c r="F54" i="8"/>
  <c r="E54" i="8" s="1"/>
  <c r="F49" i="8"/>
  <c r="F57" i="8"/>
  <c r="E50" i="8"/>
  <c r="E88" i="10" l="1"/>
  <c r="D88" i="10" s="1"/>
  <c r="E91" i="10"/>
  <c r="D60" i="9"/>
  <c r="E59" i="9"/>
  <c r="E56" i="9" s="1"/>
  <c r="E62" i="9" s="1"/>
  <c r="E68" i="9" s="1"/>
  <c r="E64" i="9"/>
  <c r="D64" i="9" s="1"/>
  <c r="F46" i="8"/>
  <c r="F52" i="8" s="1"/>
  <c r="F55" i="8" s="1"/>
  <c r="E55" i="8" s="1"/>
  <c r="E37" i="10" l="1"/>
  <c r="D37" i="10" s="1"/>
  <c r="E65" i="9"/>
  <c r="D65" i="9" s="1"/>
  <c r="F35" i="8"/>
  <c r="E35" i="8" s="1"/>
  <c r="F58" i="8"/>
  <c r="E38" i="9" l="1"/>
  <c r="D38" i="9" s="1"/>
  <c r="E14" i="7" l="1"/>
  <c r="F47" i="7"/>
  <c r="F25" i="7" l="1"/>
  <c r="F24" i="7"/>
  <c r="F20" i="7"/>
  <c r="F19" i="7"/>
  <c r="H3" i="7"/>
  <c r="J3" i="7" s="1"/>
  <c r="J187" i="6"/>
  <c r="S187" i="6" s="1"/>
  <c r="N186" i="6"/>
  <c r="R186" i="6"/>
  <c r="S186" i="6"/>
  <c r="J186" i="6"/>
  <c r="J188" i="6"/>
  <c r="J189" i="6"/>
  <c r="J190" i="6"/>
  <c r="J191" i="6"/>
  <c r="J192" i="6"/>
  <c r="J193" i="6"/>
  <c r="J194" i="6"/>
  <c r="J195" i="6"/>
  <c r="F27" i="7" l="1"/>
  <c r="E27" i="7" s="1"/>
  <c r="E29" i="7" s="1"/>
  <c r="E30" i="7" s="1"/>
  <c r="F30" i="7" s="1"/>
  <c r="F52" i="7"/>
  <c r="F49" i="7"/>
  <c r="E49" i="7" s="1"/>
  <c r="F48" i="7"/>
  <c r="K3" i="7"/>
  <c r="S3" i="7" s="1"/>
  <c r="R3" i="7"/>
  <c r="N3" i="7"/>
  <c r="U186" i="6"/>
  <c r="V186" i="6" s="1"/>
  <c r="T186" i="6" s="1"/>
  <c r="R187" i="6"/>
  <c r="N187" i="6"/>
  <c r="U187" i="6" s="1"/>
  <c r="F54" i="7" l="1"/>
  <c r="U3" i="7"/>
  <c r="Q186" i="6"/>
  <c r="O186" i="6" s="1"/>
  <c r="V187" i="6"/>
  <c r="T187" i="6" s="1"/>
  <c r="J179" i="6"/>
  <c r="J185" i="6"/>
  <c r="S185" i="6" s="1"/>
  <c r="J184" i="6"/>
  <c r="S184" i="6" s="1"/>
  <c r="H183" i="6"/>
  <c r="J183" i="6" s="1"/>
  <c r="R182" i="6"/>
  <c r="N182" i="6"/>
  <c r="J182" i="6"/>
  <c r="S182" i="6" s="1"/>
  <c r="H181" i="6"/>
  <c r="J181" i="6" s="1"/>
  <c r="J180" i="6"/>
  <c r="S180" i="6" s="1"/>
  <c r="N179" i="6"/>
  <c r="J178" i="6"/>
  <c r="R178" i="6" s="1"/>
  <c r="J177" i="6"/>
  <c r="R177" i="6" s="1"/>
  <c r="J176" i="6"/>
  <c r="J175" i="6"/>
  <c r="J174" i="6"/>
  <c r="R174" i="6" s="1"/>
  <c r="J173" i="6"/>
  <c r="J172" i="6"/>
  <c r="N172" i="6" s="1"/>
  <c r="R171" i="6"/>
  <c r="J171" i="6"/>
  <c r="K171" i="6" s="1"/>
  <c r="K170" i="6"/>
  <c r="I170" i="6"/>
  <c r="H170" i="6"/>
  <c r="K169" i="6"/>
  <c r="I169" i="6"/>
  <c r="H169" i="6"/>
  <c r="J169" i="6" s="1"/>
  <c r="R169" i="6" s="1"/>
  <c r="K168" i="6"/>
  <c r="I168" i="6"/>
  <c r="H168" i="6"/>
  <c r="K167" i="6"/>
  <c r="H167" i="6"/>
  <c r="J167" i="6" s="1"/>
  <c r="R167" i="6" s="1"/>
  <c r="K166" i="6"/>
  <c r="J166" i="6"/>
  <c r="H166" i="6"/>
  <c r="H165" i="6"/>
  <c r="J165" i="6" s="1"/>
  <c r="H164" i="6"/>
  <c r="J164" i="6" s="1"/>
  <c r="N164" i="6" s="1"/>
  <c r="H163" i="6"/>
  <c r="J163" i="6" s="1"/>
  <c r="R163" i="6" s="1"/>
  <c r="H162" i="6"/>
  <c r="J162" i="6" s="1"/>
  <c r="R162" i="6" s="1"/>
  <c r="H161" i="6"/>
  <c r="J161" i="6" s="1"/>
  <c r="H160" i="6"/>
  <c r="J160" i="6" s="1"/>
  <c r="H159" i="6"/>
  <c r="J159" i="6" s="1"/>
  <c r="R159" i="6" s="1"/>
  <c r="H158" i="6"/>
  <c r="J158" i="6" s="1"/>
  <c r="K158" i="6" s="1"/>
  <c r="H157" i="6"/>
  <c r="J157" i="6" s="1"/>
  <c r="R157" i="6" s="1"/>
  <c r="H156" i="6"/>
  <c r="J156" i="6" s="1"/>
  <c r="H155" i="6"/>
  <c r="J155" i="6" s="1"/>
  <c r="H154" i="6"/>
  <c r="J154" i="6" s="1"/>
  <c r="N154" i="6" s="1"/>
  <c r="K153" i="6"/>
  <c r="H153" i="6"/>
  <c r="J153" i="6" s="1"/>
  <c r="N152" i="6"/>
  <c r="K152" i="6"/>
  <c r="J152" i="6"/>
  <c r="H152" i="6"/>
  <c r="J151" i="6"/>
  <c r="J150" i="6"/>
  <c r="N150" i="6" s="1"/>
  <c r="J149" i="6"/>
  <c r="S149" i="6" s="1"/>
  <c r="J148" i="6"/>
  <c r="N148" i="6" s="1"/>
  <c r="J147" i="6"/>
  <c r="S147" i="6" s="1"/>
  <c r="J146" i="6"/>
  <c r="N146" i="6" s="1"/>
  <c r="J145" i="6"/>
  <c r="J144" i="6"/>
  <c r="N144" i="6" s="1"/>
  <c r="J143" i="6"/>
  <c r="S143" i="6" s="1"/>
  <c r="J142" i="6"/>
  <c r="N142" i="6" s="1"/>
  <c r="J141" i="6"/>
  <c r="R140" i="6"/>
  <c r="J140" i="6"/>
  <c r="N140" i="6" s="1"/>
  <c r="J139" i="6"/>
  <c r="J138" i="6"/>
  <c r="S138" i="6" s="1"/>
  <c r="J137" i="6"/>
  <c r="R137" i="6" s="1"/>
  <c r="K136" i="6"/>
  <c r="H136" i="6"/>
  <c r="J136" i="6" s="1"/>
  <c r="N136" i="6" s="1"/>
  <c r="J135" i="6"/>
  <c r="S135" i="6" s="1"/>
  <c r="J134" i="6"/>
  <c r="N134" i="6" s="1"/>
  <c r="K133" i="6"/>
  <c r="H133" i="6"/>
  <c r="J133" i="6" s="1"/>
  <c r="S133" i="6" s="1"/>
  <c r="R132" i="6"/>
  <c r="H132" i="6"/>
  <c r="J132" i="6" s="1"/>
  <c r="S132" i="6" s="1"/>
  <c r="H131" i="6"/>
  <c r="J131" i="6" s="1"/>
  <c r="K130" i="6"/>
  <c r="H130" i="6"/>
  <c r="J130" i="6" s="1"/>
  <c r="S130" i="6" s="1"/>
  <c r="K129" i="6"/>
  <c r="H129" i="6"/>
  <c r="J129" i="6" s="1"/>
  <c r="K128" i="6"/>
  <c r="H128" i="6"/>
  <c r="J128" i="6" s="1"/>
  <c r="R128" i="6" s="1"/>
  <c r="K127" i="6"/>
  <c r="H127" i="6"/>
  <c r="J127" i="6" s="1"/>
  <c r="N127" i="6" s="1"/>
  <c r="J126" i="6"/>
  <c r="S126" i="6" s="1"/>
  <c r="J125" i="6"/>
  <c r="N125" i="6" s="1"/>
  <c r="J124" i="6"/>
  <c r="N124" i="6" s="1"/>
  <c r="H123" i="6"/>
  <c r="J123" i="6" s="1"/>
  <c r="N123" i="6" s="1"/>
  <c r="H122" i="6"/>
  <c r="J122" i="6" s="1"/>
  <c r="H121" i="6"/>
  <c r="J121" i="6" s="1"/>
  <c r="H120" i="6"/>
  <c r="J120" i="6" s="1"/>
  <c r="H119" i="6"/>
  <c r="J119" i="6" s="1"/>
  <c r="K118" i="6"/>
  <c r="I118" i="6"/>
  <c r="H118" i="6"/>
  <c r="H117" i="6"/>
  <c r="J117" i="6" s="1"/>
  <c r="R117" i="6" s="1"/>
  <c r="I116" i="6"/>
  <c r="J116" i="6" s="1"/>
  <c r="N116" i="6" s="1"/>
  <c r="I115" i="6"/>
  <c r="J115" i="6" s="1"/>
  <c r="K114" i="6"/>
  <c r="H114" i="6"/>
  <c r="J114" i="6" s="1"/>
  <c r="R113" i="6"/>
  <c r="K113" i="6"/>
  <c r="J113" i="6"/>
  <c r="K112" i="6"/>
  <c r="J112" i="6"/>
  <c r="N112" i="6" s="1"/>
  <c r="J111" i="6"/>
  <c r="J110" i="6"/>
  <c r="N110" i="6" s="1"/>
  <c r="J109" i="6"/>
  <c r="N109" i="6" s="1"/>
  <c r="J108" i="6"/>
  <c r="R108" i="6" s="1"/>
  <c r="J107" i="6"/>
  <c r="S107" i="6" s="1"/>
  <c r="J106" i="6"/>
  <c r="J105" i="6"/>
  <c r="S105" i="6" s="1"/>
  <c r="J104" i="6"/>
  <c r="N104" i="6" s="1"/>
  <c r="K103" i="6"/>
  <c r="H103" i="6"/>
  <c r="J103" i="6" s="1"/>
  <c r="R103" i="6" s="1"/>
  <c r="J102" i="6"/>
  <c r="N102" i="6" s="1"/>
  <c r="J101" i="6"/>
  <c r="S101" i="6" s="1"/>
  <c r="R100" i="6"/>
  <c r="N100" i="6"/>
  <c r="J100" i="6"/>
  <c r="S100" i="6" s="1"/>
  <c r="J99" i="6"/>
  <c r="N99" i="6" s="1"/>
  <c r="H99" i="6"/>
  <c r="H98" i="6"/>
  <c r="J98" i="6" s="1"/>
  <c r="J97" i="6"/>
  <c r="R97" i="6" s="1"/>
  <c r="R96" i="6"/>
  <c r="N96" i="6"/>
  <c r="J96" i="6"/>
  <c r="S96" i="6" s="1"/>
  <c r="H95" i="6"/>
  <c r="J95" i="6" s="1"/>
  <c r="S95" i="6" s="1"/>
  <c r="K94" i="6"/>
  <c r="H94" i="6"/>
  <c r="J94" i="6" s="1"/>
  <c r="N94" i="6" s="1"/>
  <c r="H93" i="6"/>
  <c r="J93" i="6" s="1"/>
  <c r="N93" i="6" s="1"/>
  <c r="K92" i="6"/>
  <c r="H92" i="6"/>
  <c r="J92" i="6" s="1"/>
  <c r="J91" i="6"/>
  <c r="R91" i="6" s="1"/>
  <c r="H91" i="6"/>
  <c r="J90" i="6"/>
  <c r="N90" i="6" s="1"/>
  <c r="J89" i="6"/>
  <c r="S89" i="6" s="1"/>
  <c r="H88" i="6"/>
  <c r="J88" i="6" s="1"/>
  <c r="J87" i="6"/>
  <c r="S87" i="6" s="1"/>
  <c r="R86" i="6"/>
  <c r="J86" i="6"/>
  <c r="S86" i="6" s="1"/>
  <c r="J85" i="6"/>
  <c r="S85" i="6" s="1"/>
  <c r="H84" i="6"/>
  <c r="J84" i="6" s="1"/>
  <c r="H83" i="6"/>
  <c r="J83" i="6" s="1"/>
  <c r="H82" i="6"/>
  <c r="J82" i="6" s="1"/>
  <c r="H81" i="6"/>
  <c r="J81" i="6" s="1"/>
  <c r="H80" i="6"/>
  <c r="J80" i="6" s="1"/>
  <c r="S80" i="6" s="1"/>
  <c r="H79" i="6"/>
  <c r="J79" i="6" s="1"/>
  <c r="H78" i="6"/>
  <c r="J78" i="6" s="1"/>
  <c r="H77" i="6"/>
  <c r="J77" i="6" s="1"/>
  <c r="N77" i="6" s="1"/>
  <c r="I76" i="6"/>
  <c r="J76" i="6" s="1"/>
  <c r="N76" i="6" s="1"/>
  <c r="I75" i="6"/>
  <c r="K75" i="6" s="1"/>
  <c r="H75" i="6"/>
  <c r="I74" i="6"/>
  <c r="K74" i="6" s="1"/>
  <c r="H74" i="6"/>
  <c r="J74" i="6" s="1"/>
  <c r="I73" i="6"/>
  <c r="H73" i="6"/>
  <c r="J72" i="6"/>
  <c r="S72" i="6" s="1"/>
  <c r="K71" i="6"/>
  <c r="I71" i="6"/>
  <c r="J71" i="6" s="1"/>
  <c r="J70" i="6"/>
  <c r="S70" i="6" s="1"/>
  <c r="J69" i="6"/>
  <c r="S69" i="6" s="1"/>
  <c r="J68" i="6"/>
  <c r="S68" i="6" s="1"/>
  <c r="I67" i="6"/>
  <c r="J67" i="6" s="1"/>
  <c r="S67" i="6" s="1"/>
  <c r="I66" i="6"/>
  <c r="J66" i="6" s="1"/>
  <c r="I65" i="6"/>
  <c r="J65" i="6" s="1"/>
  <c r="S65" i="6" s="1"/>
  <c r="I64" i="6"/>
  <c r="J64" i="6" s="1"/>
  <c r="I63" i="6"/>
  <c r="J63" i="6" s="1"/>
  <c r="H62" i="6"/>
  <c r="J62" i="6" s="1"/>
  <c r="R62" i="6" s="1"/>
  <c r="N61" i="6"/>
  <c r="H61" i="6"/>
  <c r="J61" i="6" s="1"/>
  <c r="S61" i="6" s="1"/>
  <c r="J60" i="6"/>
  <c r="S60" i="6" s="1"/>
  <c r="J59" i="6"/>
  <c r="S59" i="6" s="1"/>
  <c r="H58" i="6"/>
  <c r="J58" i="6" s="1"/>
  <c r="J57" i="6"/>
  <c r="S57" i="6" s="1"/>
  <c r="H57" i="6"/>
  <c r="H56" i="6"/>
  <c r="J56" i="6" s="1"/>
  <c r="H55" i="6"/>
  <c r="J55" i="6" s="1"/>
  <c r="H54" i="6"/>
  <c r="J54" i="6" s="1"/>
  <c r="J53" i="6"/>
  <c r="S53" i="6" s="1"/>
  <c r="J52" i="6"/>
  <c r="S52" i="6" s="1"/>
  <c r="K48" i="6"/>
  <c r="H48" i="6"/>
  <c r="J48" i="6" s="1"/>
  <c r="S48" i="6" s="1"/>
  <c r="H47" i="6"/>
  <c r="J47" i="6" s="1"/>
  <c r="H46" i="6"/>
  <c r="J46" i="6" s="1"/>
  <c r="H45" i="6"/>
  <c r="J45" i="6" s="1"/>
  <c r="H44" i="6"/>
  <c r="J44" i="6" s="1"/>
  <c r="H43" i="6"/>
  <c r="J43" i="6" s="1"/>
  <c r="H42" i="6"/>
  <c r="J42" i="6" s="1"/>
  <c r="H41" i="6"/>
  <c r="J41" i="6" s="1"/>
  <c r="H40" i="6"/>
  <c r="J40" i="6" s="1"/>
  <c r="H39" i="6"/>
  <c r="J39" i="6" s="1"/>
  <c r="H38" i="6"/>
  <c r="J38" i="6" s="1"/>
  <c r="K38" i="6" s="1"/>
  <c r="H37" i="6"/>
  <c r="J37" i="6" s="1"/>
  <c r="J36" i="6"/>
  <c r="K35" i="6"/>
  <c r="H35" i="6"/>
  <c r="J35" i="6" s="1"/>
  <c r="H34" i="6"/>
  <c r="J34" i="6" s="1"/>
  <c r="H33" i="6"/>
  <c r="J33" i="6" s="1"/>
  <c r="H32" i="6"/>
  <c r="J32" i="6" s="1"/>
  <c r="K32" i="6" s="1"/>
  <c r="K31" i="6"/>
  <c r="H31" i="6"/>
  <c r="J31" i="6" s="1"/>
  <c r="K30" i="6"/>
  <c r="H30" i="6"/>
  <c r="J30" i="6" s="1"/>
  <c r="K29" i="6"/>
  <c r="H29" i="6"/>
  <c r="J29" i="6" s="1"/>
  <c r="H28" i="6"/>
  <c r="J28" i="6" s="1"/>
  <c r="J27" i="6"/>
  <c r="K27" i="6" s="1"/>
  <c r="A27" i="6"/>
  <c r="A39" i="6" s="1"/>
  <c r="J26" i="6"/>
  <c r="N26" i="6" s="1"/>
  <c r="K25" i="6"/>
  <c r="H25" i="6"/>
  <c r="J25" i="6" s="1"/>
  <c r="I24" i="6"/>
  <c r="H24" i="6"/>
  <c r="J24" i="6" s="1"/>
  <c r="N24" i="6" s="1"/>
  <c r="R23" i="6"/>
  <c r="N23" i="6"/>
  <c r="U23" i="6" s="1"/>
  <c r="J23" i="6"/>
  <c r="S23" i="6" s="1"/>
  <c r="J22" i="6"/>
  <c r="S22" i="6" s="1"/>
  <c r="J21" i="6"/>
  <c r="S21" i="6" s="1"/>
  <c r="J20" i="6"/>
  <c r="S20" i="6" s="1"/>
  <c r="H19" i="6"/>
  <c r="J19" i="6" s="1"/>
  <c r="S19" i="6" s="1"/>
  <c r="J18" i="6"/>
  <c r="K18" i="6" s="1"/>
  <c r="H18" i="6"/>
  <c r="H17" i="6"/>
  <c r="J17" i="6" s="1"/>
  <c r="H16" i="6"/>
  <c r="J16" i="6" s="1"/>
  <c r="J15" i="6"/>
  <c r="I14" i="6"/>
  <c r="J14" i="6" s="1"/>
  <c r="K14" i="6" s="1"/>
  <c r="H13" i="6"/>
  <c r="J13" i="6" s="1"/>
  <c r="K12" i="6"/>
  <c r="H12" i="6"/>
  <c r="J12" i="6" s="1"/>
  <c r="A12" i="6"/>
  <c r="A13" i="6" s="1"/>
  <c r="H11" i="6"/>
  <c r="J11" i="6" s="1"/>
  <c r="N11" i="6" s="1"/>
  <c r="J10" i="6"/>
  <c r="S10" i="6" s="1"/>
  <c r="H9" i="6"/>
  <c r="J9" i="6" s="1"/>
  <c r="K8" i="6"/>
  <c r="H8" i="6"/>
  <c r="J8" i="6" s="1"/>
  <c r="J7" i="6"/>
  <c r="J6" i="6"/>
  <c r="J5" i="6"/>
  <c r="H4" i="6"/>
  <c r="J4" i="6" s="1"/>
  <c r="A4" i="6"/>
  <c r="A5" i="6" s="1"/>
  <c r="A6" i="6" s="1"/>
  <c r="H3" i="6"/>
  <c r="J3" i="6" s="1"/>
  <c r="F62" i="7" l="1"/>
  <c r="E62" i="7" s="1"/>
  <c r="E54" i="7"/>
  <c r="F65" i="7"/>
  <c r="F53" i="7"/>
  <c r="V3" i="7"/>
  <c r="S63" i="6"/>
  <c r="N63" i="6"/>
  <c r="U63" i="6" s="1"/>
  <c r="N108" i="6"/>
  <c r="R142" i="6"/>
  <c r="K163" i="6"/>
  <c r="S163" i="6" s="1"/>
  <c r="S166" i="6"/>
  <c r="N171" i="6"/>
  <c r="N80" i="6"/>
  <c r="U80" i="6" s="1"/>
  <c r="V80" i="6" s="1"/>
  <c r="T80" i="6" s="1"/>
  <c r="R90" i="6"/>
  <c r="K97" i="6"/>
  <c r="S97" i="6" s="1"/>
  <c r="N101" i="6"/>
  <c r="U101" i="6" s="1"/>
  <c r="V101" i="6" s="1"/>
  <c r="T101" i="6" s="1"/>
  <c r="R104" i="6"/>
  <c r="R138" i="6"/>
  <c r="R150" i="6"/>
  <c r="N159" i="6"/>
  <c r="N169" i="6"/>
  <c r="J73" i="6"/>
  <c r="N85" i="6"/>
  <c r="U85" i="6" s="1"/>
  <c r="V85" i="6" s="1"/>
  <c r="T85" i="6" s="1"/>
  <c r="N138" i="6"/>
  <c r="U138" i="6" s="1"/>
  <c r="K159" i="6"/>
  <c r="N163" i="6"/>
  <c r="N70" i="6"/>
  <c r="S90" i="6"/>
  <c r="R101" i="6"/>
  <c r="S104" i="6"/>
  <c r="R144" i="6"/>
  <c r="S167" i="6"/>
  <c r="S13" i="6"/>
  <c r="N68" i="6"/>
  <c r="U68" i="6" s="1"/>
  <c r="V68" i="6" s="1"/>
  <c r="T68" i="6" s="1"/>
  <c r="R85" i="6"/>
  <c r="K178" i="6"/>
  <c r="S178" i="6" s="1"/>
  <c r="N86" i="6"/>
  <c r="U86" i="6" s="1"/>
  <c r="V86" i="6" s="1"/>
  <c r="T86" i="6" s="1"/>
  <c r="Q86" i="6" s="1"/>
  <c r="O86" i="6" s="1"/>
  <c r="L186" i="6"/>
  <c r="M186" i="6" s="1"/>
  <c r="S92" i="6"/>
  <c r="U96" i="6"/>
  <c r="V96" i="6" s="1"/>
  <c r="T96" i="6" s="1"/>
  <c r="N132" i="6"/>
  <c r="U132" i="6" s="1"/>
  <c r="Q187" i="6"/>
  <c r="O187" i="6" s="1"/>
  <c r="U90" i="6"/>
  <c r="U104" i="6"/>
  <c r="V104" i="6" s="1"/>
  <c r="T104" i="6" s="1"/>
  <c r="Q104" i="6" s="1"/>
  <c r="O104" i="6" s="1"/>
  <c r="N78" i="6"/>
  <c r="S78" i="6"/>
  <c r="R78" i="6"/>
  <c r="N88" i="6"/>
  <c r="S88" i="6"/>
  <c r="R88" i="6"/>
  <c r="S79" i="6"/>
  <c r="N79" i="6"/>
  <c r="R119" i="6"/>
  <c r="S119" i="6"/>
  <c r="N119" i="6"/>
  <c r="N129" i="6"/>
  <c r="R129" i="6"/>
  <c r="S120" i="6"/>
  <c r="N120" i="6"/>
  <c r="R73" i="6"/>
  <c r="N73" i="6"/>
  <c r="R55" i="6"/>
  <c r="S55" i="6"/>
  <c r="N55" i="6"/>
  <c r="S71" i="6"/>
  <c r="N71" i="6"/>
  <c r="R82" i="6"/>
  <c r="S82" i="6"/>
  <c r="N82" i="6"/>
  <c r="R121" i="6"/>
  <c r="S121" i="6"/>
  <c r="N121" i="6"/>
  <c r="N131" i="6"/>
  <c r="R131" i="6"/>
  <c r="R47" i="6"/>
  <c r="N47" i="6"/>
  <c r="S47" i="6"/>
  <c r="S56" i="6"/>
  <c r="N56" i="6"/>
  <c r="S66" i="6"/>
  <c r="N66" i="6"/>
  <c r="R156" i="6"/>
  <c r="N156" i="6"/>
  <c r="S181" i="6"/>
  <c r="N181" i="6"/>
  <c r="R93" i="6"/>
  <c r="N137" i="6"/>
  <c r="R10" i="6"/>
  <c r="N19" i="6"/>
  <c r="U19" i="6" s="1"/>
  <c r="R21" i="6"/>
  <c r="A28" i="6"/>
  <c r="A29" i="6" s="1"/>
  <c r="N53" i="6"/>
  <c r="U53" i="6" s="1"/>
  <c r="V53" i="6" s="1"/>
  <c r="T53" i="6" s="1"/>
  <c r="K73" i="6"/>
  <c r="S73" i="6" s="1"/>
  <c r="U73" i="6" s="1"/>
  <c r="S93" i="6"/>
  <c r="U93" i="6" s="1"/>
  <c r="V93" i="6" s="1"/>
  <c r="T93" i="6" s="1"/>
  <c r="R99" i="6"/>
  <c r="N105" i="6"/>
  <c r="U105" i="6" s="1"/>
  <c r="V105" i="6" s="1"/>
  <c r="T105" i="6" s="1"/>
  <c r="S113" i="6"/>
  <c r="R125" i="6"/>
  <c r="N135" i="6"/>
  <c r="U135" i="6" s="1"/>
  <c r="S137" i="6"/>
  <c r="R146" i="6"/>
  <c r="N162" i="6"/>
  <c r="J168" i="6"/>
  <c r="N168" i="6" s="1"/>
  <c r="N177" i="6"/>
  <c r="U100" i="6"/>
  <c r="S103" i="6"/>
  <c r="R105" i="6"/>
  <c r="S125" i="6"/>
  <c r="U125" i="6" s="1"/>
  <c r="V125" i="6" s="1"/>
  <c r="T125" i="6" s="1"/>
  <c r="R135" i="6"/>
  <c r="S152" i="6"/>
  <c r="S177" i="6"/>
  <c r="R185" i="6"/>
  <c r="N21" i="6"/>
  <c r="U21" i="6" s="1"/>
  <c r="V21" i="6" s="1"/>
  <c r="T21" i="6" s="1"/>
  <c r="K99" i="6"/>
  <c r="S99" i="6" s="1"/>
  <c r="U99" i="6" s="1"/>
  <c r="N107" i="6"/>
  <c r="U107" i="6" s="1"/>
  <c r="V107" i="6" s="1"/>
  <c r="T107" i="6" s="1"/>
  <c r="K177" i="6"/>
  <c r="R19" i="6"/>
  <c r="N20" i="6"/>
  <c r="U20" i="6" s="1"/>
  <c r="V20" i="6" s="1"/>
  <c r="T20" i="6" s="1"/>
  <c r="R22" i="6"/>
  <c r="N72" i="6"/>
  <c r="U72" i="6" s="1"/>
  <c r="R80" i="6"/>
  <c r="N97" i="6"/>
  <c r="U97" i="6" s="1"/>
  <c r="K106" i="6"/>
  <c r="S106" i="6" s="1"/>
  <c r="N126" i="6"/>
  <c r="U126" i="6" s="1"/>
  <c r="R148" i="6"/>
  <c r="U152" i="6"/>
  <c r="S169" i="6"/>
  <c r="U169" i="6" s="1"/>
  <c r="R20" i="6"/>
  <c r="U70" i="6"/>
  <c r="V70" i="6" s="1"/>
  <c r="T70" i="6" s="1"/>
  <c r="R72" i="6"/>
  <c r="N87" i="6"/>
  <c r="U87" i="6" s="1"/>
  <c r="N89" i="6"/>
  <c r="U89" i="6" s="1"/>
  <c r="N106" i="6"/>
  <c r="J118" i="6"/>
  <c r="R126" i="6"/>
  <c r="N133" i="6"/>
  <c r="U133" i="6" s="1"/>
  <c r="V133" i="6" s="1"/>
  <c r="T133" i="6" s="1"/>
  <c r="R152" i="6"/>
  <c r="N178" i="6"/>
  <c r="U182" i="6"/>
  <c r="V182" i="6" s="1"/>
  <c r="T182" i="6" s="1"/>
  <c r="N185" i="6"/>
  <c r="U185" i="6" s="1"/>
  <c r="J75" i="6"/>
  <c r="R87" i="6"/>
  <c r="R106" i="6"/>
  <c r="R133" i="6"/>
  <c r="K37" i="6"/>
  <c r="N5" i="6"/>
  <c r="K34" i="6"/>
  <c r="K9" i="6"/>
  <c r="S9" i="6" s="1"/>
  <c r="N9" i="6"/>
  <c r="R9" i="6"/>
  <c r="N29" i="6"/>
  <c r="R29" i="6"/>
  <c r="S29" i="6"/>
  <c r="N54" i="6"/>
  <c r="R54" i="6"/>
  <c r="S54" i="6"/>
  <c r="R4" i="6"/>
  <c r="N4" i="6"/>
  <c r="K4" i="6"/>
  <c r="S4" i="6" s="1"/>
  <c r="R25" i="6"/>
  <c r="S25" i="6"/>
  <c r="N25" i="6"/>
  <c r="V23" i="6"/>
  <c r="T23" i="6" s="1"/>
  <c r="Q23" i="6" s="1"/>
  <c r="N28" i="6"/>
  <c r="R28" i="6"/>
  <c r="K28" i="6"/>
  <c r="S28" i="6" s="1"/>
  <c r="S6" i="6"/>
  <c r="A14" i="6"/>
  <c r="S14" i="6" s="1"/>
  <c r="N13" i="6"/>
  <c r="R3" i="6"/>
  <c r="N3" i="6"/>
  <c r="K3" i="6"/>
  <c r="S3" i="6" s="1"/>
  <c r="N12" i="6"/>
  <c r="S12" i="6"/>
  <c r="R12" i="6"/>
  <c r="N39" i="6"/>
  <c r="A40" i="6"/>
  <c r="N6" i="6"/>
  <c r="A7" i="6"/>
  <c r="N7" i="6" s="1"/>
  <c r="R6" i="6"/>
  <c r="V19" i="6"/>
  <c r="T19" i="6" s="1"/>
  <c r="N40" i="6"/>
  <c r="R30" i="6"/>
  <c r="A30" i="6"/>
  <c r="A41" i="6"/>
  <c r="S41" i="6" s="1"/>
  <c r="N27" i="6"/>
  <c r="R64" i="6"/>
  <c r="N64" i="6"/>
  <c r="N81" i="6"/>
  <c r="S81" i="6"/>
  <c r="R81" i="6"/>
  <c r="R98" i="6"/>
  <c r="N98" i="6"/>
  <c r="K98" i="6"/>
  <c r="S98" i="6" s="1"/>
  <c r="R13" i="6"/>
  <c r="N22" i="6"/>
  <c r="U22" i="6" s="1"/>
  <c r="R24" i="6"/>
  <c r="R39" i="6"/>
  <c r="R59" i="6"/>
  <c r="N59" i="6"/>
  <c r="U59" i="6" s="1"/>
  <c r="S62" i="6"/>
  <c r="N62" i="6"/>
  <c r="S84" i="6"/>
  <c r="R84" i="6"/>
  <c r="N84" i="6"/>
  <c r="S5" i="6"/>
  <c r="R71" i="6"/>
  <c r="N10" i="6"/>
  <c r="U10" i="6" s="1"/>
  <c r="S24" i="6"/>
  <c r="U24" i="6" s="1"/>
  <c r="R27" i="6"/>
  <c r="K39" i="6"/>
  <c r="V73" i="6"/>
  <c r="T73" i="6" s="1"/>
  <c r="R75" i="6"/>
  <c r="N75" i="6"/>
  <c r="S75" i="6"/>
  <c r="R5" i="6"/>
  <c r="R11" i="6"/>
  <c r="S27" i="6"/>
  <c r="K33" i="6"/>
  <c r="R48" i="6"/>
  <c r="N58" i="6"/>
  <c r="R58" i="6"/>
  <c r="U61" i="6"/>
  <c r="S64" i="6"/>
  <c r="S115" i="6"/>
  <c r="R115" i="6"/>
  <c r="N115" i="6"/>
  <c r="R57" i="6"/>
  <c r="N57" i="6"/>
  <c r="U57" i="6" s="1"/>
  <c r="U71" i="6"/>
  <c r="V90" i="6"/>
  <c r="T90" i="6" s="1"/>
  <c r="Q90" i="6" s="1"/>
  <c r="N118" i="6"/>
  <c r="S118" i="6"/>
  <c r="R118" i="6"/>
  <c r="K36" i="6"/>
  <c r="R40" i="6"/>
  <c r="N60" i="6"/>
  <c r="U60" i="6" s="1"/>
  <c r="R60" i="6"/>
  <c r="N65" i="6"/>
  <c r="U65" i="6" s="1"/>
  <c r="S11" i="6"/>
  <c r="U11" i="6" s="1"/>
  <c r="R52" i="6"/>
  <c r="N52" i="6"/>
  <c r="U52" i="6" s="1"/>
  <c r="V63" i="6"/>
  <c r="T63" i="6" s="1"/>
  <c r="N74" i="6"/>
  <c r="S74" i="6"/>
  <c r="R74" i="6"/>
  <c r="N48" i="6"/>
  <c r="U48" i="6" s="1"/>
  <c r="S58" i="6"/>
  <c r="R61" i="6"/>
  <c r="R65" i="6"/>
  <c r="N83" i="6"/>
  <c r="S83" i="6"/>
  <c r="R83" i="6"/>
  <c r="V100" i="6"/>
  <c r="T100" i="6" s="1"/>
  <c r="Q100" i="6" s="1"/>
  <c r="O100" i="6" s="1"/>
  <c r="R26" i="6"/>
  <c r="R56" i="6"/>
  <c r="R66" i="6"/>
  <c r="R79" i="6"/>
  <c r="R107" i="6"/>
  <c r="S108" i="6"/>
  <c r="R109" i="6"/>
  <c r="N113" i="6"/>
  <c r="R120" i="6"/>
  <c r="R123" i="6"/>
  <c r="R134" i="6"/>
  <c r="K154" i="6"/>
  <c r="S154" i="6" s="1"/>
  <c r="U154" i="6" s="1"/>
  <c r="R166" i="6"/>
  <c r="N166" i="6"/>
  <c r="K26" i="6"/>
  <c r="S26" i="6" s="1"/>
  <c r="U26" i="6" s="1"/>
  <c r="R53" i="6"/>
  <c r="R63" i="6"/>
  <c r="N67" i="6"/>
  <c r="U67" i="6" s="1"/>
  <c r="R68" i="6"/>
  <c r="N69" i="6"/>
  <c r="U69" i="6" s="1"/>
  <c r="R70" i="6"/>
  <c r="R76" i="6"/>
  <c r="S91" i="6"/>
  <c r="N92" i="6"/>
  <c r="U92" i="6" s="1"/>
  <c r="N95" i="6"/>
  <c r="U95" i="6" s="1"/>
  <c r="S109" i="6"/>
  <c r="U109" i="6" s="1"/>
  <c r="R112" i="6"/>
  <c r="S116" i="6"/>
  <c r="U116" i="6" s="1"/>
  <c r="K116" i="6"/>
  <c r="R116" i="6"/>
  <c r="N117" i="6"/>
  <c r="S117" i="6"/>
  <c r="S123" i="6"/>
  <c r="U123" i="6" s="1"/>
  <c r="N128" i="6"/>
  <c r="N130" i="6"/>
  <c r="U130" i="6" s="1"/>
  <c r="S134" i="6"/>
  <c r="U134" i="6" s="1"/>
  <c r="S136" i="6"/>
  <c r="U136" i="6" s="1"/>
  <c r="R136" i="6"/>
  <c r="R143" i="6"/>
  <c r="N143" i="6"/>
  <c r="U143" i="6" s="1"/>
  <c r="S160" i="6"/>
  <c r="K160" i="6"/>
  <c r="R160" i="6"/>
  <c r="N160" i="6"/>
  <c r="S76" i="6"/>
  <c r="U76" i="6" s="1"/>
  <c r="R94" i="6"/>
  <c r="R102" i="6"/>
  <c r="N103" i="6"/>
  <c r="S112" i="6"/>
  <c r="U112" i="6" s="1"/>
  <c r="N173" i="6"/>
  <c r="K173" i="6"/>
  <c r="S173" i="6" s="1"/>
  <c r="K175" i="6"/>
  <c r="S175" i="6" s="1"/>
  <c r="R175" i="6"/>
  <c r="N175" i="6"/>
  <c r="S94" i="6"/>
  <c r="U94" i="6" s="1"/>
  <c r="S102" i="6"/>
  <c r="U102" i="6" s="1"/>
  <c r="U120" i="6"/>
  <c r="S122" i="6"/>
  <c r="R122" i="6"/>
  <c r="N122" i="6"/>
  <c r="S128" i="6"/>
  <c r="S129" i="6"/>
  <c r="R130" i="6"/>
  <c r="S131" i="6"/>
  <c r="R155" i="6"/>
  <c r="N155" i="6"/>
  <c r="V87" i="6"/>
  <c r="T87" i="6" s="1"/>
  <c r="N111" i="6"/>
  <c r="R111" i="6"/>
  <c r="R139" i="6"/>
  <c r="N139" i="6"/>
  <c r="R145" i="6"/>
  <c r="N145" i="6"/>
  <c r="S145" i="6"/>
  <c r="N153" i="6"/>
  <c r="S153" i="6"/>
  <c r="R153" i="6"/>
  <c r="K155" i="6"/>
  <c r="S155" i="6" s="1"/>
  <c r="N157" i="6"/>
  <c r="K157" i="6"/>
  <c r="S157" i="6" s="1"/>
  <c r="N161" i="6"/>
  <c r="K161" i="6"/>
  <c r="S161" i="6" s="1"/>
  <c r="R161" i="6"/>
  <c r="N165" i="6"/>
  <c r="K165" i="6"/>
  <c r="S165" i="6" s="1"/>
  <c r="R165" i="6"/>
  <c r="N176" i="6"/>
  <c r="K176" i="6"/>
  <c r="S176" i="6" s="1"/>
  <c r="R176" i="6"/>
  <c r="R67" i="6"/>
  <c r="R69" i="6"/>
  <c r="R92" i="6"/>
  <c r="R95" i="6"/>
  <c r="K111" i="6"/>
  <c r="S111" i="6" s="1"/>
  <c r="R173" i="6"/>
  <c r="S77" i="6"/>
  <c r="U77" i="6" s="1"/>
  <c r="R77" i="6"/>
  <c r="N91" i="6"/>
  <c r="S127" i="6"/>
  <c r="U127" i="6" s="1"/>
  <c r="R127" i="6"/>
  <c r="R147" i="6"/>
  <c r="N147" i="6"/>
  <c r="U147" i="6" s="1"/>
  <c r="K162" i="6"/>
  <c r="S162" i="6" s="1"/>
  <c r="N114" i="6"/>
  <c r="S114" i="6"/>
  <c r="R114" i="6"/>
  <c r="S139" i="6"/>
  <c r="R141" i="6"/>
  <c r="N141" i="6"/>
  <c r="S141" i="6"/>
  <c r="R154" i="6"/>
  <c r="R158" i="6"/>
  <c r="S158" i="6"/>
  <c r="N158" i="6"/>
  <c r="R89" i="6"/>
  <c r="K164" i="6"/>
  <c r="S164" i="6" s="1"/>
  <c r="U164" i="6" s="1"/>
  <c r="R164" i="6"/>
  <c r="N174" i="6"/>
  <c r="S124" i="6"/>
  <c r="U124" i="6" s="1"/>
  <c r="R124" i="6"/>
  <c r="R151" i="6"/>
  <c r="S151" i="6"/>
  <c r="N151" i="6"/>
  <c r="S168" i="6"/>
  <c r="U168" i="6" s="1"/>
  <c r="R168" i="6"/>
  <c r="K174" i="6"/>
  <c r="S174" i="6" s="1"/>
  <c r="V152" i="6"/>
  <c r="T152" i="6" s="1"/>
  <c r="R180" i="6"/>
  <c r="N180" i="6"/>
  <c r="R149" i="6"/>
  <c r="N149" i="6"/>
  <c r="U149" i="6" s="1"/>
  <c r="S171" i="6"/>
  <c r="U171" i="6" s="1"/>
  <c r="R110" i="6"/>
  <c r="K156" i="6"/>
  <c r="S156" i="6" s="1"/>
  <c r="J170" i="6"/>
  <c r="R181" i="6"/>
  <c r="K110" i="6"/>
  <c r="S110" i="6" s="1"/>
  <c r="U110" i="6" s="1"/>
  <c r="S159" i="6"/>
  <c r="U159" i="6" s="1"/>
  <c r="R179" i="6"/>
  <c r="N167" i="6"/>
  <c r="U167" i="6" s="1"/>
  <c r="S179" i="6"/>
  <c r="U179" i="6" s="1"/>
  <c r="N183" i="6"/>
  <c r="K183" i="6"/>
  <c r="S183" i="6" s="1"/>
  <c r="R183" i="6"/>
  <c r="R184" i="6"/>
  <c r="N184" i="6"/>
  <c r="U184" i="6" s="1"/>
  <c r="S140" i="6"/>
  <c r="U140" i="6" s="1"/>
  <c r="S142" i="6"/>
  <c r="U142" i="6" s="1"/>
  <c r="S144" i="6"/>
  <c r="U144" i="6" s="1"/>
  <c r="S146" i="6"/>
  <c r="U146" i="6" s="1"/>
  <c r="S148" i="6"/>
  <c r="U148" i="6" s="1"/>
  <c r="S150" i="6"/>
  <c r="U150" i="6" s="1"/>
  <c r="R172" i="6"/>
  <c r="K172" i="6"/>
  <c r="S172" i="6" s="1"/>
  <c r="U172" i="6" s="1"/>
  <c r="A184" i="1"/>
  <c r="Q184" i="1"/>
  <c r="J184" i="1"/>
  <c r="V138" i="6" l="1"/>
  <c r="T138" i="6" s="1"/>
  <c r="Q138" i="6" s="1"/>
  <c r="U129" i="6"/>
  <c r="U108" i="6"/>
  <c r="U78" i="6"/>
  <c r="V78" i="6" s="1"/>
  <c r="T78" i="6" s="1"/>
  <c r="Q78" i="6" s="1"/>
  <c r="O78" i="6" s="1"/>
  <c r="U58" i="6"/>
  <c r="Q85" i="6"/>
  <c r="U4" i="6"/>
  <c r="V4" i="6" s="1"/>
  <c r="T4" i="6" s="1"/>
  <c r="Q4" i="6" s="1"/>
  <c r="U153" i="6"/>
  <c r="U173" i="6"/>
  <c r="U3" i="6"/>
  <c r="V3" i="6" s="1"/>
  <c r="T3" i="6" s="1"/>
  <c r="Q3" i="6" s="1"/>
  <c r="O3" i="6" s="1"/>
  <c r="U183" i="6"/>
  <c r="U176" i="6"/>
  <c r="U98" i="6"/>
  <c r="Q53" i="6"/>
  <c r="O53" i="6" s="1"/>
  <c r="U178" i="6"/>
  <c r="V178" i="6" s="1"/>
  <c r="T178" i="6" s="1"/>
  <c r="Q178" i="6" s="1"/>
  <c r="U166" i="6"/>
  <c r="U163" i="6"/>
  <c r="V163" i="6" s="1"/>
  <c r="T163" i="6" s="1"/>
  <c r="Q163" i="6" s="1"/>
  <c r="O163" i="6" s="1"/>
  <c r="U28" i="6"/>
  <c r="F50" i="7"/>
  <c r="F56" i="7" s="1"/>
  <c r="F63" i="7" s="1"/>
  <c r="E63" i="7" s="1"/>
  <c r="T3" i="7"/>
  <c r="Q3" i="7" s="1"/>
  <c r="O3" i="7" s="1"/>
  <c r="V4" i="7"/>
  <c r="Q87" i="6"/>
  <c r="O87" i="6" s="1"/>
  <c r="Q73" i="6"/>
  <c r="O73" i="6" s="1"/>
  <c r="U13" i="6"/>
  <c r="U106" i="6"/>
  <c r="V106" i="6" s="1"/>
  <c r="T106" i="6" s="1"/>
  <c r="Q106" i="6" s="1"/>
  <c r="O106" i="6" s="1"/>
  <c r="U56" i="6"/>
  <c r="V56" i="6" s="1"/>
  <c r="T56" i="6" s="1"/>
  <c r="U119" i="6"/>
  <c r="V119" i="6" s="1"/>
  <c r="T119" i="6" s="1"/>
  <c r="U151" i="6"/>
  <c r="Q20" i="6"/>
  <c r="O20" i="6" s="1"/>
  <c r="U47" i="6"/>
  <c r="V47" i="6" s="1"/>
  <c r="T47" i="6" s="1"/>
  <c r="U158" i="6"/>
  <c r="U29" i="6"/>
  <c r="U160" i="6"/>
  <c r="V160" i="6" s="1"/>
  <c r="T160" i="6" s="1"/>
  <c r="U162" i="6"/>
  <c r="V162" i="6" s="1"/>
  <c r="T162" i="6" s="1"/>
  <c r="Q162" i="6" s="1"/>
  <c r="O162" i="6" s="1"/>
  <c r="U103" i="6"/>
  <c r="V103" i="6" s="1"/>
  <c r="T103" i="6" s="1"/>
  <c r="Q105" i="6"/>
  <c r="O105" i="6" s="1"/>
  <c r="L187" i="6"/>
  <c r="M187" i="6" s="1"/>
  <c r="V184" i="6"/>
  <c r="T184" i="6" s="1"/>
  <c r="Q184" i="6" s="1"/>
  <c r="V126" i="6"/>
  <c r="T126" i="6" s="1"/>
  <c r="Q126" i="6" s="1"/>
  <c r="U9" i="6"/>
  <c r="Q133" i="6"/>
  <c r="O133" i="6" s="1"/>
  <c r="U66" i="6"/>
  <c r="V66" i="6" s="1"/>
  <c r="T66" i="6" s="1"/>
  <c r="Q93" i="6"/>
  <c r="O93" i="6" s="1"/>
  <c r="U157" i="6"/>
  <c r="U118" i="6"/>
  <c r="U155" i="6"/>
  <c r="V155" i="6" s="1"/>
  <c r="T155" i="6" s="1"/>
  <c r="Q155" i="6" s="1"/>
  <c r="O155" i="6" s="1"/>
  <c r="U131" i="6"/>
  <c r="U27" i="6"/>
  <c r="V27" i="6" s="1"/>
  <c r="T27" i="6" s="1"/>
  <c r="Q27" i="6" s="1"/>
  <c r="U79" i="6"/>
  <c r="V79" i="6" s="1"/>
  <c r="T79" i="6" s="1"/>
  <c r="Q79" i="6" s="1"/>
  <c r="O79" i="6" s="1"/>
  <c r="U177" i="6"/>
  <c r="Q68" i="6"/>
  <c r="O68" i="6" s="1"/>
  <c r="V89" i="6"/>
  <c r="T89" i="6" s="1"/>
  <c r="Q101" i="6"/>
  <c r="O101" i="6" s="1"/>
  <c r="V97" i="6"/>
  <c r="T97" i="6" s="1"/>
  <c r="V185" i="6"/>
  <c r="T185" i="6" s="1"/>
  <c r="V169" i="6"/>
  <c r="T169" i="6" s="1"/>
  <c r="Q169" i="6" s="1"/>
  <c r="U174" i="6"/>
  <c r="V174" i="6" s="1"/>
  <c r="T174" i="6" s="1"/>
  <c r="U25" i="6"/>
  <c r="V25" i="6" s="1"/>
  <c r="T25" i="6" s="1"/>
  <c r="U88" i="6"/>
  <c r="V88" i="6" s="1"/>
  <c r="T88" i="6" s="1"/>
  <c r="Q182" i="6"/>
  <c r="O182" i="6" s="1"/>
  <c r="Q96" i="6"/>
  <c r="O96" i="6" s="1"/>
  <c r="U141" i="6"/>
  <c r="U165" i="6"/>
  <c r="V165" i="6" s="1"/>
  <c r="T165" i="6" s="1"/>
  <c r="V177" i="6"/>
  <c r="T177" i="6" s="1"/>
  <c r="Q177" i="6" s="1"/>
  <c r="O177" i="6" s="1"/>
  <c r="U128" i="6"/>
  <c r="V128" i="6" s="1"/>
  <c r="T128" i="6" s="1"/>
  <c r="Q128" i="6" s="1"/>
  <c r="O128" i="6" s="1"/>
  <c r="U117" i="6"/>
  <c r="U113" i="6"/>
  <c r="V113" i="6" s="1"/>
  <c r="T113" i="6" s="1"/>
  <c r="Q63" i="6"/>
  <c r="O63" i="6" s="1"/>
  <c r="U64" i="6"/>
  <c r="U62" i="6"/>
  <c r="V62" i="6" s="1"/>
  <c r="T62" i="6" s="1"/>
  <c r="Q62" i="6" s="1"/>
  <c r="Q19" i="6"/>
  <c r="O19" i="6" s="1"/>
  <c r="U121" i="6"/>
  <c r="V121" i="6" s="1"/>
  <c r="T121" i="6" s="1"/>
  <c r="Q121" i="6" s="1"/>
  <c r="O121" i="6" s="1"/>
  <c r="U55" i="6"/>
  <c r="U175" i="6"/>
  <c r="U6" i="6"/>
  <c r="U137" i="6"/>
  <c r="V137" i="6" s="1"/>
  <c r="T137" i="6" s="1"/>
  <c r="Q137" i="6" s="1"/>
  <c r="O137" i="6" s="1"/>
  <c r="L105" i="6"/>
  <c r="M105" i="6" s="1"/>
  <c r="U156" i="6"/>
  <c r="V156" i="6" s="1"/>
  <c r="T156" i="6" s="1"/>
  <c r="U161" i="6"/>
  <c r="V161" i="6" s="1"/>
  <c r="T161" i="6" s="1"/>
  <c r="U54" i="6"/>
  <c r="V54" i="6" s="1"/>
  <c r="T54" i="6" s="1"/>
  <c r="Q54" i="6" s="1"/>
  <c r="U181" i="6"/>
  <c r="V181" i="6" s="1"/>
  <c r="T181" i="6" s="1"/>
  <c r="U82" i="6"/>
  <c r="V82" i="6" s="1"/>
  <c r="T82" i="6" s="1"/>
  <c r="Q82" i="6" s="1"/>
  <c r="O82" i="6" s="1"/>
  <c r="V130" i="6"/>
  <c r="T130" i="6" s="1"/>
  <c r="Q130" i="6" s="1"/>
  <c r="O130" i="6" s="1"/>
  <c r="O85" i="6"/>
  <c r="L85" i="6"/>
  <c r="M85" i="6" s="1"/>
  <c r="V48" i="6"/>
  <c r="T48" i="6" s="1"/>
  <c r="Q48" i="6" s="1"/>
  <c r="O48" i="6" s="1"/>
  <c r="V67" i="6"/>
  <c r="T67" i="6" s="1"/>
  <c r="Q67" i="6" s="1"/>
  <c r="O67" i="6" s="1"/>
  <c r="O90" i="6"/>
  <c r="L90" i="6"/>
  <c r="M90" i="6" s="1"/>
  <c r="V22" i="6"/>
  <c r="T22" i="6" s="1"/>
  <c r="Q22" i="6" s="1"/>
  <c r="O22" i="6" s="1"/>
  <c r="V9" i="6"/>
  <c r="T9" i="6" s="1"/>
  <c r="V13" i="6"/>
  <c r="T13" i="6" s="1"/>
  <c r="O23" i="6"/>
  <c r="L23" i="6"/>
  <c r="M23" i="6" s="1"/>
  <c r="V110" i="6"/>
  <c r="T110" i="6" s="1"/>
  <c r="Q110" i="6" s="1"/>
  <c r="O110" i="6" s="1"/>
  <c r="V143" i="6"/>
  <c r="T143" i="6" s="1"/>
  <c r="Q143" i="6" s="1"/>
  <c r="V172" i="6"/>
  <c r="T172" i="6" s="1"/>
  <c r="Q172" i="6" s="1"/>
  <c r="O172" i="6" s="1"/>
  <c r="V175" i="6"/>
  <c r="T175" i="6" s="1"/>
  <c r="Q175" i="6" s="1"/>
  <c r="O175" i="6" s="1"/>
  <c r="V52" i="6"/>
  <c r="T52" i="6" s="1"/>
  <c r="Q52" i="6" s="1"/>
  <c r="V173" i="6"/>
  <c r="T173" i="6" s="1"/>
  <c r="Q173" i="6" s="1"/>
  <c r="O173" i="6" s="1"/>
  <c r="V57" i="6"/>
  <c r="T57" i="6" s="1"/>
  <c r="Q57" i="6" s="1"/>
  <c r="O57" i="6" s="1"/>
  <c r="V10" i="6"/>
  <c r="T10" i="6" s="1"/>
  <c r="Q10" i="6" s="1"/>
  <c r="O10" i="6" s="1"/>
  <c r="V69" i="6"/>
  <c r="T69" i="6" s="1"/>
  <c r="Q69" i="6" s="1"/>
  <c r="O69" i="6" s="1"/>
  <c r="V146" i="6"/>
  <c r="T146" i="6" s="1"/>
  <c r="V168" i="6"/>
  <c r="T168" i="6" s="1"/>
  <c r="Q168" i="6" s="1"/>
  <c r="O168" i="6" s="1"/>
  <c r="U139" i="6"/>
  <c r="Q125" i="6"/>
  <c r="O125" i="6" s="1"/>
  <c r="V131" i="6"/>
  <c r="T131" i="6" s="1"/>
  <c r="V102" i="6"/>
  <c r="T102" i="6" s="1"/>
  <c r="U91" i="6"/>
  <c r="U74" i="6"/>
  <c r="Q107" i="6"/>
  <c r="O107" i="6" s="1"/>
  <c r="V72" i="6"/>
  <c r="T72" i="6" s="1"/>
  <c r="Q72" i="6" s="1"/>
  <c r="U5" i="6"/>
  <c r="U84" i="6"/>
  <c r="Q21" i="6"/>
  <c r="O21" i="6" s="1"/>
  <c r="N41" i="6"/>
  <c r="U41" i="6" s="1"/>
  <c r="V144" i="6"/>
  <c r="T144" i="6" s="1"/>
  <c r="Q144" i="6" s="1"/>
  <c r="O144" i="6" s="1"/>
  <c r="V158" i="6"/>
  <c r="T158" i="6" s="1"/>
  <c r="L104" i="6"/>
  <c r="M104" i="6" s="1"/>
  <c r="U145" i="6"/>
  <c r="V94" i="6"/>
  <c r="T94" i="6" s="1"/>
  <c r="Q94" i="6" s="1"/>
  <c r="V76" i="6"/>
  <c r="T76" i="6" s="1"/>
  <c r="Q76" i="6" s="1"/>
  <c r="O76" i="6" s="1"/>
  <c r="V136" i="6"/>
  <c r="T136" i="6" s="1"/>
  <c r="V108" i="6"/>
  <c r="T108" i="6" s="1"/>
  <c r="Q108" i="6" s="1"/>
  <c r="O108" i="6" s="1"/>
  <c r="V11" i="6"/>
  <c r="T11" i="6" s="1"/>
  <c r="R41" i="6"/>
  <c r="V171" i="6"/>
  <c r="T171" i="6" s="1"/>
  <c r="V151" i="6"/>
  <c r="T151" i="6" s="1"/>
  <c r="U111" i="6"/>
  <c r="V129" i="6"/>
  <c r="T129" i="6" s="1"/>
  <c r="V134" i="6"/>
  <c r="T134" i="6" s="1"/>
  <c r="Q134" i="6" s="1"/>
  <c r="O134" i="6" s="1"/>
  <c r="U83" i="6"/>
  <c r="V58" i="6"/>
  <c r="T58" i="6" s="1"/>
  <c r="Q58" i="6" s="1"/>
  <c r="O58" i="6" s="1"/>
  <c r="Q70" i="6"/>
  <c r="O70" i="6" s="1"/>
  <c r="V71" i="6"/>
  <c r="T71" i="6" s="1"/>
  <c r="U75" i="6"/>
  <c r="K40" i="6"/>
  <c r="S40" i="6" s="1"/>
  <c r="U40" i="6" s="1"/>
  <c r="S39" i="6"/>
  <c r="U39" i="6" s="1"/>
  <c r="L86" i="6"/>
  <c r="M86" i="6" s="1"/>
  <c r="V26" i="6"/>
  <c r="T26" i="6" s="1"/>
  <c r="Q26" i="6" s="1"/>
  <c r="O26" i="6" s="1"/>
  <c r="U12" i="6"/>
  <c r="L53" i="6"/>
  <c r="M53" i="6" s="1"/>
  <c r="V98" i="6"/>
  <c r="T98" i="6" s="1"/>
  <c r="A31" i="6"/>
  <c r="A32" i="6"/>
  <c r="A42" i="6"/>
  <c r="V149" i="6"/>
  <c r="T149" i="6" s="1"/>
  <c r="Q149" i="6" s="1"/>
  <c r="O149" i="6" s="1"/>
  <c r="Q152" i="6"/>
  <c r="O152" i="6" s="1"/>
  <c r="U114" i="6"/>
  <c r="V166" i="6"/>
  <c r="T166" i="6" s="1"/>
  <c r="V112" i="6"/>
  <c r="T112" i="6" s="1"/>
  <c r="Q112" i="6" s="1"/>
  <c r="Q80" i="6"/>
  <c r="O80" i="6" s="1"/>
  <c r="L82" i="6"/>
  <c r="M82" i="6" s="1"/>
  <c r="V59" i="6"/>
  <c r="T59" i="6" s="1"/>
  <c r="V61" i="6"/>
  <c r="T61" i="6" s="1"/>
  <c r="Q61" i="6" s="1"/>
  <c r="O61" i="6" s="1"/>
  <c r="N30" i="6"/>
  <c r="R14" i="6"/>
  <c r="A15" i="6"/>
  <c r="N14" i="6"/>
  <c r="U14" i="6" s="1"/>
  <c r="V142" i="6"/>
  <c r="T142" i="6" s="1"/>
  <c r="Q142" i="6" s="1"/>
  <c r="O142" i="6" s="1"/>
  <c r="V140" i="6"/>
  <c r="T140" i="6" s="1"/>
  <c r="V159" i="6"/>
  <c r="T159" i="6" s="1"/>
  <c r="Q159" i="6" s="1"/>
  <c r="O159" i="6" s="1"/>
  <c r="V167" i="6"/>
  <c r="T167" i="6" s="1"/>
  <c r="Q167" i="6" s="1"/>
  <c r="V154" i="6"/>
  <c r="T154" i="6" s="1"/>
  <c r="Q154" i="6" s="1"/>
  <c r="O154" i="6" s="1"/>
  <c r="V157" i="6"/>
  <c r="T157" i="6" s="1"/>
  <c r="Q157" i="6" s="1"/>
  <c r="O157" i="6" s="1"/>
  <c r="V135" i="6"/>
  <c r="T135" i="6" s="1"/>
  <c r="Q135" i="6" s="1"/>
  <c r="V132" i="6"/>
  <c r="T132" i="6" s="1"/>
  <c r="Q132" i="6" s="1"/>
  <c r="V116" i="6"/>
  <c r="T116" i="6" s="1"/>
  <c r="V99" i="6"/>
  <c r="T99" i="6" s="1"/>
  <c r="Q99" i="6" s="1"/>
  <c r="O99" i="6" s="1"/>
  <c r="V65" i="6"/>
  <c r="T65" i="6" s="1"/>
  <c r="V124" i="6"/>
  <c r="T124" i="6" s="1"/>
  <c r="Q124" i="6" s="1"/>
  <c r="O124" i="6" s="1"/>
  <c r="V141" i="6"/>
  <c r="T141" i="6" s="1"/>
  <c r="Q141" i="6" s="1"/>
  <c r="O141" i="6" s="1"/>
  <c r="U115" i="6"/>
  <c r="V24" i="6"/>
  <c r="T24" i="6" s="1"/>
  <c r="Q24" i="6" s="1"/>
  <c r="V92" i="6"/>
  <c r="T92" i="6" s="1"/>
  <c r="Q92" i="6" s="1"/>
  <c r="O92" i="6" s="1"/>
  <c r="R7" i="6"/>
  <c r="A8" i="6"/>
  <c r="V6" i="6"/>
  <c r="T6" i="6" s="1"/>
  <c r="V28" i="6"/>
  <c r="T28" i="6" s="1"/>
  <c r="Q28" i="6" s="1"/>
  <c r="O28" i="6" s="1"/>
  <c r="V29" i="6"/>
  <c r="T29" i="6" s="1"/>
  <c r="Q29" i="6" s="1"/>
  <c r="O29" i="6" s="1"/>
  <c r="V150" i="6"/>
  <c r="T150" i="6" s="1"/>
  <c r="Q150" i="6" s="1"/>
  <c r="O150" i="6" s="1"/>
  <c r="R170" i="6"/>
  <c r="S170" i="6"/>
  <c r="N170" i="6"/>
  <c r="U180" i="6"/>
  <c r="V127" i="6"/>
  <c r="T127" i="6" s="1"/>
  <c r="Q127" i="6" s="1"/>
  <c r="O127" i="6" s="1"/>
  <c r="U122" i="6"/>
  <c r="V123" i="6"/>
  <c r="T123" i="6" s="1"/>
  <c r="Q123" i="6" s="1"/>
  <c r="O123" i="6" s="1"/>
  <c r="V95" i="6"/>
  <c r="T95" i="6" s="1"/>
  <c r="Q95" i="6" s="1"/>
  <c r="O95" i="6" s="1"/>
  <c r="U81" i="6"/>
  <c r="S30" i="6"/>
  <c r="V64" i="6"/>
  <c r="T64" i="6" s="1"/>
  <c r="Q64" i="6" s="1"/>
  <c r="O64" i="6" s="1"/>
  <c r="V183" i="6"/>
  <c r="T183" i="6" s="1"/>
  <c r="V164" i="6"/>
  <c r="T164" i="6" s="1"/>
  <c r="Q164" i="6" s="1"/>
  <c r="V77" i="6"/>
  <c r="T77" i="6" s="1"/>
  <c r="Q77" i="6" s="1"/>
  <c r="O77" i="6" s="1"/>
  <c r="V109" i="6"/>
  <c r="T109" i="6" s="1"/>
  <c r="Q109" i="6" s="1"/>
  <c r="O109" i="6" s="1"/>
  <c r="V147" i="6"/>
  <c r="T147" i="6" s="1"/>
  <c r="Q147" i="6" s="1"/>
  <c r="O147" i="6" s="1"/>
  <c r="L68" i="6"/>
  <c r="M68" i="6" s="1"/>
  <c r="V118" i="6"/>
  <c r="T118" i="6" s="1"/>
  <c r="Q118" i="6" s="1"/>
  <c r="O118" i="6" s="1"/>
  <c r="V148" i="6"/>
  <c r="T148" i="6" s="1"/>
  <c r="Q148" i="6" s="1"/>
  <c r="O148" i="6" s="1"/>
  <c r="V179" i="6"/>
  <c r="T179" i="6" s="1"/>
  <c r="Q179" i="6" s="1"/>
  <c r="O179" i="6" s="1"/>
  <c r="V176" i="6"/>
  <c r="T176" i="6" s="1"/>
  <c r="Q176" i="6" s="1"/>
  <c r="V153" i="6"/>
  <c r="T153" i="6" s="1"/>
  <c r="Q153" i="6" s="1"/>
  <c r="O153" i="6" s="1"/>
  <c r="V120" i="6"/>
  <c r="T120" i="6" s="1"/>
  <c r="V117" i="6"/>
  <c r="T117" i="6" s="1"/>
  <c r="Q117" i="6" s="1"/>
  <c r="O117" i="6" s="1"/>
  <c r="L100" i="6"/>
  <c r="M100" i="6" s="1"/>
  <c r="V60" i="6"/>
  <c r="T60" i="6" s="1"/>
  <c r="Q60" i="6" s="1"/>
  <c r="O60" i="6" s="1"/>
  <c r="S7" i="6"/>
  <c r="U7" i="6" s="1"/>
  <c r="N184" i="1"/>
  <c r="V184" i="1"/>
  <c r="W184" i="1"/>
  <c r="H182" i="1"/>
  <c r="J182" i="1" s="1"/>
  <c r="K182" i="1" s="1"/>
  <c r="L20" i="6" l="1"/>
  <c r="M20" i="6" s="1"/>
  <c r="O138" i="6"/>
  <c r="L138" i="6"/>
  <c r="M138" i="6" s="1"/>
  <c r="Q88" i="6"/>
  <c r="O88" i="6" s="1"/>
  <c r="L87" i="6"/>
  <c r="M87" i="6" s="1"/>
  <c r="L73" i="6"/>
  <c r="M73" i="6" s="1"/>
  <c r="L137" i="6"/>
  <c r="M137" i="6" s="1"/>
  <c r="L121" i="6"/>
  <c r="M121" i="6" s="1"/>
  <c r="L78" i="6"/>
  <c r="M78" i="6" s="1"/>
  <c r="L93" i="6"/>
  <c r="M93" i="6" s="1"/>
  <c r="O178" i="6"/>
  <c r="L178" i="6"/>
  <c r="M178" i="6" s="1"/>
  <c r="Q66" i="6"/>
  <c r="F66" i="7"/>
  <c r="F32" i="7"/>
  <c r="E32" i="7" s="1"/>
  <c r="L3" i="7"/>
  <c r="O126" i="6"/>
  <c r="L126" i="6"/>
  <c r="M126" i="6" s="1"/>
  <c r="Q56" i="6"/>
  <c r="O56" i="6" s="1"/>
  <c r="Q119" i="6"/>
  <c r="O119" i="6" s="1"/>
  <c r="L133" i="6"/>
  <c r="M133" i="6" s="1"/>
  <c r="L56" i="6"/>
  <c r="M56" i="6" s="1"/>
  <c r="Q47" i="6"/>
  <c r="O47" i="6" s="1"/>
  <c r="L184" i="6"/>
  <c r="M184" i="6" s="1"/>
  <c r="L60" i="6"/>
  <c r="M60" i="6" s="1"/>
  <c r="Q113" i="6"/>
  <c r="O113" i="6" s="1"/>
  <c r="O72" i="6"/>
  <c r="L72" i="6"/>
  <c r="M72" i="6" s="1"/>
  <c r="O169" i="6"/>
  <c r="L169" i="6"/>
  <c r="M169" i="6" s="1"/>
  <c r="O112" i="6"/>
  <c r="L112" i="6"/>
  <c r="M112" i="6" s="1"/>
  <c r="L107" i="6"/>
  <c r="M107" i="6" s="1"/>
  <c r="L19" i="6"/>
  <c r="M19" i="6" s="1"/>
  <c r="L128" i="6"/>
  <c r="M128" i="6" s="1"/>
  <c r="Q171" i="6"/>
  <c r="O171" i="6" s="1"/>
  <c r="L168" i="6"/>
  <c r="M168" i="6" s="1"/>
  <c r="Q97" i="6"/>
  <c r="O97" i="6" s="1"/>
  <c r="L95" i="6"/>
  <c r="M95" i="6" s="1"/>
  <c r="Q158" i="6"/>
  <c r="O158" i="6" s="1"/>
  <c r="L63" i="6"/>
  <c r="M63" i="6" s="1"/>
  <c r="L3" i="6"/>
  <c r="M3" i="6" s="1"/>
  <c r="V55" i="6"/>
  <c r="T55" i="6" s="1"/>
  <c r="L96" i="6"/>
  <c r="M96" i="6" s="1"/>
  <c r="Q65" i="6"/>
  <c r="O65" i="6" s="1"/>
  <c r="Q59" i="6"/>
  <c r="O59" i="6" s="1"/>
  <c r="Q166" i="6"/>
  <c r="O166" i="6" s="1"/>
  <c r="Q129" i="6"/>
  <c r="O129" i="6" s="1"/>
  <c r="Q136" i="6"/>
  <c r="O136" i="6" s="1"/>
  <c r="L177" i="6"/>
  <c r="M177" i="6" s="1"/>
  <c r="L182" i="6"/>
  <c r="M182" i="6" s="1"/>
  <c r="L154" i="6"/>
  <c r="M154" i="6" s="1"/>
  <c r="Q71" i="6"/>
  <c r="O71" i="6" s="1"/>
  <c r="L69" i="6"/>
  <c r="M69" i="6" s="1"/>
  <c r="L10" i="6"/>
  <c r="M10" i="6" s="1"/>
  <c r="L79" i="6"/>
  <c r="M79" i="6" s="1"/>
  <c r="L99" i="6"/>
  <c r="M99" i="6" s="1"/>
  <c r="Q11" i="6"/>
  <c r="O11" i="6" s="1"/>
  <c r="Q185" i="6"/>
  <c r="O185" i="6" s="1"/>
  <c r="L101" i="6"/>
  <c r="M101" i="6" s="1"/>
  <c r="L153" i="6"/>
  <c r="M153" i="6" s="1"/>
  <c r="U30" i="6"/>
  <c r="V30" i="6" s="1"/>
  <c r="T30" i="6" s="1"/>
  <c r="Q30" i="6" s="1"/>
  <c r="Q6" i="6"/>
  <c r="O6" i="6" s="1"/>
  <c r="Q151" i="6"/>
  <c r="O151" i="6" s="1"/>
  <c r="L144" i="6"/>
  <c r="M144" i="6" s="1"/>
  <c r="Q165" i="6"/>
  <c r="O165" i="6" s="1"/>
  <c r="Q181" i="6"/>
  <c r="O181" i="6" s="1"/>
  <c r="L106" i="6"/>
  <c r="M106" i="6" s="1"/>
  <c r="Q89" i="6"/>
  <c r="O89" i="6" s="1"/>
  <c r="V14" i="6"/>
  <c r="T14" i="6" s="1"/>
  <c r="V41" i="6"/>
  <c r="T41" i="6" s="1"/>
  <c r="O176" i="6"/>
  <c r="L176" i="6"/>
  <c r="M176" i="6" s="1"/>
  <c r="O94" i="6"/>
  <c r="L94" i="6"/>
  <c r="M94" i="6" s="1"/>
  <c r="O52" i="6"/>
  <c r="L52" i="6"/>
  <c r="M52" i="6" s="1"/>
  <c r="O164" i="6"/>
  <c r="L164" i="6"/>
  <c r="M164" i="6" s="1"/>
  <c r="O27" i="6"/>
  <c r="L27" i="6"/>
  <c r="M27" i="6" s="1"/>
  <c r="O167" i="6"/>
  <c r="L167" i="6"/>
  <c r="M167" i="6" s="1"/>
  <c r="L179" i="6"/>
  <c r="M179" i="6" s="1"/>
  <c r="O132" i="6"/>
  <c r="L132" i="6"/>
  <c r="M132" i="6" s="1"/>
  <c r="O135" i="6"/>
  <c r="L135" i="6"/>
  <c r="M135" i="6" s="1"/>
  <c r="O4" i="6"/>
  <c r="L4" i="6"/>
  <c r="M4" i="6" s="1"/>
  <c r="O143" i="6"/>
  <c r="L143" i="6"/>
  <c r="M143" i="6" s="1"/>
  <c r="O24" i="6"/>
  <c r="L24" i="6"/>
  <c r="M24" i="6" s="1"/>
  <c r="O54" i="6"/>
  <c r="L54" i="6"/>
  <c r="M54" i="6" s="1"/>
  <c r="O62" i="6"/>
  <c r="L62" i="6"/>
  <c r="M62" i="6" s="1"/>
  <c r="N32" i="6"/>
  <c r="A33" i="6"/>
  <c r="A44" i="6"/>
  <c r="S32" i="6"/>
  <c r="R32" i="6"/>
  <c r="V83" i="6"/>
  <c r="T83" i="6" s="1"/>
  <c r="Q83" i="6" s="1"/>
  <c r="O83" i="6" s="1"/>
  <c r="Q160" i="6"/>
  <c r="O160" i="6" s="1"/>
  <c r="Q183" i="6"/>
  <c r="O183" i="6" s="1"/>
  <c r="V122" i="6"/>
  <c r="T122" i="6" s="1"/>
  <c r="Q122" i="6" s="1"/>
  <c r="O122" i="6" s="1"/>
  <c r="L92" i="6"/>
  <c r="M92" i="6" s="1"/>
  <c r="L157" i="6"/>
  <c r="M157" i="6" s="1"/>
  <c r="L142" i="6"/>
  <c r="M142" i="6" s="1"/>
  <c r="A43" i="6"/>
  <c r="N31" i="6"/>
  <c r="S31" i="6"/>
  <c r="R31" i="6"/>
  <c r="V12" i="6"/>
  <c r="T12" i="6" s="1"/>
  <c r="Q12" i="6" s="1"/>
  <c r="O12" i="6" s="1"/>
  <c r="L134" i="6"/>
  <c r="M134" i="6" s="1"/>
  <c r="L76" i="6"/>
  <c r="M76" i="6" s="1"/>
  <c r="Q131" i="6"/>
  <c r="O131" i="6" s="1"/>
  <c r="Q146" i="6"/>
  <c r="O146" i="6" s="1"/>
  <c r="L173" i="6"/>
  <c r="M173" i="6" s="1"/>
  <c r="L162" i="6"/>
  <c r="M162" i="6" s="1"/>
  <c r="Q103" i="6"/>
  <c r="O103" i="6" s="1"/>
  <c r="L70" i="6"/>
  <c r="M70" i="6" s="1"/>
  <c r="L48" i="6"/>
  <c r="M48" i="6" s="1"/>
  <c r="Q174" i="6"/>
  <c r="O174" i="6" s="1"/>
  <c r="L147" i="6"/>
  <c r="M147" i="6" s="1"/>
  <c r="L127" i="6"/>
  <c r="M127" i="6" s="1"/>
  <c r="L150" i="6"/>
  <c r="M150" i="6" s="1"/>
  <c r="L159" i="6"/>
  <c r="M159" i="6" s="1"/>
  <c r="V114" i="6"/>
  <c r="T114" i="6" s="1"/>
  <c r="Q114" i="6" s="1"/>
  <c r="O114" i="6" s="1"/>
  <c r="Q98" i="6"/>
  <c r="O98" i="6" s="1"/>
  <c r="L26" i="6"/>
  <c r="M26" i="6" s="1"/>
  <c r="Q161" i="6"/>
  <c r="O161" i="6" s="1"/>
  <c r="Q9" i="6"/>
  <c r="O9" i="6" s="1"/>
  <c r="L67" i="6"/>
  <c r="M67" i="6" s="1"/>
  <c r="V74" i="6"/>
  <c r="T74" i="6" s="1"/>
  <c r="Q74" i="6" s="1"/>
  <c r="L64" i="6"/>
  <c r="M64" i="6" s="1"/>
  <c r="L61" i="6"/>
  <c r="M61" i="6" s="1"/>
  <c r="L175" i="6"/>
  <c r="M175" i="6" s="1"/>
  <c r="L117" i="6"/>
  <c r="M117" i="6" s="1"/>
  <c r="L148" i="6"/>
  <c r="M148" i="6" s="1"/>
  <c r="L77" i="6"/>
  <c r="M77" i="6" s="1"/>
  <c r="L29" i="6"/>
  <c r="M29" i="6" s="1"/>
  <c r="L124" i="6"/>
  <c r="M124" i="6" s="1"/>
  <c r="Q25" i="6"/>
  <c r="O25" i="6" s="1"/>
  <c r="L108" i="6"/>
  <c r="M108" i="6" s="1"/>
  <c r="V84" i="6"/>
  <c r="T84" i="6" s="1"/>
  <c r="Q84" i="6" s="1"/>
  <c r="V91" i="6"/>
  <c r="T91" i="6" s="1"/>
  <c r="Q91" i="6" s="1"/>
  <c r="O91" i="6" s="1"/>
  <c r="L110" i="6"/>
  <c r="M110" i="6" s="1"/>
  <c r="L109" i="6"/>
  <c r="M109" i="6" s="1"/>
  <c r="V180" i="6"/>
  <c r="T180" i="6" s="1"/>
  <c r="Q180" i="6" s="1"/>
  <c r="O180" i="6" s="1"/>
  <c r="R8" i="6"/>
  <c r="S8" i="6"/>
  <c r="N8" i="6"/>
  <c r="Q116" i="6"/>
  <c r="O116" i="6" s="1"/>
  <c r="Q140" i="6"/>
  <c r="O140" i="6" s="1"/>
  <c r="L149" i="6"/>
  <c r="M149" i="6" s="1"/>
  <c r="L58" i="6"/>
  <c r="M58" i="6" s="1"/>
  <c r="L163" i="6"/>
  <c r="M163" i="6" s="1"/>
  <c r="V5" i="6"/>
  <c r="T5" i="6" s="1"/>
  <c r="V139" i="6"/>
  <c r="T139" i="6" s="1"/>
  <c r="Q139" i="6" s="1"/>
  <c r="O139" i="6" s="1"/>
  <c r="Q156" i="6"/>
  <c r="O156" i="6" s="1"/>
  <c r="L21" i="6"/>
  <c r="M21" i="6" s="1"/>
  <c r="L155" i="6"/>
  <c r="M155" i="6" s="1"/>
  <c r="Q13" i="6"/>
  <c r="O13" i="6" s="1"/>
  <c r="L125" i="6"/>
  <c r="M125" i="6" s="1"/>
  <c r="L130" i="6"/>
  <c r="M130" i="6" s="1"/>
  <c r="L118" i="6"/>
  <c r="M118" i="6" s="1"/>
  <c r="L123" i="6"/>
  <c r="M123" i="6" s="1"/>
  <c r="V39" i="6"/>
  <c r="T39" i="6" s="1"/>
  <c r="Q39" i="6" s="1"/>
  <c r="O39" i="6" s="1"/>
  <c r="V145" i="6"/>
  <c r="T145" i="6" s="1"/>
  <c r="Q145" i="6" s="1"/>
  <c r="O145" i="6" s="1"/>
  <c r="Q102" i="6"/>
  <c r="O102" i="6" s="1"/>
  <c r="L57" i="6"/>
  <c r="M57" i="6" s="1"/>
  <c r="L172" i="6"/>
  <c r="M172" i="6" s="1"/>
  <c r="L80" i="6"/>
  <c r="M80" i="6" s="1"/>
  <c r="L88" i="6"/>
  <c r="M88" i="6" s="1"/>
  <c r="V7" i="6"/>
  <c r="T7" i="6" s="1"/>
  <c r="Q7" i="6" s="1"/>
  <c r="O7" i="6" s="1"/>
  <c r="Q120" i="6"/>
  <c r="O120" i="6" s="1"/>
  <c r="U170" i="6"/>
  <c r="L28" i="6"/>
  <c r="M28" i="6" s="1"/>
  <c r="S42" i="6"/>
  <c r="R42" i="6"/>
  <c r="N42" i="6"/>
  <c r="V40" i="6"/>
  <c r="T40" i="6" s="1"/>
  <c r="L22" i="6"/>
  <c r="M22" i="6" s="1"/>
  <c r="V75" i="6"/>
  <c r="T75" i="6" s="1"/>
  <c r="Q75" i="6" s="1"/>
  <c r="O75" i="6" s="1"/>
  <c r="V111" i="6"/>
  <c r="T111" i="6" s="1"/>
  <c r="Q111" i="6" s="1"/>
  <c r="V115" i="6"/>
  <c r="T115" i="6" s="1"/>
  <c r="Q115" i="6" s="1"/>
  <c r="A16" i="6"/>
  <c r="N15" i="6"/>
  <c r="R15" i="6"/>
  <c r="S15" i="6"/>
  <c r="L152" i="6"/>
  <c r="M152" i="6" s="1"/>
  <c r="V81" i="6"/>
  <c r="T81" i="6" s="1"/>
  <c r="Q81" i="6" s="1"/>
  <c r="O81" i="6" s="1"/>
  <c r="L141" i="6"/>
  <c r="M141" i="6" s="1"/>
  <c r="Y184" i="1"/>
  <c r="Z184" i="1" s="1"/>
  <c r="X184" i="1" s="1"/>
  <c r="Q183" i="1"/>
  <c r="J183" i="1"/>
  <c r="N183" i="1" s="1"/>
  <c r="Q182" i="1"/>
  <c r="W182" i="1"/>
  <c r="L119" i="6" l="1"/>
  <c r="M119" i="6" s="1"/>
  <c r="L113" i="6"/>
  <c r="M113" i="6" s="1"/>
  <c r="O66" i="6"/>
  <c r="L66" i="6"/>
  <c r="M66" i="6" s="1"/>
  <c r="M3" i="7"/>
  <c r="G32" i="7"/>
  <c r="H32" i="7" s="1"/>
  <c r="L47" i="6"/>
  <c r="M47" i="6" s="1"/>
  <c r="L166" i="6"/>
  <c r="M166" i="6" s="1"/>
  <c r="O184" i="6"/>
  <c r="Q14" i="6"/>
  <c r="O14" i="6" s="1"/>
  <c r="L122" i="6"/>
  <c r="M122" i="6" s="1"/>
  <c r="L98" i="6"/>
  <c r="M98" i="6" s="1"/>
  <c r="L136" i="6"/>
  <c r="M136" i="6" s="1"/>
  <c r="L129" i="6"/>
  <c r="M129" i="6" s="1"/>
  <c r="L6" i="6"/>
  <c r="M6" i="6" s="1"/>
  <c r="L39" i="6"/>
  <c r="M39" i="6" s="1"/>
  <c r="L75" i="6"/>
  <c r="M75" i="6" s="1"/>
  <c r="U42" i="6"/>
  <c r="V42" i="6" s="1"/>
  <c r="T42" i="6" s="1"/>
  <c r="Q42" i="6" s="1"/>
  <c r="U8" i="6"/>
  <c r="V8" i="6" s="1"/>
  <c r="T8" i="6" s="1"/>
  <c r="L165" i="6"/>
  <c r="M165" i="6" s="1"/>
  <c r="L59" i="6"/>
  <c r="M59" i="6" s="1"/>
  <c r="U15" i="6"/>
  <c r="Q5" i="6"/>
  <c r="O5" i="6" s="1"/>
  <c r="L12" i="6"/>
  <c r="M12" i="6" s="1"/>
  <c r="L181" i="6"/>
  <c r="M181" i="6" s="1"/>
  <c r="L89" i="6"/>
  <c r="M89" i="6" s="1"/>
  <c r="Q55" i="6"/>
  <c r="O55" i="6" s="1"/>
  <c r="L65" i="6"/>
  <c r="M65" i="6" s="1"/>
  <c r="L171" i="6"/>
  <c r="M171" i="6" s="1"/>
  <c r="L158" i="6"/>
  <c r="M158" i="6" s="1"/>
  <c r="L114" i="6"/>
  <c r="M114" i="6" s="1"/>
  <c r="U32" i="6"/>
  <c r="V32" i="6" s="1"/>
  <c r="T32" i="6" s="1"/>
  <c r="Q32" i="6" s="1"/>
  <c r="L71" i="6"/>
  <c r="M71" i="6" s="1"/>
  <c r="L185" i="6"/>
  <c r="M185" i="6" s="1"/>
  <c r="L11" i="6"/>
  <c r="M11" i="6" s="1"/>
  <c r="L151" i="6"/>
  <c r="M151" i="6" s="1"/>
  <c r="Q40" i="6"/>
  <c r="O40" i="6" s="1"/>
  <c r="L97" i="6"/>
  <c r="M97" i="6" s="1"/>
  <c r="O84" i="6"/>
  <c r="L84" i="6"/>
  <c r="M84" i="6" s="1"/>
  <c r="O74" i="6"/>
  <c r="L74" i="6"/>
  <c r="M74" i="6" s="1"/>
  <c r="O115" i="6"/>
  <c r="L115" i="6"/>
  <c r="M115" i="6" s="1"/>
  <c r="O30" i="6"/>
  <c r="L30" i="6"/>
  <c r="M30" i="6" s="1"/>
  <c r="O111" i="6"/>
  <c r="L111" i="6"/>
  <c r="M111" i="6" s="1"/>
  <c r="A17" i="6"/>
  <c r="N16" i="6"/>
  <c r="S16" i="6"/>
  <c r="R16" i="6"/>
  <c r="L180" i="6"/>
  <c r="M180" i="6" s="1"/>
  <c r="L83" i="6"/>
  <c r="M83" i="6" s="1"/>
  <c r="V15" i="6"/>
  <c r="T15" i="6" s="1"/>
  <c r="Q15" i="6" s="1"/>
  <c r="O15" i="6" s="1"/>
  <c r="L139" i="6"/>
  <c r="M139" i="6" s="1"/>
  <c r="Q41" i="6"/>
  <c r="O41" i="6" s="1"/>
  <c r="L116" i="6"/>
  <c r="M116" i="6" s="1"/>
  <c r="L7" i="6"/>
  <c r="M7" i="6" s="1"/>
  <c r="L145" i="6"/>
  <c r="M145" i="6" s="1"/>
  <c r="L91" i="6"/>
  <c r="M91" i="6" s="1"/>
  <c r="U31" i="6"/>
  <c r="N44" i="6"/>
  <c r="R44" i="6"/>
  <c r="S44" i="6"/>
  <c r="L102" i="6"/>
  <c r="M102" i="6" s="1"/>
  <c r="A34" i="6"/>
  <c r="A45" i="6"/>
  <c r="N33" i="6"/>
  <c r="R33" i="6"/>
  <c r="S33" i="6"/>
  <c r="L81" i="6"/>
  <c r="M81" i="6" s="1"/>
  <c r="V170" i="6"/>
  <c r="T170" i="6" s="1"/>
  <c r="Q170" i="6" s="1"/>
  <c r="O170" i="6" s="1"/>
  <c r="R43" i="6"/>
  <c r="N43" i="6"/>
  <c r="S43" i="6"/>
  <c r="L140" i="6"/>
  <c r="M140" i="6" s="1"/>
  <c r="L174" i="6"/>
  <c r="M174" i="6" s="1"/>
  <c r="L146" i="6"/>
  <c r="M146" i="6" s="1"/>
  <c r="L120" i="6"/>
  <c r="M120" i="6" s="1"/>
  <c r="L103" i="6"/>
  <c r="M103" i="6" s="1"/>
  <c r="L160" i="6"/>
  <c r="M160" i="6" s="1"/>
  <c r="L161" i="6"/>
  <c r="M161" i="6" s="1"/>
  <c r="L183" i="6"/>
  <c r="M183" i="6" s="1"/>
  <c r="L25" i="6"/>
  <c r="M25" i="6" s="1"/>
  <c r="L9" i="6"/>
  <c r="M9" i="6" s="1"/>
  <c r="L156" i="6"/>
  <c r="M156" i="6" s="1"/>
  <c r="L131" i="6"/>
  <c r="M131" i="6" s="1"/>
  <c r="L13" i="6"/>
  <c r="M13" i="6" s="1"/>
  <c r="U184" i="1"/>
  <c r="O184" i="1" s="1"/>
  <c r="W183" i="1"/>
  <c r="Y183" i="1" s="1"/>
  <c r="V183" i="1"/>
  <c r="N182" i="1"/>
  <c r="Y182" i="1" s="1"/>
  <c r="V182" i="1"/>
  <c r="Q181" i="1"/>
  <c r="J181" i="1"/>
  <c r="L14" i="6" l="1"/>
  <c r="M14" i="6" s="1"/>
  <c r="O42" i="6"/>
  <c r="L42" i="6"/>
  <c r="M42" i="6" s="1"/>
  <c r="Q8" i="6"/>
  <c r="O8" i="6" s="1"/>
  <c r="L15" i="6"/>
  <c r="M15" i="6" s="1"/>
  <c r="L5" i="6"/>
  <c r="M5" i="6" s="1"/>
  <c r="L40" i="6"/>
  <c r="M40" i="6" s="1"/>
  <c r="L55" i="6"/>
  <c r="M55" i="6" s="1"/>
  <c r="L170" i="6"/>
  <c r="M170" i="6" s="1"/>
  <c r="O32" i="6"/>
  <c r="L32" i="6"/>
  <c r="M32" i="6" s="1"/>
  <c r="V31" i="6"/>
  <c r="T31" i="6" s="1"/>
  <c r="Q31" i="6" s="1"/>
  <c r="O31" i="6" s="1"/>
  <c r="S45" i="6"/>
  <c r="R45" i="6"/>
  <c r="N45" i="6"/>
  <c r="A46" i="6"/>
  <c r="A35" i="6"/>
  <c r="R34" i="6"/>
  <c r="N34" i="6"/>
  <c r="S34" i="6"/>
  <c r="U16" i="6"/>
  <c r="U43" i="6"/>
  <c r="U44" i="6"/>
  <c r="A18" i="6"/>
  <c r="R17" i="6"/>
  <c r="N17" i="6"/>
  <c r="S17" i="6"/>
  <c r="L41" i="6"/>
  <c r="M41" i="6" s="1"/>
  <c r="U33" i="6"/>
  <c r="L184" i="1"/>
  <c r="M184" i="1" s="1"/>
  <c r="Z183" i="1"/>
  <c r="X183" i="1" s="1"/>
  <c r="U183" i="1" s="1"/>
  <c r="O183" i="1" s="1"/>
  <c r="Z182" i="1"/>
  <c r="X182" i="1" s="1"/>
  <c r="U182" i="1" s="1"/>
  <c r="O182" i="1" s="1"/>
  <c r="N181" i="1"/>
  <c r="W181" i="1"/>
  <c r="V181" i="1"/>
  <c r="H180" i="1"/>
  <c r="J180" i="1" s="1"/>
  <c r="Q180" i="1"/>
  <c r="U17" i="6" l="1"/>
  <c r="V17" i="6" s="1"/>
  <c r="T17" i="6" s="1"/>
  <c r="Q17" i="6" s="1"/>
  <c r="O17" i="6" s="1"/>
  <c r="L8" i="6"/>
  <c r="M8" i="6" s="1"/>
  <c r="V44" i="6"/>
  <c r="T44" i="6" s="1"/>
  <c r="Q44" i="6" s="1"/>
  <c r="V43" i="6"/>
  <c r="T43" i="6" s="1"/>
  <c r="Q43" i="6" s="1"/>
  <c r="O43" i="6" s="1"/>
  <c r="V33" i="6"/>
  <c r="T33" i="6" s="1"/>
  <c r="Q33" i="6" s="1"/>
  <c r="O33" i="6" s="1"/>
  <c r="V16" i="6"/>
  <c r="T16" i="6" s="1"/>
  <c r="Q16" i="6" s="1"/>
  <c r="O16" i="6" s="1"/>
  <c r="U45" i="6"/>
  <c r="U34" i="6"/>
  <c r="L31" i="6"/>
  <c r="M31" i="6" s="1"/>
  <c r="A37" i="6"/>
  <c r="A36" i="6"/>
  <c r="N35" i="6"/>
  <c r="S35" i="6"/>
  <c r="R35" i="6"/>
  <c r="R18" i="6"/>
  <c r="N18" i="6"/>
  <c r="S18" i="6"/>
  <c r="S46" i="6"/>
  <c r="N46" i="6"/>
  <c r="R46" i="6"/>
  <c r="L182" i="1"/>
  <c r="M182" i="1" s="1"/>
  <c r="L183" i="1"/>
  <c r="M183" i="1" s="1"/>
  <c r="Y181" i="1"/>
  <c r="W180" i="1"/>
  <c r="N180" i="1"/>
  <c r="V180" i="1"/>
  <c r="Q179" i="1"/>
  <c r="J179" i="1"/>
  <c r="W179" i="1" s="1"/>
  <c r="U35" i="6" l="1"/>
  <c r="U18" i="6"/>
  <c r="L16" i="6"/>
  <c r="M16" i="6" s="1"/>
  <c r="O44" i="6"/>
  <c r="L44" i="6"/>
  <c r="M44" i="6" s="1"/>
  <c r="U46" i="6"/>
  <c r="R37" i="6"/>
  <c r="N37" i="6"/>
  <c r="S37" i="6"/>
  <c r="V18" i="6"/>
  <c r="T18" i="6" s="1"/>
  <c r="Q18" i="6" s="1"/>
  <c r="L17" i="6"/>
  <c r="M17" i="6" s="1"/>
  <c r="L33" i="6"/>
  <c r="M33" i="6" s="1"/>
  <c r="A38" i="6"/>
  <c r="R36" i="6"/>
  <c r="N36" i="6"/>
  <c r="S36" i="6"/>
  <c r="V35" i="6"/>
  <c r="T35" i="6" s="1"/>
  <c r="V34" i="6"/>
  <c r="T34" i="6" s="1"/>
  <c r="L43" i="6"/>
  <c r="M43" i="6" s="1"/>
  <c r="V45" i="6"/>
  <c r="T45" i="6" s="1"/>
  <c r="Q45" i="6" s="1"/>
  <c r="O45" i="6" s="1"/>
  <c r="Z181" i="1"/>
  <c r="X181" i="1" s="1"/>
  <c r="U181" i="1" s="1"/>
  <c r="O181" i="1" s="1"/>
  <c r="Y180" i="1"/>
  <c r="Z180" i="1" s="1"/>
  <c r="X180" i="1" s="1"/>
  <c r="U180" i="1" s="1"/>
  <c r="O180" i="1" s="1"/>
  <c r="V179" i="1"/>
  <c r="N179" i="1"/>
  <c r="Y179" i="1" s="1"/>
  <c r="Z179" i="1" s="1"/>
  <c r="X179" i="1" s="1"/>
  <c r="Q178" i="1"/>
  <c r="J178" i="1"/>
  <c r="U37" i="6" l="1"/>
  <c r="V37" i="6" s="1"/>
  <c r="T37" i="6" s="1"/>
  <c r="Q37" i="6" s="1"/>
  <c r="L45" i="6"/>
  <c r="M45" i="6" s="1"/>
  <c r="Q34" i="6"/>
  <c r="O34" i="6" s="1"/>
  <c r="O18" i="6"/>
  <c r="L18" i="6"/>
  <c r="M18" i="6" s="1"/>
  <c r="V46" i="6"/>
  <c r="T46" i="6" s="1"/>
  <c r="Q46" i="6" s="1"/>
  <c r="O46" i="6" s="1"/>
  <c r="Q35" i="6"/>
  <c r="O35" i="6" s="1"/>
  <c r="N38" i="6"/>
  <c r="R38" i="6"/>
  <c r="S38" i="6"/>
  <c r="U36" i="6"/>
  <c r="U179" i="1"/>
  <c r="O179" i="1" s="1"/>
  <c r="L181" i="1"/>
  <c r="M181" i="1" s="1"/>
  <c r="L180" i="1"/>
  <c r="M180" i="1" s="1"/>
  <c r="L179" i="1"/>
  <c r="M179" i="1" s="1"/>
  <c r="N178" i="1"/>
  <c r="V178" i="1"/>
  <c r="W178" i="1"/>
  <c r="L35" i="6" l="1"/>
  <c r="M35" i="6" s="1"/>
  <c r="L34" i="6"/>
  <c r="M34" i="6" s="1"/>
  <c r="O37" i="6"/>
  <c r="L37" i="6"/>
  <c r="M37" i="6" s="1"/>
  <c r="V36" i="6"/>
  <c r="T36" i="6" s="1"/>
  <c r="Q36" i="6" s="1"/>
  <c r="O36" i="6" s="1"/>
  <c r="L46" i="6"/>
  <c r="M46" i="6" s="1"/>
  <c r="U38" i="6"/>
  <c r="Y178" i="1"/>
  <c r="Z178" i="1" s="1"/>
  <c r="X178" i="1" s="1"/>
  <c r="U178" i="1" s="1"/>
  <c r="O178" i="1" s="1"/>
  <c r="L36" i="6" l="1"/>
  <c r="M36" i="6" s="1"/>
  <c r="V38" i="6"/>
  <c r="T38" i="6" s="1"/>
  <c r="Q38" i="6" s="1"/>
  <c r="L178" i="1"/>
  <c r="M178" i="1" s="1"/>
  <c r="O38" i="6" l="1"/>
  <c r="L38" i="6"/>
  <c r="M38" i="6" s="1"/>
  <c r="Q177" i="1"/>
  <c r="J177" i="1"/>
  <c r="N177" i="1" s="1"/>
  <c r="Q176" i="1"/>
  <c r="J176" i="1"/>
  <c r="N176" i="1" s="1"/>
  <c r="Q175" i="1"/>
  <c r="J175" i="1"/>
  <c r="N175" i="1" s="1"/>
  <c r="Q174" i="1"/>
  <c r="J174" i="1"/>
  <c r="N174" i="1" s="1"/>
  <c r="Q173" i="1"/>
  <c r="J173" i="1"/>
  <c r="N173" i="1" s="1"/>
  <c r="Q172" i="1"/>
  <c r="J172" i="1"/>
  <c r="N172" i="1" s="1"/>
  <c r="Q171" i="1"/>
  <c r="J171" i="1"/>
  <c r="N171" i="1" s="1"/>
  <c r="Q170" i="1"/>
  <c r="J170" i="1"/>
  <c r="N170" i="1" s="1"/>
  <c r="K169" i="1"/>
  <c r="H169" i="1"/>
  <c r="Q169" i="1"/>
  <c r="I169" i="1"/>
  <c r="K168" i="1"/>
  <c r="I168" i="1"/>
  <c r="H168" i="1"/>
  <c r="Q168" i="1"/>
  <c r="K167" i="1"/>
  <c r="I167" i="1"/>
  <c r="H167" i="1"/>
  <c r="Q167" i="1"/>
  <c r="V177" i="1" l="1"/>
  <c r="K177" i="1"/>
  <c r="W177" i="1" s="1"/>
  <c r="Y177" i="1" s="1"/>
  <c r="V176" i="1"/>
  <c r="K176" i="1"/>
  <c r="W176" i="1" s="1"/>
  <c r="Y176" i="1" s="1"/>
  <c r="J169" i="1"/>
  <c r="V169" i="1" s="1"/>
  <c r="J168" i="1"/>
  <c r="W168" i="1" s="1"/>
  <c r="K175" i="1"/>
  <c r="W175" i="1" s="1"/>
  <c r="Y175" i="1" s="1"/>
  <c r="V175" i="1"/>
  <c r="V174" i="1"/>
  <c r="K174" i="1"/>
  <c r="W174" i="1" s="1"/>
  <c r="Y174" i="1" s="1"/>
  <c r="K171" i="1"/>
  <c r="W171" i="1" s="1"/>
  <c r="Y171" i="1" s="1"/>
  <c r="V173" i="1"/>
  <c r="K173" i="1"/>
  <c r="W173" i="1" s="1"/>
  <c r="Y173" i="1" s="1"/>
  <c r="K170" i="1"/>
  <c r="W170" i="1" s="1"/>
  <c r="Y170" i="1" s="1"/>
  <c r="V172" i="1"/>
  <c r="K172" i="1"/>
  <c r="W172" i="1" s="1"/>
  <c r="Y172" i="1" s="1"/>
  <c r="V171" i="1"/>
  <c r="V170" i="1"/>
  <c r="J167" i="1"/>
  <c r="V167" i="1" s="1"/>
  <c r="H165" i="1"/>
  <c r="J165" i="1" s="1"/>
  <c r="K165" i="1"/>
  <c r="Q165" i="1"/>
  <c r="H166" i="1"/>
  <c r="J166" i="1" s="1"/>
  <c r="Q166" i="1"/>
  <c r="K166" i="1"/>
  <c r="N169" i="1" l="1"/>
  <c r="Y169" i="1" s="1"/>
  <c r="W169" i="1"/>
  <c r="V168" i="1"/>
  <c r="N168" i="1"/>
  <c r="Y168" i="1" s="1"/>
  <c r="Z168" i="1" s="1"/>
  <c r="X168" i="1" s="1"/>
  <c r="Z177" i="1"/>
  <c r="X177" i="1" s="1"/>
  <c r="U177" i="1" s="1"/>
  <c r="O177" i="1" s="1"/>
  <c r="Z176" i="1"/>
  <c r="X176" i="1" s="1"/>
  <c r="U176" i="1" s="1"/>
  <c r="O176" i="1" s="1"/>
  <c r="Z175" i="1"/>
  <c r="X175" i="1" s="1"/>
  <c r="U175" i="1" s="1"/>
  <c r="O175" i="1" s="1"/>
  <c r="Z174" i="1"/>
  <c r="X174" i="1" s="1"/>
  <c r="Z173" i="1"/>
  <c r="X173" i="1" s="1"/>
  <c r="U173" i="1" s="1"/>
  <c r="O173" i="1" s="1"/>
  <c r="Z172" i="1"/>
  <c r="X172" i="1" s="1"/>
  <c r="U172" i="1" s="1"/>
  <c r="O172" i="1" s="1"/>
  <c r="Z171" i="1"/>
  <c r="X171" i="1" s="1"/>
  <c r="U171" i="1" s="1"/>
  <c r="O171" i="1" s="1"/>
  <c r="Z170" i="1"/>
  <c r="X170" i="1" s="1"/>
  <c r="U170" i="1" s="1"/>
  <c r="O170" i="1" s="1"/>
  <c r="N167" i="1"/>
  <c r="W167" i="1"/>
  <c r="V165" i="1"/>
  <c r="W165" i="1"/>
  <c r="N165" i="1"/>
  <c r="N166" i="1"/>
  <c r="W166" i="1"/>
  <c r="V166" i="1"/>
  <c r="Q115" i="1"/>
  <c r="I115" i="1"/>
  <c r="J115" i="1" s="1"/>
  <c r="K115" i="1" s="1"/>
  <c r="U168" i="1" l="1"/>
  <c r="O168" i="1" s="1"/>
  <c r="L177" i="1"/>
  <c r="M177" i="1" s="1"/>
  <c r="L176" i="1"/>
  <c r="M176" i="1" s="1"/>
  <c r="L175" i="1"/>
  <c r="M175" i="1" s="1"/>
  <c r="L173" i="1"/>
  <c r="M173" i="1" s="1"/>
  <c r="U174" i="1"/>
  <c r="O174" i="1" s="1"/>
  <c r="L172" i="1"/>
  <c r="M172" i="1" s="1"/>
  <c r="L171" i="1"/>
  <c r="M171" i="1" s="1"/>
  <c r="L170" i="1"/>
  <c r="M170" i="1" s="1"/>
  <c r="Y167" i="1"/>
  <c r="Z167" i="1" s="1"/>
  <c r="X167" i="1" s="1"/>
  <c r="U167" i="1" s="1"/>
  <c r="O167" i="1" s="1"/>
  <c r="Z169" i="1"/>
  <c r="X169" i="1" s="1"/>
  <c r="U169" i="1" s="1"/>
  <c r="O169" i="1" s="1"/>
  <c r="Y165" i="1"/>
  <c r="Y166" i="1"/>
  <c r="N115" i="1"/>
  <c r="W115" i="1"/>
  <c r="V115" i="1"/>
  <c r="Q98" i="1"/>
  <c r="H98" i="1"/>
  <c r="J98" i="1" s="1"/>
  <c r="L168" i="1" l="1"/>
  <c r="M168" i="1" s="1"/>
  <c r="L174" i="1"/>
  <c r="M174" i="1" s="1"/>
  <c r="L169" i="1"/>
  <c r="M169" i="1" s="1"/>
  <c r="L167" i="1"/>
  <c r="M167" i="1" s="1"/>
  <c r="Z165" i="1"/>
  <c r="X165" i="1" s="1"/>
  <c r="U165" i="1" s="1"/>
  <c r="Z166" i="1"/>
  <c r="X166" i="1" s="1"/>
  <c r="U166" i="1" s="1"/>
  <c r="Y115" i="1"/>
  <c r="N98" i="1"/>
  <c r="V98" i="1"/>
  <c r="K98" i="1"/>
  <c r="W98" i="1" s="1"/>
  <c r="H164" i="1"/>
  <c r="J164" i="1" s="1"/>
  <c r="K164" i="1" s="1"/>
  <c r="H163" i="1"/>
  <c r="J163" i="1" s="1"/>
  <c r="K163" i="1" s="1"/>
  <c r="H162" i="1"/>
  <c r="J162" i="1" s="1"/>
  <c r="K162" i="1" s="1"/>
  <c r="Q164" i="1"/>
  <c r="Q163" i="1"/>
  <c r="Q162" i="1"/>
  <c r="H161" i="1"/>
  <c r="J161" i="1" s="1"/>
  <c r="H160" i="1"/>
  <c r="J160" i="1" s="1"/>
  <c r="N160" i="1" s="1"/>
  <c r="H159" i="1"/>
  <c r="J159" i="1" s="1"/>
  <c r="Q161" i="1"/>
  <c r="Q160" i="1"/>
  <c r="Q159" i="1"/>
  <c r="H158" i="1"/>
  <c r="J158" i="1" s="1"/>
  <c r="K158" i="1" s="1"/>
  <c r="H157" i="1"/>
  <c r="J157" i="1" s="1"/>
  <c r="K157" i="1" s="1"/>
  <c r="H156" i="1"/>
  <c r="J156" i="1" s="1"/>
  <c r="K156" i="1" s="1"/>
  <c r="Q158" i="1"/>
  <c r="Q157" i="1"/>
  <c r="Q156" i="1"/>
  <c r="Q155" i="1"/>
  <c r="H155" i="1"/>
  <c r="J155" i="1" s="1"/>
  <c r="K155" i="1" s="1"/>
  <c r="Q154" i="1"/>
  <c r="H154" i="1"/>
  <c r="J154" i="1" s="1"/>
  <c r="K154" i="1" s="1"/>
  <c r="H153" i="1"/>
  <c r="J153" i="1" s="1"/>
  <c r="K153" i="1" s="1"/>
  <c r="Q153" i="1"/>
  <c r="O165" i="1" l="1"/>
  <c r="L165" i="1"/>
  <c r="M165" i="1" s="1"/>
  <c r="O166" i="1"/>
  <c r="L166" i="1"/>
  <c r="M166" i="1" s="1"/>
  <c r="Z115" i="1"/>
  <c r="X115" i="1" s="1"/>
  <c r="Y98" i="1"/>
  <c r="Z98" i="1" s="1"/>
  <c r="X98" i="1" s="1"/>
  <c r="V162" i="1"/>
  <c r="N162" i="1"/>
  <c r="W162" i="1"/>
  <c r="N164" i="1"/>
  <c r="W164" i="1"/>
  <c r="V164" i="1"/>
  <c r="W163" i="1"/>
  <c r="V163" i="1"/>
  <c r="N163" i="1"/>
  <c r="N159" i="1"/>
  <c r="K159" i="1"/>
  <c r="W159" i="1" s="1"/>
  <c r="V159" i="1"/>
  <c r="V160" i="1"/>
  <c r="K160" i="1"/>
  <c r="W160" i="1" s="1"/>
  <c r="Y160" i="1" s="1"/>
  <c r="N161" i="1"/>
  <c r="V161" i="1"/>
  <c r="K161" i="1"/>
  <c r="W161" i="1" s="1"/>
  <c r="V157" i="1"/>
  <c r="W157" i="1"/>
  <c r="N157" i="1"/>
  <c r="V156" i="1"/>
  <c r="N156" i="1"/>
  <c r="W156" i="1"/>
  <c r="N158" i="1"/>
  <c r="V158" i="1"/>
  <c r="W158" i="1"/>
  <c r="N155" i="1"/>
  <c r="W155" i="1"/>
  <c r="V155" i="1"/>
  <c r="N154" i="1"/>
  <c r="W154" i="1"/>
  <c r="V154" i="1"/>
  <c r="W153" i="1"/>
  <c r="V153" i="1"/>
  <c r="N153" i="1"/>
  <c r="H94" i="1"/>
  <c r="H93" i="1"/>
  <c r="U115" i="1" l="1"/>
  <c r="O115" i="1" s="1"/>
  <c r="U98" i="1"/>
  <c r="O98" i="1" s="1"/>
  <c r="Y164" i="1"/>
  <c r="Z164" i="1" s="1"/>
  <c r="X164" i="1" s="1"/>
  <c r="U164" i="1" s="1"/>
  <c r="O164" i="1" s="1"/>
  <c r="Y163" i="1"/>
  <c r="Y162" i="1"/>
  <c r="Z162" i="1" s="1"/>
  <c r="X162" i="1" s="1"/>
  <c r="Y161" i="1"/>
  <c r="Z161" i="1" s="1"/>
  <c r="X161" i="1" s="1"/>
  <c r="U161" i="1" s="1"/>
  <c r="Y159" i="1"/>
  <c r="Z159" i="1" s="1"/>
  <c r="X159" i="1" s="1"/>
  <c r="Z160" i="1"/>
  <c r="X160" i="1" s="1"/>
  <c r="U160" i="1" s="1"/>
  <c r="O160" i="1" s="1"/>
  <c r="Y158" i="1"/>
  <c r="Z158" i="1" s="1"/>
  <c r="X158" i="1" s="1"/>
  <c r="U158" i="1" s="1"/>
  <c r="Y157" i="1"/>
  <c r="Z157" i="1" s="1"/>
  <c r="X157" i="1" s="1"/>
  <c r="Y156" i="1"/>
  <c r="Y155" i="1"/>
  <c r="Y154" i="1"/>
  <c r="Z154" i="1" s="1"/>
  <c r="X154" i="1" s="1"/>
  <c r="Y153" i="1"/>
  <c r="Q110" i="1"/>
  <c r="J110" i="1"/>
  <c r="N110" i="1" s="1"/>
  <c r="L115" i="1" l="1"/>
  <c r="M115" i="1" s="1"/>
  <c r="L98" i="1"/>
  <c r="M98" i="1" s="1"/>
  <c r="Z163" i="1"/>
  <c r="X163" i="1" s="1"/>
  <c r="U162" i="1"/>
  <c r="O162" i="1" s="1"/>
  <c r="U159" i="1"/>
  <c r="O159" i="1" s="1"/>
  <c r="L164" i="1"/>
  <c r="M164" i="1" s="1"/>
  <c r="O161" i="1"/>
  <c r="L161" i="1"/>
  <c r="M161" i="1" s="1"/>
  <c r="L160" i="1"/>
  <c r="M160" i="1" s="1"/>
  <c r="O158" i="1"/>
  <c r="L158" i="1"/>
  <c r="M158" i="1" s="1"/>
  <c r="Z156" i="1"/>
  <c r="X156" i="1" s="1"/>
  <c r="U156" i="1" s="1"/>
  <c r="O156" i="1" s="1"/>
  <c r="U157" i="1"/>
  <c r="O157" i="1" s="1"/>
  <c r="Z155" i="1"/>
  <c r="X155" i="1" s="1"/>
  <c r="U155" i="1" s="1"/>
  <c r="O155" i="1" s="1"/>
  <c r="U154" i="1"/>
  <c r="O154" i="1" s="1"/>
  <c r="Z153" i="1"/>
  <c r="X153" i="1" s="1"/>
  <c r="U153" i="1" s="1"/>
  <c r="O153" i="1" s="1"/>
  <c r="V110" i="1"/>
  <c r="K110" i="1"/>
  <c r="W110" i="1" s="1"/>
  <c r="Y110" i="1" s="1"/>
  <c r="Q94" i="1"/>
  <c r="J94" i="1"/>
  <c r="Q93" i="1"/>
  <c r="K93" i="1"/>
  <c r="J93" i="1"/>
  <c r="H152" i="1"/>
  <c r="J152" i="1" s="1"/>
  <c r="H151" i="1"/>
  <c r="J151" i="1" s="1"/>
  <c r="Q152" i="1"/>
  <c r="K152" i="1"/>
  <c r="Q151" i="1"/>
  <c r="K151" i="1"/>
  <c r="L159" i="1" l="1"/>
  <c r="M159" i="1" s="1"/>
  <c r="U163" i="1"/>
  <c r="O163" i="1" s="1"/>
  <c r="L162" i="1"/>
  <c r="M162" i="1" s="1"/>
  <c r="L156" i="1"/>
  <c r="M156" i="1" s="1"/>
  <c r="L157" i="1"/>
  <c r="M157" i="1" s="1"/>
  <c r="L155" i="1"/>
  <c r="M155" i="1" s="1"/>
  <c r="L154" i="1"/>
  <c r="M154" i="1" s="1"/>
  <c r="L153" i="1"/>
  <c r="M153" i="1" s="1"/>
  <c r="Z110" i="1"/>
  <c r="X110" i="1" s="1"/>
  <c r="W93" i="1"/>
  <c r="V93" i="1"/>
  <c r="N93" i="1"/>
  <c r="N94" i="1"/>
  <c r="W94" i="1"/>
  <c r="V94" i="1"/>
  <c r="N151" i="1"/>
  <c r="W151" i="1"/>
  <c r="V151" i="1"/>
  <c r="W152" i="1"/>
  <c r="V152" i="1"/>
  <c r="N152" i="1"/>
  <c r="J224" i="5"/>
  <c r="J223" i="5"/>
  <c r="K223" i="5" s="1"/>
  <c r="J222" i="5"/>
  <c r="J221" i="5"/>
  <c r="Q150" i="1"/>
  <c r="J150" i="1"/>
  <c r="N150" i="1" s="1"/>
  <c r="H224" i="5"/>
  <c r="G224" i="5"/>
  <c r="J220" i="5"/>
  <c r="J217" i="5"/>
  <c r="J218" i="5"/>
  <c r="J219" i="5"/>
  <c r="H220" i="5"/>
  <c r="G220" i="5"/>
  <c r="I223" i="5"/>
  <c r="L223" i="5" s="1"/>
  <c r="I222" i="5"/>
  <c r="L222" i="5" s="1"/>
  <c r="Q149" i="1"/>
  <c r="J149" i="1"/>
  <c r="N149" i="1" s="1"/>
  <c r="J250" i="5"/>
  <c r="J248" i="5"/>
  <c r="J249" i="5"/>
  <c r="G250" i="5"/>
  <c r="Q148" i="1"/>
  <c r="J148" i="1"/>
  <c r="N148" i="1" s="1"/>
  <c r="J244" i="5"/>
  <c r="J245" i="5"/>
  <c r="J246" i="5"/>
  <c r="Q147" i="1"/>
  <c r="J147" i="1"/>
  <c r="N147" i="1" s="1"/>
  <c r="H246" i="5"/>
  <c r="G246" i="5"/>
  <c r="J242" i="5"/>
  <c r="J241" i="5"/>
  <c r="K241" i="5" s="1"/>
  <c r="J240" i="5"/>
  <c r="G242" i="5"/>
  <c r="Q146" i="1"/>
  <c r="J146" i="1"/>
  <c r="N146" i="1" s="1"/>
  <c r="J228" i="5"/>
  <c r="G228" i="5"/>
  <c r="Q145" i="1"/>
  <c r="J145" i="1"/>
  <c r="N145" i="1" s="1"/>
  <c r="J197" i="5"/>
  <c r="M197" i="5" s="1"/>
  <c r="H197" i="5"/>
  <c r="G197" i="5"/>
  <c r="I196" i="5"/>
  <c r="L196" i="5" s="1"/>
  <c r="I195" i="5"/>
  <c r="J195" i="5" s="1"/>
  <c r="J237" i="5"/>
  <c r="K237" i="5" s="1"/>
  <c r="J238" i="5"/>
  <c r="Q144" i="1"/>
  <c r="J144" i="1"/>
  <c r="N144" i="1" s="1"/>
  <c r="H238" i="5"/>
  <c r="G238" i="5"/>
  <c r="J230" i="5"/>
  <c r="G233" i="5"/>
  <c r="Q143" i="1"/>
  <c r="J143" i="1"/>
  <c r="N143" i="1" s="1"/>
  <c r="H206" i="5"/>
  <c r="I206" i="5" s="1"/>
  <c r="J206" i="5" s="1"/>
  <c r="K206" i="5" s="1"/>
  <c r="H97" i="1"/>
  <c r="J97" i="1" s="1"/>
  <c r="N97" i="1" s="1"/>
  <c r="Q97" i="1"/>
  <c r="J213" i="5"/>
  <c r="Q142" i="1"/>
  <c r="J142" i="1"/>
  <c r="N142" i="1" s="1"/>
  <c r="I210" i="5"/>
  <c r="L210" i="5" s="1"/>
  <c r="J212" i="5"/>
  <c r="H212" i="5"/>
  <c r="I212" i="5" s="1"/>
  <c r="I211" i="5"/>
  <c r="L211" i="5" s="1"/>
  <c r="G213" i="5"/>
  <c r="J204" i="5"/>
  <c r="G200" i="5"/>
  <c r="Q141" i="1"/>
  <c r="J141" i="1"/>
  <c r="N141" i="1" s="1"/>
  <c r="Q140" i="1"/>
  <c r="J140" i="1"/>
  <c r="N140" i="1" s="1"/>
  <c r="J193" i="5"/>
  <c r="Q139" i="1"/>
  <c r="J139" i="1"/>
  <c r="N139" i="1" s="1"/>
  <c r="J186" i="5"/>
  <c r="K186" i="5" s="1"/>
  <c r="H186" i="5"/>
  <c r="I186" i="5" s="1"/>
  <c r="J184" i="5"/>
  <c r="K184" i="5" s="1"/>
  <c r="I184" i="5"/>
  <c r="L184" i="5" s="1"/>
  <c r="J138" i="1"/>
  <c r="N138" i="1" s="1"/>
  <c r="Q138" i="1"/>
  <c r="G176" i="5"/>
  <c r="I176" i="5" s="1"/>
  <c r="J179" i="5"/>
  <c r="H179" i="5"/>
  <c r="I179" i="5" s="1"/>
  <c r="J178" i="5"/>
  <c r="K178" i="5" s="1"/>
  <c r="I178" i="5"/>
  <c r="L178" i="5" s="1"/>
  <c r="J177" i="5"/>
  <c r="I177" i="5"/>
  <c r="L177" i="5" s="1"/>
  <c r="G173" i="5"/>
  <c r="I169" i="5"/>
  <c r="L169" i="5" s="1"/>
  <c r="J172" i="5"/>
  <c r="H172" i="5"/>
  <c r="I172" i="5" s="1"/>
  <c r="J171" i="5"/>
  <c r="I171" i="5"/>
  <c r="L171" i="5" s="1"/>
  <c r="J170" i="5"/>
  <c r="K170" i="5" s="1"/>
  <c r="I170" i="5"/>
  <c r="G167" i="5"/>
  <c r="I163" i="5"/>
  <c r="L163" i="5" s="1"/>
  <c r="J166" i="5"/>
  <c r="H166" i="5"/>
  <c r="I166" i="5" s="1"/>
  <c r="J165" i="5"/>
  <c r="I165" i="5"/>
  <c r="L165" i="5" s="1"/>
  <c r="J164" i="5"/>
  <c r="M164" i="5" s="1"/>
  <c r="I164" i="5"/>
  <c r="L164" i="5" s="1"/>
  <c r="G153" i="5"/>
  <c r="I153" i="5" s="1"/>
  <c r="J153" i="5" s="1"/>
  <c r="J155" i="5"/>
  <c r="M155" i="5" s="1"/>
  <c r="I155" i="5"/>
  <c r="L155" i="5" s="1"/>
  <c r="J156" i="5"/>
  <c r="H156" i="5"/>
  <c r="I156" i="5" s="1"/>
  <c r="J154" i="5"/>
  <c r="I154" i="5"/>
  <c r="L154" i="5" s="1"/>
  <c r="G181" i="5"/>
  <c r="J151" i="5"/>
  <c r="J149" i="5"/>
  <c r="J148" i="5"/>
  <c r="Q137" i="1"/>
  <c r="J137" i="1"/>
  <c r="N137" i="1" s="1"/>
  <c r="I150" i="5"/>
  <c r="L150" i="5" s="1"/>
  <c r="J146" i="5"/>
  <c r="J145" i="5"/>
  <c r="J144" i="5"/>
  <c r="J143" i="5"/>
  <c r="H151" i="5"/>
  <c r="H152" i="5" s="1"/>
  <c r="I149" i="5"/>
  <c r="L149" i="5" s="1"/>
  <c r="G148" i="5"/>
  <c r="G152" i="5" s="1"/>
  <c r="Q136" i="1"/>
  <c r="J136" i="1"/>
  <c r="H227" i="5"/>
  <c r="I227" i="5" s="1"/>
  <c r="J227" i="5" s="1"/>
  <c r="K227" i="5" s="1"/>
  <c r="H249" i="5"/>
  <c r="I249" i="5" s="1"/>
  <c r="I245" i="5"/>
  <c r="H241" i="5"/>
  <c r="I241" i="5" s="1"/>
  <c r="H232" i="5"/>
  <c r="I232" i="5" s="1"/>
  <c r="J232" i="5" s="1"/>
  <c r="K232" i="5" s="1"/>
  <c r="H201" i="5"/>
  <c r="I201" i="5" s="1"/>
  <c r="J201" i="5" s="1"/>
  <c r="K201" i="5" s="1"/>
  <c r="H146" i="5"/>
  <c r="H147" i="5" s="1"/>
  <c r="I237" i="5"/>
  <c r="L163" i="1" l="1"/>
  <c r="M163" i="1" s="1"/>
  <c r="U110" i="1"/>
  <c r="O110" i="1" s="1"/>
  <c r="Y94" i="1"/>
  <c r="Y93" i="1"/>
  <c r="Y151" i="1"/>
  <c r="Z151" i="1" s="1"/>
  <c r="X151" i="1" s="1"/>
  <c r="U151" i="1" s="1"/>
  <c r="O151" i="1" s="1"/>
  <c r="Y152" i="1"/>
  <c r="V150" i="1"/>
  <c r="W150" i="1"/>
  <c r="Y150" i="1" s="1"/>
  <c r="I224" i="5"/>
  <c r="N223" i="5"/>
  <c r="O223" i="5" s="1"/>
  <c r="K222" i="5"/>
  <c r="N222" i="5" s="1"/>
  <c r="O222" i="5" s="1"/>
  <c r="K224" i="5"/>
  <c r="H242" i="5"/>
  <c r="M223" i="5"/>
  <c r="M222" i="5"/>
  <c r="M224" i="5"/>
  <c r="H250" i="5"/>
  <c r="V149" i="1"/>
  <c r="W149" i="1"/>
  <c r="Y149" i="1" s="1"/>
  <c r="K249" i="5"/>
  <c r="V148" i="1"/>
  <c r="W148" i="1"/>
  <c r="Y148" i="1" s="1"/>
  <c r="K245" i="5"/>
  <c r="V147" i="1"/>
  <c r="W147" i="1"/>
  <c r="Y147" i="1" s="1"/>
  <c r="J196" i="5"/>
  <c r="M196" i="5" s="1"/>
  <c r="I197" i="5"/>
  <c r="K197" i="5"/>
  <c r="L213" i="5"/>
  <c r="G180" i="5"/>
  <c r="J211" i="5"/>
  <c r="M211" i="5" s="1"/>
  <c r="L195" i="5"/>
  <c r="L197" i="5" s="1"/>
  <c r="H228" i="5"/>
  <c r="V146" i="1"/>
  <c r="W146" i="1"/>
  <c r="Y146" i="1" s="1"/>
  <c r="V145" i="1"/>
  <c r="W145" i="1"/>
  <c r="Y145" i="1" s="1"/>
  <c r="M195" i="5"/>
  <c r="K195" i="5"/>
  <c r="J210" i="5"/>
  <c r="M210" i="5" s="1"/>
  <c r="V144" i="1"/>
  <c r="W144" i="1"/>
  <c r="Y144" i="1" s="1"/>
  <c r="V143" i="1"/>
  <c r="W143" i="1"/>
  <c r="Y143" i="1" s="1"/>
  <c r="V97" i="1"/>
  <c r="K97" i="1"/>
  <c r="W97" i="1" s="1"/>
  <c r="Y97" i="1" s="1"/>
  <c r="V142" i="1"/>
  <c r="W142" i="1"/>
  <c r="Y142" i="1" s="1"/>
  <c r="H213" i="5"/>
  <c r="I213" i="5" s="1"/>
  <c r="H180" i="5"/>
  <c r="K212" i="5"/>
  <c r="N212" i="5" s="1"/>
  <c r="O212" i="5" s="1"/>
  <c r="M212" i="5"/>
  <c r="V141" i="1"/>
  <c r="W141" i="1"/>
  <c r="Y141" i="1" s="1"/>
  <c r="V140" i="1"/>
  <c r="W140" i="1"/>
  <c r="Y140" i="1" s="1"/>
  <c r="V139" i="1"/>
  <c r="W139" i="1"/>
  <c r="Y139" i="1" s="1"/>
  <c r="V138" i="1"/>
  <c r="W138" i="1"/>
  <c r="Y138" i="1" s="1"/>
  <c r="L176" i="5"/>
  <c r="L180" i="5" s="1"/>
  <c r="J176" i="5"/>
  <c r="K177" i="5"/>
  <c r="N177" i="5" s="1"/>
  <c r="O177" i="5" s="1"/>
  <c r="M179" i="5"/>
  <c r="K179" i="5"/>
  <c r="N179" i="5" s="1"/>
  <c r="O179" i="5" s="1"/>
  <c r="M178" i="5"/>
  <c r="M177" i="5"/>
  <c r="N178" i="5"/>
  <c r="O178" i="5" s="1"/>
  <c r="H173" i="5"/>
  <c r="I173" i="5" s="1"/>
  <c r="J173" i="5" s="1"/>
  <c r="M170" i="5"/>
  <c r="J169" i="5"/>
  <c r="K171" i="5"/>
  <c r="N171" i="5" s="1"/>
  <c r="O171" i="5" s="1"/>
  <c r="K172" i="5"/>
  <c r="N172" i="5" s="1"/>
  <c r="O172" i="5" s="1"/>
  <c r="M172" i="5"/>
  <c r="L170" i="5"/>
  <c r="N170" i="5" s="1"/>
  <c r="O170" i="5" s="1"/>
  <c r="M171" i="5"/>
  <c r="L167" i="5"/>
  <c r="J163" i="5"/>
  <c r="K163" i="5" s="1"/>
  <c r="N163" i="5" s="1"/>
  <c r="O163" i="5" s="1"/>
  <c r="H167" i="5"/>
  <c r="I167" i="5" s="1"/>
  <c r="J167" i="5" s="1"/>
  <c r="H157" i="5"/>
  <c r="K165" i="5"/>
  <c r="N165" i="5" s="1"/>
  <c r="O165" i="5" s="1"/>
  <c r="K166" i="5"/>
  <c r="N166" i="5" s="1"/>
  <c r="O166" i="5" s="1"/>
  <c r="K164" i="5"/>
  <c r="N164" i="5" s="1"/>
  <c r="O164" i="5" s="1"/>
  <c r="M166" i="5"/>
  <c r="M165" i="5"/>
  <c r="G157" i="5"/>
  <c r="L153" i="5"/>
  <c r="K155" i="5"/>
  <c r="N155" i="5" s="1"/>
  <c r="O155" i="5" s="1"/>
  <c r="K156" i="5"/>
  <c r="N156" i="5" s="1"/>
  <c r="O156" i="5" s="1"/>
  <c r="K154" i="5"/>
  <c r="N154" i="5" s="1"/>
  <c r="O154" i="5" s="1"/>
  <c r="M156" i="5"/>
  <c r="J150" i="5"/>
  <c r="K150" i="5" s="1"/>
  <c r="N150" i="5" s="1"/>
  <c r="O150" i="5" s="1"/>
  <c r="M154" i="5"/>
  <c r="V137" i="1"/>
  <c r="W137" i="1"/>
  <c r="Y137" i="1" s="1"/>
  <c r="I152" i="5"/>
  <c r="J152" i="5" s="1"/>
  <c r="I151" i="5"/>
  <c r="I148" i="5"/>
  <c r="N136" i="1"/>
  <c r="W136" i="1"/>
  <c r="V136" i="1"/>
  <c r="I248" i="5"/>
  <c r="I244" i="5"/>
  <c r="M241" i="5"/>
  <c r="I174" i="5"/>
  <c r="J174" i="5" s="1"/>
  <c r="I236" i="5"/>
  <c r="I234" i="5"/>
  <c r="I181" i="5"/>
  <c r="K230" i="5"/>
  <c r="I230" i="5"/>
  <c r="L230" i="5" s="1"/>
  <c r="H233" i="5"/>
  <c r="I231" i="5"/>
  <c r="I214" i="5"/>
  <c r="I205" i="5"/>
  <c r="H207" i="5"/>
  <c r="I215" i="5"/>
  <c r="I168" i="5"/>
  <c r="J168" i="5" s="1"/>
  <c r="I226" i="5"/>
  <c r="J226" i="5" s="1"/>
  <c r="M226" i="5" s="1"/>
  <c r="I221" i="5"/>
  <c r="L221" i="5" s="1"/>
  <c r="L224" i="5" s="1"/>
  <c r="K219" i="5"/>
  <c r="I219" i="5"/>
  <c r="L219" i="5" s="1"/>
  <c r="I218" i="5"/>
  <c r="L218" i="5" s="1"/>
  <c r="M217" i="5"/>
  <c r="G209" i="5"/>
  <c r="I209" i="5" s="1"/>
  <c r="G204" i="5"/>
  <c r="I204" i="5" s="1"/>
  <c r="L204" i="5" s="1"/>
  <c r="G208" i="5"/>
  <c r="I208" i="5" s="1"/>
  <c r="H202" i="5"/>
  <c r="I200" i="5"/>
  <c r="G199" i="5"/>
  <c r="I199" i="5" s="1"/>
  <c r="G189" i="5"/>
  <c r="I189" i="5" s="1"/>
  <c r="G188" i="5"/>
  <c r="I188" i="5" s="1"/>
  <c r="G183" i="5"/>
  <c r="G187" i="5" s="1"/>
  <c r="I185" i="5"/>
  <c r="H187" i="5"/>
  <c r="H193" i="5"/>
  <c r="G193" i="5"/>
  <c r="I192" i="5"/>
  <c r="I191" i="5"/>
  <c r="G162" i="5"/>
  <c r="I162" i="5" s="1"/>
  <c r="L162" i="5" s="1"/>
  <c r="G161" i="5"/>
  <c r="I161" i="5" s="1"/>
  <c r="G160" i="5"/>
  <c r="I160" i="5" s="1"/>
  <c r="I159" i="5"/>
  <c r="I158" i="5"/>
  <c r="I146" i="5"/>
  <c r="G143" i="5"/>
  <c r="G147" i="5" s="1"/>
  <c r="I145" i="5"/>
  <c r="I144" i="5"/>
  <c r="K210" i="5" l="1"/>
  <c r="N210" i="5" s="1"/>
  <c r="O210" i="5" s="1"/>
  <c r="L110" i="1"/>
  <c r="M110" i="1" s="1"/>
  <c r="Z93" i="1"/>
  <c r="X93" i="1" s="1"/>
  <c r="U93" i="1" s="1"/>
  <c r="Z94" i="1"/>
  <c r="X94" i="1" s="1"/>
  <c r="U94" i="1" s="1"/>
  <c r="O94" i="1" s="1"/>
  <c r="Z152" i="1"/>
  <c r="X152" i="1" s="1"/>
  <c r="U152" i="1" s="1"/>
  <c r="O152" i="1" s="1"/>
  <c r="L151" i="1"/>
  <c r="M151" i="1" s="1"/>
  <c r="Z150" i="1"/>
  <c r="X150" i="1" s="1"/>
  <c r="U150" i="1" s="1"/>
  <c r="O150" i="1" s="1"/>
  <c r="N224" i="5"/>
  <c r="O224" i="5" s="1"/>
  <c r="Z149" i="1"/>
  <c r="X149" i="1" s="1"/>
  <c r="U149" i="1" s="1"/>
  <c r="O149" i="1" s="1"/>
  <c r="Z148" i="1"/>
  <c r="X148" i="1" s="1"/>
  <c r="U148" i="1" s="1"/>
  <c r="O148" i="1" s="1"/>
  <c r="Z147" i="1"/>
  <c r="X147" i="1" s="1"/>
  <c r="U147" i="1" s="1"/>
  <c r="O147" i="1" s="1"/>
  <c r="K211" i="5"/>
  <c r="N211" i="5" s="1"/>
  <c r="O211" i="5" s="1"/>
  <c r="I180" i="5"/>
  <c r="J180" i="5" s="1"/>
  <c r="M180" i="5" s="1"/>
  <c r="N197" i="5"/>
  <c r="O197" i="5" s="1"/>
  <c r="N195" i="5"/>
  <c r="O195" i="5" s="1"/>
  <c r="K196" i="5"/>
  <c r="N196" i="5" s="1"/>
  <c r="O196" i="5" s="1"/>
  <c r="L248" i="5"/>
  <c r="L250" i="5" s="1"/>
  <c r="M248" i="5"/>
  <c r="K244" i="5"/>
  <c r="L244" i="5"/>
  <c r="L246" i="5" s="1"/>
  <c r="I157" i="5"/>
  <c r="J157" i="5" s="1"/>
  <c r="M157" i="5" s="1"/>
  <c r="Z146" i="1"/>
  <c r="X146" i="1" s="1"/>
  <c r="U146" i="1" s="1"/>
  <c r="O146" i="1" s="1"/>
  <c r="Z145" i="1"/>
  <c r="X145" i="1" s="1"/>
  <c r="U145" i="1" s="1"/>
  <c r="O145" i="1" s="1"/>
  <c r="L215" i="5"/>
  <c r="J215" i="5"/>
  <c r="L234" i="5"/>
  <c r="J234" i="5"/>
  <c r="J236" i="5"/>
  <c r="M236" i="5" s="1"/>
  <c r="L236" i="5"/>
  <c r="L238" i="5" s="1"/>
  <c r="L214" i="5"/>
  <c r="J214" i="5"/>
  <c r="K214" i="5" s="1"/>
  <c r="N214" i="5" s="1"/>
  <c r="O214" i="5" s="1"/>
  <c r="Z144" i="1"/>
  <c r="X144" i="1" s="1"/>
  <c r="Z143" i="1"/>
  <c r="X143" i="1" s="1"/>
  <c r="U143" i="1" s="1"/>
  <c r="O143" i="1" s="1"/>
  <c r="Z97" i="1"/>
  <c r="X97" i="1" s="1"/>
  <c r="U97" i="1" s="1"/>
  <c r="O97" i="1" s="1"/>
  <c r="L231" i="5"/>
  <c r="L233" i="5" s="1"/>
  <c r="J231" i="5"/>
  <c r="J233" i="5" s="1"/>
  <c r="M233" i="5" s="1"/>
  <c r="Z142" i="1"/>
  <c r="X142" i="1" s="1"/>
  <c r="U142" i="1" s="1"/>
  <c r="O142" i="1" s="1"/>
  <c r="J199" i="5"/>
  <c r="K199" i="5" s="1"/>
  <c r="L199" i="5"/>
  <c r="L191" i="5"/>
  <c r="J191" i="5"/>
  <c r="M191" i="5" s="1"/>
  <c r="L185" i="5"/>
  <c r="J185" i="5"/>
  <c r="M185" i="5" s="1"/>
  <c r="L192" i="5"/>
  <c r="J192" i="5"/>
  <c r="K192" i="5" s="1"/>
  <c r="J208" i="5"/>
  <c r="K208" i="5" s="1"/>
  <c r="L208" i="5"/>
  <c r="L188" i="5"/>
  <c r="J188" i="5"/>
  <c r="K188" i="5" s="1"/>
  <c r="L189" i="5"/>
  <c r="J189" i="5"/>
  <c r="M189" i="5" s="1"/>
  <c r="L209" i="5"/>
  <c r="J209" i="5"/>
  <c r="K209" i="5" s="1"/>
  <c r="L205" i="5"/>
  <c r="L207" i="5" s="1"/>
  <c r="J205" i="5"/>
  <c r="J207" i="5" s="1"/>
  <c r="K207" i="5" s="1"/>
  <c r="M213" i="5"/>
  <c r="K213" i="5"/>
  <c r="N213" i="5" s="1"/>
  <c r="O213" i="5" s="1"/>
  <c r="L200" i="5"/>
  <c r="J200" i="5"/>
  <c r="M200" i="5" s="1"/>
  <c r="Z141" i="1"/>
  <c r="X141" i="1" s="1"/>
  <c r="Z140" i="1"/>
  <c r="X140" i="1" s="1"/>
  <c r="U140" i="1" s="1"/>
  <c r="O140" i="1" s="1"/>
  <c r="Z139" i="1"/>
  <c r="X139" i="1" s="1"/>
  <c r="U139" i="1" s="1"/>
  <c r="O139" i="1" s="1"/>
  <c r="Z138" i="1"/>
  <c r="X138" i="1" s="1"/>
  <c r="U138" i="1" s="1"/>
  <c r="O138" i="1" s="1"/>
  <c r="M176" i="5"/>
  <c r="K176" i="5"/>
  <c r="N176" i="5" s="1"/>
  <c r="O176" i="5" s="1"/>
  <c r="L173" i="5"/>
  <c r="M169" i="5"/>
  <c r="K169" i="5"/>
  <c r="N169" i="5" s="1"/>
  <c r="O169" i="5" s="1"/>
  <c r="M173" i="5"/>
  <c r="K173" i="5"/>
  <c r="M163" i="5"/>
  <c r="M167" i="5"/>
  <c r="K167" i="5"/>
  <c r="M150" i="5"/>
  <c r="J161" i="5"/>
  <c r="M161" i="5" s="1"/>
  <c r="J160" i="5"/>
  <c r="M160" i="5" s="1"/>
  <c r="K153" i="5"/>
  <c r="N153" i="5" s="1"/>
  <c r="O153" i="5" s="1"/>
  <c r="M153" i="5"/>
  <c r="L158" i="5"/>
  <c r="J158" i="5"/>
  <c r="K158" i="5" s="1"/>
  <c r="L157" i="5"/>
  <c r="L174" i="5"/>
  <c r="M174" i="5"/>
  <c r="L159" i="5"/>
  <c r="J159" i="5"/>
  <c r="K159" i="5" s="1"/>
  <c r="L168" i="5"/>
  <c r="K168" i="5"/>
  <c r="J162" i="5"/>
  <c r="K162" i="5" s="1"/>
  <c r="N162" i="5" s="1"/>
  <c r="O162" i="5" s="1"/>
  <c r="L181" i="5"/>
  <c r="J181" i="5"/>
  <c r="K181" i="5" s="1"/>
  <c r="Z137" i="1"/>
  <c r="X137" i="1" s="1"/>
  <c r="U137" i="1" s="1"/>
  <c r="O137" i="1" s="1"/>
  <c r="M149" i="5"/>
  <c r="K149" i="5"/>
  <c r="N149" i="5" s="1"/>
  <c r="O149" i="5" s="1"/>
  <c r="L148" i="5"/>
  <c r="L152" i="5" s="1"/>
  <c r="L145" i="5"/>
  <c r="M145" i="5"/>
  <c r="M151" i="5"/>
  <c r="K151" i="5"/>
  <c r="N151" i="5" s="1"/>
  <c r="O151" i="5" s="1"/>
  <c r="L144" i="5"/>
  <c r="M152" i="5"/>
  <c r="K152" i="5"/>
  <c r="Y136" i="1"/>
  <c r="I242" i="5"/>
  <c r="I250" i="5"/>
  <c r="I246" i="5"/>
  <c r="N249" i="5"/>
  <c r="O249" i="5" s="1"/>
  <c r="K250" i="5"/>
  <c r="M249" i="5"/>
  <c r="M250" i="5"/>
  <c r="N245" i="5"/>
  <c r="O245" i="5" s="1"/>
  <c r="K246" i="5"/>
  <c r="M245" i="5"/>
  <c r="M246" i="5"/>
  <c r="M244" i="5"/>
  <c r="K240" i="5"/>
  <c r="K242" i="5"/>
  <c r="M240" i="5"/>
  <c r="M242" i="5"/>
  <c r="I240" i="5"/>
  <c r="L240" i="5" s="1"/>
  <c r="L242" i="5" s="1"/>
  <c r="N241" i="5"/>
  <c r="O241" i="5" s="1"/>
  <c r="I238" i="5"/>
  <c r="N237" i="5"/>
  <c r="O237" i="5" s="1"/>
  <c r="K238" i="5"/>
  <c r="M237" i="5"/>
  <c r="M238" i="5"/>
  <c r="K234" i="5"/>
  <c r="M234" i="5"/>
  <c r="M230" i="5"/>
  <c r="N230" i="5"/>
  <c r="O230" i="5" s="1"/>
  <c r="I233" i="5"/>
  <c r="N232" i="5"/>
  <c r="O232" i="5" s="1"/>
  <c r="M232" i="5"/>
  <c r="M231" i="5"/>
  <c r="N206" i="5"/>
  <c r="O206" i="5" s="1"/>
  <c r="M206" i="5"/>
  <c r="G207" i="5"/>
  <c r="I207" i="5" s="1"/>
  <c r="K215" i="5"/>
  <c r="M215" i="5"/>
  <c r="I220" i="5"/>
  <c r="I228" i="5"/>
  <c r="N227" i="5"/>
  <c r="O227" i="5" s="1"/>
  <c r="K228" i="5"/>
  <c r="K226" i="5"/>
  <c r="M227" i="5"/>
  <c r="M228" i="5"/>
  <c r="K221" i="5"/>
  <c r="N221" i="5" s="1"/>
  <c r="O221" i="5" s="1"/>
  <c r="M221" i="5"/>
  <c r="N219" i="5"/>
  <c r="O219" i="5" s="1"/>
  <c r="I217" i="5"/>
  <c r="K218" i="5"/>
  <c r="N218" i="5" s="1"/>
  <c r="O218" i="5" s="1"/>
  <c r="K220" i="5"/>
  <c r="M219" i="5"/>
  <c r="K217" i="5"/>
  <c r="M218" i="5"/>
  <c r="M220" i="5"/>
  <c r="G202" i="5"/>
  <c r="I202" i="5" s="1"/>
  <c r="K204" i="5"/>
  <c r="N204" i="5" s="1"/>
  <c r="O204" i="5" s="1"/>
  <c r="M204" i="5"/>
  <c r="N184" i="5"/>
  <c r="O184" i="5" s="1"/>
  <c r="N201" i="5"/>
  <c r="O201" i="5" s="1"/>
  <c r="M201" i="5"/>
  <c r="I187" i="5"/>
  <c r="J187" i="5" s="1"/>
  <c r="M187" i="5" s="1"/>
  <c r="K189" i="5"/>
  <c r="N189" i="5" s="1"/>
  <c r="O189" i="5" s="1"/>
  <c r="I183" i="5"/>
  <c r="M184" i="5"/>
  <c r="N186" i="5"/>
  <c r="O186" i="5" s="1"/>
  <c r="M186" i="5"/>
  <c r="K193" i="5"/>
  <c r="M193" i="5"/>
  <c r="I193" i="5"/>
  <c r="L161" i="5"/>
  <c r="L160" i="5"/>
  <c r="I143" i="5"/>
  <c r="K146" i="5"/>
  <c r="N146" i="5" s="1"/>
  <c r="O146" i="5" s="1"/>
  <c r="M146" i="5"/>
  <c r="K145" i="5"/>
  <c r="K144" i="5"/>
  <c r="M144" i="5"/>
  <c r="Q125" i="1"/>
  <c r="J125" i="1"/>
  <c r="N125" i="1" s="1"/>
  <c r="Q124" i="1"/>
  <c r="J124" i="1"/>
  <c r="W124" i="1" s="1"/>
  <c r="K180" i="5" l="1"/>
  <c r="N180" i="5" s="1"/>
  <c r="O180" i="5" s="1"/>
  <c r="O93" i="1"/>
  <c r="L93" i="1"/>
  <c r="M93" i="1" s="1"/>
  <c r="L94" i="1"/>
  <c r="M94" i="1" s="1"/>
  <c r="L152" i="1"/>
  <c r="M152" i="1" s="1"/>
  <c r="L150" i="1"/>
  <c r="M150" i="1" s="1"/>
  <c r="L149" i="1"/>
  <c r="M149" i="1" s="1"/>
  <c r="N244" i="5"/>
  <c r="O244" i="5" s="1"/>
  <c r="N208" i="5"/>
  <c r="O208" i="5" s="1"/>
  <c r="L148" i="1"/>
  <c r="M148" i="1" s="1"/>
  <c r="L147" i="1"/>
  <c r="M147" i="1" s="1"/>
  <c r="K191" i="5"/>
  <c r="N191" i="5" s="1"/>
  <c r="O191" i="5" s="1"/>
  <c r="M159" i="5"/>
  <c r="M207" i="5"/>
  <c r="L193" i="5"/>
  <c r="N193" i="5" s="1"/>
  <c r="O193" i="5" s="1"/>
  <c r="K248" i="5"/>
  <c r="N248" i="5" s="1"/>
  <c r="O248" i="5" s="1"/>
  <c r="K205" i="5"/>
  <c r="N205" i="5" s="1"/>
  <c r="O205" i="5" s="1"/>
  <c r="N159" i="5"/>
  <c r="O159" i="5" s="1"/>
  <c r="N215" i="5"/>
  <c r="O215" i="5" s="1"/>
  <c r="M214" i="5"/>
  <c r="N234" i="5"/>
  <c r="O234" i="5" s="1"/>
  <c r="K157" i="5"/>
  <c r="N157" i="5" s="1"/>
  <c r="O157" i="5" s="1"/>
  <c r="N188" i="5"/>
  <c r="O188" i="5" s="1"/>
  <c r="M188" i="5"/>
  <c r="M208" i="5"/>
  <c r="M205" i="5"/>
  <c r="L202" i="5"/>
  <c r="K185" i="5"/>
  <c r="N185" i="5" s="1"/>
  <c r="O185" i="5" s="1"/>
  <c r="K231" i="5"/>
  <c r="N231" i="5" s="1"/>
  <c r="O231" i="5" s="1"/>
  <c r="M199" i="5"/>
  <c r="K233" i="5"/>
  <c r="N233" i="5" s="1"/>
  <c r="O233" i="5" s="1"/>
  <c r="K236" i="5"/>
  <c r="N236" i="5" s="1"/>
  <c r="O236" i="5" s="1"/>
  <c r="N209" i="5"/>
  <c r="O209" i="5" s="1"/>
  <c r="N242" i="5"/>
  <c r="O242" i="5" s="1"/>
  <c r="L146" i="1"/>
  <c r="M146" i="1" s="1"/>
  <c r="L145" i="1"/>
  <c r="M145" i="1" s="1"/>
  <c r="U144" i="1"/>
  <c r="O144" i="1" s="1"/>
  <c r="L143" i="1"/>
  <c r="M143" i="1" s="1"/>
  <c r="L97" i="1"/>
  <c r="M97" i="1" s="1"/>
  <c r="L142" i="1"/>
  <c r="M142" i="1" s="1"/>
  <c r="M209" i="5"/>
  <c r="M192" i="5"/>
  <c r="L183" i="5"/>
  <c r="L187" i="5" s="1"/>
  <c r="J183" i="5"/>
  <c r="N192" i="5"/>
  <c r="O192" i="5" s="1"/>
  <c r="N181" i="5"/>
  <c r="O181" i="5" s="1"/>
  <c r="J202" i="5"/>
  <c r="K200" i="5"/>
  <c r="N200" i="5" s="1"/>
  <c r="O200" i="5" s="1"/>
  <c r="U141" i="1"/>
  <c r="O141" i="1" s="1"/>
  <c r="L140" i="1"/>
  <c r="M140" i="1" s="1"/>
  <c r="L139" i="1"/>
  <c r="M139" i="1" s="1"/>
  <c r="K187" i="5"/>
  <c r="L138" i="1"/>
  <c r="M138" i="1" s="1"/>
  <c r="N173" i="5"/>
  <c r="O173" i="5" s="1"/>
  <c r="K161" i="5"/>
  <c r="N161" i="5" s="1"/>
  <c r="O161" i="5" s="1"/>
  <c r="K160" i="5"/>
  <c r="N160" i="5" s="1"/>
  <c r="O160" i="5" s="1"/>
  <c r="N145" i="5"/>
  <c r="O145" i="5" s="1"/>
  <c r="K174" i="5"/>
  <c r="N174" i="5" s="1"/>
  <c r="O174" i="5" s="1"/>
  <c r="N168" i="5"/>
  <c r="O168" i="5" s="1"/>
  <c r="N167" i="5"/>
  <c r="O167" i="5" s="1"/>
  <c r="M162" i="5"/>
  <c r="M158" i="5"/>
  <c r="N158" i="5"/>
  <c r="O158" i="5" s="1"/>
  <c r="N152" i="5"/>
  <c r="O152" i="5" s="1"/>
  <c r="M168" i="5"/>
  <c r="N144" i="5"/>
  <c r="O144" i="5" s="1"/>
  <c r="M181" i="5"/>
  <c r="L137" i="1"/>
  <c r="M137" i="1" s="1"/>
  <c r="L143" i="5"/>
  <c r="L147" i="5" s="1"/>
  <c r="M148" i="5"/>
  <c r="K148" i="5"/>
  <c r="N148" i="5" s="1"/>
  <c r="O148" i="5" s="1"/>
  <c r="Z136" i="1"/>
  <c r="X136" i="1" s="1"/>
  <c r="U136" i="1" s="1"/>
  <c r="O136" i="1" s="1"/>
  <c r="N250" i="5"/>
  <c r="O250" i="5" s="1"/>
  <c r="N246" i="5"/>
  <c r="O246" i="5" s="1"/>
  <c r="N240" i="5"/>
  <c r="O240" i="5" s="1"/>
  <c r="N238" i="5"/>
  <c r="O238" i="5" s="1"/>
  <c r="N207" i="5"/>
  <c r="O207" i="5" s="1"/>
  <c r="N228" i="5"/>
  <c r="O228" i="5" s="1"/>
  <c r="N226" i="5"/>
  <c r="O226" i="5" s="1"/>
  <c r="L217" i="5"/>
  <c r="N199" i="5"/>
  <c r="O199" i="5" s="1"/>
  <c r="W125" i="1"/>
  <c r="Y125" i="1" s="1"/>
  <c r="V125" i="1"/>
  <c r="N124" i="1"/>
  <c r="Y124" i="1" s="1"/>
  <c r="V124" i="1"/>
  <c r="H135" i="1"/>
  <c r="J135" i="1" s="1"/>
  <c r="Q135" i="1"/>
  <c r="K135" i="1"/>
  <c r="Q134" i="1"/>
  <c r="J134" i="1"/>
  <c r="N134" i="1" s="1"/>
  <c r="Q133" i="1"/>
  <c r="J133" i="1"/>
  <c r="K132" i="1"/>
  <c r="H132" i="1"/>
  <c r="J132" i="1" s="1"/>
  <c r="Q132" i="1"/>
  <c r="H131" i="1"/>
  <c r="J131" i="1" s="1"/>
  <c r="Q131" i="1"/>
  <c r="H130" i="1"/>
  <c r="J130" i="1" s="1"/>
  <c r="N130" i="1" s="1"/>
  <c r="Q130" i="1"/>
  <c r="K129" i="1"/>
  <c r="K128" i="1"/>
  <c r="H129" i="1"/>
  <c r="J129" i="1" s="1"/>
  <c r="H128" i="1"/>
  <c r="J128" i="1" s="1"/>
  <c r="Q129" i="1"/>
  <c r="Q128" i="1"/>
  <c r="K127" i="1"/>
  <c r="H127" i="1"/>
  <c r="J127" i="1" s="1"/>
  <c r="Q127" i="1"/>
  <c r="L142" i="5"/>
  <c r="J142" i="5"/>
  <c r="G142" i="5"/>
  <c r="J141" i="5"/>
  <c r="M141" i="5" s="1"/>
  <c r="K126" i="1"/>
  <c r="H126" i="1"/>
  <c r="J126" i="1" s="1"/>
  <c r="Q126" i="1"/>
  <c r="L141" i="5"/>
  <c r="G141" i="5"/>
  <c r="G139" i="5"/>
  <c r="I139" i="5" s="1"/>
  <c r="G138" i="5"/>
  <c r="I138" i="5" s="1"/>
  <c r="J140" i="5"/>
  <c r="I140" i="5"/>
  <c r="J139" i="5"/>
  <c r="J138" i="5"/>
  <c r="L220" i="5" l="1"/>
  <c r="N220" i="5" s="1"/>
  <c r="O220" i="5" s="1"/>
  <c r="N187" i="5"/>
  <c r="O187" i="5" s="1"/>
  <c r="L144" i="1"/>
  <c r="M144" i="1" s="1"/>
  <c r="K183" i="5"/>
  <c r="N183" i="5" s="1"/>
  <c r="O183" i="5" s="1"/>
  <c r="M183" i="5"/>
  <c r="M202" i="5"/>
  <c r="K202" i="5"/>
  <c r="N202" i="5" s="1"/>
  <c r="O202" i="5" s="1"/>
  <c r="L141" i="1"/>
  <c r="M141" i="1" s="1"/>
  <c r="M143" i="5"/>
  <c r="K143" i="5"/>
  <c r="N143" i="5" s="1"/>
  <c r="O143" i="5" s="1"/>
  <c r="L136" i="1"/>
  <c r="M136" i="1" s="1"/>
  <c r="N217" i="5"/>
  <c r="O217" i="5" s="1"/>
  <c r="K141" i="5"/>
  <c r="I142" i="5"/>
  <c r="I147" i="5"/>
  <c r="Z125" i="1"/>
  <c r="X125" i="1" s="1"/>
  <c r="U125" i="1" s="1"/>
  <c r="O125" i="1" s="1"/>
  <c r="Z124" i="1"/>
  <c r="X124" i="1" s="1"/>
  <c r="U124" i="1" s="1"/>
  <c r="O124" i="1" s="1"/>
  <c r="N135" i="1"/>
  <c r="W135" i="1"/>
  <c r="V135" i="1"/>
  <c r="W134" i="1"/>
  <c r="Y134" i="1" s="1"/>
  <c r="V134" i="1"/>
  <c r="N133" i="1"/>
  <c r="W133" i="1"/>
  <c r="V133" i="1"/>
  <c r="N132" i="1"/>
  <c r="W132" i="1"/>
  <c r="V132" i="1"/>
  <c r="N131" i="1"/>
  <c r="W131" i="1"/>
  <c r="V131" i="1"/>
  <c r="V130" i="1"/>
  <c r="W130" i="1"/>
  <c r="Y130" i="1" s="1"/>
  <c r="W128" i="1"/>
  <c r="V128" i="1"/>
  <c r="N128" i="1"/>
  <c r="N129" i="1"/>
  <c r="V129" i="1"/>
  <c r="W129" i="1"/>
  <c r="N127" i="1"/>
  <c r="V127" i="1"/>
  <c r="W127" i="1"/>
  <c r="K142" i="5"/>
  <c r="M142" i="5"/>
  <c r="N126" i="1"/>
  <c r="V126" i="1"/>
  <c r="W126" i="1"/>
  <c r="K140" i="5"/>
  <c r="K138" i="5"/>
  <c r="K139" i="5"/>
  <c r="I114" i="1"/>
  <c r="J147" i="5" l="1"/>
  <c r="N142" i="5"/>
  <c r="O142" i="5" s="1"/>
  <c r="L125" i="1"/>
  <c r="M125" i="1" s="1"/>
  <c r="L124" i="1"/>
  <c r="M124" i="1" s="1"/>
  <c r="Y135" i="1"/>
  <c r="Z134" i="1"/>
  <c r="X134" i="1" s="1"/>
  <c r="Y133" i="1"/>
  <c r="Y132" i="1"/>
  <c r="Y131" i="1"/>
  <c r="Z130" i="1"/>
  <c r="X130" i="1" s="1"/>
  <c r="Y129" i="1"/>
  <c r="Y128" i="1"/>
  <c r="Y127" i="1"/>
  <c r="Y126" i="1"/>
  <c r="J123" i="1"/>
  <c r="Q123" i="1"/>
  <c r="H122" i="1"/>
  <c r="J122" i="1" s="1"/>
  <c r="Q122" i="1"/>
  <c r="H121" i="1"/>
  <c r="J121" i="1" s="1"/>
  <c r="Q121" i="1"/>
  <c r="H120" i="1"/>
  <c r="J120" i="1" s="1"/>
  <c r="Q120" i="1"/>
  <c r="H118" i="1"/>
  <c r="J118" i="1" s="1"/>
  <c r="Q118" i="1"/>
  <c r="H119" i="1"/>
  <c r="J119" i="1" s="1"/>
  <c r="Q119" i="1"/>
  <c r="K117" i="1"/>
  <c r="H117" i="1"/>
  <c r="I117" i="1"/>
  <c r="Q117" i="1"/>
  <c r="H116" i="1"/>
  <c r="J116" i="1" s="1"/>
  <c r="L137" i="5"/>
  <c r="J137" i="5"/>
  <c r="K137" i="5" s="1"/>
  <c r="J136" i="5"/>
  <c r="I136" i="5"/>
  <c r="J135" i="5"/>
  <c r="G135" i="5"/>
  <c r="I135" i="5" s="1"/>
  <c r="L134" i="5"/>
  <c r="J134" i="5"/>
  <c r="M134" i="5" s="1"/>
  <c r="I134" i="5"/>
  <c r="Q116" i="1"/>
  <c r="K147" i="5" l="1"/>
  <c r="N147" i="5" s="1"/>
  <c r="O147" i="5" s="1"/>
  <c r="M147" i="5"/>
  <c r="Z135" i="1"/>
  <c r="X135" i="1" s="1"/>
  <c r="U135" i="1" s="1"/>
  <c r="O135" i="1" s="1"/>
  <c r="U134" i="1"/>
  <c r="O134" i="1" s="1"/>
  <c r="Z133" i="1"/>
  <c r="X133" i="1" s="1"/>
  <c r="Z132" i="1"/>
  <c r="X132" i="1" s="1"/>
  <c r="U132" i="1" s="1"/>
  <c r="O132" i="1" s="1"/>
  <c r="Z131" i="1"/>
  <c r="X131" i="1" s="1"/>
  <c r="U131" i="1" s="1"/>
  <c r="O131" i="1" s="1"/>
  <c r="U130" i="1"/>
  <c r="O130" i="1" s="1"/>
  <c r="Z128" i="1"/>
  <c r="X128" i="1" s="1"/>
  <c r="Z129" i="1"/>
  <c r="X129" i="1" s="1"/>
  <c r="U129" i="1" s="1"/>
  <c r="O129" i="1" s="1"/>
  <c r="Z127" i="1"/>
  <c r="X127" i="1" s="1"/>
  <c r="U127" i="1" s="1"/>
  <c r="O127" i="1" s="1"/>
  <c r="Z126" i="1"/>
  <c r="X126" i="1" s="1"/>
  <c r="U126" i="1" s="1"/>
  <c r="N123" i="1"/>
  <c r="W123" i="1"/>
  <c r="V123" i="1"/>
  <c r="N122" i="1"/>
  <c r="V122" i="1"/>
  <c r="W122" i="1"/>
  <c r="N121" i="1"/>
  <c r="W121" i="1"/>
  <c r="V121" i="1"/>
  <c r="N120" i="1"/>
  <c r="V120" i="1"/>
  <c r="W120" i="1"/>
  <c r="N118" i="1"/>
  <c r="V118" i="1"/>
  <c r="W118" i="1"/>
  <c r="J117" i="1"/>
  <c r="N117" i="1" s="1"/>
  <c r="W119" i="1"/>
  <c r="V119" i="1"/>
  <c r="N119" i="1"/>
  <c r="K136" i="5"/>
  <c r="N136" i="5" s="1"/>
  <c r="O136" i="5" s="1"/>
  <c r="M136" i="5"/>
  <c r="K134" i="5"/>
  <c r="N134" i="5" s="1"/>
  <c r="O134" i="5" s="1"/>
  <c r="K135" i="5"/>
  <c r="N135" i="5" s="1"/>
  <c r="O135" i="5" s="1"/>
  <c r="M137" i="5"/>
  <c r="M135" i="5"/>
  <c r="N116" i="1"/>
  <c r="W116" i="1"/>
  <c r="V116" i="1"/>
  <c r="J114" i="1"/>
  <c r="Q114" i="1"/>
  <c r="L135" i="1" l="1"/>
  <c r="M135" i="1" s="1"/>
  <c r="L134" i="1"/>
  <c r="M134" i="1" s="1"/>
  <c r="U133" i="1"/>
  <c r="O133" i="1" s="1"/>
  <c r="L132" i="1"/>
  <c r="M132" i="1" s="1"/>
  <c r="L131" i="1"/>
  <c r="M131" i="1" s="1"/>
  <c r="L130" i="1"/>
  <c r="M130" i="1" s="1"/>
  <c r="L129" i="1"/>
  <c r="M129" i="1" s="1"/>
  <c r="U128" i="1"/>
  <c r="O128" i="1" s="1"/>
  <c r="L127" i="1"/>
  <c r="M127" i="1" s="1"/>
  <c r="O126" i="1"/>
  <c r="L126" i="1"/>
  <c r="M126" i="1" s="1"/>
  <c r="Y123" i="1"/>
  <c r="Y122" i="1"/>
  <c r="Y121" i="1"/>
  <c r="V117" i="1"/>
  <c r="W117" i="1"/>
  <c r="Y117" i="1" s="1"/>
  <c r="Y120" i="1"/>
  <c r="Y118" i="1"/>
  <c r="Y119" i="1"/>
  <c r="Y116" i="1"/>
  <c r="W114" i="1"/>
  <c r="V114" i="1"/>
  <c r="N114" i="1"/>
  <c r="K113" i="1"/>
  <c r="H113" i="1"/>
  <c r="J113" i="1" s="1"/>
  <c r="N113" i="1" s="1"/>
  <c r="Q113" i="1"/>
  <c r="J133" i="5"/>
  <c r="K133" i="5" s="1"/>
  <c r="L133" i="5"/>
  <c r="Q112" i="1"/>
  <c r="K112" i="1"/>
  <c r="J112" i="1"/>
  <c r="G131" i="5"/>
  <c r="G133" i="5" s="1"/>
  <c r="G137" i="5" s="1"/>
  <c r="L130" i="5"/>
  <c r="L129" i="5"/>
  <c r="H133" i="5"/>
  <c r="H137" i="5" s="1"/>
  <c r="J132" i="5"/>
  <c r="K132" i="5" s="1"/>
  <c r="I132" i="5"/>
  <c r="J131" i="5"/>
  <c r="J130" i="5"/>
  <c r="M130" i="5" s="1"/>
  <c r="I130" i="5"/>
  <c r="J129" i="5"/>
  <c r="M129" i="5" s="1"/>
  <c r="I129" i="5"/>
  <c r="J128" i="5"/>
  <c r="K128" i="5" s="1"/>
  <c r="K111" i="1"/>
  <c r="Q111" i="1"/>
  <c r="J111" i="1"/>
  <c r="N111" i="1" s="1"/>
  <c r="L128" i="5"/>
  <c r="H128" i="5"/>
  <c r="I127" i="5"/>
  <c r="G126" i="5"/>
  <c r="L125" i="5"/>
  <c r="G125" i="5"/>
  <c r="I125" i="5" s="1"/>
  <c r="L124" i="5"/>
  <c r="G124" i="5"/>
  <c r="I124" i="5" s="1"/>
  <c r="J127" i="5"/>
  <c r="M127" i="5" s="1"/>
  <c r="J126" i="5"/>
  <c r="K126" i="5" s="1"/>
  <c r="J125" i="5"/>
  <c r="K125" i="5" s="1"/>
  <c r="J124" i="5"/>
  <c r="K124" i="5" s="1"/>
  <c r="Q109" i="1"/>
  <c r="J109" i="1"/>
  <c r="K109" i="1" s="1"/>
  <c r="L133" i="1" l="1"/>
  <c r="M133" i="1" s="1"/>
  <c r="L128" i="1"/>
  <c r="M128" i="1" s="1"/>
  <c r="I137" i="5"/>
  <c r="N137" i="5" s="1"/>
  <c r="O137" i="5" s="1"/>
  <c r="I141" i="5"/>
  <c r="N141" i="5" s="1"/>
  <c r="O141" i="5" s="1"/>
  <c r="I131" i="5"/>
  <c r="Z123" i="1"/>
  <c r="X123" i="1" s="1"/>
  <c r="Z122" i="1"/>
  <c r="X122" i="1" s="1"/>
  <c r="U122" i="1" s="1"/>
  <c r="O122" i="1" s="1"/>
  <c r="Z121" i="1"/>
  <c r="X121" i="1" s="1"/>
  <c r="U121" i="1" s="1"/>
  <c r="O121" i="1" s="1"/>
  <c r="Z120" i="1"/>
  <c r="X120" i="1" s="1"/>
  <c r="U120" i="1" s="1"/>
  <c r="O120" i="1" s="1"/>
  <c r="W112" i="1"/>
  <c r="Z118" i="1"/>
  <c r="X118" i="1" s="1"/>
  <c r="U118" i="1" s="1"/>
  <c r="O118" i="1" s="1"/>
  <c r="Z119" i="1"/>
  <c r="X119" i="1" s="1"/>
  <c r="Z117" i="1"/>
  <c r="X117" i="1" s="1"/>
  <c r="U117" i="1" s="1"/>
  <c r="O117" i="1" s="1"/>
  <c r="G128" i="5"/>
  <c r="I128" i="5" s="1"/>
  <c r="N128" i="5" s="1"/>
  <c r="O128" i="5" s="1"/>
  <c r="Z116" i="1"/>
  <c r="X116" i="1" s="1"/>
  <c r="Y114" i="1"/>
  <c r="W113" i="1"/>
  <c r="Y113" i="1" s="1"/>
  <c r="V113" i="1"/>
  <c r="N112" i="1"/>
  <c r="V112" i="1"/>
  <c r="N132" i="5"/>
  <c r="O132" i="5" s="1"/>
  <c r="I133" i="5"/>
  <c r="N133" i="5" s="1"/>
  <c r="O133" i="5" s="1"/>
  <c r="I126" i="5"/>
  <c r="N126" i="5" s="1"/>
  <c r="O126" i="5" s="1"/>
  <c r="M132" i="5"/>
  <c r="K129" i="5"/>
  <c r="N129" i="5" s="1"/>
  <c r="O129" i="5" s="1"/>
  <c r="K130" i="5"/>
  <c r="N130" i="5" s="1"/>
  <c r="O130" i="5" s="1"/>
  <c r="K131" i="5"/>
  <c r="M133" i="5"/>
  <c r="M131" i="5"/>
  <c r="V111" i="1"/>
  <c r="W111" i="1"/>
  <c r="Y111" i="1" s="1"/>
  <c r="M126" i="5"/>
  <c r="N125" i="5"/>
  <c r="O125" i="5" s="1"/>
  <c r="M125" i="5"/>
  <c r="M124" i="5"/>
  <c r="N124" i="5"/>
  <c r="O124" i="5" s="1"/>
  <c r="M128" i="5"/>
  <c r="K127" i="5"/>
  <c r="N127" i="5" s="1"/>
  <c r="O127" i="5" s="1"/>
  <c r="W109" i="1"/>
  <c r="N109" i="1"/>
  <c r="V109" i="1"/>
  <c r="J123" i="5"/>
  <c r="L123" i="5"/>
  <c r="G122" i="5"/>
  <c r="I122" i="5" s="1"/>
  <c r="L120" i="5"/>
  <c r="G120" i="5"/>
  <c r="I120" i="5" s="1"/>
  <c r="G118" i="5"/>
  <c r="I118" i="5" s="1"/>
  <c r="J122" i="5"/>
  <c r="J121" i="5"/>
  <c r="M121" i="5" s="1"/>
  <c r="I121" i="5"/>
  <c r="J120" i="5"/>
  <c r="K120" i="5" s="1"/>
  <c r="L119" i="5"/>
  <c r="J119" i="5"/>
  <c r="M119" i="5" s="1"/>
  <c r="G119" i="5"/>
  <c r="I119" i="5" s="1"/>
  <c r="L118" i="5"/>
  <c r="J118" i="5"/>
  <c r="M118" i="5" s="1"/>
  <c r="J117" i="5"/>
  <c r="L117" i="5"/>
  <c r="J116" i="5"/>
  <c r="M116" i="5" s="1"/>
  <c r="I116" i="5"/>
  <c r="J115" i="5"/>
  <c r="K115" i="5" s="1"/>
  <c r="I115" i="5"/>
  <c r="J114" i="5"/>
  <c r="M114" i="5" s="1"/>
  <c r="I114" i="5"/>
  <c r="J113" i="5"/>
  <c r="M113" i="5" s="1"/>
  <c r="G113" i="5"/>
  <c r="I113" i="5" s="1"/>
  <c r="J112" i="5"/>
  <c r="L112" i="5"/>
  <c r="G111" i="5"/>
  <c r="I111" i="5" s="1"/>
  <c r="J111" i="5"/>
  <c r="J110" i="5"/>
  <c r="M110" i="5" s="1"/>
  <c r="I110" i="5"/>
  <c r="G109" i="5"/>
  <c r="L108" i="5"/>
  <c r="G108" i="5"/>
  <c r="I108" i="5" s="1"/>
  <c r="L107" i="5"/>
  <c r="G107" i="5"/>
  <c r="I107" i="5" s="1"/>
  <c r="J109" i="5"/>
  <c r="M109" i="5" s="1"/>
  <c r="J108" i="5"/>
  <c r="M108" i="5" s="1"/>
  <c r="J107" i="5"/>
  <c r="M107" i="5" s="1"/>
  <c r="Q108" i="1"/>
  <c r="J108" i="1"/>
  <c r="N108" i="1" s="1"/>
  <c r="Q107" i="1"/>
  <c r="J107" i="1"/>
  <c r="W107" i="1" s="1"/>
  <c r="Q106" i="1"/>
  <c r="J106" i="1"/>
  <c r="W106" i="1" s="1"/>
  <c r="Q105" i="1"/>
  <c r="Q104" i="1"/>
  <c r="J104" i="1"/>
  <c r="V104" i="1" s="1"/>
  <c r="Q103" i="1"/>
  <c r="J103" i="1"/>
  <c r="N103" i="1" s="1"/>
  <c r="J105" i="5"/>
  <c r="J104" i="5"/>
  <c r="J103" i="5"/>
  <c r="M103" i="5" s="1"/>
  <c r="J102" i="5"/>
  <c r="M102" i="5" s="1"/>
  <c r="L105" i="5"/>
  <c r="G105" i="5"/>
  <c r="I105" i="5" s="1"/>
  <c r="I104" i="5"/>
  <c r="I103" i="5"/>
  <c r="I102" i="5"/>
  <c r="K102" i="1"/>
  <c r="H102" i="1"/>
  <c r="J102" i="1" s="1"/>
  <c r="N102" i="1" s="1"/>
  <c r="Q102" i="1"/>
  <c r="Q101" i="1"/>
  <c r="J101" i="1"/>
  <c r="N101" i="1" s="1"/>
  <c r="Q100" i="1"/>
  <c r="J100" i="1"/>
  <c r="N100" i="1" s="1"/>
  <c r="Q99" i="1"/>
  <c r="J99" i="1"/>
  <c r="N99" i="1" s="1"/>
  <c r="N131" i="5" l="1"/>
  <c r="O131" i="5" s="1"/>
  <c r="Y112" i="1"/>
  <c r="Z112" i="1" s="1"/>
  <c r="X112" i="1" s="1"/>
  <c r="U123" i="1"/>
  <c r="O123" i="1" s="1"/>
  <c r="L122" i="1"/>
  <c r="M122" i="1" s="1"/>
  <c r="L121" i="1"/>
  <c r="M121" i="1" s="1"/>
  <c r="L120" i="1"/>
  <c r="M120" i="1" s="1"/>
  <c r="L118" i="1"/>
  <c r="M118" i="1" s="1"/>
  <c r="U119" i="1"/>
  <c r="O119" i="1" s="1"/>
  <c r="L117" i="1"/>
  <c r="M117" i="1" s="1"/>
  <c r="U116" i="1"/>
  <c r="O116" i="1" s="1"/>
  <c r="Z114" i="1"/>
  <c r="X114" i="1" s="1"/>
  <c r="U114" i="1" s="1"/>
  <c r="O114" i="1" s="1"/>
  <c r="Z113" i="1"/>
  <c r="X113" i="1" s="1"/>
  <c r="U113" i="1" s="1"/>
  <c r="O113" i="1" s="1"/>
  <c r="Z111" i="1"/>
  <c r="X111" i="1" s="1"/>
  <c r="U111" i="1" s="1"/>
  <c r="O111" i="1" s="1"/>
  <c r="M120" i="5"/>
  <c r="I123" i="5"/>
  <c r="I117" i="5"/>
  <c r="K119" i="5"/>
  <c r="N119" i="5" s="1"/>
  <c r="O119" i="5" s="1"/>
  <c r="K118" i="5"/>
  <c r="N118" i="5" s="1"/>
  <c r="O118" i="5" s="1"/>
  <c r="N120" i="5"/>
  <c r="O120" i="5" s="1"/>
  <c r="Y109" i="1"/>
  <c r="Z109" i="1" s="1"/>
  <c r="X109" i="1" s="1"/>
  <c r="U109" i="1" s="1"/>
  <c r="O109" i="1" s="1"/>
  <c r="K123" i="5"/>
  <c r="K114" i="5"/>
  <c r="N114" i="5" s="1"/>
  <c r="O114" i="5" s="1"/>
  <c r="K122" i="5"/>
  <c r="N122" i="5" s="1"/>
  <c r="O122" i="5" s="1"/>
  <c r="M123" i="5"/>
  <c r="K121" i="5"/>
  <c r="N121" i="5" s="1"/>
  <c r="O121" i="5" s="1"/>
  <c r="M122" i="5"/>
  <c r="V107" i="1"/>
  <c r="K113" i="5"/>
  <c r="N113" i="5" s="1"/>
  <c r="O113" i="5" s="1"/>
  <c r="M115" i="5"/>
  <c r="N115" i="5"/>
  <c r="O115" i="5" s="1"/>
  <c r="K117" i="5"/>
  <c r="M117" i="5"/>
  <c r="K116" i="5"/>
  <c r="N116" i="5" s="1"/>
  <c r="O116" i="5" s="1"/>
  <c r="N106" i="1"/>
  <c r="Y106" i="1" s="1"/>
  <c r="Z106" i="1" s="1"/>
  <c r="X106" i="1" s="1"/>
  <c r="K111" i="5"/>
  <c r="N111" i="5" s="1"/>
  <c r="O111" i="5" s="1"/>
  <c r="M111" i="5"/>
  <c r="I109" i="5"/>
  <c r="I112" i="5" s="1"/>
  <c r="K110" i="5"/>
  <c r="N110" i="5" s="1"/>
  <c r="O110" i="5" s="1"/>
  <c r="K107" i="5"/>
  <c r="N107" i="5" s="1"/>
  <c r="O107" i="5" s="1"/>
  <c r="K112" i="5"/>
  <c r="K109" i="5"/>
  <c r="M112" i="5"/>
  <c r="K108" i="5"/>
  <c r="N108" i="5" s="1"/>
  <c r="O108" i="5" s="1"/>
  <c r="V106" i="1"/>
  <c r="N107" i="1"/>
  <c r="Y107" i="1" s="1"/>
  <c r="V108" i="1"/>
  <c r="W108" i="1"/>
  <c r="Y108" i="1" s="1"/>
  <c r="W104" i="1"/>
  <c r="V103" i="1"/>
  <c r="N104" i="1"/>
  <c r="W103" i="1"/>
  <c r="Y103" i="1" s="1"/>
  <c r="J105" i="1"/>
  <c r="K105" i="1" s="1"/>
  <c r="K102" i="5"/>
  <c r="N102" i="5" s="1"/>
  <c r="O102" i="5" s="1"/>
  <c r="K105" i="5"/>
  <c r="N105" i="5" s="1"/>
  <c r="O105" i="5" s="1"/>
  <c r="K104" i="5"/>
  <c r="N104" i="5" s="1"/>
  <c r="O104" i="5" s="1"/>
  <c r="M104" i="5"/>
  <c r="M105" i="5"/>
  <c r="K103" i="5"/>
  <c r="N103" i="5" s="1"/>
  <c r="O103" i="5" s="1"/>
  <c r="V102" i="1"/>
  <c r="W102" i="1"/>
  <c r="Y102" i="1" s="1"/>
  <c r="W101" i="1"/>
  <c r="Y101" i="1" s="1"/>
  <c r="V101" i="1"/>
  <c r="V100" i="1"/>
  <c r="W100" i="1"/>
  <c r="Y100" i="1" s="1"/>
  <c r="V99" i="1"/>
  <c r="W99" i="1"/>
  <c r="Y99" i="1" s="1"/>
  <c r="Q96" i="1"/>
  <c r="J96" i="1"/>
  <c r="N96" i="1" s="1"/>
  <c r="U112" i="1" l="1"/>
  <c r="O112" i="1" s="1"/>
  <c r="L123" i="1"/>
  <c r="M123" i="1" s="1"/>
  <c r="L119" i="1"/>
  <c r="M119" i="1" s="1"/>
  <c r="L116" i="1"/>
  <c r="M116" i="1" s="1"/>
  <c r="L114" i="1"/>
  <c r="M114" i="1" s="1"/>
  <c r="L113" i="1"/>
  <c r="M113" i="1" s="1"/>
  <c r="N123" i="5"/>
  <c r="O123" i="5" s="1"/>
  <c r="L111" i="1"/>
  <c r="M111" i="1" s="1"/>
  <c r="L109" i="1"/>
  <c r="M109" i="1" s="1"/>
  <c r="N117" i="5"/>
  <c r="O117" i="5" s="1"/>
  <c r="U106" i="1"/>
  <c r="O106" i="1" s="1"/>
  <c r="N109" i="5"/>
  <c r="O109" i="5" s="1"/>
  <c r="N112" i="5"/>
  <c r="O112" i="5" s="1"/>
  <c r="Z108" i="1"/>
  <c r="X108" i="1" s="1"/>
  <c r="U108" i="1" s="1"/>
  <c r="O108" i="1" s="1"/>
  <c r="Z107" i="1"/>
  <c r="X107" i="1" s="1"/>
  <c r="U107" i="1" s="1"/>
  <c r="O107" i="1" s="1"/>
  <c r="N105" i="1"/>
  <c r="W105" i="1"/>
  <c r="V105" i="1"/>
  <c r="Z103" i="1"/>
  <c r="X103" i="1" s="1"/>
  <c r="U103" i="1" s="1"/>
  <c r="O103" i="1" s="1"/>
  <c r="Y104" i="1"/>
  <c r="Z102" i="1"/>
  <c r="X102" i="1" s="1"/>
  <c r="U102" i="1" s="1"/>
  <c r="Z101" i="1"/>
  <c r="X101" i="1" s="1"/>
  <c r="U101" i="1" s="1"/>
  <c r="O101" i="1" s="1"/>
  <c r="Z100" i="1"/>
  <c r="X100" i="1" s="1"/>
  <c r="U100" i="1" s="1"/>
  <c r="O100" i="1" s="1"/>
  <c r="Z99" i="1"/>
  <c r="X99" i="1" s="1"/>
  <c r="U99" i="1" s="1"/>
  <c r="O99" i="1" s="1"/>
  <c r="K96" i="1"/>
  <c r="W96" i="1" s="1"/>
  <c r="Y96" i="1" s="1"/>
  <c r="V96" i="1"/>
  <c r="Q95" i="1"/>
  <c r="J95" i="1"/>
  <c r="L112" i="1" l="1"/>
  <c r="M112" i="1" s="1"/>
  <c r="L106" i="1"/>
  <c r="M106" i="1" s="1"/>
  <c r="L107" i="1"/>
  <c r="M107" i="1" s="1"/>
  <c r="L108" i="1"/>
  <c r="M108" i="1" s="1"/>
  <c r="Y105" i="1"/>
  <c r="Z105" i="1" s="1"/>
  <c r="X105" i="1" s="1"/>
  <c r="U105" i="1" s="1"/>
  <c r="O105" i="1" s="1"/>
  <c r="L103" i="1"/>
  <c r="M103" i="1" s="1"/>
  <c r="Z104" i="1"/>
  <c r="X104" i="1" s="1"/>
  <c r="O102" i="1"/>
  <c r="L102" i="1"/>
  <c r="M102" i="1" s="1"/>
  <c r="L101" i="1"/>
  <c r="M101" i="1" s="1"/>
  <c r="L99" i="1"/>
  <c r="M99" i="1" s="1"/>
  <c r="L100" i="1"/>
  <c r="M100" i="1" s="1"/>
  <c r="Z96" i="1"/>
  <c r="X96" i="1" s="1"/>
  <c r="U96" i="1" s="1"/>
  <c r="N95" i="1"/>
  <c r="V95" i="1"/>
  <c r="W95" i="1"/>
  <c r="H87" i="1"/>
  <c r="J87" i="1" s="1"/>
  <c r="N87" i="1" s="1"/>
  <c r="Q87" i="1"/>
  <c r="L105" i="1" l="1"/>
  <c r="M105" i="1" s="1"/>
  <c r="U104" i="1"/>
  <c r="O104" i="1" s="1"/>
  <c r="O96" i="1"/>
  <c r="L96" i="1"/>
  <c r="M96" i="1" s="1"/>
  <c r="Y95" i="1"/>
  <c r="W87" i="1"/>
  <c r="Y87" i="1" s="1"/>
  <c r="V87" i="1"/>
  <c r="H91" i="1"/>
  <c r="H92" i="1"/>
  <c r="J92" i="1" s="1"/>
  <c r="Q92" i="1"/>
  <c r="L104" i="1" l="1"/>
  <c r="M104" i="1" s="1"/>
  <c r="Z95" i="1"/>
  <c r="X95" i="1" s="1"/>
  <c r="Z87" i="1"/>
  <c r="X87" i="1" s="1"/>
  <c r="U87" i="1" s="1"/>
  <c r="O87" i="1" s="1"/>
  <c r="W92" i="1"/>
  <c r="N92" i="1"/>
  <c r="V92" i="1"/>
  <c r="U95" i="1" l="1"/>
  <c r="O95" i="1" s="1"/>
  <c r="L87" i="1"/>
  <c r="M87" i="1" s="1"/>
  <c r="Y92" i="1"/>
  <c r="L95" i="1" l="1"/>
  <c r="M95" i="1" s="1"/>
  <c r="Z92" i="1"/>
  <c r="X92" i="1" s="1"/>
  <c r="U92" i="1" s="1"/>
  <c r="O92" i="1" s="1"/>
  <c r="L92" i="1" l="1"/>
  <c r="M92" i="1" s="1"/>
  <c r="K91" i="1" l="1"/>
  <c r="Q91" i="1" l="1"/>
  <c r="J91" i="1"/>
  <c r="N91" i="1" l="1"/>
  <c r="W91" i="1"/>
  <c r="V91" i="1"/>
  <c r="Y91" i="1" l="1"/>
  <c r="Z91" i="1" l="1"/>
  <c r="X91" i="1" s="1"/>
  <c r="U91" i="1" l="1"/>
  <c r="O91" i="1" s="1"/>
  <c r="L91" i="1" l="1"/>
  <c r="M91" i="1" s="1"/>
  <c r="H90" i="1" l="1"/>
  <c r="J90" i="1" s="1"/>
  <c r="N90" i="1" s="1"/>
  <c r="Q90" i="1"/>
  <c r="Q89" i="1"/>
  <c r="J89" i="1"/>
  <c r="W89" i="1" s="1"/>
  <c r="W90" i="1" l="1"/>
  <c r="Y90" i="1" s="1"/>
  <c r="V90" i="1"/>
  <c r="N89" i="1"/>
  <c r="Y89" i="1" s="1"/>
  <c r="V89" i="1"/>
  <c r="H297" i="5"/>
  <c r="J297" i="5" s="1"/>
  <c r="M300" i="5"/>
  <c r="K300" i="5"/>
  <c r="L300" i="5" s="1"/>
  <c r="I300" i="5"/>
  <c r="J300" i="5" s="1"/>
  <c r="K299" i="5"/>
  <c r="L299" i="5" s="1"/>
  <c r="J299" i="5"/>
  <c r="K298" i="5"/>
  <c r="L298" i="5" s="1"/>
  <c r="J298" i="5"/>
  <c r="K297" i="5"/>
  <c r="Z90" i="1" l="1"/>
  <c r="X90" i="1" s="1"/>
  <c r="U90" i="1" s="1"/>
  <c r="O90" i="1" s="1"/>
  <c r="Z89" i="1"/>
  <c r="X89" i="1" s="1"/>
  <c r="U89" i="1" s="1"/>
  <c r="O89" i="1" s="1"/>
  <c r="O300" i="5"/>
  <c r="P300" i="5" s="1"/>
  <c r="N300" i="5"/>
  <c r="N298" i="5"/>
  <c r="L297" i="5"/>
  <c r="O297" i="5" s="1"/>
  <c r="P297" i="5" s="1"/>
  <c r="O298" i="5"/>
  <c r="P298" i="5" s="1"/>
  <c r="N299" i="5"/>
  <c r="O299" i="5"/>
  <c r="P299" i="5" s="1"/>
  <c r="N297" i="5"/>
  <c r="L90" i="1" l="1"/>
  <c r="M90" i="1" s="1"/>
  <c r="L89" i="1"/>
  <c r="M89" i="1" s="1"/>
  <c r="Q88" i="1"/>
  <c r="J88" i="1"/>
  <c r="N88" i="1" s="1"/>
  <c r="Q86" i="1"/>
  <c r="J86" i="1"/>
  <c r="N86" i="1" s="1"/>
  <c r="Q85" i="1"/>
  <c r="J85" i="1"/>
  <c r="N85" i="1" s="1"/>
  <c r="Q84" i="1"/>
  <c r="J84" i="1"/>
  <c r="J97" i="5"/>
  <c r="K70" i="1"/>
  <c r="L97" i="5"/>
  <c r="J94" i="5"/>
  <c r="J96" i="5"/>
  <c r="J95" i="5"/>
  <c r="H97" i="5"/>
  <c r="I97" i="5" s="1"/>
  <c r="I70" i="1"/>
  <c r="J70" i="1" s="1"/>
  <c r="N70" i="1" s="1"/>
  <c r="Q70" i="1"/>
  <c r="I96" i="5"/>
  <c r="I95" i="5"/>
  <c r="G94" i="5"/>
  <c r="I94" i="5" s="1"/>
  <c r="H83" i="1"/>
  <c r="J83" i="1" s="1"/>
  <c r="H82" i="1"/>
  <c r="J82" i="1" s="1"/>
  <c r="H81" i="1"/>
  <c r="J81" i="1" s="1"/>
  <c r="H80" i="1"/>
  <c r="J80" i="1" s="1"/>
  <c r="H79" i="1"/>
  <c r="J79" i="1" s="1"/>
  <c r="N79" i="1" s="1"/>
  <c r="H78" i="1"/>
  <c r="J78" i="1" s="1"/>
  <c r="Q78" i="1"/>
  <c r="Q83" i="1"/>
  <c r="Q82" i="1"/>
  <c r="Q81" i="1"/>
  <c r="Q80" i="1"/>
  <c r="H76" i="1"/>
  <c r="Q77" i="1"/>
  <c r="H77" i="1"/>
  <c r="J77" i="1" s="1"/>
  <c r="N77" i="1" s="1"/>
  <c r="Q79" i="1"/>
  <c r="V88" i="1" l="1"/>
  <c r="W88" i="1"/>
  <c r="Y88" i="1" s="1"/>
  <c r="V86" i="1"/>
  <c r="W86" i="1"/>
  <c r="Y86" i="1" s="1"/>
  <c r="V85" i="1"/>
  <c r="W85" i="1"/>
  <c r="Y85" i="1" s="1"/>
  <c r="N84" i="1"/>
  <c r="W84" i="1"/>
  <c r="V84" i="1"/>
  <c r="K97" i="5"/>
  <c r="N97" i="5" s="1"/>
  <c r="O97" i="5" s="1"/>
  <c r="M97" i="5"/>
  <c r="V70" i="1"/>
  <c r="W70" i="1"/>
  <c r="Y70" i="1" s="1"/>
  <c r="M96" i="5"/>
  <c r="K96" i="5"/>
  <c r="N96" i="5" s="1"/>
  <c r="O96" i="5" s="1"/>
  <c r="M95" i="5"/>
  <c r="K95" i="5"/>
  <c r="N95" i="5" s="1"/>
  <c r="O95" i="5" s="1"/>
  <c r="K94" i="5"/>
  <c r="N94" i="5" s="1"/>
  <c r="O94" i="5" s="1"/>
  <c r="M94" i="5"/>
  <c r="N78" i="1"/>
  <c r="W78" i="1"/>
  <c r="V78" i="1"/>
  <c r="N83" i="1"/>
  <c r="W83" i="1"/>
  <c r="V83" i="1"/>
  <c r="N82" i="1"/>
  <c r="W82" i="1"/>
  <c r="V82" i="1"/>
  <c r="N81" i="1"/>
  <c r="W81" i="1"/>
  <c r="V81" i="1"/>
  <c r="N80" i="1"/>
  <c r="W80" i="1"/>
  <c r="V80" i="1"/>
  <c r="W77" i="1"/>
  <c r="Y77" i="1" s="1"/>
  <c r="V77" i="1"/>
  <c r="V79" i="1"/>
  <c r="W79" i="1"/>
  <c r="Y79" i="1" s="1"/>
  <c r="Z88" i="1" l="1"/>
  <c r="X88" i="1" s="1"/>
  <c r="U88" i="1" s="1"/>
  <c r="O88" i="1" s="1"/>
  <c r="Z86" i="1"/>
  <c r="X86" i="1" s="1"/>
  <c r="U86" i="1" s="1"/>
  <c r="O86" i="1" s="1"/>
  <c r="Z85" i="1"/>
  <c r="X85" i="1" s="1"/>
  <c r="U85" i="1" s="1"/>
  <c r="O85" i="1" s="1"/>
  <c r="Y84" i="1"/>
  <c r="Z70" i="1"/>
  <c r="X70" i="1" s="1"/>
  <c r="Y78" i="1"/>
  <c r="Y83" i="1"/>
  <c r="Y82" i="1"/>
  <c r="Y81" i="1"/>
  <c r="Y80" i="1"/>
  <c r="Z77" i="1"/>
  <c r="X77" i="1" s="1"/>
  <c r="Z79" i="1"/>
  <c r="X79" i="1" s="1"/>
  <c r="U79" i="1" s="1"/>
  <c r="O79" i="1" s="1"/>
  <c r="L88" i="1" l="1"/>
  <c r="M88" i="1" s="1"/>
  <c r="L86" i="1"/>
  <c r="M86" i="1" s="1"/>
  <c r="L85" i="1"/>
  <c r="M85" i="1" s="1"/>
  <c r="Z84" i="1"/>
  <c r="X84" i="1" s="1"/>
  <c r="U70" i="1"/>
  <c r="O70" i="1" s="1"/>
  <c r="Z78" i="1"/>
  <c r="X78" i="1" s="1"/>
  <c r="U78" i="1" s="1"/>
  <c r="O78" i="1" s="1"/>
  <c r="Z83" i="1"/>
  <c r="X83" i="1" s="1"/>
  <c r="U83" i="1" s="1"/>
  <c r="O83" i="1" s="1"/>
  <c r="Z82" i="1"/>
  <c r="X82" i="1" s="1"/>
  <c r="U82" i="1" s="1"/>
  <c r="O82" i="1" s="1"/>
  <c r="Z81" i="1"/>
  <c r="X81" i="1" s="1"/>
  <c r="U81" i="1" s="1"/>
  <c r="O81" i="1" s="1"/>
  <c r="Z80" i="1"/>
  <c r="X80" i="1" s="1"/>
  <c r="U80" i="1" s="1"/>
  <c r="O80" i="1" s="1"/>
  <c r="U77" i="1"/>
  <c r="O77" i="1" s="1"/>
  <c r="L79" i="1"/>
  <c r="M79" i="1" s="1"/>
  <c r="U84" i="1" l="1"/>
  <c r="O84" i="1" s="1"/>
  <c r="L70" i="1"/>
  <c r="M70" i="1" s="1"/>
  <c r="L78" i="1"/>
  <c r="M78" i="1" s="1"/>
  <c r="L83" i="1"/>
  <c r="M83" i="1" s="1"/>
  <c r="L82" i="1"/>
  <c r="M82" i="1" s="1"/>
  <c r="L81" i="1"/>
  <c r="M81" i="1" s="1"/>
  <c r="L80" i="1"/>
  <c r="M80" i="1" s="1"/>
  <c r="L77" i="1"/>
  <c r="M77" i="1" s="1"/>
  <c r="L84" i="1" l="1"/>
  <c r="M84" i="1" s="1"/>
  <c r="Q76" i="1" l="1"/>
  <c r="J76" i="1"/>
  <c r="N76" i="1" s="1"/>
  <c r="I75" i="1"/>
  <c r="Q75" i="1"/>
  <c r="W76" i="1" l="1"/>
  <c r="Y76" i="1" s="1"/>
  <c r="V76" i="1"/>
  <c r="J75" i="1"/>
  <c r="N75" i="1" s="1"/>
  <c r="Q69" i="1"/>
  <c r="J69" i="1"/>
  <c r="W69" i="1" s="1"/>
  <c r="Z76" i="1" l="1"/>
  <c r="X76" i="1" s="1"/>
  <c r="V75" i="1"/>
  <c r="W75" i="1"/>
  <c r="Y75" i="1" s="1"/>
  <c r="V69" i="1"/>
  <c r="N69" i="1"/>
  <c r="Y69" i="1" s="1"/>
  <c r="L93" i="5"/>
  <c r="G93" i="5"/>
  <c r="I93" i="5" s="1"/>
  <c r="J93" i="5" s="1"/>
  <c r="U76" i="1" l="1"/>
  <c r="O76" i="1" s="1"/>
  <c r="Z75" i="1"/>
  <c r="X75" i="1" s="1"/>
  <c r="Z69" i="1"/>
  <c r="X69" i="1" s="1"/>
  <c r="U69" i="1" s="1"/>
  <c r="K93" i="5"/>
  <c r="N93" i="5" s="1"/>
  <c r="O93" i="5" s="1"/>
  <c r="M93" i="5"/>
  <c r="J91" i="5"/>
  <c r="I74" i="1"/>
  <c r="K74" i="1" s="1"/>
  <c r="H74" i="1"/>
  <c r="G91" i="5"/>
  <c r="H91" i="5"/>
  <c r="L76" i="1" l="1"/>
  <c r="M76" i="1" s="1"/>
  <c r="U75" i="1"/>
  <c r="O75" i="1" s="1"/>
  <c r="O69" i="1"/>
  <c r="L69" i="1"/>
  <c r="M69" i="1" s="1"/>
  <c r="I91" i="5"/>
  <c r="L91" i="5" s="1"/>
  <c r="K91" i="5"/>
  <c r="M91" i="5"/>
  <c r="J92" i="5"/>
  <c r="M92" i="5" s="1"/>
  <c r="G92" i="5"/>
  <c r="I92" i="5" s="1"/>
  <c r="Q74" i="1"/>
  <c r="J74" i="1"/>
  <c r="L75" i="1" l="1"/>
  <c r="M75" i="1" s="1"/>
  <c r="N91" i="5"/>
  <c r="O91" i="5" s="1"/>
  <c r="K92" i="5"/>
  <c r="N74" i="1"/>
  <c r="W74" i="1"/>
  <c r="V74" i="1"/>
  <c r="J89" i="5"/>
  <c r="M89" i="5" s="1"/>
  <c r="J90" i="5"/>
  <c r="H90" i="5"/>
  <c r="G90" i="5"/>
  <c r="H73" i="1"/>
  <c r="Q73" i="1"/>
  <c r="I73" i="1"/>
  <c r="K73" i="1" s="1"/>
  <c r="I72" i="1"/>
  <c r="K72" i="1" s="1"/>
  <c r="H72" i="1"/>
  <c r="Q72" i="1"/>
  <c r="H89" i="5"/>
  <c r="G89" i="5"/>
  <c r="J73" i="1" l="1"/>
  <c r="V73" i="1" s="1"/>
  <c r="I90" i="5"/>
  <c r="L90" i="5" s="1"/>
  <c r="I89" i="5"/>
  <c r="L89" i="5" s="1"/>
  <c r="N92" i="5"/>
  <c r="O92" i="5" s="1"/>
  <c r="J72" i="1"/>
  <c r="N72" i="1" s="1"/>
  <c r="Y74" i="1"/>
  <c r="K90" i="5"/>
  <c r="M90" i="5"/>
  <c r="K89" i="5"/>
  <c r="L99" i="5"/>
  <c r="G100" i="5"/>
  <c r="G99" i="5"/>
  <c r="W73" i="1" l="1"/>
  <c r="N89" i="5"/>
  <c r="O89" i="5" s="1"/>
  <c r="N73" i="1"/>
  <c r="W72" i="1"/>
  <c r="Y72" i="1" s="1"/>
  <c r="Z72" i="1" s="1"/>
  <c r="X72" i="1" s="1"/>
  <c r="V72" i="1"/>
  <c r="N90" i="5"/>
  <c r="O90" i="5" s="1"/>
  <c r="Z74" i="1"/>
  <c r="X74" i="1" s="1"/>
  <c r="J100" i="5"/>
  <c r="J99" i="5"/>
  <c r="I100" i="5"/>
  <c r="I99" i="5"/>
  <c r="Q71" i="1"/>
  <c r="J71" i="1"/>
  <c r="W71" i="1" s="1"/>
  <c r="Y73" i="1" l="1"/>
  <c r="Z73" i="1" s="1"/>
  <c r="X73" i="1" s="1"/>
  <c r="U73" i="1" s="1"/>
  <c r="U74" i="1"/>
  <c r="O74" i="1" s="1"/>
  <c r="U72" i="1"/>
  <c r="O72" i="1" s="1"/>
  <c r="K100" i="5"/>
  <c r="N100" i="5" s="1"/>
  <c r="O100" i="5" s="1"/>
  <c r="M100" i="5"/>
  <c r="M99" i="5"/>
  <c r="K99" i="5"/>
  <c r="N99" i="5" s="1"/>
  <c r="O99" i="5" s="1"/>
  <c r="N71" i="1"/>
  <c r="Y71" i="1" s="1"/>
  <c r="Z71" i="1" s="1"/>
  <c r="X71" i="1" s="1"/>
  <c r="V71" i="1"/>
  <c r="Q68" i="1"/>
  <c r="J68" i="1"/>
  <c r="W68" i="1" s="1"/>
  <c r="Q67" i="1"/>
  <c r="J67" i="1"/>
  <c r="L74" i="1" l="1"/>
  <c r="M74" i="1" s="1"/>
  <c r="O73" i="1"/>
  <c r="L73" i="1"/>
  <c r="M73" i="1" s="1"/>
  <c r="L72" i="1"/>
  <c r="M72" i="1" s="1"/>
  <c r="U71" i="1"/>
  <c r="O71" i="1" s="1"/>
  <c r="N68" i="1"/>
  <c r="Y68" i="1" s="1"/>
  <c r="V68" i="1"/>
  <c r="N67" i="1"/>
  <c r="W67" i="1"/>
  <c r="V67" i="1"/>
  <c r="H65" i="5"/>
  <c r="H64" i="5"/>
  <c r="H79" i="5"/>
  <c r="H78" i="5"/>
  <c r="H77" i="5"/>
  <c r="H76" i="5"/>
  <c r="G63" i="5"/>
  <c r="G62" i="5"/>
  <c r="H87" i="5"/>
  <c r="H86" i="5"/>
  <c r="H85" i="5"/>
  <c r="G83" i="5"/>
  <c r="I83" i="5" s="1"/>
  <c r="L83" i="5" s="1"/>
  <c r="G82" i="5"/>
  <c r="I82" i="5" s="1"/>
  <c r="I81" i="5"/>
  <c r="L81" i="5" s="1"/>
  <c r="I80" i="5"/>
  <c r="L80" i="5" s="1"/>
  <c r="G79" i="5"/>
  <c r="G78" i="5"/>
  <c r="G77" i="5"/>
  <c r="R76" i="5"/>
  <c r="G76" i="5"/>
  <c r="H73" i="5"/>
  <c r="H59" i="5"/>
  <c r="H41" i="5"/>
  <c r="L71" i="1" l="1"/>
  <c r="M71" i="1" s="1"/>
  <c r="Z68" i="1"/>
  <c r="X68" i="1" s="1"/>
  <c r="U68" i="1" s="1"/>
  <c r="O68" i="1" s="1"/>
  <c r="I77" i="5"/>
  <c r="L77" i="5" s="1"/>
  <c r="Y67" i="1"/>
  <c r="I78" i="5"/>
  <c r="L78" i="5" s="1"/>
  <c r="I79" i="5"/>
  <c r="L79" i="5" s="1"/>
  <c r="L82" i="5"/>
  <c r="K80" i="5"/>
  <c r="N80" i="5" s="1"/>
  <c r="O80" i="5" s="1"/>
  <c r="M80" i="5"/>
  <c r="K81" i="5"/>
  <c r="N81" i="5" s="1"/>
  <c r="O81" i="5" s="1"/>
  <c r="M81" i="5"/>
  <c r="I76" i="5"/>
  <c r="H72" i="5"/>
  <c r="H71" i="5"/>
  <c r="H88" i="5" s="1"/>
  <c r="R62" i="5"/>
  <c r="G69" i="5"/>
  <c r="G65" i="5"/>
  <c r="G68" i="5"/>
  <c r="G64" i="5"/>
  <c r="I61" i="5"/>
  <c r="J61" i="5" s="1"/>
  <c r="H54" i="5"/>
  <c r="H53" i="5"/>
  <c r="H58" i="5"/>
  <c r="J51" i="5"/>
  <c r="G56" i="5"/>
  <c r="G54" i="5"/>
  <c r="G53" i="5"/>
  <c r="I52" i="5"/>
  <c r="J52" i="5" s="1"/>
  <c r="H44" i="5"/>
  <c r="H45" i="5"/>
  <c r="H49" i="5"/>
  <c r="H50" i="5"/>
  <c r="L68" i="1" l="1"/>
  <c r="M68" i="1" s="1"/>
  <c r="Z67" i="1"/>
  <c r="X67" i="1" s="1"/>
  <c r="K78" i="5"/>
  <c r="N78" i="5" s="1"/>
  <c r="O78" i="5" s="1"/>
  <c r="M78" i="5"/>
  <c r="K77" i="5"/>
  <c r="N77" i="5" s="1"/>
  <c r="O77" i="5" s="1"/>
  <c r="M77" i="5"/>
  <c r="M79" i="5"/>
  <c r="K79" i="5"/>
  <c r="N79" i="5" s="1"/>
  <c r="O79" i="5" s="1"/>
  <c r="K83" i="5"/>
  <c r="N83" i="5" s="1"/>
  <c r="O83" i="5" s="1"/>
  <c r="M83" i="5"/>
  <c r="L76" i="5"/>
  <c r="K82" i="5"/>
  <c r="N82" i="5" s="1"/>
  <c r="O82" i="5" s="1"/>
  <c r="M82" i="5"/>
  <c r="I64" i="5"/>
  <c r="I65" i="5"/>
  <c r="I63" i="5"/>
  <c r="L63" i="5" s="1"/>
  <c r="M61" i="5"/>
  <c r="K61" i="5"/>
  <c r="N61" i="5" s="1"/>
  <c r="O61" i="5" s="1"/>
  <c r="I62" i="5"/>
  <c r="L62" i="5" s="1"/>
  <c r="M52" i="5"/>
  <c r="K52" i="5"/>
  <c r="N52" i="5" s="1"/>
  <c r="O52" i="5" s="1"/>
  <c r="I53" i="5"/>
  <c r="L53" i="5" s="1"/>
  <c r="U67" i="1" l="1"/>
  <c r="O67" i="1" s="1"/>
  <c r="L64" i="5"/>
  <c r="M76" i="5"/>
  <c r="K76" i="5"/>
  <c r="N76" i="5" s="1"/>
  <c r="O76" i="5" s="1"/>
  <c r="M65" i="5"/>
  <c r="L65" i="5"/>
  <c r="K64" i="5"/>
  <c r="N64" i="5" s="1"/>
  <c r="O64" i="5" s="1"/>
  <c r="K65" i="5"/>
  <c r="M63" i="5"/>
  <c r="J53" i="5"/>
  <c r="L67" i="1" l="1"/>
  <c r="M67" i="1" s="1"/>
  <c r="M64" i="5"/>
  <c r="N65" i="5"/>
  <c r="O65" i="5" s="1"/>
  <c r="K63" i="5"/>
  <c r="N63" i="5" s="1"/>
  <c r="O63" i="5" s="1"/>
  <c r="M62" i="5"/>
  <c r="K62" i="5"/>
  <c r="N62" i="5" s="1"/>
  <c r="O62" i="5" s="1"/>
  <c r="M53" i="5"/>
  <c r="K53" i="5"/>
  <c r="N53" i="5" s="1"/>
  <c r="O53" i="5" s="1"/>
  <c r="H40" i="5" l="1"/>
  <c r="G36" i="5"/>
  <c r="G45" i="5" s="1"/>
  <c r="G38" i="5"/>
  <c r="G47" i="5" s="1"/>
  <c r="H47" i="5"/>
  <c r="H56" i="5" s="1"/>
  <c r="G35" i="5"/>
  <c r="I35" i="5" s="1"/>
  <c r="H48" i="5"/>
  <c r="H57" i="5" s="1"/>
  <c r="I69" i="5" s="1"/>
  <c r="L69" i="5" s="1"/>
  <c r="H46" i="5"/>
  <c r="G44" i="5"/>
  <c r="G46" i="5"/>
  <c r="G48" i="5"/>
  <c r="G57" i="5" s="1"/>
  <c r="G70" i="5" s="1"/>
  <c r="G74" i="5" s="1"/>
  <c r="G50" i="5"/>
  <c r="G59" i="5" s="1"/>
  <c r="G49" i="5"/>
  <c r="G58" i="5" s="1"/>
  <c r="I43" i="5"/>
  <c r="J43" i="5" s="1"/>
  <c r="I39" i="5"/>
  <c r="J39" i="5" s="1"/>
  <c r="M39" i="5" s="1"/>
  <c r="I37" i="5"/>
  <c r="I72" i="5" l="1"/>
  <c r="I85" i="5"/>
  <c r="I68" i="5"/>
  <c r="L68" i="5" s="1"/>
  <c r="I67" i="5"/>
  <c r="L67" i="5" s="1"/>
  <c r="I58" i="5"/>
  <c r="L58" i="5" s="1"/>
  <c r="I59" i="5"/>
  <c r="J59" i="5" s="1"/>
  <c r="K59" i="5" s="1"/>
  <c r="H55" i="5"/>
  <c r="I55" i="5" s="1"/>
  <c r="L55" i="5" s="1"/>
  <c r="H51" i="5"/>
  <c r="L35" i="5"/>
  <c r="J35" i="5"/>
  <c r="K35" i="5" s="1"/>
  <c r="I56" i="5"/>
  <c r="L56" i="5" s="1"/>
  <c r="Q37" i="5"/>
  <c r="L37" i="5"/>
  <c r="J37" i="5"/>
  <c r="M37" i="5" s="1"/>
  <c r="I54" i="5"/>
  <c r="L54" i="5" s="1"/>
  <c r="G60" i="5"/>
  <c r="I57" i="5"/>
  <c r="J57" i="5" s="1"/>
  <c r="G51" i="5"/>
  <c r="P35" i="5"/>
  <c r="Q35" i="5" s="1"/>
  <c r="G42" i="5"/>
  <c r="I38" i="5"/>
  <c r="J38" i="5" s="1"/>
  <c r="M38" i="5" s="1"/>
  <c r="I46" i="5"/>
  <c r="I50" i="5"/>
  <c r="J50" i="5" s="1"/>
  <c r="K50" i="5" s="1"/>
  <c r="I49" i="5"/>
  <c r="I48" i="5"/>
  <c r="J48" i="5" s="1"/>
  <c r="M48" i="5" s="1"/>
  <c r="I45" i="5"/>
  <c r="J45" i="5" s="1"/>
  <c r="K45" i="5" s="1"/>
  <c r="I44" i="5"/>
  <c r="I36" i="5"/>
  <c r="J36" i="5" s="1"/>
  <c r="M36" i="5" s="1"/>
  <c r="I47" i="5"/>
  <c r="J47" i="5" s="1"/>
  <c r="K47" i="5" s="1"/>
  <c r="I40" i="5"/>
  <c r="J40" i="5" s="1"/>
  <c r="K40" i="5" s="1"/>
  <c r="M43" i="5"/>
  <c r="K43" i="5"/>
  <c r="N43" i="5" s="1"/>
  <c r="O43" i="5" s="1"/>
  <c r="K39" i="5"/>
  <c r="N39" i="5" s="1"/>
  <c r="O39" i="5" s="1"/>
  <c r="J29" i="5"/>
  <c r="I62" i="1"/>
  <c r="J62" i="1" s="1"/>
  <c r="Q63" i="1"/>
  <c r="I63" i="1"/>
  <c r="J63" i="1" s="1"/>
  <c r="H29" i="5"/>
  <c r="J30" i="5"/>
  <c r="M30" i="5" s="1"/>
  <c r="H30" i="5"/>
  <c r="I30" i="5" s="1"/>
  <c r="J33" i="5"/>
  <c r="J32" i="5"/>
  <c r="J31" i="5"/>
  <c r="H33" i="5"/>
  <c r="H32" i="5"/>
  <c r="H31" i="5"/>
  <c r="I66" i="1"/>
  <c r="J66" i="1" s="1"/>
  <c r="I65" i="1"/>
  <c r="J65" i="1" s="1"/>
  <c r="I64" i="1"/>
  <c r="J64" i="1" s="1"/>
  <c r="Q66" i="1"/>
  <c r="Q65" i="1"/>
  <c r="Q64" i="1"/>
  <c r="Q62" i="1"/>
  <c r="L72" i="5" l="1"/>
  <c r="M72" i="5"/>
  <c r="I70" i="5"/>
  <c r="K70" i="5" s="1"/>
  <c r="N70" i="5" s="1"/>
  <c r="O70" i="5" s="1"/>
  <c r="H74" i="5"/>
  <c r="I73" i="5"/>
  <c r="I87" i="5"/>
  <c r="I86" i="5"/>
  <c r="L85" i="5"/>
  <c r="I71" i="5"/>
  <c r="M73" i="5"/>
  <c r="K37" i="5"/>
  <c r="N37" i="5" s="1"/>
  <c r="O37" i="5" s="1"/>
  <c r="J58" i="5"/>
  <c r="K58" i="5" s="1"/>
  <c r="N58" i="5" s="1"/>
  <c r="O58" i="5" s="1"/>
  <c r="M69" i="5"/>
  <c r="K69" i="5"/>
  <c r="N69" i="5" s="1"/>
  <c r="O69" i="5" s="1"/>
  <c r="M59" i="5"/>
  <c r="M68" i="5"/>
  <c r="K68" i="5"/>
  <c r="M70" i="5"/>
  <c r="H60" i="5"/>
  <c r="I60" i="5" s="1"/>
  <c r="M35" i="5"/>
  <c r="I51" i="5"/>
  <c r="L50" i="5" s="1"/>
  <c r="N50" i="5" s="1"/>
  <c r="O50" i="5" s="1"/>
  <c r="K38" i="5"/>
  <c r="M45" i="5"/>
  <c r="N35" i="5"/>
  <c r="O35" i="5" s="1"/>
  <c r="K36" i="5"/>
  <c r="K48" i="5"/>
  <c r="N48" i="5" s="1"/>
  <c r="O48" i="5" s="1"/>
  <c r="M40" i="5"/>
  <c r="L49" i="5"/>
  <c r="J49" i="5"/>
  <c r="J56" i="5"/>
  <c r="J46" i="5"/>
  <c r="L46" i="5"/>
  <c r="J55" i="5"/>
  <c r="M50" i="5"/>
  <c r="L44" i="5"/>
  <c r="J44" i="5"/>
  <c r="J54" i="5"/>
  <c r="M47" i="5"/>
  <c r="K57" i="5"/>
  <c r="N57" i="5" s="1"/>
  <c r="O57" i="5" s="1"/>
  <c r="M57" i="5"/>
  <c r="L47" i="5"/>
  <c r="N47" i="5" s="1"/>
  <c r="O47" i="5" s="1"/>
  <c r="L45" i="5"/>
  <c r="N45" i="5" s="1"/>
  <c r="O45" i="5" s="1"/>
  <c r="P38" i="5"/>
  <c r="Q38" i="5" s="1"/>
  <c r="L38" i="5"/>
  <c r="P36" i="5"/>
  <c r="L36" i="5"/>
  <c r="P40" i="5"/>
  <c r="Q40" i="5" s="1"/>
  <c r="L40" i="5"/>
  <c r="N40" i="5" s="1"/>
  <c r="O40" i="5" s="1"/>
  <c r="N63" i="1"/>
  <c r="W63" i="1"/>
  <c r="V63" i="1"/>
  <c r="K30" i="5"/>
  <c r="N30" i="5" s="1"/>
  <c r="O30" i="5" s="1"/>
  <c r="N66" i="1"/>
  <c r="W66" i="1"/>
  <c r="V66" i="1"/>
  <c r="N65" i="1"/>
  <c r="W65" i="1"/>
  <c r="V65" i="1"/>
  <c r="N64" i="1"/>
  <c r="V64" i="1"/>
  <c r="W64" i="1"/>
  <c r="W62" i="1"/>
  <c r="V62" i="1"/>
  <c r="N62" i="1"/>
  <c r="Q59" i="1"/>
  <c r="J59" i="1"/>
  <c r="N59" i="1" s="1"/>
  <c r="H60" i="1"/>
  <c r="J60" i="1" s="1"/>
  <c r="Q61" i="1"/>
  <c r="H61" i="1"/>
  <c r="J61" i="1" s="1"/>
  <c r="Q58" i="1"/>
  <c r="J58" i="1"/>
  <c r="N58" i="1" s="1"/>
  <c r="Q60" i="1"/>
  <c r="K72" i="5" l="1"/>
  <c r="N72" i="5" s="1"/>
  <c r="O72" i="5" s="1"/>
  <c r="L71" i="5"/>
  <c r="K85" i="5"/>
  <c r="N85" i="5" s="1"/>
  <c r="O85" i="5" s="1"/>
  <c r="M85" i="5"/>
  <c r="L86" i="5"/>
  <c r="M87" i="5"/>
  <c r="K87" i="5"/>
  <c r="I84" i="5"/>
  <c r="G88" i="5"/>
  <c r="I88" i="5" s="1"/>
  <c r="J88" i="5" s="1"/>
  <c r="K73" i="5"/>
  <c r="N38" i="5"/>
  <c r="O38" i="5" s="1"/>
  <c r="N36" i="5"/>
  <c r="O36" i="5" s="1"/>
  <c r="M58" i="5"/>
  <c r="N68" i="5"/>
  <c r="O68" i="5" s="1"/>
  <c r="M67" i="5"/>
  <c r="K67" i="5"/>
  <c r="N67" i="5" s="1"/>
  <c r="O67" i="5" s="1"/>
  <c r="I66" i="5"/>
  <c r="L66" i="5" s="1"/>
  <c r="I74" i="5"/>
  <c r="J74" i="5" s="1"/>
  <c r="M71" i="5"/>
  <c r="K71" i="5"/>
  <c r="L51" i="5"/>
  <c r="L59" i="5"/>
  <c r="N59" i="5" s="1"/>
  <c r="O59" i="5" s="1"/>
  <c r="J60" i="5"/>
  <c r="M60" i="5" s="1"/>
  <c r="K44" i="5"/>
  <c r="N44" i="5" s="1"/>
  <c r="O44" i="5" s="1"/>
  <c r="M44" i="5"/>
  <c r="M51" i="5"/>
  <c r="K51" i="5"/>
  <c r="K46" i="5"/>
  <c r="N46" i="5" s="1"/>
  <c r="O46" i="5" s="1"/>
  <c r="M46" i="5"/>
  <c r="M56" i="5"/>
  <c r="K56" i="5"/>
  <c r="N56" i="5" s="1"/>
  <c r="O56" i="5" s="1"/>
  <c r="K54" i="5"/>
  <c r="N54" i="5" s="1"/>
  <c r="O54" i="5" s="1"/>
  <c r="M54" i="5"/>
  <c r="K55" i="5"/>
  <c r="N55" i="5" s="1"/>
  <c r="O55" i="5" s="1"/>
  <c r="M55" i="5"/>
  <c r="M49" i="5"/>
  <c r="K49" i="5"/>
  <c r="N49" i="5" s="1"/>
  <c r="O49" i="5" s="1"/>
  <c r="Q36" i="5"/>
  <c r="Q42" i="5" s="1"/>
  <c r="P42" i="5"/>
  <c r="Y63" i="1"/>
  <c r="Y66" i="1"/>
  <c r="Y65" i="1"/>
  <c r="Y64" i="1"/>
  <c r="Y62" i="1"/>
  <c r="V58" i="1"/>
  <c r="V59" i="1"/>
  <c r="W59" i="1"/>
  <c r="Y59" i="1" s="1"/>
  <c r="N61" i="1"/>
  <c r="W61" i="1"/>
  <c r="V61" i="1"/>
  <c r="W58" i="1"/>
  <c r="Y58" i="1" s="1"/>
  <c r="W60" i="1"/>
  <c r="V60" i="1"/>
  <c r="N60" i="1"/>
  <c r="Q54" i="1"/>
  <c r="H54" i="1"/>
  <c r="J54" i="1" s="1"/>
  <c r="Q53" i="1"/>
  <c r="H53" i="1"/>
  <c r="J53" i="1" s="1"/>
  <c r="V53" i="1" s="1"/>
  <c r="H56" i="1"/>
  <c r="J56" i="1" s="1"/>
  <c r="H55" i="1"/>
  <c r="J55" i="1" s="1"/>
  <c r="V55" i="1" s="1"/>
  <c r="Q56" i="1"/>
  <c r="Q55" i="1"/>
  <c r="H57" i="1"/>
  <c r="J57" i="1" s="1"/>
  <c r="Q57" i="1"/>
  <c r="J52" i="1"/>
  <c r="Q52" i="1"/>
  <c r="Q51" i="1"/>
  <c r="L60" i="5" l="1"/>
  <c r="N71" i="5"/>
  <c r="O71" i="5" s="1"/>
  <c r="M86" i="5"/>
  <c r="K86" i="5"/>
  <c r="N86" i="5" s="1"/>
  <c r="O86" i="5" s="1"/>
  <c r="L87" i="5"/>
  <c r="N87" i="5" s="1"/>
  <c r="O87" i="5" s="1"/>
  <c r="K84" i="5"/>
  <c r="N84" i="5" s="1"/>
  <c r="O84" i="5" s="1"/>
  <c r="M84" i="5"/>
  <c r="K60" i="5"/>
  <c r="L73" i="5"/>
  <c r="N73" i="5" s="1"/>
  <c r="O73" i="5" s="1"/>
  <c r="N51" i="5"/>
  <c r="O51" i="5" s="1"/>
  <c r="Z63" i="1"/>
  <c r="X63" i="1" s="1"/>
  <c r="U63" i="1" s="1"/>
  <c r="O63" i="1" s="1"/>
  <c r="Z66" i="1"/>
  <c r="X66" i="1" s="1"/>
  <c r="U66" i="1" s="1"/>
  <c r="O66" i="1" s="1"/>
  <c r="Z65" i="1"/>
  <c r="X65" i="1" s="1"/>
  <c r="U65" i="1" s="1"/>
  <c r="O65" i="1" s="1"/>
  <c r="Z64" i="1"/>
  <c r="X64" i="1" s="1"/>
  <c r="U64" i="1" s="1"/>
  <c r="Z62" i="1"/>
  <c r="X62" i="1" s="1"/>
  <c r="U62" i="1" s="1"/>
  <c r="O62" i="1" s="1"/>
  <c r="Z59" i="1"/>
  <c r="X59" i="1" s="1"/>
  <c r="U59" i="1" s="1"/>
  <c r="O59" i="1" s="1"/>
  <c r="Y61" i="1"/>
  <c r="Z58" i="1"/>
  <c r="X58" i="1" s="1"/>
  <c r="U58" i="1" s="1"/>
  <c r="O58" i="1" s="1"/>
  <c r="Y60" i="1"/>
  <c r="N54" i="1"/>
  <c r="W54" i="1"/>
  <c r="V54" i="1"/>
  <c r="N53" i="1"/>
  <c r="W53" i="1"/>
  <c r="V56" i="1"/>
  <c r="W56" i="1"/>
  <c r="N56" i="1"/>
  <c r="W55" i="1"/>
  <c r="N55" i="1"/>
  <c r="N57" i="1"/>
  <c r="V57" i="1"/>
  <c r="W57" i="1"/>
  <c r="N52" i="1"/>
  <c r="V52" i="1"/>
  <c r="W52" i="1"/>
  <c r="J51" i="1"/>
  <c r="V51" i="1" s="1"/>
  <c r="J27" i="5"/>
  <c r="J25" i="5"/>
  <c r="J22" i="5"/>
  <c r="K22" i="5" s="1"/>
  <c r="J24" i="5"/>
  <c r="M24" i="5" s="1"/>
  <c r="J23" i="5"/>
  <c r="M23" i="5" s="1"/>
  <c r="J26" i="5"/>
  <c r="M26" i="5" s="1"/>
  <c r="Q50" i="1"/>
  <c r="G26" i="5"/>
  <c r="I26" i="5" s="1"/>
  <c r="G25" i="5"/>
  <c r="I25" i="5" s="1"/>
  <c r="G24" i="5"/>
  <c r="I24" i="5" s="1"/>
  <c r="I23" i="5"/>
  <c r="L22" i="5"/>
  <c r="L27" i="5" s="1"/>
  <c r="G22" i="5"/>
  <c r="I22" i="5" s="1"/>
  <c r="J18" i="5"/>
  <c r="J20" i="5"/>
  <c r="K20" i="5" s="1"/>
  <c r="Q49" i="1"/>
  <c r="G18" i="5"/>
  <c r="I18" i="5" s="1"/>
  <c r="J19" i="5"/>
  <c r="M19" i="5" s="1"/>
  <c r="G19" i="5"/>
  <c r="I19" i="5" s="1"/>
  <c r="J17" i="5"/>
  <c r="K17" i="5" s="1"/>
  <c r="G17" i="5"/>
  <c r="I17" i="5" s="1"/>
  <c r="J16" i="5"/>
  <c r="M16" i="5" s="1"/>
  <c r="I16" i="5"/>
  <c r="L15" i="5"/>
  <c r="L20" i="5" s="1"/>
  <c r="J15" i="5"/>
  <c r="M15" i="5" s="1"/>
  <c r="G15" i="5"/>
  <c r="I15" i="5" s="1"/>
  <c r="J8" i="5"/>
  <c r="J9" i="5"/>
  <c r="J13" i="5"/>
  <c r="J11" i="5"/>
  <c r="J12" i="5"/>
  <c r="J10" i="5"/>
  <c r="G12" i="5"/>
  <c r="I12" i="5" s="1"/>
  <c r="I11" i="5"/>
  <c r="G10" i="5"/>
  <c r="I10" i="5" s="1"/>
  <c r="I9" i="5"/>
  <c r="L8" i="5"/>
  <c r="L13" i="5" s="1"/>
  <c r="G8" i="5"/>
  <c r="I8" i="5" s="1"/>
  <c r="K50" i="1" l="1"/>
  <c r="K51" i="6"/>
  <c r="K49" i="1"/>
  <c r="K50" i="6"/>
  <c r="K48" i="1"/>
  <c r="K49" i="6"/>
  <c r="N60" i="5"/>
  <c r="O60" i="5" s="1"/>
  <c r="L74" i="5"/>
  <c r="M88" i="5"/>
  <c r="K88" i="5"/>
  <c r="L88" i="5"/>
  <c r="K66" i="5"/>
  <c r="N66" i="5" s="1"/>
  <c r="O66" i="5" s="1"/>
  <c r="M66" i="5"/>
  <c r="M74" i="5"/>
  <c r="K74" i="5"/>
  <c r="L63" i="1"/>
  <c r="M63" i="1" s="1"/>
  <c r="J14" i="5"/>
  <c r="G27" i="5"/>
  <c r="M20" i="5"/>
  <c r="L66" i="1"/>
  <c r="M66" i="1" s="1"/>
  <c r="L65" i="1"/>
  <c r="M65" i="1" s="1"/>
  <c r="O64" i="1"/>
  <c r="L64" i="1"/>
  <c r="M64" i="1" s="1"/>
  <c r="L62" i="1"/>
  <c r="M62" i="1" s="1"/>
  <c r="L59" i="1"/>
  <c r="M59" i="1" s="1"/>
  <c r="Z61" i="1"/>
  <c r="X61" i="1" s="1"/>
  <c r="U61" i="1" s="1"/>
  <c r="O61" i="1" s="1"/>
  <c r="L58" i="1"/>
  <c r="M58" i="1" s="1"/>
  <c r="Z60" i="1"/>
  <c r="X60" i="1" s="1"/>
  <c r="Y53" i="1"/>
  <c r="Y54" i="1"/>
  <c r="Y55" i="1"/>
  <c r="Y56" i="1"/>
  <c r="Y57" i="1"/>
  <c r="W51" i="1"/>
  <c r="Y52" i="1"/>
  <c r="N51" i="1"/>
  <c r="K26" i="5"/>
  <c r="N26" i="5" s="1"/>
  <c r="O26" i="5" s="1"/>
  <c r="K23" i="5"/>
  <c r="N23" i="5" s="1"/>
  <c r="O23" i="5" s="1"/>
  <c r="M22" i="5"/>
  <c r="N22" i="5"/>
  <c r="O22" i="5" s="1"/>
  <c r="K27" i="5"/>
  <c r="K25" i="5"/>
  <c r="N25" i="5" s="1"/>
  <c r="O25" i="5" s="1"/>
  <c r="M27" i="5"/>
  <c r="K24" i="5"/>
  <c r="N24" i="5" s="1"/>
  <c r="O24" i="5" s="1"/>
  <c r="M25" i="5"/>
  <c r="M17" i="5"/>
  <c r="K16" i="5"/>
  <c r="N16" i="5" s="1"/>
  <c r="O16" i="5" s="1"/>
  <c r="K19" i="5"/>
  <c r="N19" i="5" s="1"/>
  <c r="O19" i="5" s="1"/>
  <c r="N17" i="5"/>
  <c r="O17" i="5" s="1"/>
  <c r="K18" i="5"/>
  <c r="N18" i="5" s="1"/>
  <c r="O18" i="5" s="1"/>
  <c r="G20" i="5"/>
  <c r="H50" i="6" s="1"/>
  <c r="J50" i="6" s="1"/>
  <c r="K15" i="5"/>
  <c r="N15" i="5" s="1"/>
  <c r="O15" i="5" s="1"/>
  <c r="M18" i="5"/>
  <c r="G13" i="5"/>
  <c r="H49" i="6" s="1"/>
  <c r="J49" i="6" s="1"/>
  <c r="K13" i="5"/>
  <c r="M13" i="5"/>
  <c r="K12" i="5"/>
  <c r="N12" i="5" s="1"/>
  <c r="O12" i="5" s="1"/>
  <c r="M12" i="5"/>
  <c r="M11" i="5"/>
  <c r="K11" i="5"/>
  <c r="N11" i="5" s="1"/>
  <c r="O11" i="5" s="1"/>
  <c r="M10" i="5"/>
  <c r="K10" i="5"/>
  <c r="N10" i="5" s="1"/>
  <c r="O10" i="5" s="1"/>
  <c r="M9" i="5"/>
  <c r="K9" i="5"/>
  <c r="N9" i="5" s="1"/>
  <c r="O9" i="5" s="1"/>
  <c r="K8" i="5"/>
  <c r="N8" i="5" s="1"/>
  <c r="O8" i="5" s="1"/>
  <c r="M8" i="5"/>
  <c r="Q48" i="1"/>
  <c r="K47" i="1"/>
  <c r="H47" i="1"/>
  <c r="J47" i="1" s="1"/>
  <c r="Q47" i="1"/>
  <c r="G6" i="5"/>
  <c r="I6" i="5" s="1"/>
  <c r="J6" i="5" s="1"/>
  <c r="N49" i="6" l="1"/>
  <c r="R49" i="6"/>
  <c r="S49" i="6"/>
  <c r="R50" i="6"/>
  <c r="S50" i="6"/>
  <c r="N50" i="6"/>
  <c r="I50" i="1"/>
  <c r="J50" i="1" s="1"/>
  <c r="N50" i="1" s="1"/>
  <c r="I51" i="6"/>
  <c r="J51" i="6" s="1"/>
  <c r="N88" i="5"/>
  <c r="O88" i="5" s="1"/>
  <c r="N74" i="5"/>
  <c r="O74" i="5" s="1"/>
  <c r="I27" i="5"/>
  <c r="N27" i="5" s="1"/>
  <c r="O27" i="5" s="1"/>
  <c r="L61" i="1"/>
  <c r="M61" i="1" s="1"/>
  <c r="W50" i="1"/>
  <c r="U60" i="1"/>
  <c r="O60" i="1" s="1"/>
  <c r="V50" i="1"/>
  <c r="Z54" i="1"/>
  <c r="X54" i="1" s="1"/>
  <c r="U54" i="1" s="1"/>
  <c r="O54" i="1" s="1"/>
  <c r="Y51" i="1"/>
  <c r="Z51" i="1" s="1"/>
  <c r="X51" i="1" s="1"/>
  <c r="U51" i="1" s="1"/>
  <c r="O51" i="1" s="1"/>
  <c r="Z53" i="1"/>
  <c r="X53" i="1" s="1"/>
  <c r="U53" i="1" s="1"/>
  <c r="O53" i="1" s="1"/>
  <c r="Z56" i="1"/>
  <c r="X56" i="1" s="1"/>
  <c r="U56" i="1" s="1"/>
  <c r="O56" i="1" s="1"/>
  <c r="Z55" i="1"/>
  <c r="X55" i="1" s="1"/>
  <c r="U55" i="1" s="1"/>
  <c r="Z57" i="1"/>
  <c r="X57" i="1" s="1"/>
  <c r="Z52" i="1"/>
  <c r="X52" i="1" s="1"/>
  <c r="I20" i="5"/>
  <c r="N20" i="5" s="1"/>
  <c r="O20" i="5" s="1"/>
  <c r="H49" i="1"/>
  <c r="J49" i="1" s="1"/>
  <c r="I13" i="5"/>
  <c r="N13" i="5" s="1"/>
  <c r="O13" i="5" s="1"/>
  <c r="H48" i="1"/>
  <c r="J48" i="1" s="1"/>
  <c r="N48" i="1" s="1"/>
  <c r="N47" i="1"/>
  <c r="V47" i="1"/>
  <c r="W47" i="1"/>
  <c r="M6" i="5"/>
  <c r="K6" i="5"/>
  <c r="N6" i="5" s="1"/>
  <c r="O6" i="5" s="1"/>
  <c r="Q46" i="1"/>
  <c r="H46" i="1"/>
  <c r="J46" i="1" s="1"/>
  <c r="U50" i="6" l="1"/>
  <c r="V50" i="6" s="1"/>
  <c r="T50" i="6" s="1"/>
  <c r="Q50" i="6" s="1"/>
  <c r="O50" i="6" s="1"/>
  <c r="R51" i="6"/>
  <c r="S51" i="6"/>
  <c r="N51" i="6"/>
  <c r="Y50" i="1"/>
  <c r="Z50" i="1" s="1"/>
  <c r="X50" i="1" s="1"/>
  <c r="U50" i="1" s="1"/>
  <c r="O50" i="1" s="1"/>
  <c r="U49" i="6"/>
  <c r="L54" i="1"/>
  <c r="M54" i="1" s="1"/>
  <c r="L60" i="1"/>
  <c r="M60" i="1" s="1"/>
  <c r="L53" i="1"/>
  <c r="M53" i="1" s="1"/>
  <c r="O55" i="1"/>
  <c r="L55" i="1"/>
  <c r="M55" i="1" s="1"/>
  <c r="L56" i="1"/>
  <c r="M56" i="1" s="1"/>
  <c r="U57" i="1"/>
  <c r="O57" i="1" s="1"/>
  <c r="U52" i="1"/>
  <c r="O52" i="1" s="1"/>
  <c r="L51" i="1"/>
  <c r="M51" i="1" s="1"/>
  <c r="V49" i="1"/>
  <c r="N49" i="1"/>
  <c r="W49" i="1"/>
  <c r="V48" i="1"/>
  <c r="W48" i="1"/>
  <c r="Y48" i="1" s="1"/>
  <c r="Z48" i="1" s="1"/>
  <c r="X48" i="1" s="1"/>
  <c r="Y47" i="1"/>
  <c r="H45" i="1"/>
  <c r="J45" i="1" s="1"/>
  <c r="Q45" i="1"/>
  <c r="H44" i="1"/>
  <c r="J44" i="1" s="1"/>
  <c r="Q44" i="1"/>
  <c r="H43" i="1"/>
  <c r="J43" i="1" s="1"/>
  <c r="Q43" i="1"/>
  <c r="H42" i="1"/>
  <c r="J42" i="1" s="1"/>
  <c r="Q42" i="1"/>
  <c r="H41" i="1"/>
  <c r="J41" i="1" s="1"/>
  <c r="Q41" i="1"/>
  <c r="H40" i="1"/>
  <c r="J40" i="1" s="1"/>
  <c r="Q40" i="1"/>
  <c r="V49" i="6" l="1"/>
  <c r="T49" i="6" s="1"/>
  <c r="Q49" i="6" s="1"/>
  <c r="O49" i="6" s="1"/>
  <c r="L50" i="6"/>
  <c r="M50" i="6" s="1"/>
  <c r="U51" i="6"/>
  <c r="L57" i="1"/>
  <c r="M57" i="1" s="1"/>
  <c r="L52" i="1"/>
  <c r="M52" i="1" s="1"/>
  <c r="L50" i="1"/>
  <c r="M50" i="1" s="1"/>
  <c r="U48" i="1"/>
  <c r="O48" i="1" s="1"/>
  <c r="Y49" i="1"/>
  <c r="Z49" i="1" s="1"/>
  <c r="X49" i="1" s="1"/>
  <c r="U49" i="1" s="1"/>
  <c r="O49" i="1" s="1"/>
  <c r="Z47" i="1"/>
  <c r="X47" i="1" s="1"/>
  <c r="U47" i="1" s="1"/>
  <c r="H39" i="1"/>
  <c r="J39" i="1" s="1"/>
  <c r="H38" i="1"/>
  <c r="J38" i="1" s="1"/>
  <c r="K38" i="1" s="1"/>
  <c r="H37" i="1"/>
  <c r="J37" i="1" s="1"/>
  <c r="K37" i="1" s="1"/>
  <c r="V51" i="6" l="1"/>
  <c r="T51" i="6" s="1"/>
  <c r="Q51" i="6" s="1"/>
  <c r="O51" i="6" s="1"/>
  <c r="L49" i="6"/>
  <c r="M49" i="6" s="1"/>
  <c r="L48" i="1"/>
  <c r="M48" i="1" s="1"/>
  <c r="L49" i="1"/>
  <c r="M49" i="1" s="1"/>
  <c r="O47" i="1"/>
  <c r="L47" i="1"/>
  <c r="M47" i="1" s="1"/>
  <c r="K39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H36" i="1"/>
  <c r="J36" i="1" s="1"/>
  <c r="L51" i="6" l="1"/>
  <c r="M51" i="6" s="1"/>
  <c r="K36" i="1"/>
  <c r="J5" i="5"/>
  <c r="L5" i="5"/>
  <c r="G5" i="5"/>
  <c r="K24" i="1"/>
  <c r="H24" i="1"/>
  <c r="J24" i="1" s="1"/>
  <c r="W24" i="1" l="1"/>
  <c r="V24" i="1"/>
  <c r="N24" i="1"/>
  <c r="Q37" i="1"/>
  <c r="Y24" i="1" l="1"/>
  <c r="J35" i="1"/>
  <c r="K35" i="1" s="1"/>
  <c r="I5" i="5"/>
  <c r="K34" i="1"/>
  <c r="K252" i="5"/>
  <c r="K30" i="1"/>
  <c r="H34" i="1"/>
  <c r="J34" i="1" s="1"/>
  <c r="H30" i="1"/>
  <c r="J30" i="1" s="1"/>
  <c r="H33" i="1"/>
  <c r="J33" i="1" s="1"/>
  <c r="K33" i="1" s="1"/>
  <c r="H32" i="1"/>
  <c r="J32" i="1" s="1"/>
  <c r="K32" i="1" s="1"/>
  <c r="H31" i="1"/>
  <c r="J31" i="1" s="1"/>
  <c r="K31" i="1" s="1"/>
  <c r="K29" i="1"/>
  <c r="K28" i="1"/>
  <c r="H29" i="1"/>
  <c r="J29" i="1" s="1"/>
  <c r="H28" i="1"/>
  <c r="J28" i="1" s="1"/>
  <c r="H27" i="1"/>
  <c r="J27" i="1" s="1"/>
  <c r="K27" i="1" l="1"/>
  <c r="Z24" i="1"/>
  <c r="X24" i="1" s="1"/>
  <c r="U24" i="1" s="1"/>
  <c r="O24" i="1" s="1"/>
  <c r="K5" i="5"/>
  <c r="N5" i="5" s="1"/>
  <c r="O5" i="5" s="1"/>
  <c r="M5" i="5"/>
  <c r="L24" i="1" l="1"/>
  <c r="M24" i="1" s="1"/>
  <c r="A26" i="1"/>
  <c r="A27" i="1" s="1"/>
  <c r="Q39" i="1"/>
  <c r="Q38" i="1"/>
  <c r="W27" i="1" l="1"/>
  <c r="N27" i="1"/>
  <c r="V27" i="1"/>
  <c r="A28" i="1"/>
  <c r="A40" i="1" s="1"/>
  <c r="A38" i="1"/>
  <c r="A39" i="1" s="1"/>
  <c r="N39" i="1" s="1"/>
  <c r="J26" i="1"/>
  <c r="W38" i="1" l="1"/>
  <c r="Y27" i="1"/>
  <c r="Z27" i="1" s="1"/>
  <c r="X27" i="1" s="1"/>
  <c r="U27" i="1" s="1"/>
  <c r="O27" i="1" s="1"/>
  <c r="W39" i="1"/>
  <c r="Y39" i="1" s="1"/>
  <c r="Z39" i="1" s="1"/>
  <c r="X39" i="1" s="1"/>
  <c r="K26" i="1"/>
  <c r="W26" i="1" s="1"/>
  <c r="V26" i="1"/>
  <c r="N26" i="1"/>
  <c r="V40" i="1"/>
  <c r="N40" i="1"/>
  <c r="W40" i="1"/>
  <c r="A29" i="1"/>
  <c r="A41" i="1" s="1"/>
  <c r="N28" i="1"/>
  <c r="V28" i="1"/>
  <c r="W28" i="1"/>
  <c r="V39" i="1"/>
  <c r="V38" i="1"/>
  <c r="N38" i="1"/>
  <c r="Y38" i="1" s="1"/>
  <c r="Z38" i="1" s="1"/>
  <c r="X38" i="1" s="1"/>
  <c r="I23" i="1"/>
  <c r="H23" i="1"/>
  <c r="Y28" i="1" l="1"/>
  <c r="Z28" i="1" s="1"/>
  <c r="X28" i="1" s="1"/>
  <c r="U28" i="1" s="1"/>
  <c r="J23" i="1"/>
  <c r="V23" i="1" s="1"/>
  <c r="N41" i="1"/>
  <c r="V41" i="1"/>
  <c r="W41" i="1"/>
  <c r="Y40" i="1"/>
  <c r="Y26" i="1"/>
  <c r="L27" i="1"/>
  <c r="M27" i="1" s="1"/>
  <c r="V29" i="1"/>
  <c r="W29" i="1"/>
  <c r="N29" i="1"/>
  <c r="A30" i="1"/>
  <c r="A42" i="1" s="1"/>
  <c r="A31" i="1"/>
  <c r="A43" i="1" s="1"/>
  <c r="U39" i="1"/>
  <c r="O39" i="1" s="1"/>
  <c r="U38" i="1"/>
  <c r="O38" i="1" s="1"/>
  <c r="Q22" i="1"/>
  <c r="J22" i="1"/>
  <c r="N22" i="1" s="1"/>
  <c r="Q21" i="1"/>
  <c r="J21" i="1"/>
  <c r="V21" i="1" s="1"/>
  <c r="Q20" i="1"/>
  <c r="J20" i="1"/>
  <c r="N20" i="1" s="1"/>
  <c r="Q19" i="1"/>
  <c r="J19" i="1"/>
  <c r="N23" i="1" l="1"/>
  <c r="W23" i="1"/>
  <c r="N43" i="1"/>
  <c r="V43" i="1"/>
  <c r="W43" i="1"/>
  <c r="N42" i="1"/>
  <c r="W42" i="1"/>
  <c r="V42" i="1"/>
  <c r="Y41" i="1"/>
  <c r="Z41" i="1" s="1"/>
  <c r="X41" i="1" s="1"/>
  <c r="Z26" i="1"/>
  <c r="X26" i="1" s="1"/>
  <c r="U26" i="1" s="1"/>
  <c r="O26" i="1" s="1"/>
  <c r="Y29" i="1"/>
  <c r="Z29" i="1" s="1"/>
  <c r="X29" i="1" s="1"/>
  <c r="U29" i="1" s="1"/>
  <c r="O29" i="1" s="1"/>
  <c r="Z40" i="1"/>
  <c r="X40" i="1" s="1"/>
  <c r="U40" i="1" s="1"/>
  <c r="O40" i="1" s="1"/>
  <c r="O28" i="1"/>
  <c r="L28" i="1"/>
  <c r="M28" i="1" s="1"/>
  <c r="A32" i="1"/>
  <c r="V31" i="1"/>
  <c r="N31" i="1"/>
  <c r="W31" i="1"/>
  <c r="W30" i="1"/>
  <c r="N30" i="1"/>
  <c r="V30" i="1"/>
  <c r="L39" i="1"/>
  <c r="M39" i="1" s="1"/>
  <c r="L38" i="1"/>
  <c r="M38" i="1" s="1"/>
  <c r="W21" i="1"/>
  <c r="N21" i="1"/>
  <c r="V22" i="1"/>
  <c r="W22" i="1"/>
  <c r="Y22" i="1" s="1"/>
  <c r="V20" i="1"/>
  <c r="W20" i="1"/>
  <c r="Y20" i="1" s="1"/>
  <c r="W19" i="1"/>
  <c r="V19" i="1"/>
  <c r="N19" i="1"/>
  <c r="H18" i="1"/>
  <c r="J18" i="1" s="1"/>
  <c r="H17" i="1"/>
  <c r="Q18" i="1"/>
  <c r="Y23" i="1" l="1"/>
  <c r="Z23" i="1" s="1"/>
  <c r="X23" i="1" s="1"/>
  <c r="U23" i="1" s="1"/>
  <c r="O23" i="1" s="1"/>
  <c r="Y30" i="1"/>
  <c r="Z30" i="1" s="1"/>
  <c r="X30" i="1" s="1"/>
  <c r="U30" i="1" s="1"/>
  <c r="A44" i="1"/>
  <c r="W44" i="1" s="1"/>
  <c r="Y43" i="1"/>
  <c r="Z43" i="1" s="1"/>
  <c r="X43" i="1" s="1"/>
  <c r="U43" i="1" s="1"/>
  <c r="O43" i="1" s="1"/>
  <c r="Y31" i="1"/>
  <c r="Z31" i="1" s="1"/>
  <c r="X31" i="1" s="1"/>
  <c r="U31" i="1" s="1"/>
  <c r="O31" i="1" s="1"/>
  <c r="Y42" i="1"/>
  <c r="Z42" i="1" s="1"/>
  <c r="X42" i="1" s="1"/>
  <c r="U42" i="1" s="1"/>
  <c r="O42" i="1" s="1"/>
  <c r="U41" i="1"/>
  <c r="O41" i="1" s="1"/>
  <c r="L40" i="1"/>
  <c r="M40" i="1" s="1"/>
  <c r="L29" i="1"/>
  <c r="M29" i="1" s="1"/>
  <c r="L26" i="1"/>
  <c r="M26" i="1" s="1"/>
  <c r="W32" i="1"/>
  <c r="N32" i="1"/>
  <c r="V32" i="1"/>
  <c r="A33" i="1"/>
  <c r="A45" i="1" s="1"/>
  <c r="Z22" i="1"/>
  <c r="X22" i="1" s="1"/>
  <c r="U22" i="1" s="1"/>
  <c r="O22" i="1" s="1"/>
  <c r="Y21" i="1"/>
  <c r="Z20" i="1"/>
  <c r="X20" i="1" s="1"/>
  <c r="U20" i="1" s="1"/>
  <c r="O20" i="1" s="1"/>
  <c r="Y19" i="1"/>
  <c r="J17" i="1"/>
  <c r="K17" i="1" s="1"/>
  <c r="Q17" i="1"/>
  <c r="H16" i="1"/>
  <c r="L23" i="1" l="1"/>
  <c r="M23" i="1" s="1"/>
  <c r="N44" i="1"/>
  <c r="Y44" i="1" s="1"/>
  <c r="Z44" i="1" s="1"/>
  <c r="X44" i="1" s="1"/>
  <c r="V44" i="1"/>
  <c r="N45" i="1"/>
  <c r="W45" i="1"/>
  <c r="V45" i="1"/>
  <c r="L43" i="1"/>
  <c r="M43" i="1" s="1"/>
  <c r="L42" i="1"/>
  <c r="M42" i="1" s="1"/>
  <c r="L41" i="1"/>
  <c r="M41" i="1" s="1"/>
  <c r="O30" i="1"/>
  <c r="L30" i="1"/>
  <c r="M30" i="1" s="1"/>
  <c r="L31" i="1"/>
  <c r="M31" i="1" s="1"/>
  <c r="A34" i="1"/>
  <c r="V33" i="1"/>
  <c r="N33" i="1"/>
  <c r="W33" i="1"/>
  <c r="Y32" i="1"/>
  <c r="Z21" i="1"/>
  <c r="X21" i="1" s="1"/>
  <c r="U21" i="1" s="1"/>
  <c r="L22" i="1"/>
  <c r="M22" i="1" s="1"/>
  <c r="L20" i="1"/>
  <c r="M20" i="1" s="1"/>
  <c r="Z19" i="1"/>
  <c r="X19" i="1" s="1"/>
  <c r="H15" i="1"/>
  <c r="Q16" i="1"/>
  <c r="J16" i="1"/>
  <c r="W46" i="1" l="1"/>
  <c r="V46" i="1"/>
  <c r="N46" i="1"/>
  <c r="Y45" i="1"/>
  <c r="U44" i="1"/>
  <c r="O44" i="1" s="1"/>
  <c r="Y33" i="1"/>
  <c r="V34" i="1"/>
  <c r="W34" i="1"/>
  <c r="N34" i="1"/>
  <c r="A35" i="1"/>
  <c r="A36" i="1"/>
  <c r="Z32" i="1"/>
  <c r="X32" i="1" s="1"/>
  <c r="U32" i="1" s="1"/>
  <c r="O32" i="1" s="1"/>
  <c r="O21" i="1"/>
  <c r="L21" i="1"/>
  <c r="M21" i="1" s="1"/>
  <c r="U19" i="1"/>
  <c r="O19" i="1" s="1"/>
  <c r="I13" i="1"/>
  <c r="Y34" i="1" l="1"/>
  <c r="Z34" i="1" s="1"/>
  <c r="X34" i="1" s="1"/>
  <c r="U34" i="1" s="1"/>
  <c r="O34" i="1" s="1"/>
  <c r="Y46" i="1"/>
  <c r="Z45" i="1"/>
  <c r="X45" i="1" s="1"/>
  <c r="U45" i="1" s="1"/>
  <c r="O45" i="1" s="1"/>
  <c r="L44" i="1"/>
  <c r="M44" i="1" s="1"/>
  <c r="L32" i="1"/>
  <c r="M32" i="1" s="1"/>
  <c r="V36" i="1"/>
  <c r="W36" i="1"/>
  <c r="N36" i="1"/>
  <c r="A37" i="1"/>
  <c r="N35" i="1"/>
  <c r="V35" i="1"/>
  <c r="W35" i="1"/>
  <c r="Z33" i="1"/>
  <c r="X33" i="1" s="1"/>
  <c r="U33" i="1" s="1"/>
  <c r="O33" i="1" s="1"/>
  <c r="L19" i="1"/>
  <c r="M19" i="1" s="1"/>
  <c r="H12" i="1"/>
  <c r="Z46" i="1" l="1"/>
  <c r="X46" i="1" s="1"/>
  <c r="U46" i="1" s="1"/>
  <c r="O46" i="1" s="1"/>
  <c r="L45" i="1"/>
  <c r="M45" i="1" s="1"/>
  <c r="L33" i="1"/>
  <c r="M33" i="1" s="1"/>
  <c r="Y35" i="1"/>
  <c r="Z35" i="1" s="1"/>
  <c r="X35" i="1" s="1"/>
  <c r="U35" i="1" s="1"/>
  <c r="O35" i="1" s="1"/>
  <c r="N37" i="1"/>
  <c r="V37" i="1"/>
  <c r="W37" i="1"/>
  <c r="Y36" i="1"/>
  <c r="L34" i="1"/>
  <c r="M34" i="1" s="1"/>
  <c r="K11" i="1"/>
  <c r="H11" i="1"/>
  <c r="H10" i="1"/>
  <c r="L46" i="1" l="1"/>
  <c r="M46" i="1" s="1"/>
  <c r="Y37" i="1"/>
  <c r="Z37" i="1" s="1"/>
  <c r="X37" i="1" s="1"/>
  <c r="U37" i="1" s="1"/>
  <c r="O37" i="1" s="1"/>
  <c r="Z36" i="1"/>
  <c r="X36" i="1" s="1"/>
  <c r="U36" i="1" s="1"/>
  <c r="O36" i="1" s="1"/>
  <c r="L35" i="1"/>
  <c r="M35" i="1" s="1"/>
  <c r="J10" i="1"/>
  <c r="Q10" i="1"/>
  <c r="L36" i="1" l="1"/>
  <c r="M36" i="1" s="1"/>
  <c r="L37" i="1"/>
  <c r="M37" i="1" s="1"/>
  <c r="N10" i="1"/>
  <c r="V10" i="1"/>
  <c r="W10" i="1"/>
  <c r="J9" i="1"/>
  <c r="Q9" i="1"/>
  <c r="Y10" i="1" l="1"/>
  <c r="N9" i="1"/>
  <c r="W9" i="1"/>
  <c r="V9" i="1"/>
  <c r="H8" i="1"/>
  <c r="Z10" i="1" l="1"/>
  <c r="X10" i="1" s="1"/>
  <c r="U10" i="1" s="1"/>
  <c r="O10" i="1" s="1"/>
  <c r="Y9" i="1"/>
  <c r="H7" i="1"/>
  <c r="K7" i="1"/>
  <c r="L10" i="1" l="1"/>
  <c r="M10" i="1" s="1"/>
  <c r="Z9" i="1"/>
  <c r="X9" i="1" s="1"/>
  <c r="U9" i="1" s="1"/>
  <c r="O9" i="1" s="1"/>
  <c r="J4" i="1"/>
  <c r="L9" i="1" l="1"/>
  <c r="M9" i="1" s="1"/>
  <c r="J5" i="1"/>
  <c r="G4" i="5" l="1"/>
  <c r="G3" i="5" l="1"/>
  <c r="G2" i="5"/>
  <c r="H3" i="1" l="1"/>
  <c r="H2" i="1"/>
  <c r="C258" i="5" l="1"/>
  <c r="D254" i="5" l="1"/>
  <c r="D255" i="5"/>
  <c r="D256" i="5"/>
  <c r="D257" i="5"/>
  <c r="D253" i="5"/>
  <c r="B255" i="5"/>
  <c r="B256" i="5"/>
  <c r="B257" i="5"/>
  <c r="B254" i="5"/>
  <c r="A3" i="1"/>
  <c r="A20" i="3"/>
  <c r="A19" i="3"/>
  <c r="A18" i="3"/>
  <c r="A17" i="3"/>
  <c r="C20" i="3"/>
  <c r="C19" i="3"/>
  <c r="C18" i="3"/>
  <c r="C17" i="3"/>
  <c r="C16" i="3"/>
  <c r="I21" i="5"/>
  <c r="I29" i="5"/>
  <c r="I31" i="5"/>
  <c r="I32" i="5"/>
  <c r="I33" i="5"/>
  <c r="I34" i="5"/>
  <c r="J34" i="5" s="1"/>
  <c r="I101" i="5"/>
  <c r="J101" i="5" s="1"/>
  <c r="I106" i="5"/>
  <c r="J106" i="5" s="1"/>
  <c r="I251" i="5"/>
  <c r="J251" i="5" s="1"/>
  <c r="I4" i="5"/>
  <c r="J4" i="5" s="1"/>
  <c r="I3" i="5"/>
  <c r="J3" i="5" s="1"/>
  <c r="I2" i="5"/>
  <c r="J2" i="5" s="1"/>
  <c r="M21" i="5" l="1"/>
  <c r="K21" i="5"/>
  <c r="N21" i="5" s="1"/>
  <c r="O21" i="5" s="1"/>
  <c r="M31" i="5"/>
  <c r="K31" i="5"/>
  <c r="N31" i="5" s="1"/>
  <c r="O31" i="5" s="1"/>
  <c r="M106" i="5"/>
  <c r="K106" i="5"/>
  <c r="N106" i="5" s="1"/>
  <c r="O106" i="5" s="1"/>
  <c r="M32" i="5"/>
  <c r="K32" i="5"/>
  <c r="N32" i="5" s="1"/>
  <c r="O32" i="5" s="1"/>
  <c r="M29" i="5"/>
  <c r="K29" i="5"/>
  <c r="N29" i="5" s="1"/>
  <c r="O29" i="5" s="1"/>
  <c r="K101" i="5"/>
  <c r="N101" i="5" s="1"/>
  <c r="O101" i="5" s="1"/>
  <c r="M101" i="5"/>
  <c r="K251" i="5"/>
  <c r="N251" i="5" s="1"/>
  <c r="O251" i="5" s="1"/>
  <c r="M251" i="5"/>
  <c r="K34" i="5"/>
  <c r="N34" i="5" s="1"/>
  <c r="O34" i="5" s="1"/>
  <c r="M34" i="5"/>
  <c r="K33" i="5"/>
  <c r="N33" i="5" s="1"/>
  <c r="O33" i="5" s="1"/>
  <c r="M33" i="5"/>
  <c r="M2" i="5"/>
  <c r="K2" i="5"/>
  <c r="M3" i="5"/>
  <c r="K3" i="5"/>
  <c r="M4" i="5"/>
  <c r="K4" i="5"/>
  <c r="N2" i="5" l="1"/>
  <c r="O2" i="5" s="1"/>
  <c r="N4" i="5"/>
  <c r="O4" i="5" s="1"/>
  <c r="N3" i="5"/>
  <c r="O3" i="5" s="1"/>
  <c r="Q3" i="1" l="1"/>
  <c r="J3" i="1"/>
  <c r="K3" i="1" s="1"/>
  <c r="W3" i="1" l="1"/>
  <c r="N3" i="1"/>
  <c r="V3" i="1"/>
  <c r="Y3" i="1" l="1"/>
  <c r="Z3" i="1" s="1"/>
  <c r="X3" i="1" s="1"/>
  <c r="U3" i="1" s="1"/>
  <c r="O3" i="1" s="1"/>
  <c r="L3" i="1" l="1"/>
  <c r="M3" i="1" s="1"/>
  <c r="Q4" i="1" l="1"/>
  <c r="Q5" i="1"/>
  <c r="Q6" i="1"/>
  <c r="Q7" i="1"/>
  <c r="Q8" i="1"/>
  <c r="Q11" i="1"/>
  <c r="Q12" i="1"/>
  <c r="Q13" i="1"/>
  <c r="Q14" i="1"/>
  <c r="Q15" i="1"/>
  <c r="J6" i="1" l="1"/>
  <c r="J7" i="1"/>
  <c r="J8" i="1"/>
  <c r="K8" i="1" s="1"/>
  <c r="J11" i="1"/>
  <c r="J12" i="1"/>
  <c r="J13" i="1"/>
  <c r="K13" i="1" s="1"/>
  <c r="J14" i="1"/>
  <c r="J15" i="1"/>
  <c r="J25" i="1"/>
  <c r="J2" i="1"/>
  <c r="K2" i="1" s="1"/>
  <c r="A4" i="1"/>
  <c r="A5" i="1" s="1"/>
  <c r="A6" i="1" s="1"/>
  <c r="A7" i="1" s="1"/>
  <c r="K25" i="1" l="1"/>
  <c r="W25" i="1" s="1"/>
  <c r="N25" i="1"/>
  <c r="V25" i="1"/>
  <c r="V2" i="1"/>
  <c r="A11" i="1"/>
  <c r="A12" i="1" s="1"/>
  <c r="W7" i="1"/>
  <c r="N4" i="1"/>
  <c r="W4" i="1"/>
  <c r="N5" i="1"/>
  <c r="V4" i="1"/>
  <c r="N2" i="1"/>
  <c r="V7" i="1"/>
  <c r="V6" i="1"/>
  <c r="N6" i="1"/>
  <c r="W6" i="1"/>
  <c r="V5" i="1"/>
  <c r="N7" i="1"/>
  <c r="W5" i="1"/>
  <c r="Y25" i="1" l="1"/>
  <c r="Z25" i="1" s="1"/>
  <c r="X25" i="1" s="1"/>
  <c r="U25" i="1" s="1"/>
  <c r="V11" i="1"/>
  <c r="A13" i="1"/>
  <c r="A14" i="1" s="1"/>
  <c r="A15" i="1" s="1"/>
  <c r="N15" i="1" s="1"/>
  <c r="W12" i="1"/>
  <c r="N12" i="1"/>
  <c r="N8" i="1"/>
  <c r="Y4" i="1"/>
  <c r="Z4" i="1" s="1"/>
  <c r="X4" i="1" s="1"/>
  <c r="U4" i="1" s="1"/>
  <c r="V8" i="1"/>
  <c r="N11" i="1"/>
  <c r="W8" i="1"/>
  <c r="V12" i="1"/>
  <c r="Y7" i="1"/>
  <c r="Z7" i="1" s="1"/>
  <c r="X7" i="1" s="1"/>
  <c r="U7" i="1" s="1"/>
  <c r="Y5" i="1"/>
  <c r="Y6" i="1"/>
  <c r="W11" i="1"/>
  <c r="V13" i="1" l="1"/>
  <c r="W14" i="1"/>
  <c r="O25" i="1"/>
  <c r="L25" i="1"/>
  <c r="M25" i="1" s="1"/>
  <c r="N14" i="1"/>
  <c r="W15" i="1"/>
  <c r="Y15" i="1" s="1"/>
  <c r="Z15" i="1" s="1"/>
  <c r="X15" i="1" s="1"/>
  <c r="N13" i="1"/>
  <c r="A16" i="1"/>
  <c r="W13" i="1"/>
  <c r="Y8" i="1"/>
  <c r="Z8" i="1" s="1"/>
  <c r="X8" i="1" s="1"/>
  <c r="V14" i="1"/>
  <c r="V15" i="1"/>
  <c r="Y12" i="1"/>
  <c r="Z12" i="1" s="1"/>
  <c r="X12" i="1" s="1"/>
  <c r="U12" i="1" s="1"/>
  <c r="Y11" i="1"/>
  <c r="Z11" i="1" s="1"/>
  <c r="X11" i="1" s="1"/>
  <c r="U11" i="1" s="1"/>
  <c r="O11" i="1" s="1"/>
  <c r="L4" i="1"/>
  <c r="M4" i="1" s="1"/>
  <c r="O4" i="1"/>
  <c r="Z6" i="1"/>
  <c r="X6" i="1" s="1"/>
  <c r="U6" i="1" s="1"/>
  <c r="O6" i="1" s="1"/>
  <c r="L7" i="1"/>
  <c r="M7" i="1" s="1"/>
  <c r="Z5" i="1"/>
  <c r="X5" i="1" s="1"/>
  <c r="U5" i="1" s="1"/>
  <c r="O5" i="1" s="1"/>
  <c r="O7" i="1"/>
  <c r="W2" i="1"/>
  <c r="Y14" i="1" l="1"/>
  <c r="Z14" i="1" s="1"/>
  <c r="X14" i="1" s="1"/>
  <c r="Y13" i="1"/>
  <c r="Z13" i="1" s="1"/>
  <c r="X13" i="1" s="1"/>
  <c r="U13" i="1" s="1"/>
  <c r="O13" i="1" s="1"/>
  <c r="A17" i="1"/>
  <c r="W16" i="1"/>
  <c r="N16" i="1"/>
  <c r="V16" i="1"/>
  <c r="U15" i="1"/>
  <c r="O15" i="1" s="1"/>
  <c r="L6" i="1"/>
  <c r="M6" i="1" s="1"/>
  <c r="L11" i="1"/>
  <c r="M11" i="1" s="1"/>
  <c r="O12" i="1"/>
  <c r="L12" i="1"/>
  <c r="M12" i="1" s="1"/>
  <c r="L5" i="1"/>
  <c r="M5" i="1" s="1"/>
  <c r="U8" i="1"/>
  <c r="O8" i="1" s="1"/>
  <c r="Y2" i="1"/>
  <c r="Z2" i="1" s="1"/>
  <c r="L13" i="1" l="1"/>
  <c r="M13" i="1" s="1"/>
  <c r="U14" i="1"/>
  <c r="O14" i="1" s="1"/>
  <c r="Y16" i="1"/>
  <c r="N17" i="1"/>
  <c r="V17" i="1"/>
  <c r="W17" i="1"/>
  <c r="L15" i="1"/>
  <c r="M15" i="1" s="1"/>
  <c r="L14" i="1"/>
  <c r="M14" i="1" s="1"/>
  <c r="L8" i="1"/>
  <c r="M8" i="1" s="1"/>
  <c r="N18" i="1" l="1"/>
  <c r="V18" i="1"/>
  <c r="W18" i="1"/>
  <c r="Y17" i="1"/>
  <c r="Z17" i="1" s="1"/>
  <c r="X17" i="1" s="1"/>
  <c r="Z16" i="1"/>
  <c r="X16" i="1" s="1"/>
  <c r="U16" i="1" s="1"/>
  <c r="O16" i="1" s="1"/>
  <c r="X2" i="1"/>
  <c r="Y18" i="1" l="1"/>
  <c r="Z18" i="1" s="1"/>
  <c r="X18" i="1" s="1"/>
  <c r="U17" i="1"/>
  <c r="O17" i="1" s="1"/>
  <c r="L16" i="1"/>
  <c r="M16" i="1" s="1"/>
  <c r="U2" i="1"/>
  <c r="O2" i="1" s="1"/>
  <c r="U18" i="1" l="1"/>
  <c r="O18" i="1" s="1"/>
  <c r="L17" i="1"/>
  <c r="M17" i="1" s="1"/>
  <c r="L2" i="1"/>
  <c r="L18" i="1" l="1"/>
  <c r="M18" i="1" s="1"/>
  <c r="M2" i="1"/>
  <c r="Q2" i="1"/>
  <c r="H42" i="5"/>
  <c r="I42" i="5" s="1"/>
  <c r="J42" i="5" s="1"/>
  <c r="I41" i="5"/>
  <c r="J41" i="5" s="1"/>
  <c r="K41" i="5" l="1"/>
  <c r="M41" i="5"/>
  <c r="L41" i="5"/>
  <c r="L42" i="5" s="1"/>
  <c r="K42" i="5" l="1"/>
  <c r="N42" i="5" s="1"/>
  <c r="O42" i="5" s="1"/>
  <c r="M42" i="5"/>
  <c r="N41" i="5"/>
  <c r="O41" i="5" s="1"/>
</calcChain>
</file>

<file path=xl/sharedStrings.xml><?xml version="1.0" encoding="utf-8"?>
<sst xmlns="http://schemas.openxmlformats.org/spreadsheetml/2006/main" count="2475" uniqueCount="503">
  <si>
    <t>Fecha</t>
  </si>
  <si>
    <t>Cliente</t>
  </si>
  <si>
    <t>Proveedor</t>
  </si>
  <si>
    <t>Producto</t>
  </si>
  <si>
    <t>Logo</t>
  </si>
  <si>
    <t>Cant.</t>
  </si>
  <si>
    <t>C. Unit</t>
  </si>
  <si>
    <t>C. Fijo</t>
  </si>
  <si>
    <t>C. TOTAL</t>
  </si>
  <si>
    <t>Venta Total</t>
  </si>
  <si>
    <t>Ganancia Sugerida</t>
  </si>
  <si>
    <t>Gan Min</t>
  </si>
  <si>
    <t>Costo Neto</t>
  </si>
  <si>
    <t>Impuestos</t>
  </si>
  <si>
    <t>Precio Unit</t>
  </si>
  <si>
    <t>Desde</t>
  </si>
  <si>
    <t>Venta</t>
  </si>
  <si>
    <t>Imp.</t>
  </si>
  <si>
    <t>P. Vta.</t>
  </si>
  <si>
    <t>Gcia Neta</t>
  </si>
  <si>
    <t>Gcia. S/Vta</t>
  </si>
  <si>
    <t>Impuesto</t>
  </si>
  <si>
    <t>TC</t>
  </si>
  <si>
    <t>USO INTERNO</t>
  </si>
  <si>
    <t>Otros Costos</t>
  </si>
  <si>
    <t>P.Unit de Vta</t>
  </si>
  <si>
    <t>% Util Deseada</t>
  </si>
  <si>
    <t>Utilidad en $</t>
  </si>
  <si>
    <t>% Comision Agencia</t>
  </si>
  <si>
    <t>P.Unit de Vta c/ Comision</t>
  </si>
  <si>
    <t>TC:</t>
  </si>
  <si>
    <t>Rangos desde:</t>
  </si>
  <si>
    <t>Kaeser</t>
  </si>
  <si>
    <t>Irion / Mktg</t>
  </si>
  <si>
    <t>Transfer</t>
  </si>
  <si>
    <t xml:space="preserve">Mochila ZB-354GA </t>
  </si>
  <si>
    <t>Rochi</t>
  </si>
  <si>
    <t>X-Trade</t>
  </si>
  <si>
    <t>9760 Anotador</t>
  </si>
  <si>
    <t>Notes Flex A5</t>
  </si>
  <si>
    <t>Jarro Bayo</t>
  </si>
  <si>
    <t>Coffee</t>
  </si>
  <si>
    <t>Improm</t>
  </si>
  <si>
    <t>Zecat / Dina</t>
  </si>
  <si>
    <t>Thessing</t>
  </si>
  <si>
    <t>Mkti</t>
  </si>
  <si>
    <t>Soporte PC 9mm</t>
  </si>
  <si>
    <t>Laser</t>
  </si>
  <si>
    <t>Mochila Haus</t>
  </si>
  <si>
    <t>Zecat</t>
  </si>
  <si>
    <t>ESYME</t>
  </si>
  <si>
    <t>62.3702 MOCHILA BUSINESS UNICROSS C/ USB 18.5"</t>
  </si>
  <si>
    <t>Quattrum / Mktg</t>
  </si>
  <si>
    <t>Lautaro Pennella</t>
  </si>
  <si>
    <t>Levys / Dina</t>
  </si>
  <si>
    <t>Botella termica</t>
  </si>
  <si>
    <t>Mills</t>
  </si>
  <si>
    <t>X-Trade / Dina</t>
  </si>
  <si>
    <t>W10 Boligrafo metalico</t>
  </si>
  <si>
    <t>Brugge</t>
  </si>
  <si>
    <t>Libreta Explora Pocket 9x14cm TD c/elastico, cinta y bolsillo. 96h marfil 80g</t>
  </si>
  <si>
    <t>Bajo relieve</t>
  </si>
  <si>
    <t>Brugge / X-Trade + Dina</t>
  </si>
  <si>
    <t>TOTAL: Libreta Explora + W10 Boligrafo metalico</t>
  </si>
  <si>
    <t>Inco</t>
  </si>
  <si>
    <t>Publicintas</t>
  </si>
  <si>
    <t>Cinta Rugby</t>
  </si>
  <si>
    <t>2x fc</t>
  </si>
  <si>
    <t>Quilmes</t>
  </si>
  <si>
    <t>Billabong / Tiny</t>
  </si>
  <si>
    <t>Buzo Journey Zip  Hood  </t>
  </si>
  <si>
    <t>Bordado</t>
  </si>
  <si>
    <t>Exequiel / Pecom Huasi Chediack</t>
  </si>
  <si>
    <t>LE114 Botella Aluminio con mosqueton 500ml</t>
  </si>
  <si>
    <t>Parnor</t>
  </si>
  <si>
    <t>Target / Dina</t>
  </si>
  <si>
    <t>2x Laser</t>
  </si>
  <si>
    <t>Termo Discovery</t>
  </si>
  <si>
    <t>CDO</t>
  </si>
  <si>
    <t>Mate Matienzo</t>
  </si>
  <si>
    <t>Rossi / Dina</t>
  </si>
  <si>
    <t>D003 Mate Viajero Acero 9x8cm + Bombilla pana</t>
  </si>
  <si>
    <t>Llaveros Colgantes</t>
  </si>
  <si>
    <t>Cinta Raso 20mm mosqueton zamak</t>
  </si>
  <si>
    <t>FC</t>
  </si>
  <si>
    <t>Alto Energy</t>
  </si>
  <si>
    <t>2x FC</t>
  </si>
  <si>
    <t>Dellacasa</t>
  </si>
  <si>
    <t>X-Trade/MKTG</t>
  </si>
  <si>
    <t>Paraguas tipo Golf Automático NEGROS</t>
  </si>
  <si>
    <t>Detalles mínimos</t>
  </si>
  <si>
    <t>Buzo Hoodie</t>
  </si>
  <si>
    <t>Omint</t>
  </si>
  <si>
    <t>Levys / Mktg</t>
  </si>
  <si>
    <t>Mochila X22</t>
  </si>
  <si>
    <t>Cinta Rugby, raso</t>
  </si>
  <si>
    <t>Mijo</t>
  </si>
  <si>
    <t>Mate de madera Classic</t>
  </si>
  <si>
    <t>LFC</t>
  </si>
  <si>
    <t>TOTAL: Mochilas, Cintas, Mates</t>
  </si>
  <si>
    <t>Sovos</t>
  </si>
  <si>
    <t>Remera jersey algodón</t>
  </si>
  <si>
    <t>Fortrea</t>
  </si>
  <si>
    <t>Gisa / Improm / Dina</t>
  </si>
  <si>
    <t>Kit: MCP12 + Cuaderno Eco TD A5 + Boligrafo Rings Rubber</t>
  </si>
  <si>
    <t>MANU PACKAGING</t>
  </si>
  <si>
    <t>Cinta Classic</t>
  </si>
  <si>
    <t>Mochila Traful Pampero</t>
  </si>
  <si>
    <t>Publicintas / Zecat</t>
  </si>
  <si>
    <t>Total: Llavero + Mochila</t>
  </si>
  <si>
    <t>Coop Alfa</t>
  </si>
  <si>
    <t>Free Kick / Mktg</t>
  </si>
  <si>
    <t>Campera Canterbury Donegal</t>
  </si>
  <si>
    <t>Campera Canterbury Wiclow</t>
  </si>
  <si>
    <t>Campera Nexxt Corvo</t>
  </si>
  <si>
    <t>Scandinavian / Mktg</t>
  </si>
  <si>
    <t>Campera Nexxt Milko</t>
  </si>
  <si>
    <t>Campera Nexxt Inta - Mujer</t>
  </si>
  <si>
    <t>Campera Nexxt Tasha - Mujer</t>
  </si>
  <si>
    <t>Quattrum</t>
  </si>
  <si>
    <t>Mate Viajero + Bombilla</t>
  </si>
  <si>
    <t>Grupo Datco</t>
  </si>
  <si>
    <t>KIT: Mate Viajero + Bombilla + Yerbera + Termo Origen</t>
  </si>
  <si>
    <t>Quattrum / Dina / Mktg / Zecat</t>
  </si>
  <si>
    <t>Beesion</t>
  </si>
  <si>
    <t>Mochila Antirobo con USB</t>
  </si>
  <si>
    <t>ikigraf</t>
  </si>
  <si>
    <t>Cuaderno TD A5</t>
  </si>
  <si>
    <t>MCP-26 Mouse Pad Samba tela vinilica cristal</t>
  </si>
  <si>
    <t>Jarro Zeit</t>
  </si>
  <si>
    <t>laser</t>
  </si>
  <si>
    <t>BP270 Boligrafo Mc Gregor</t>
  </si>
  <si>
    <t>TOTAL KIT: Mochila + Cuaderno + Mouse pad + Jarro + Boligrafo</t>
  </si>
  <si>
    <t>Jarro Uma</t>
  </si>
  <si>
    <t>TOTAL KIT 1: Mochila + Cuaderno + Mouse pad + Jarro Zeit + Boligrafo</t>
  </si>
  <si>
    <t>TOTAL KIT 2: Mochila + Cuaderno + Mouse pad + Jarro Uma + Boligrafo</t>
  </si>
  <si>
    <t>Arkema Vetek Bostik</t>
  </si>
  <si>
    <t>Improm / Mktg</t>
  </si>
  <si>
    <t>Bolsa Brin Plana -32x40 cm</t>
  </si>
  <si>
    <t>Bolsa Mediana Plana - 40x45cm</t>
  </si>
  <si>
    <t>Bolsa Plana c/ Asas de Colores - 37x41 cm</t>
  </si>
  <si>
    <t>Whiptex</t>
  </si>
  <si>
    <t>Bolsa lienzo y algodón 30x40cm c/manijas 50cm</t>
  </si>
  <si>
    <t>Sublimado</t>
  </si>
  <si>
    <t>Cinta Classic + raso</t>
  </si>
  <si>
    <t>Toyota</t>
  </si>
  <si>
    <t>Planchetta</t>
  </si>
  <si>
    <t>Plancheta 2 hornallas</t>
  </si>
  <si>
    <t>Tapas para Planchette</t>
  </si>
  <si>
    <t>Espatula para Planchette</t>
  </si>
  <si>
    <t>Pinza para Planchette</t>
  </si>
  <si>
    <t>Plancheta 1 hornalla c/tapa</t>
  </si>
  <si>
    <t>Jarro de café con cierre click</t>
  </si>
  <si>
    <t>GDT / Walter</t>
  </si>
  <si>
    <t>1c</t>
  </si>
  <si>
    <t>Promofabrica</t>
  </si>
  <si>
    <t>Mate polipropileno + Bombilla quitayerba + Bolsa</t>
  </si>
  <si>
    <t>Promofabrica / Plasticax</t>
  </si>
  <si>
    <t>Botella Sportbottle aluminium</t>
  </si>
  <si>
    <t>Bolsa marinera</t>
  </si>
  <si>
    <t>Plasticax</t>
  </si>
  <si>
    <t>Caccia</t>
  </si>
  <si>
    <t>Aramdo Kit</t>
  </si>
  <si>
    <t>TOTAL KIT 1</t>
  </si>
  <si>
    <t>Logistia entrega mensual</t>
  </si>
  <si>
    <t>TOTAL KIT 2</t>
  </si>
  <si>
    <t>Cajas 60x40x40cm</t>
  </si>
  <si>
    <t>Jarro de café</t>
  </si>
  <si>
    <t>Bolsa marinera 20x25cm</t>
  </si>
  <si>
    <t>Mate polipropileno + Bombilla quitayerba + armado + Bolsa</t>
  </si>
  <si>
    <t>Cajas 1000</t>
  </si>
  <si>
    <t>meses</t>
  </si>
  <si>
    <t>cobro</t>
  </si>
  <si>
    <t>Mocbos</t>
  </si>
  <si>
    <t>Logotex</t>
  </si>
  <si>
    <t>Chaleco inflable</t>
  </si>
  <si>
    <t>Vacavaliente</t>
  </si>
  <si>
    <t xml:space="preserve">Agenda Studio A5 Diaria 2024 </t>
  </si>
  <si>
    <t>Kalop</t>
  </si>
  <si>
    <t>Levys / Rudy</t>
  </si>
  <si>
    <t>3011 Mochila Premium Portanotebook</t>
  </si>
  <si>
    <t>3011 Mochila Premium Porta Notebook</t>
  </si>
  <si>
    <t>Zurich</t>
  </si>
  <si>
    <t>X-Trade / De Vries</t>
  </si>
  <si>
    <t>Boligrafo con resaltador</t>
  </si>
  <si>
    <t>Boligrafo con atomizador y hoder</t>
  </si>
  <si>
    <t>Plan Agency</t>
  </si>
  <si>
    <t>HL4226 Resaltador</t>
  </si>
  <si>
    <t>GP6342 Boligrafo de 3 tintas con touch</t>
  </si>
  <si>
    <t>Adidas / Bienba</t>
  </si>
  <si>
    <t>CDO / Dina</t>
  </si>
  <si>
    <t>T602 Botella Han</t>
  </si>
  <si>
    <t>Cuaderno Simple A4</t>
  </si>
  <si>
    <t>Latin Securities</t>
  </si>
  <si>
    <t>Ikigraf</t>
  </si>
  <si>
    <t>Carpetas Institucionales</t>
  </si>
  <si>
    <t>Scandinavian / Tiny</t>
  </si>
  <si>
    <t>improm/devries</t>
  </si>
  <si>
    <t xml:space="preserve">Bolígrafo Eco Cereal </t>
  </si>
  <si>
    <t>Campera Columbia 'Valley Point™ Jacket</t>
  </si>
  <si>
    <t>Campera Columbia 'Labyrinth Loop™ Hooded Jacket</t>
  </si>
  <si>
    <t>Campera Columbia 'Labyrinth Loop™ Jacket</t>
  </si>
  <si>
    <t>Campera Columbia 'Powder Lite™ Hooded Jacket</t>
  </si>
  <si>
    <t>Campera Columbia 'Powder Lite™ Jacket</t>
  </si>
  <si>
    <t>Campera Columbia Softshell Acender™</t>
  </si>
  <si>
    <t>Campera 'Fast Trek™ II Full Zip Fleece</t>
  </si>
  <si>
    <t>Kit: Agenda A5 + Cuaderno A4 + Boligrafos</t>
  </si>
  <si>
    <t>Remera Game Slazenger</t>
  </si>
  <si>
    <t>Remera Quina Cardon</t>
  </si>
  <si>
    <t>Remera Toay Pampero</t>
  </si>
  <si>
    <t>Remera jersey algodón peinada</t>
  </si>
  <si>
    <t>Viejo Google</t>
  </si>
  <si>
    <t>Anita</t>
  </si>
  <si>
    <t>Set: Agenda Studio A5 x50u + Cuaderno Simple A4 x50u + Boligrafo Eco Cereal x1000u</t>
  </si>
  <si>
    <t>Bhassa</t>
  </si>
  <si>
    <t>Llavecorp</t>
  </si>
  <si>
    <t>ART X6 D - Llav. Metálico, pulido</t>
  </si>
  <si>
    <t>Dome Full Color</t>
  </si>
  <si>
    <t>Improm / Dina</t>
  </si>
  <si>
    <t>Llavero Metalico Belt</t>
  </si>
  <si>
    <t>Unitech</t>
  </si>
  <si>
    <t>MOCHILA 62.3701 BUSINESS UNICROSS 18.5" Negro</t>
  </si>
  <si>
    <t>Mochila Smart Basic</t>
  </si>
  <si>
    <t>5 Yardas</t>
  </si>
  <si>
    <t>Vaso Mocca</t>
  </si>
  <si>
    <t>In Motion</t>
  </si>
  <si>
    <t>Genova</t>
  </si>
  <si>
    <t>Sobres - reposicion</t>
  </si>
  <si>
    <t>Telecentro / Canal 26</t>
  </si>
  <si>
    <t>Botella Roy</t>
  </si>
  <si>
    <t>Grabado láser</t>
  </si>
  <si>
    <t>Industrias Maya</t>
  </si>
  <si>
    <t>ECO BOLSA 30X40X10 CON MANIJAS</t>
  </si>
  <si>
    <t>1c 1 cara</t>
  </si>
  <si>
    <t>Cinta Llavero Rugby</t>
  </si>
  <si>
    <t>FC doble faz</t>
  </si>
  <si>
    <t>TOTAL: Botella Roy x200u + Eco bolsa x200u + Cinta Rugby x300u</t>
  </si>
  <si>
    <t>Nestle</t>
  </si>
  <si>
    <t>Bryten</t>
  </si>
  <si>
    <t>Pelota antistress azul</t>
  </si>
  <si>
    <t>Corazon antistress rojo</t>
  </si>
  <si>
    <t>TOTAL: Pelotas antistress</t>
  </si>
  <si>
    <t>Neosecure</t>
  </si>
  <si>
    <t>KIT NEOSECURE A</t>
  </si>
  <si>
    <t>Mochila 3107</t>
  </si>
  <si>
    <t>Botella LE304</t>
  </si>
  <si>
    <t>Improm / Mkti</t>
  </si>
  <si>
    <t>Notes Plain Board Color</t>
  </si>
  <si>
    <t>Chomba Planet</t>
  </si>
  <si>
    <t>Boligrafo Slim Touch</t>
  </si>
  <si>
    <t>TOTAL KIT A</t>
  </si>
  <si>
    <t>TOTAL KIT B</t>
  </si>
  <si>
    <t>Cuaderno TD 80h 1/1</t>
  </si>
  <si>
    <t>Chomba Tilcara Pampero</t>
  </si>
  <si>
    <t>Botella Toms</t>
  </si>
  <si>
    <t>Mochila root</t>
  </si>
  <si>
    <t>KIT NEOSECURE B</t>
  </si>
  <si>
    <t>TOTAL KIT C</t>
  </si>
  <si>
    <t>KIT NEOSECURE C</t>
  </si>
  <si>
    <t>Mochila Tribeca</t>
  </si>
  <si>
    <t>Elementi / Mkti</t>
  </si>
  <si>
    <t>Libreta Anotador tipo Moleskine A5 Ejecutiva</t>
  </si>
  <si>
    <t>Boligrafo Premier</t>
  </si>
  <si>
    <t>Remera Jersey algodón 24/1 peinada, cuello redondo</t>
  </si>
  <si>
    <t>Estampa 8cm fte + 24x28cm en espalda</t>
  </si>
  <si>
    <t>Tabes</t>
  </si>
  <si>
    <t>TOTAL KIT A TABES</t>
  </si>
  <si>
    <t>Mochila Root</t>
  </si>
  <si>
    <t>Cuaderno TB 80h 1/1</t>
  </si>
  <si>
    <t>TOTAL KIT B TABES</t>
  </si>
  <si>
    <t>Mochila Business Unicross</t>
  </si>
  <si>
    <t>Voestalpine</t>
  </si>
  <si>
    <t>Termo Origen Pampero</t>
  </si>
  <si>
    <t>Mate Origen Pampero</t>
  </si>
  <si>
    <t>KIT PAMPERO: Termo Origen + Mate Origen + Matera Arce</t>
  </si>
  <si>
    <t>KIT WATERDOG: Termo Ombu + Mate Zoilo + Matera Ana</t>
  </si>
  <si>
    <t>Wald / Zecat / Dina</t>
  </si>
  <si>
    <t>KW San Isidro</t>
  </si>
  <si>
    <t>Megaimport / Mkti</t>
  </si>
  <si>
    <t>M101 SET DE NOTAS ECOLÓGICO</t>
  </si>
  <si>
    <t>M103 SET DE ESCRITORIO ECOLÓGICO</t>
  </si>
  <si>
    <t>M108 MEMO BOX</t>
  </si>
  <si>
    <t>T591 BOTELLA DE VIDRIO ¨ANANÁ¨</t>
  </si>
  <si>
    <t>T455 BOTELLA "ROY"</t>
  </si>
  <si>
    <t>fc</t>
  </si>
  <si>
    <t>Cooler Mini</t>
  </si>
  <si>
    <t>AATN</t>
  </si>
  <si>
    <t>Improm / Walter</t>
  </si>
  <si>
    <t>Bols Brin Plana 32x40cm</t>
  </si>
  <si>
    <t>Elementi</t>
  </si>
  <si>
    <t>KIT CONGRSO: Bolsa Brin + Libreta A5 + Boligrafo Premier</t>
  </si>
  <si>
    <t>KIT CONGRSO: Bolsa Brin + Libreta A5 + Boligrafo Premier + Botella Pacific</t>
  </si>
  <si>
    <t>Improm + Walter / Improm + Dina / Elementi</t>
  </si>
  <si>
    <t>1c + Laser + FC</t>
  </si>
  <si>
    <t>Improm + Walter / Improm + Dina / Elementi / CDO</t>
  </si>
  <si>
    <t>1c + Laser + FC + Laser</t>
  </si>
  <si>
    <t>Zecat / Ikigraf / Improm + Dina / CDO</t>
  </si>
  <si>
    <t>KIT CONGRSO II: Mochila Jump + Cuaderno TD A5 + Boligrafo Premier</t>
  </si>
  <si>
    <t>KIT CONGRSO II: Mochila Jump + Cuaderno TD A5 + Boligrafo Premier + Botella Hop</t>
  </si>
  <si>
    <t>Transfer + FC + Laser</t>
  </si>
  <si>
    <t>Transfer + FC + Laser + FC</t>
  </si>
  <si>
    <t>CAGLAA</t>
  </si>
  <si>
    <t>KIT SPORTS CAGLAA: Toalla Cloud + Gorro Trucker + Botella Alu</t>
  </si>
  <si>
    <t>KIT SPORTS CAGLAA: Toalla Cloud + Gorro Trucker + Botella Alu + Mochila Jump</t>
  </si>
  <si>
    <t>Improm + Walter / Ikigraf / Mkti / Andres</t>
  </si>
  <si>
    <t>KIT NIQUEL PRO: Bolsa Brin 32x40 + Cuaderno TD A5 + Sporte PC 9mm + Taza Ceramica</t>
  </si>
  <si>
    <t>Laser + 1c</t>
  </si>
  <si>
    <t>Rocio Fumarola</t>
  </si>
  <si>
    <t>Mate Prisma</t>
  </si>
  <si>
    <t>Jarro Express Cup</t>
  </si>
  <si>
    <t>Megaimport</t>
  </si>
  <si>
    <t>Botella Spin</t>
  </si>
  <si>
    <t>Aplicación logo grabado</t>
  </si>
  <si>
    <t>Dina</t>
  </si>
  <si>
    <t>Logistica + Armado</t>
  </si>
  <si>
    <t>Caja de cartulina</t>
  </si>
  <si>
    <t>Packaging Personalizado</t>
  </si>
  <si>
    <t>Caja de carton</t>
  </si>
  <si>
    <t>TOTAL: Botella Spin + Logo + Packaging + Logistica y Armado</t>
  </si>
  <si>
    <t>Caja de carton c/apertura</t>
  </si>
  <si>
    <t>Botella Manhattan</t>
  </si>
  <si>
    <t>Mug Bolje</t>
  </si>
  <si>
    <t>Botella Muak</t>
  </si>
  <si>
    <t>Botella ST-2625</t>
  </si>
  <si>
    <t>Mil23</t>
  </si>
  <si>
    <t>Bolsa Tote Tyvek</t>
  </si>
  <si>
    <t>TOTAL: Bolso Tote + Logistica y Armado</t>
  </si>
  <si>
    <t>Termo Obus 1lt</t>
  </si>
  <si>
    <t>Wald</t>
  </si>
  <si>
    <t>TOTAL: Termo Obus + Logo + Packaging + Logistica y Armado</t>
  </si>
  <si>
    <t>Termo Ombu 1lt</t>
  </si>
  <si>
    <t>Termo Obus 750ml</t>
  </si>
  <si>
    <t>Mochila Nebula</t>
  </si>
  <si>
    <t>Mktg</t>
  </si>
  <si>
    <t>Aplicación logo transfer</t>
  </si>
  <si>
    <t>Mochila Moose</t>
  </si>
  <si>
    <t>Mochila Falco</t>
  </si>
  <si>
    <t>Mochila Waterproof</t>
  </si>
  <si>
    <t>Penclub</t>
  </si>
  <si>
    <t>Crayones x6</t>
  </si>
  <si>
    <t>Cajita de carton personalizada</t>
  </si>
  <si>
    <t>Crayones x12</t>
  </si>
  <si>
    <t>Jarro Daten</t>
  </si>
  <si>
    <t>TOTAL: Termo Cuaderno + Logistica y Armado</t>
  </si>
  <si>
    <t>Jarro Road</t>
  </si>
  <si>
    <t>Bolso Smash</t>
  </si>
  <si>
    <t>TOTAL: Mochila + Logo + Packaging + Logistica y Armado</t>
  </si>
  <si>
    <t>Mochila Cima</t>
  </si>
  <si>
    <t>Mochila Stadt</t>
  </si>
  <si>
    <t>Paraguas Open</t>
  </si>
  <si>
    <t>TOTAL: Paraguas + Logo + Logistica y Armado</t>
  </si>
  <si>
    <t>Global Ross</t>
  </si>
  <si>
    <t>Mate Coan + Bombilla</t>
  </si>
  <si>
    <t>Paraguas Stich</t>
  </si>
  <si>
    <t>Cinta Raso 20mm mosqueton zamak presion</t>
  </si>
  <si>
    <t>TOTAL: Cintas Colgantes + Logistica y Armado</t>
  </si>
  <si>
    <t>Botella Alu</t>
  </si>
  <si>
    <t>Botella Island</t>
  </si>
  <si>
    <t>Chula Bags</t>
  </si>
  <si>
    <t>Conservadora</t>
  </si>
  <si>
    <t>Yerbera</t>
  </si>
  <si>
    <t>Mochila Roll Up</t>
  </si>
  <si>
    <t>Newman</t>
  </si>
  <si>
    <t>TOTAL: Botella Spin + Logo + Packaging 2 + Logistica y Armado</t>
  </si>
  <si>
    <t>TOTAL: Mochila Nebula + Logo + Logistica y Armado</t>
  </si>
  <si>
    <t>No</t>
  </si>
  <si>
    <t>Bolsa Tyvek 45x45cm autoguardable</t>
  </si>
  <si>
    <t>TOTAL: Conservar + Logo + Logistica y Armado</t>
  </si>
  <si>
    <t>TOTAL: Yerbera + Logo + Packaging + Logistica y Armado</t>
  </si>
  <si>
    <t>TOTAL: Mochila Roll+ Logo + Packaging + Logistica y Armado</t>
  </si>
  <si>
    <t>TOTAL: Crayones + Packaging + Logistica y Armado</t>
  </si>
  <si>
    <t>TOTAL: Crayonesx6 + Packaging + Logistica y Armado</t>
  </si>
  <si>
    <t>TOTAL: Crayonesx12 + Packaging + Logistica y Armado</t>
  </si>
  <si>
    <t>KIT CONGRSO II: Mochila Jump + Cuaderno TD A5 + Boligrafo Kansas</t>
  </si>
  <si>
    <t>KIT CONGRSO II: Mochila Jump + Cuaderno TD A5 + Boligrafo Kansas + Botella Hop</t>
  </si>
  <si>
    <t>Estampa 8cm fte + 27x37cm en espalda</t>
  </si>
  <si>
    <t>NF / Mkti</t>
  </si>
  <si>
    <t>Cuaderno Auster</t>
  </si>
  <si>
    <t>Cuaderno Murakami + Boligrafo Singapur</t>
  </si>
  <si>
    <t>NF / Mkti / Dina</t>
  </si>
  <si>
    <t>FC + Laser</t>
  </si>
  <si>
    <t>Cuaderno Agatha + Boligrafo Slim Touch</t>
  </si>
  <si>
    <t>Ikigraf / CDO</t>
  </si>
  <si>
    <t>Cuaderno TD A5 + Boligrafo Silverfied</t>
  </si>
  <si>
    <t>Sobres - reposicion + Matruz</t>
  </si>
  <si>
    <t>KIT CONGRSO II: Mochila Jump + Cuaderno TD A5</t>
  </si>
  <si>
    <t>KIT CONGRSO II: Mochila Jump + Cuaderno TD A5 + Botella Hop</t>
  </si>
  <si>
    <t>Educacion IT</t>
  </si>
  <si>
    <t>Kit Oro: Mochila Unicross + Cuaderno Agatha + Botella LE304 + Boligrafo Signapur</t>
  </si>
  <si>
    <t>Quattrum + Mktg / NF + Mkti / Levys + Dina / NF + Dina</t>
  </si>
  <si>
    <t>Kit Aluminio: Mochila Tribeca + Cuaderno Agatha + Botella Hop + Boligrafo Signapur</t>
  </si>
  <si>
    <t>Levys + Mktg / NF + Mkti / CDO / NF + Dina</t>
  </si>
  <si>
    <t>Kit Onix: Mochila Tribeca + Cuaderno Agatha + Botella Pacific + Boligrafo Slim Touch</t>
  </si>
  <si>
    <t>Mutis Agencia</t>
  </si>
  <si>
    <t>Botella Ring</t>
  </si>
  <si>
    <t>Botella Circuit</t>
  </si>
  <si>
    <t>Botella Penguin</t>
  </si>
  <si>
    <t>Spor t Bottle Aluminum</t>
  </si>
  <si>
    <t>Cooler Line</t>
  </si>
  <si>
    <t>Lona Rest</t>
  </si>
  <si>
    <t>Paraguas TAHG 134</t>
  </si>
  <si>
    <t>GASTOS ENVIOS:</t>
  </si>
  <si>
    <r>
      <t>Financiacion: 10</t>
    </r>
    <r>
      <rPr>
        <sz val="11"/>
        <color rgb="FF000000"/>
        <rFont val="Calibri"/>
        <family val="2"/>
      </rPr>
      <t>% sobre el monto a financiar por cada 30 dias.</t>
    </r>
  </si>
  <si>
    <t>MINIFLETE:</t>
  </si>
  <si>
    <t>Hasta Villa Adelina / Gisa (Avellaneda)</t>
  </si>
  <si>
    <t>Hasta Zecat / Pacheco / Unlam (La Matanza)</t>
  </si>
  <si>
    <t>Hasta  Hurlingham / Bella Vista / Quilmes</t>
  </si>
  <si>
    <t>Hasta Newman / Garin</t>
  </si>
  <si>
    <t>Hasta Pilar</t>
  </si>
  <si>
    <t>Hasta La Plata</t>
  </si>
  <si>
    <t>MOTO:</t>
  </si>
  <si>
    <t>Llaveros Colgantes, Publicintas, Genova, Lalo, Logotex</t>
  </si>
  <si>
    <t>Llaveros Colgantes, Publicintas, Genova, Lalo</t>
  </si>
  <si>
    <t>Mochila Fly</t>
  </si>
  <si>
    <t>De Stefano / Marmoles y Granitos</t>
  </si>
  <si>
    <t>NF / Mktg</t>
  </si>
  <si>
    <t>7003 Mochila Urban gris oscuro</t>
  </si>
  <si>
    <t>Gulp / Tiny Flowers</t>
  </si>
  <si>
    <t>Gorro Flexi</t>
  </si>
  <si>
    <t>costoNeto</t>
  </si>
  <si>
    <t>costoFijo</t>
  </si>
  <si>
    <t>cantidad</t>
  </si>
  <si>
    <t>otrosCostos</t>
  </si>
  <si>
    <t>porcentajeUtilidad</t>
  </si>
  <si>
    <t>utilidadMinima</t>
  </si>
  <si>
    <t>costoTotal</t>
  </si>
  <si>
    <t>costoUnitario</t>
  </si>
  <si>
    <t>precioUnitario</t>
  </si>
  <si>
    <t>Impuesto Estimado</t>
  </si>
  <si>
    <t>Moneda</t>
  </si>
  <si>
    <t>Peso</t>
  </si>
  <si>
    <t>Tipo de Cambio</t>
  </si>
  <si>
    <t>Cantidad</t>
  </si>
  <si>
    <t>Encabezado</t>
  </si>
  <si>
    <t>Descripcion</t>
  </si>
  <si>
    <t>Costo Unitario</t>
  </si>
  <si>
    <t>Costo Fijo</t>
  </si>
  <si>
    <t>Bordado Logo</t>
  </si>
  <si>
    <t>costoTotalFinal</t>
  </si>
  <si>
    <t>Elemento</t>
  </si>
  <si>
    <t>Procesos</t>
  </si>
  <si>
    <t>Glup</t>
  </si>
  <si>
    <t>Tiny Flower</t>
  </si>
  <si>
    <t>gananciaPorPorcentaje</t>
  </si>
  <si>
    <t>Datos provistos</t>
  </si>
  <si>
    <t>precioDeVentaTotal</t>
  </si>
  <si>
    <t>costoSubTotal</t>
  </si>
  <si>
    <t>J</t>
  </si>
  <si>
    <t>K</t>
  </si>
  <si>
    <t>T</t>
  </si>
  <si>
    <t>U</t>
  </si>
  <si>
    <t>S</t>
  </si>
  <si>
    <t>Q</t>
  </si>
  <si>
    <t>N</t>
  </si>
  <si>
    <t>costoSbu+otrosCostos+impEst+ganSugerida</t>
  </si>
  <si>
    <t>precio*cantidad</t>
  </si>
  <si>
    <t>totalOtrosCostos</t>
  </si>
  <si>
    <t>Financiacion</t>
  </si>
  <si>
    <t>Envios</t>
  </si>
  <si>
    <t>5% por mes</t>
  </si>
  <si>
    <t>diasDePago</t>
  </si>
  <si>
    <t>diasDeCobranza</t>
  </si>
  <si>
    <t>condicionDeVenta</t>
  </si>
  <si>
    <t>diasDeProduccion</t>
  </si>
  <si>
    <t>a 60 dias de Factura</t>
  </si>
  <si>
    <t>BPN</t>
  </si>
  <si>
    <t>Boligrafo</t>
  </si>
  <si>
    <t>Impresión</t>
  </si>
  <si>
    <t>financiacion Mensual</t>
  </si>
  <si>
    <t>FinanciacionMensual</t>
  </si>
  <si>
    <t>otros</t>
  </si>
  <si>
    <t>Imeda</t>
  </si>
  <si>
    <t>condicionDeCompra</t>
  </si>
  <si>
    <t>diasDeFinanciacion</t>
  </si>
  <si>
    <t>del cliente</t>
  </si>
  <si>
    <t>de condicion de venta</t>
  </si>
  <si>
    <t>viene de dolarHoy</t>
  </si>
  <si>
    <t>Del Proveedor</t>
  </si>
  <si>
    <t>De la condicion de Compra</t>
  </si>
  <si>
    <t>Pourtau</t>
  </si>
  <si>
    <t>50% Ant 50% ent</t>
  </si>
  <si>
    <t>Botella</t>
  </si>
  <si>
    <t>Logo a 1 color</t>
  </si>
  <si>
    <t>Encabezado - Cotización - Individual - Kit - Set</t>
  </si>
  <si>
    <t>Producto = Renglon del cotizador</t>
  </si>
  <si>
    <t>I</t>
  </si>
  <si>
    <t>Guardar</t>
  </si>
  <si>
    <t>minimoProducto</t>
  </si>
  <si>
    <t>utilidadKit</t>
  </si>
  <si>
    <t>minimoKit</t>
  </si>
  <si>
    <t>utilidadProducto</t>
  </si>
  <si>
    <t>Kit - Set</t>
  </si>
  <si>
    <t>Es Kit o Set</t>
  </si>
  <si>
    <t>Bool</t>
  </si>
  <si>
    <t>te cambia la escala de utilidades</t>
  </si>
  <si>
    <t>Customers</t>
  </si>
  <si>
    <t>CustomersPaymentMethods</t>
  </si>
  <si>
    <t>Suppliers</t>
  </si>
  <si>
    <t>SuppliersPaymentMethods</t>
  </si>
  <si>
    <t>Cotizaciones</t>
  </si>
  <si>
    <t>Productos</t>
  </si>
  <si>
    <t>ok</t>
  </si>
  <si>
    <t>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</si>
</sst>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4" formatCode="_(&quot;$&quot;* #,##0.00_);_(&quot;$&quot;* \(#,##0.00\);_(&quot;$&quot;* &quot;-&quot;??_);_(@_)"/>
    <numFmt numFmtId="164" formatCode="_-&quot;$&quot;\ * #,##0.00_-;\-&quot;$&quot;\ * #,##0.00_-;_-&quot;$&quot;\ * &quot;-&quot;??_-;_-@_-"/>
    <numFmt numFmtId="165" formatCode="[$-2C0A]dd/mm/yy"/>
    <numFmt numFmtId="166" formatCode="0\ %"/>
    <numFmt numFmtId="167" formatCode="_-[$$-2C0A]\ * #,##0_-;\-[$$-2C0A]\ * #,##0_-;_-[$$-2C0A]\ * &quot;-&quot;??_-;_-@"/>
    <numFmt numFmtId="168" formatCode="_-[$$-2C0A]\ * #,##0.0_-;\-[$$-2C0A]\ * #,##0.0_-;_-[$$-2C0A]\ * &quot;-&quot;??_-;_-@"/>
    <numFmt numFmtId="169" formatCode="_-[$$-2C0A]\ * #,##0.00_-;\-[$$-2C0A]\ * #,##0.00_-;_-[$$-2C0A]\ * &quot;-&quot;??_-;_-@"/>
    <numFmt numFmtId="170" formatCode="0.00\ %"/>
    <numFmt numFmtId="171" formatCode="[$$-2C0A]#,##0.00;[Red]\([$$-2C0A]#,##0.00\)"/>
    <numFmt numFmtId="172" formatCode="_-[$$-2C0A]\ * #,##0_-;\-[$$-2C0A]\ * #,##0_-;_-[$$-2C0A]\ * \-??_-;_-@"/>
    <numFmt numFmtId="173" formatCode="0.0\ %"/>
    <numFmt numFmtId="174" formatCode="dd/mm/yy;@"/>
    <numFmt numFmtId="175" formatCode="_-[$U$]* \ #,##0.00_-;\-[$U$]* \ #,##0.00_-;_-[$U$]* \ &quot;-&quot;??_-;_-@_-"/>
    <numFmt numFmtId="176" formatCode="_-&quot;$&quot;\ * #,##0_-;\-&quot;$&quot;\ * #,##0_-;_-&quot;$&quot;\ * &quot;-&quot;??_-;_-@_-"/>
    <numFmt numFmtId="177" formatCode="_-[$U$]* \ #,##0_-;\-[$U$]* \ #,##0_-;_-[$U$]* \ &quot;-&quot;??_-;_-@_-"/>
    <numFmt numFmtId="178" formatCode="_-&quot;$ &quot;* #,##0.00_-;&quot;-$ &quot;* #,##0.00_-;_-&quot;$ &quot;* \-??_-;_-@"/>
    <numFmt numFmtId="179" formatCode="_-&quot;$&quot;\ * #,##0_-;\-&quot;$&quot;\ * #,##0_-;_-&quot;$&quot;\ * &quot;-&quot;??_-;_-@"/>
    <numFmt numFmtId="180" formatCode="0.0%"/>
  </numFmts>
  <fonts count="17" x14ac:knownFonts="1">
    <font>
      <sz val="11"/>
      <color rgb="FF000000"/>
      <name val="Calibri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scheme val="minor"/>
    </font>
    <font>
      <i/>
      <sz val="11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D8D8D8"/>
      </patternFill>
    </fill>
    <fill>
      <patternFill patternType="solid">
        <fgColor rgb="FF92D050"/>
        <bgColor rgb="FFFFFF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8" fillId="0" borderId="1"/>
    <xf numFmtId="0" fontId="9" fillId="0" borderId="1" applyNumberFormat="0" applyFill="0" applyBorder="0" applyAlignment="0" applyProtection="0"/>
    <xf numFmtId="0" fontId="8" fillId="0" borderId="1"/>
    <xf numFmtId="164" fontId="13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185">
    <xf numFmtId="0" fontId="0" fillId="0" borderId="0" xfId="0"/>
    <xf numFmtId="0" fontId="2" fillId="2" borderId="1" xfId="0" applyFont="1" applyFill="1" applyBorder="1" applyAlignment="1">
      <alignment horizontal="center"/>
    </xf>
    <xf numFmtId="165" fontId="1" fillId="0" borderId="0" xfId="0" applyNumberFormat="1" applyFont="1"/>
    <xf numFmtId="0" fontId="1" fillId="0" borderId="0" xfId="0" applyFont="1"/>
    <xf numFmtId="2" fontId="1" fillId="0" borderId="0" xfId="0" applyNumberFormat="1" applyFont="1"/>
    <xf numFmtId="167" fontId="1" fillId="3" borderId="1" xfId="0" applyNumberFormat="1" applyFont="1" applyFill="1" applyBorder="1"/>
    <xf numFmtId="167" fontId="1" fillId="0" borderId="0" xfId="0" applyNumberFormat="1" applyFont="1"/>
    <xf numFmtId="168" fontId="4" fillId="2" borderId="1" xfId="0" applyNumberFormat="1" applyFont="1" applyFill="1" applyBorder="1" applyAlignment="1">
      <alignment horizontal="right"/>
    </xf>
    <xf numFmtId="170" fontId="5" fillId="3" borderId="1" xfId="0" applyNumberFormat="1" applyFont="1" applyFill="1" applyBorder="1" applyAlignment="1">
      <alignment horizontal="center"/>
    </xf>
    <xf numFmtId="166" fontId="5" fillId="0" borderId="0" xfId="0" applyNumberFormat="1" applyFont="1"/>
    <xf numFmtId="0" fontId="6" fillId="0" borderId="0" xfId="0" applyFont="1"/>
    <xf numFmtId="171" fontId="1" fillId="0" borderId="0" xfId="0" applyNumberFormat="1" applyFont="1"/>
    <xf numFmtId="168" fontId="3" fillId="0" borderId="0" xfId="0" applyNumberFormat="1" applyFont="1"/>
    <xf numFmtId="0" fontId="1" fillId="3" borderId="1" xfId="0" applyFont="1" applyFill="1" applyBorder="1"/>
    <xf numFmtId="0" fontId="3" fillId="0" borderId="0" xfId="0" applyFont="1"/>
    <xf numFmtId="172" fontId="5" fillId="0" borderId="0" xfId="0" applyNumberFormat="1" applyFont="1"/>
    <xf numFmtId="173" fontId="1" fillId="0" borderId="0" xfId="0" applyNumberFormat="1" applyFont="1"/>
    <xf numFmtId="0" fontId="0" fillId="6" borderId="0" xfId="0" applyFill="1"/>
    <xf numFmtId="0" fontId="11" fillId="0" borderId="0" xfId="0" applyFont="1"/>
    <xf numFmtId="167" fontId="12" fillId="8" borderId="1" xfId="0" applyNumberFormat="1" applyFont="1" applyFill="1" applyBorder="1" applyAlignment="1">
      <alignment horizontal="right"/>
    </xf>
    <xf numFmtId="16" fontId="0" fillId="0" borderId="0" xfId="0" applyNumberFormat="1"/>
    <xf numFmtId="0" fontId="10" fillId="0" borderId="0" xfId="0" applyFont="1"/>
    <xf numFmtId="164" fontId="0" fillId="0" borderId="0" xfId="4" applyFont="1" applyAlignment="1"/>
    <xf numFmtId="164" fontId="0" fillId="0" borderId="0" xfId="0" applyNumberFormat="1"/>
    <xf numFmtId="175" fontId="1" fillId="0" borderId="0" xfId="0" applyNumberFormat="1" applyFont="1"/>
    <xf numFmtId="176" fontId="1" fillId="0" borderId="0" xfId="0" applyNumberFormat="1" applyFont="1"/>
    <xf numFmtId="176" fontId="0" fillId="0" borderId="0" xfId="0" applyNumberFormat="1"/>
    <xf numFmtId="177" fontId="1" fillId="0" borderId="0" xfId="0" applyNumberFormat="1" applyFont="1"/>
    <xf numFmtId="175" fontId="2" fillId="0" borderId="0" xfId="0" applyNumberFormat="1" applyFont="1"/>
    <xf numFmtId="0" fontId="0" fillId="0" borderId="0" xfId="0" applyProtection="1">
      <protection locked="0"/>
    </xf>
    <xf numFmtId="174" fontId="11" fillId="0" borderId="0" xfId="0" applyNumberFormat="1" applyFont="1" applyProtection="1">
      <protection locked="0"/>
    </xf>
    <xf numFmtId="0" fontId="8" fillId="0" borderId="1" xfId="0" applyFont="1" applyBorder="1" applyProtection="1">
      <protection locked="0"/>
    </xf>
    <xf numFmtId="0" fontId="8" fillId="0" borderId="0" xfId="0" applyFont="1" applyProtection="1">
      <protection locked="0"/>
    </xf>
    <xf numFmtId="0" fontId="1" fillId="0" borderId="0" xfId="0" applyFont="1" applyAlignment="1" applyProtection="1">
      <alignment horizontal="left"/>
      <protection locked="0"/>
    </xf>
    <xf numFmtId="0" fontId="6" fillId="0" borderId="0" xfId="0" applyFont="1" applyProtection="1">
      <protection locked="0"/>
    </xf>
    <xf numFmtId="176" fontId="0" fillId="0" borderId="0" xfId="0" applyNumberFormat="1" applyProtection="1">
      <protection locked="0"/>
    </xf>
    <xf numFmtId="176" fontId="1" fillId="0" borderId="0" xfId="0" applyNumberFormat="1" applyFont="1" applyProtection="1">
      <protection locked="0"/>
    </xf>
    <xf numFmtId="174" fontId="0" fillId="0" borderId="0" xfId="0" applyNumberFormat="1" applyProtection="1">
      <protection locked="0"/>
    </xf>
    <xf numFmtId="167" fontId="12" fillId="0" borderId="1" xfId="0" applyNumberFormat="1" applyFont="1" applyBorder="1" applyAlignment="1" applyProtection="1">
      <alignment horizontal="right"/>
      <protection locked="0"/>
    </xf>
    <xf numFmtId="167" fontId="1" fillId="0" borderId="0" xfId="0" applyNumberFormat="1" applyFont="1" applyProtection="1">
      <protection locked="0"/>
    </xf>
    <xf numFmtId="166" fontId="5" fillId="0" borderId="0" xfId="0" applyNumberFormat="1" applyFont="1" applyProtection="1">
      <protection locked="0"/>
    </xf>
    <xf numFmtId="169" fontId="1" fillId="5" borderId="0" xfId="0" applyNumberFormat="1" applyFont="1" applyFill="1"/>
    <xf numFmtId="176" fontId="0" fillId="6" borderId="0" xfId="4" applyNumberFormat="1" applyFont="1" applyFill="1" applyAlignment="1"/>
    <xf numFmtId="0" fontId="0" fillId="6" borderId="0" xfId="0" applyFill="1" applyProtection="1"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176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7" fontId="2" fillId="3" borderId="1" xfId="0" applyNumberFormat="1" applyFont="1" applyFill="1" applyBorder="1" applyAlignment="1">
      <alignment horizontal="center" vertical="center" wrapText="1"/>
    </xf>
    <xf numFmtId="167" fontId="2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167" fontId="3" fillId="4" borderId="1" xfId="0" applyNumberFormat="1" applyFon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167" fontId="2" fillId="9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Alignment="1">
      <alignment horizontal="center"/>
    </xf>
    <xf numFmtId="170" fontId="1" fillId="0" borderId="0" xfId="0" applyNumberFormat="1" applyFont="1"/>
    <xf numFmtId="165" fontId="2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2" fillId="2" borderId="1" xfId="4" applyFont="1" applyFill="1" applyBorder="1" applyAlignment="1">
      <alignment horizontal="center"/>
    </xf>
    <xf numFmtId="164" fontId="2" fillId="2" borderId="2" xfId="4" applyFont="1" applyFill="1" applyBorder="1"/>
    <xf numFmtId="164" fontId="0" fillId="5" borderId="0" xfId="4" applyFont="1" applyFill="1" applyAlignment="1"/>
    <xf numFmtId="164" fontId="1" fillId="7" borderId="1" xfId="4" applyFont="1" applyFill="1" applyBorder="1" applyAlignment="1">
      <alignment horizontal="center"/>
    </xf>
    <xf numFmtId="164" fontId="1" fillId="7" borderId="1" xfId="4" applyFont="1" applyFill="1" applyBorder="1"/>
    <xf numFmtId="0" fontId="8" fillId="0" borderId="0" xfId="0" applyFont="1"/>
    <xf numFmtId="167" fontId="7" fillId="8" borderId="1" xfId="0" applyNumberFormat="1" applyFont="1" applyFill="1" applyBorder="1" applyAlignment="1">
      <alignment horizontal="right"/>
    </xf>
    <xf numFmtId="167" fontId="2" fillId="3" borderId="1" xfId="0" applyNumberFormat="1" applyFont="1" applyFill="1" applyBorder="1"/>
    <xf numFmtId="0" fontId="10" fillId="5" borderId="0" xfId="0" applyFont="1" applyFill="1"/>
    <xf numFmtId="164" fontId="2" fillId="5" borderId="0" xfId="4" applyFont="1" applyFill="1" applyAlignment="1"/>
    <xf numFmtId="172" fontId="5" fillId="6" borderId="0" xfId="0" applyNumberFormat="1" applyFont="1" applyFill="1"/>
    <xf numFmtId="173" fontId="1" fillId="6" borderId="0" xfId="0" applyNumberFormat="1" applyFont="1" applyFill="1"/>
    <xf numFmtId="176" fontId="1" fillId="6" borderId="0" xfId="0" applyNumberFormat="1" applyFont="1" applyFill="1"/>
    <xf numFmtId="0" fontId="1" fillId="0" borderId="0" xfId="0" applyFont="1" applyAlignment="1">
      <alignment horizontal="left"/>
    </xf>
    <xf numFmtId="0" fontId="2" fillId="0" borderId="0" xfId="0" applyFont="1"/>
    <xf numFmtId="167" fontId="6" fillId="10" borderId="1" xfId="0" applyNumberFormat="1" applyFont="1" applyFill="1" applyBorder="1" applyAlignment="1">
      <alignment horizontal="right"/>
    </xf>
    <xf numFmtId="164" fontId="2" fillId="2" borderId="1" xfId="4" applyFont="1" applyFill="1" applyBorder="1" applyAlignment="1" applyProtection="1">
      <alignment horizontal="center" vertical="center" wrapText="1"/>
      <protection locked="0"/>
    </xf>
    <xf numFmtId="164" fontId="0" fillId="0" borderId="0" xfId="4" applyFont="1"/>
    <xf numFmtId="164" fontId="0" fillId="0" borderId="0" xfId="4" applyFont="1" applyProtection="1">
      <protection locked="0"/>
    </xf>
    <xf numFmtId="164" fontId="1" fillId="0" borderId="0" xfId="4" applyFont="1"/>
    <xf numFmtId="164" fontId="14" fillId="0" borderId="0" xfId="4" applyFont="1"/>
    <xf numFmtId="164" fontId="0" fillId="0" borderId="0" xfId="4" applyFont="1" applyAlignment="1" applyProtection="1">
      <protection locked="0"/>
    </xf>
    <xf numFmtId="0" fontId="14" fillId="0" borderId="0" xfId="0" applyFont="1"/>
    <xf numFmtId="178" fontId="14" fillId="0" borderId="0" xfId="0" applyNumberFormat="1" applyFont="1"/>
    <xf numFmtId="174" fontId="1" fillId="0" borderId="0" xfId="0" applyNumberFormat="1" applyFont="1" applyProtection="1">
      <protection locked="0"/>
    </xf>
    <xf numFmtId="0" fontId="10" fillId="0" borderId="0" xfId="0" applyFont="1" applyProtection="1">
      <protection locked="0"/>
    </xf>
    <xf numFmtId="165" fontId="1" fillId="0" borderId="0" xfId="0" applyNumberFormat="1" applyFont="1" applyAlignment="1">
      <alignment horizontal="center"/>
    </xf>
    <xf numFmtId="178" fontId="1" fillId="0" borderId="0" xfId="0" applyNumberFormat="1" applyFont="1"/>
    <xf numFmtId="178" fontId="1" fillId="0" borderId="1" xfId="0" applyNumberFormat="1" applyFont="1" applyBorder="1" applyAlignment="1">
      <alignment horizontal="right"/>
    </xf>
    <xf numFmtId="178" fontId="1" fillId="0" borderId="1" xfId="0" applyNumberFormat="1" applyFont="1" applyBorder="1"/>
    <xf numFmtId="164" fontId="0" fillId="0" borderId="0" xfId="0" applyNumberFormat="1" applyProtection="1">
      <protection locked="0"/>
    </xf>
    <xf numFmtId="176" fontId="10" fillId="0" borderId="0" xfId="0" applyNumberFormat="1" applyFont="1" applyProtection="1">
      <protection locked="0"/>
    </xf>
    <xf numFmtId="167" fontId="0" fillId="0" borderId="0" xfId="0" applyNumberFormat="1"/>
    <xf numFmtId="167" fontId="2" fillId="0" borderId="0" xfId="0" applyNumberFormat="1" applyFont="1" applyProtection="1">
      <protection locked="0"/>
    </xf>
    <xf numFmtId="0" fontId="1" fillId="0" borderId="0" xfId="0" quotePrefix="1" applyFont="1"/>
    <xf numFmtId="167" fontId="6" fillId="8" borderId="1" xfId="0" applyNumberFormat="1" applyFont="1" applyFill="1" applyBorder="1" applyAlignment="1">
      <alignment horizontal="right"/>
    </xf>
    <xf numFmtId="178" fontId="2" fillId="2" borderId="1" xfId="0" applyNumberFormat="1" applyFont="1" applyFill="1" applyBorder="1" applyAlignment="1">
      <alignment horizontal="right"/>
    </xf>
    <xf numFmtId="178" fontId="1" fillId="7" borderId="1" xfId="0" applyNumberFormat="1" applyFont="1" applyFill="1" applyBorder="1" applyAlignment="1">
      <alignment horizontal="right"/>
    </xf>
    <xf numFmtId="170" fontId="1" fillId="0" borderId="0" xfId="0" applyNumberFormat="1" applyFont="1" applyAlignment="1">
      <alignment horizontal="right"/>
    </xf>
    <xf numFmtId="0" fontId="1" fillId="0" borderId="3" xfId="0" applyFont="1" applyBorder="1" applyAlignment="1">
      <alignment horizontal="center"/>
    </xf>
    <xf numFmtId="16" fontId="1" fillId="0" borderId="0" xfId="0" applyNumberFormat="1" applyFont="1" applyAlignment="1">
      <alignment horizontal="center"/>
    </xf>
    <xf numFmtId="0" fontId="0" fillId="11" borderId="0" xfId="0" applyFill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vertical="top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165" fontId="1" fillId="0" borderId="4" xfId="0" applyNumberFormat="1" applyFont="1" applyBorder="1" applyAlignment="1">
      <alignment horizontal="center"/>
    </xf>
    <xf numFmtId="0" fontId="1" fillId="0" borderId="4" xfId="0" applyFont="1" applyBorder="1"/>
    <xf numFmtId="0" fontId="1" fillId="0" borderId="4" xfId="0" applyFont="1" applyBorder="1" applyAlignment="1">
      <alignment vertical="center"/>
    </xf>
    <xf numFmtId="0" fontId="2" fillId="0" borderId="4" xfId="0" applyFont="1" applyBorder="1"/>
    <xf numFmtId="176" fontId="0" fillId="0" borderId="4" xfId="0" applyNumberFormat="1" applyBorder="1" applyProtection="1">
      <protection locked="0"/>
    </xf>
    <xf numFmtId="178" fontId="1" fillId="0" borderId="4" xfId="0" applyNumberFormat="1" applyFont="1" applyBorder="1" applyAlignment="1">
      <alignment horizontal="right"/>
    </xf>
    <xf numFmtId="167" fontId="12" fillId="8" borderId="4" xfId="0" applyNumberFormat="1" applyFont="1" applyFill="1" applyBorder="1" applyAlignment="1">
      <alignment horizontal="right"/>
    </xf>
    <xf numFmtId="167" fontId="7" fillId="8" borderId="4" xfId="0" applyNumberFormat="1" applyFont="1" applyFill="1" applyBorder="1" applyAlignment="1">
      <alignment horizontal="right"/>
    </xf>
    <xf numFmtId="164" fontId="2" fillId="2" borderId="5" xfId="4" applyFont="1" applyFill="1" applyBorder="1"/>
    <xf numFmtId="164" fontId="1" fillId="7" borderId="4" xfId="4" applyFont="1" applyFill="1" applyBorder="1"/>
    <xf numFmtId="170" fontId="1" fillId="0" borderId="4" xfId="0" applyNumberFormat="1" applyFont="1" applyBorder="1"/>
    <xf numFmtId="0" fontId="1" fillId="0" borderId="4" xfId="0" applyFont="1" applyBorder="1" applyAlignment="1">
      <alignment horizontal="right" vertical="center"/>
    </xf>
    <xf numFmtId="167" fontId="1" fillId="0" borderId="4" xfId="0" applyNumberFormat="1" applyFont="1" applyBorder="1" applyProtection="1">
      <protection locked="0"/>
    </xf>
    <xf numFmtId="0" fontId="1" fillId="0" borderId="1" xfId="0" applyFont="1" applyBorder="1"/>
    <xf numFmtId="16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176" fontId="0" fillId="0" borderId="1" xfId="0" applyNumberFormat="1" applyBorder="1" applyProtection="1">
      <protection locked="0"/>
    </xf>
    <xf numFmtId="170" fontId="1" fillId="0" borderId="1" xfId="0" applyNumberFormat="1" applyFont="1" applyBorder="1"/>
    <xf numFmtId="0" fontId="2" fillId="0" borderId="1" xfId="0" applyFont="1" applyBorder="1"/>
    <xf numFmtId="176" fontId="2" fillId="2" borderId="2" xfId="4" applyNumberFormat="1" applyFont="1" applyFill="1" applyBorder="1"/>
    <xf numFmtId="164" fontId="2" fillId="2" borderId="4" xfId="4" applyFont="1" applyFill="1" applyBorder="1"/>
    <xf numFmtId="176" fontId="2" fillId="2" borderId="5" xfId="4" applyNumberFormat="1" applyFont="1" applyFill="1" applyBorder="1"/>
    <xf numFmtId="0" fontId="1" fillId="0" borderId="6" xfId="0" applyFont="1" applyBorder="1"/>
    <xf numFmtId="0" fontId="1" fillId="0" borderId="6" xfId="0" applyFont="1" applyBorder="1" applyAlignment="1">
      <alignment vertical="center"/>
    </xf>
    <xf numFmtId="0" fontId="1" fillId="0" borderId="6" xfId="0" applyFont="1" applyBorder="1" applyAlignment="1">
      <alignment horizontal="right" vertical="center"/>
    </xf>
    <xf numFmtId="176" fontId="0" fillId="0" borderId="6" xfId="0" applyNumberFormat="1" applyBorder="1" applyProtection="1">
      <protection locked="0"/>
    </xf>
    <xf numFmtId="167" fontId="12" fillId="8" borderId="6" xfId="0" applyNumberFormat="1" applyFont="1" applyFill="1" applyBorder="1" applyAlignment="1">
      <alignment horizontal="right"/>
    </xf>
    <xf numFmtId="167" fontId="7" fillId="8" borderId="6" xfId="0" applyNumberFormat="1" applyFont="1" applyFill="1" applyBorder="1" applyAlignment="1">
      <alignment horizontal="right"/>
    </xf>
    <xf numFmtId="178" fontId="1" fillId="0" borderId="6" xfId="0" applyNumberFormat="1" applyFont="1" applyBorder="1" applyAlignment="1">
      <alignment horizontal="right"/>
    </xf>
    <xf numFmtId="164" fontId="2" fillId="2" borderId="7" xfId="4" applyFont="1" applyFill="1" applyBorder="1"/>
    <xf numFmtId="164" fontId="1" fillId="7" borderId="6" xfId="4" applyFont="1" applyFill="1" applyBorder="1"/>
    <xf numFmtId="170" fontId="1" fillId="0" borderId="6" xfId="0" applyNumberFormat="1" applyFont="1" applyBorder="1"/>
    <xf numFmtId="0" fontId="1" fillId="0" borderId="0" xfId="0" applyFont="1" applyAlignment="1">
      <alignment horizontal="center" vertical="center"/>
    </xf>
    <xf numFmtId="174" fontId="2" fillId="0" borderId="0" xfId="0" applyNumberFormat="1" applyFont="1"/>
    <xf numFmtId="174" fontId="1" fillId="0" borderId="0" xfId="0" applyNumberFormat="1" applyFont="1"/>
    <xf numFmtId="179" fontId="1" fillId="0" borderId="0" xfId="0" applyNumberFormat="1" applyFont="1"/>
    <xf numFmtId="0" fontId="1" fillId="5" borderId="0" xfId="0" applyFont="1" applyFill="1"/>
    <xf numFmtId="179" fontId="1" fillId="5" borderId="0" xfId="0" applyNumberFormat="1" applyFont="1" applyFill="1"/>
    <xf numFmtId="167" fontId="1" fillId="5" borderId="0" xfId="0" applyNumberFormat="1" applyFont="1" applyFill="1" applyProtection="1">
      <protection locked="0"/>
    </xf>
    <xf numFmtId="0" fontId="2" fillId="13" borderId="1" xfId="0" applyFont="1" applyFill="1" applyBorder="1" applyAlignment="1">
      <alignment horizontal="center" vertical="center" wrapText="1"/>
    </xf>
    <xf numFmtId="168" fontId="4" fillId="14" borderId="1" xfId="0" applyNumberFormat="1" applyFont="1" applyFill="1" applyBorder="1" applyAlignment="1">
      <alignment horizontal="right"/>
    </xf>
    <xf numFmtId="168" fontId="3" fillId="12" borderId="0" xfId="0" applyNumberFormat="1" applyFont="1" applyFill="1"/>
    <xf numFmtId="0" fontId="0" fillId="12" borderId="0" xfId="0" applyFill="1"/>
    <xf numFmtId="0" fontId="0" fillId="12" borderId="0" xfId="0" applyFill="1" applyProtection="1">
      <protection locked="0"/>
    </xf>
    <xf numFmtId="0" fontId="0" fillId="5" borderId="0" xfId="0" applyFill="1" applyProtection="1">
      <protection locked="0"/>
    </xf>
    <xf numFmtId="176" fontId="0" fillId="5" borderId="0" xfId="0" applyNumberFormat="1" applyFill="1" applyProtection="1">
      <protection locked="0"/>
    </xf>
    <xf numFmtId="0" fontId="0" fillId="15" borderId="0" xfId="0" applyFill="1"/>
    <xf numFmtId="176" fontId="0" fillId="16" borderId="0" xfId="0" applyNumberFormat="1" applyFill="1"/>
    <xf numFmtId="0" fontId="0" fillId="17" borderId="0" xfId="0" applyFill="1"/>
    <xf numFmtId="176" fontId="0" fillId="15" borderId="0" xfId="0" applyNumberFormat="1" applyFill="1"/>
    <xf numFmtId="164" fontId="0" fillId="5" borderId="0" xfId="4" applyFont="1" applyFill="1" applyAlignment="1" applyProtection="1">
      <protection locked="0"/>
    </xf>
    <xf numFmtId="164" fontId="14" fillId="0" borderId="0" xfId="0" applyNumberFormat="1" applyFont="1"/>
    <xf numFmtId="164" fontId="1" fillId="0" borderId="0" xfId="0" applyNumberFormat="1" applyFont="1"/>
    <xf numFmtId="164" fontId="1" fillId="0" borderId="0" xfId="0" applyNumberFormat="1" applyFont="1" applyAlignment="1">
      <alignment horizontal="right" vertical="center"/>
    </xf>
    <xf numFmtId="164" fontId="0" fillId="0" borderId="1" xfId="0" applyNumberFormat="1" applyBorder="1" applyProtection="1">
      <protection locked="0"/>
    </xf>
    <xf numFmtId="164" fontId="1" fillId="5" borderId="0" xfId="0" applyNumberFormat="1" applyFont="1" applyFill="1"/>
    <xf numFmtId="169" fontId="1" fillId="0" borderId="0" xfId="0" applyNumberFormat="1" applyFont="1" applyProtection="1">
      <protection locked="0"/>
    </xf>
    <xf numFmtId="44" fontId="0" fillId="0" borderId="0" xfId="0" applyNumberFormat="1"/>
    <xf numFmtId="0" fontId="0" fillId="5" borderId="0" xfId="0" applyFill="1"/>
    <xf numFmtId="14" fontId="0" fillId="5" borderId="0" xfId="0" applyNumberFormat="1" applyFill="1"/>
    <xf numFmtId="0" fontId="8" fillId="15" borderId="0" xfId="0" applyFont="1" applyFill="1" applyAlignment="1">
      <alignment horizontal="left"/>
    </xf>
    <xf numFmtId="0" fontId="8" fillId="15" borderId="0" xfId="0" applyFont="1" applyFill="1"/>
    <xf numFmtId="9" fontId="0" fillId="0" borderId="0" xfId="5" applyFont="1"/>
    <xf numFmtId="0" fontId="16" fillId="0" borderId="0" xfId="0" applyFont="1"/>
    <xf numFmtId="0" fontId="3" fillId="4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8" fillId="12" borderId="0" xfId="0" applyFont="1" applyFill="1"/>
    <xf numFmtId="168" fontId="0" fillId="0" borderId="0" xfId="0" applyNumberFormat="1"/>
    <xf numFmtId="44" fontId="0" fillId="5" borderId="0" xfId="0" applyNumberFormat="1" applyFill="1"/>
    <xf numFmtId="0" fontId="8" fillId="5" borderId="0" xfId="0" applyFont="1" applyFill="1"/>
    <xf numFmtId="175" fontId="1" fillId="5" borderId="0" xfId="0" applyNumberFormat="1" applyFont="1" applyFill="1"/>
    <xf numFmtId="44" fontId="8" fillId="0" borderId="0" xfId="0" applyNumberFormat="1" applyFont="1"/>
    <xf numFmtId="180" fontId="0" fillId="0" borderId="0" xfId="5" applyNumberFormat="1" applyFont="1"/>
    <xf numFmtId="175" fontId="1" fillId="15" borderId="0" xfId="0" applyNumberFormat="1" applyFont="1" applyFill="1"/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6">
    <cellStyle name="Currency" xfId="4" builtinId="4"/>
    <cellStyle name="Hipervínculo 2" xfId="2" xr:uid="{00000000-0005-0000-0000-000000000000}"/>
    <cellStyle name="Normal" xfId="0" builtinId="0"/>
    <cellStyle name="Normal 2" xfId="1" xr:uid="{00000000-0005-0000-0000-000003000000}"/>
    <cellStyle name="Normal 3" xfId="3" xr:uid="{00000000-0005-0000-0000-000004000000}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780"/>
  <sheetViews>
    <sheetView workbookViewId="0">
      <pane xSplit="7" ySplit="1" topLeftCell="H170" activePane="bottomRight" state="frozen"/>
      <selection pane="topRight" activeCell="H1" sqref="H1"/>
      <selection pane="bottomLeft" activeCell="A2" sqref="A2"/>
      <selection pane="bottomRight" activeCell="J178" sqref="J178"/>
    </sheetView>
  </sheetViews>
  <sheetFormatPr defaultColWidth="14.44140625" defaultRowHeight="15" customHeight="1" x14ac:dyDescent="0.3"/>
  <cols>
    <col min="1" max="1" width="4.21875" style="43" customWidth="1"/>
    <col min="2" max="2" width="8.6640625" style="37" customWidth="1"/>
    <col min="3" max="3" width="14.6640625" style="29" customWidth="1"/>
    <col min="4" max="4" width="11.33203125" style="29" customWidth="1"/>
    <col min="5" max="5" width="21.44140625" style="29" customWidth="1"/>
    <col min="6" max="6" width="6" style="29" customWidth="1"/>
    <col min="7" max="7" width="7.44140625" style="29" customWidth="1"/>
    <col min="8" max="8" width="12.33203125" style="83" customWidth="1"/>
    <col min="9" max="9" width="12.88671875" style="35" bestFit="1" customWidth="1"/>
    <col min="10" max="10" width="15.44140625" customWidth="1"/>
    <col min="11" max="11" width="15.77734375" style="29" customWidth="1"/>
    <col min="12" max="12" width="15.44140625" customWidth="1"/>
    <col min="13" max="13" width="14.88671875" customWidth="1"/>
    <col min="14" max="14" width="13.33203125" customWidth="1"/>
    <col min="15" max="15" width="12.6640625" style="17" bestFit="1" customWidth="1"/>
    <col min="16" max="16" width="12.21875" style="29" customWidth="1"/>
    <col min="17" max="17" width="12.88671875" style="17" customWidth="1"/>
    <col min="18" max="18" width="9.33203125" customWidth="1"/>
    <col min="20" max="20" width="9.33203125" hidden="1" customWidth="1"/>
    <col min="21" max="21" width="18.33203125" hidden="1" customWidth="1"/>
    <col min="22" max="22" width="11.6640625" hidden="1" customWidth="1"/>
    <col min="23" max="24" width="18.33203125" style="26" hidden="1" customWidth="1"/>
    <col min="25" max="25" width="13.33203125" hidden="1" customWidth="1"/>
    <col min="26" max="26" width="14.88671875" hidden="1" customWidth="1"/>
    <col min="27" max="32" width="9.109375" customWidth="1"/>
  </cols>
  <sheetData>
    <row r="1" spans="1:43" s="48" customFormat="1" ht="28.8" x14ac:dyDescent="0.3">
      <c r="A1" s="56" t="s">
        <v>22</v>
      </c>
      <c r="B1" s="56" t="s">
        <v>0</v>
      </c>
      <c r="C1" s="44" t="s">
        <v>1</v>
      </c>
      <c r="D1" s="44" t="s">
        <v>2</v>
      </c>
      <c r="E1" s="44" t="s">
        <v>3</v>
      </c>
      <c r="F1" s="44" t="s">
        <v>4</v>
      </c>
      <c r="G1" s="44" t="s">
        <v>5</v>
      </c>
      <c r="H1" s="78" t="s">
        <v>6</v>
      </c>
      <c r="I1" s="45" t="s">
        <v>7</v>
      </c>
      <c r="J1" s="54" t="s">
        <v>8</v>
      </c>
      <c r="K1" s="47" t="s">
        <v>24</v>
      </c>
      <c r="L1" s="53" t="s">
        <v>25</v>
      </c>
      <c r="M1" s="46" t="s">
        <v>9</v>
      </c>
      <c r="N1" s="53" t="s">
        <v>26</v>
      </c>
      <c r="O1" s="53" t="s">
        <v>27</v>
      </c>
      <c r="P1" s="44" t="s">
        <v>28</v>
      </c>
      <c r="Q1" s="55" t="s">
        <v>29</v>
      </c>
      <c r="T1" s="49"/>
      <c r="U1" s="50" t="s">
        <v>10</v>
      </c>
      <c r="V1" s="50" t="s">
        <v>11</v>
      </c>
      <c r="W1" s="51" t="s">
        <v>12</v>
      </c>
      <c r="X1" s="51" t="s">
        <v>13</v>
      </c>
      <c r="Y1" s="52" t="s">
        <v>14</v>
      </c>
      <c r="Z1" s="46" t="s">
        <v>23</v>
      </c>
      <c r="AA1" s="49"/>
      <c r="AB1" s="49"/>
      <c r="AC1" s="49"/>
      <c r="AD1" s="49"/>
      <c r="AE1" s="49"/>
      <c r="AF1" s="49"/>
    </row>
    <row r="2" spans="1:43" ht="15" customHeight="1" x14ac:dyDescent="0.3">
      <c r="A2" s="43">
        <v>249</v>
      </c>
      <c r="B2" s="30">
        <v>45078</v>
      </c>
      <c r="C2" s="31" t="s">
        <v>32</v>
      </c>
      <c r="D2" s="32" t="s">
        <v>33</v>
      </c>
      <c r="E2" s="67" t="s">
        <v>35</v>
      </c>
      <c r="F2" s="33" t="s">
        <v>34</v>
      </c>
      <c r="G2" s="34">
        <v>50</v>
      </c>
      <c r="H2" s="79">
        <f>(68.07*0.9)*251+190</f>
        <v>15567.012999999999</v>
      </c>
      <c r="I2" s="36"/>
      <c r="J2" s="19">
        <f>(G2*H2)+I2</f>
        <v>778350.64999999991</v>
      </c>
      <c r="K2" s="38">
        <f>7000+J2*0.07</f>
        <v>61484.5455</v>
      </c>
      <c r="L2" s="7">
        <f t="shared" ref="L2:L15" si="0">ROUND(IF((Y2*A2*G2)&gt;(J2+(X2*A2)+K2+(U2*A2)),(Y2*A2),((J2+(X2*A2)+K2+(U2*A2))/G2)),1)</f>
        <v>23009.200000000001</v>
      </c>
      <c r="M2" s="5">
        <f>+L2*G2</f>
        <v>1150460</v>
      </c>
      <c r="N2" s="8">
        <f>VLOOKUP((J2/A2),Variables!$A$3:$C$8,2,TRUE())</f>
        <v>0.22</v>
      </c>
      <c r="O2" s="42">
        <f t="shared" ref="O2:O15" si="1">+U2*A2</f>
        <v>253101.01782191778</v>
      </c>
      <c r="P2" s="40"/>
      <c r="Q2" s="41" t="str">
        <f>IF(P2&gt;0,ROUND((L2)/(1-(P2*(1+Variables!$B$10))),1),"")</f>
        <v/>
      </c>
      <c r="U2" s="27">
        <f t="shared" ref="U2:U15" si="2">+IF(((Y2*G2)-W2-X2)&lt;V2,V2,((Y2*G2)-W2-X2))</f>
        <v>1016.4699510920393</v>
      </c>
      <c r="V2" s="27">
        <f>VLOOKUP((J2/A2),Variables!$A$3:$C$8,3,TRUE())</f>
        <v>510</v>
      </c>
      <c r="W2" s="27">
        <f t="shared" ref="W2:W15" si="3">+(J2+K2)/A2</f>
        <v>3372.8321104417669</v>
      </c>
      <c r="X2" s="24">
        <f>+Z2/A2*Variables!$B$10</f>
        <v>231.0158979754635</v>
      </c>
      <c r="Y2" s="28">
        <f>+(W2/(1-(N2+Variables!$B$10)))/G2</f>
        <v>92.406359190185398</v>
      </c>
      <c r="Z2" s="5">
        <f t="shared" ref="Z2:Z15" si="4">+Y2*G2*A2</f>
        <v>1150459.1719178082</v>
      </c>
      <c r="AM2" s="18"/>
      <c r="AN2" s="18"/>
      <c r="AO2" s="18"/>
      <c r="AP2" s="18"/>
      <c r="AQ2" s="18"/>
    </row>
    <row r="3" spans="1:43" ht="15" customHeight="1" x14ac:dyDescent="0.3">
      <c r="A3" s="43">
        <f t="shared" ref="A3:A17" si="5">+A2</f>
        <v>249</v>
      </c>
      <c r="B3" s="30">
        <v>45078</v>
      </c>
      <c r="C3" s="31" t="s">
        <v>32</v>
      </c>
      <c r="D3" s="32" t="s">
        <v>33</v>
      </c>
      <c r="E3" s="67" t="s">
        <v>35</v>
      </c>
      <c r="F3" s="33" t="s">
        <v>34</v>
      </c>
      <c r="G3" s="34">
        <v>30</v>
      </c>
      <c r="H3" s="79">
        <f>(68.07*0.9)*251+190</f>
        <v>15567.012999999999</v>
      </c>
      <c r="I3" s="36"/>
      <c r="J3" s="19">
        <f>(G3*H3)+I3</f>
        <v>467010.38999999996</v>
      </c>
      <c r="K3" s="38">
        <f>7000+J3*0.07</f>
        <v>39690.727299999999</v>
      </c>
      <c r="L3" s="7">
        <f t="shared" ref="L3" si="6">ROUND(IF((Y3*A3*G3)&gt;(J3+(X3*A3)+K3+(U3*A3)),(Y3*A3),((J3+(X3*A3)+K3+(U3*A3))/G3)),1)</f>
        <v>24128.6</v>
      </c>
      <c r="M3" s="5">
        <f>+L3*G3</f>
        <v>723858</v>
      </c>
      <c r="N3" s="8">
        <f>VLOOKUP((J3/A3),Variables!$A$3:$C$8,2,TRUE())</f>
        <v>0.25</v>
      </c>
      <c r="O3" s="42">
        <f t="shared" ref="O3" si="7">+U3*A3</f>
        <v>180964.68474999996</v>
      </c>
      <c r="P3" s="40"/>
      <c r="Q3" s="41" t="str">
        <f>IF(P3&gt;0,ROUND((L3)/(1-(P3*(1+Variables!$B$10))),1),"")</f>
        <v/>
      </c>
      <c r="U3" s="27">
        <f t="shared" ref="U3" si="8">+IF(((Y3*G3)-W3-X3)&lt;V3,V3,((Y3*G3)-W3-X3))</f>
        <v>726.76580220883523</v>
      </c>
      <c r="V3" s="27">
        <f>VLOOKUP((J3/A3),Variables!$A$3:$C$8,3,TRUE())</f>
        <v>400</v>
      </c>
      <c r="W3" s="27">
        <f t="shared" ref="W3" si="9">+(J3+K3)/A3</f>
        <v>2034.9442461847386</v>
      </c>
      <c r="X3" s="24">
        <f>+Z3/A3*Variables!$B$10</f>
        <v>145.35316044176702</v>
      </c>
      <c r="Y3" s="28">
        <f>+(W3/(1-(N3+Variables!$B$10)))/G3</f>
        <v>96.902106961178035</v>
      </c>
      <c r="Z3" s="5">
        <f t="shared" ref="Z3" si="10">+Y3*G3*A3</f>
        <v>723858.73899999983</v>
      </c>
      <c r="AM3" s="18"/>
      <c r="AN3" s="18"/>
      <c r="AO3" s="18"/>
      <c r="AP3" s="18"/>
      <c r="AQ3" s="18"/>
    </row>
    <row r="4" spans="1:43" ht="15" customHeight="1" x14ac:dyDescent="0.3">
      <c r="A4" s="43">
        <f t="shared" si="5"/>
        <v>249</v>
      </c>
      <c r="B4" s="30">
        <v>45086</v>
      </c>
      <c r="C4" s="31" t="s">
        <v>44</v>
      </c>
      <c r="D4" s="32" t="s">
        <v>45</v>
      </c>
      <c r="E4" s="32" t="s">
        <v>46</v>
      </c>
      <c r="F4" s="33" t="s">
        <v>47</v>
      </c>
      <c r="G4" s="34">
        <v>50</v>
      </c>
      <c r="H4" s="80">
        <v>1400</v>
      </c>
      <c r="I4" s="36"/>
      <c r="J4" s="19">
        <f t="shared" ref="J4" si="11">(G4*H4)+I4</f>
        <v>70000</v>
      </c>
      <c r="K4" s="38">
        <v>3000</v>
      </c>
      <c r="L4" s="7">
        <f t="shared" si="0"/>
        <v>2246.1999999999998</v>
      </c>
      <c r="M4" s="5">
        <f t="shared" ref="M4:M15" si="12">+L4*G4</f>
        <v>112309.99999999999</v>
      </c>
      <c r="N4" s="8">
        <f>VLOOKUP((J4/A4),Variables!$A$3:$C$8,2,TRUE())</f>
        <v>0.3</v>
      </c>
      <c r="O4" s="42">
        <f t="shared" si="1"/>
        <v>33692.307692307666</v>
      </c>
      <c r="P4" s="40"/>
      <c r="Q4" s="41" t="str">
        <f>IF(P4&gt;0,ROUND(((Y4*A4)/(1-(P4*(1+Variables!$B$10)))),1),"")</f>
        <v/>
      </c>
      <c r="U4" s="27">
        <f t="shared" si="2"/>
        <v>135.31047265987016</v>
      </c>
      <c r="V4" s="27">
        <f>VLOOKUP((J4/A4),Variables!$A$3:$C$8,3,TRUE())</f>
        <v>81.632653061224488</v>
      </c>
      <c r="W4" s="27">
        <f t="shared" si="3"/>
        <v>293.17269076305223</v>
      </c>
      <c r="X4" s="24">
        <f>+Z4/A4*Variables!$B$10</f>
        <v>22.551745443311706</v>
      </c>
      <c r="Y4" s="28">
        <f>+(W4/(1-(N4+Variables!$B$10)))/G4</f>
        <v>9.0206981773246824</v>
      </c>
      <c r="Z4" s="5">
        <f t="shared" si="4"/>
        <v>112307.6923076923</v>
      </c>
      <c r="AM4" s="18"/>
      <c r="AN4" s="18"/>
      <c r="AO4" s="18"/>
      <c r="AP4" s="18"/>
      <c r="AQ4" s="18"/>
    </row>
    <row r="5" spans="1:43" ht="15" customHeight="1" x14ac:dyDescent="0.3">
      <c r="A5" s="43">
        <f t="shared" si="5"/>
        <v>249</v>
      </c>
      <c r="B5" s="30">
        <v>45086</v>
      </c>
      <c r="C5" s="31" t="s">
        <v>44</v>
      </c>
      <c r="D5" s="32" t="s">
        <v>45</v>
      </c>
      <c r="E5" s="32" t="s">
        <v>46</v>
      </c>
      <c r="F5" s="33" t="s">
        <v>47</v>
      </c>
      <c r="G5" s="34">
        <v>100</v>
      </c>
      <c r="H5" s="80">
        <v>1300</v>
      </c>
      <c r="I5" s="36"/>
      <c r="J5" s="19">
        <f t="shared" ref="J5" si="13">(G5*H5)+I5</f>
        <v>130000</v>
      </c>
      <c r="K5" s="38">
        <v>3000</v>
      </c>
      <c r="L5" s="7">
        <f t="shared" si="0"/>
        <v>1985.1</v>
      </c>
      <c r="M5" s="5">
        <f t="shared" si="12"/>
        <v>198510</v>
      </c>
      <c r="N5" s="8">
        <f>VLOOKUP((J5/A5),Variables!$A$3:$C$8,2,TRUE())</f>
        <v>0.28000000000000003</v>
      </c>
      <c r="O5" s="42">
        <f t="shared" si="1"/>
        <v>55582.089552238831</v>
      </c>
      <c r="P5" s="40"/>
      <c r="Q5" s="41" t="str">
        <f>IF(P5&gt;0,ROUND(((Y5*A5)/(1-(P5*(1+Variables!$B$10)))),1),"")</f>
        <v/>
      </c>
      <c r="U5" s="27">
        <f t="shared" si="2"/>
        <v>223.22124318168204</v>
      </c>
      <c r="V5" s="27">
        <f>VLOOKUP((J5/A5),Variables!$A$3:$C$8,3,TRUE())</f>
        <v>122</v>
      </c>
      <c r="W5" s="27">
        <f t="shared" si="3"/>
        <v>534.1365461847389</v>
      </c>
      <c r="X5" s="24">
        <f>+Z5/A5*Variables!$B$10</f>
        <v>39.860936282443213</v>
      </c>
      <c r="Y5" s="28">
        <f>+(W5/(1-(N5+Variables!$B$10)))/G5</f>
        <v>7.9721872564886418</v>
      </c>
      <c r="Z5" s="5">
        <f t="shared" si="4"/>
        <v>198507.46268656719</v>
      </c>
      <c r="AM5" s="18"/>
      <c r="AN5" s="18"/>
      <c r="AO5" s="18"/>
      <c r="AP5" s="18"/>
      <c r="AQ5" s="18"/>
    </row>
    <row r="6" spans="1:43" ht="15" customHeight="1" x14ac:dyDescent="0.3">
      <c r="A6" s="43">
        <f t="shared" si="5"/>
        <v>249</v>
      </c>
      <c r="B6" s="30">
        <v>45104</v>
      </c>
      <c r="C6" s="31" t="s">
        <v>50</v>
      </c>
      <c r="D6" s="32" t="s">
        <v>49</v>
      </c>
      <c r="E6" s="32" t="s">
        <v>48</v>
      </c>
      <c r="F6" s="33" t="s">
        <v>34</v>
      </c>
      <c r="G6" s="34">
        <v>20</v>
      </c>
      <c r="H6" s="80">
        <v>17577.189999999999</v>
      </c>
      <c r="I6" s="36"/>
      <c r="J6" s="19">
        <f t="shared" ref="J6:J25" si="14">(G6*H6)+I6</f>
        <v>351543.8</v>
      </c>
      <c r="K6" s="38">
        <v>5000</v>
      </c>
      <c r="L6" s="7">
        <f t="shared" si="0"/>
        <v>26607.7</v>
      </c>
      <c r="M6" s="5">
        <f t="shared" si="12"/>
        <v>532154</v>
      </c>
      <c r="N6" s="8">
        <f>VLOOKUP((J6/A6),Variables!$A$3:$C$8,2,TRUE())</f>
        <v>0.28000000000000003</v>
      </c>
      <c r="O6" s="42">
        <f t="shared" si="1"/>
        <v>149003.37910447764</v>
      </c>
      <c r="P6" s="40"/>
      <c r="Q6" s="41" t="str">
        <f>IF(P6&gt;0,ROUND(((Y6*A6)/(1-(P6*(1+Variables!$B$10)))),1),"")</f>
        <v/>
      </c>
      <c r="U6" s="27">
        <f t="shared" si="2"/>
        <v>598.40714499790215</v>
      </c>
      <c r="V6" s="27">
        <f>VLOOKUP((J6/A6),Variables!$A$3:$C$8,3,TRUE())</f>
        <v>122</v>
      </c>
      <c r="W6" s="27">
        <f t="shared" si="3"/>
        <v>1431.9028112449798</v>
      </c>
      <c r="X6" s="24">
        <f>+Z6/A6*Variables!$B$10</f>
        <v>106.85841874962537</v>
      </c>
      <c r="Y6" s="28">
        <f>+(W6/(1-(N6+Variables!$B$10)))/G6</f>
        <v>106.85841874962537</v>
      </c>
      <c r="Z6" s="5">
        <f t="shared" si="4"/>
        <v>532154.92537313432</v>
      </c>
      <c r="AM6" s="18"/>
      <c r="AN6" s="18"/>
      <c r="AO6" s="18"/>
      <c r="AP6" s="18"/>
      <c r="AQ6" s="18"/>
    </row>
    <row r="7" spans="1:43" ht="15" customHeight="1" x14ac:dyDescent="0.3">
      <c r="A7" s="43">
        <f t="shared" si="5"/>
        <v>249</v>
      </c>
      <c r="B7" s="30">
        <v>45104</v>
      </c>
      <c r="C7" s="31" t="s">
        <v>50</v>
      </c>
      <c r="D7" s="32" t="s">
        <v>52</v>
      </c>
      <c r="E7" s="32" t="s">
        <v>51</v>
      </c>
      <c r="F7" s="33" t="s">
        <v>34</v>
      </c>
      <c r="G7" s="34">
        <v>15</v>
      </c>
      <c r="H7" s="80">
        <f>29.1*1.1*269+300</f>
        <v>8910.69</v>
      </c>
      <c r="I7" s="36"/>
      <c r="J7" s="19">
        <f t="shared" si="14"/>
        <v>133660.35</v>
      </c>
      <c r="K7" s="38">
        <f>3000+3000</f>
        <v>6000</v>
      </c>
      <c r="L7" s="7">
        <f t="shared" si="0"/>
        <v>13896.6</v>
      </c>
      <c r="M7" s="5">
        <f t="shared" si="12"/>
        <v>208449</v>
      </c>
      <c r="N7" s="8">
        <f>VLOOKUP((J7/A7),Variables!$A$3:$C$8,2,TRUE())</f>
        <v>0.28000000000000003</v>
      </c>
      <c r="O7" s="42">
        <f t="shared" si="1"/>
        <v>58365.51940298509</v>
      </c>
      <c r="P7" s="40"/>
      <c r="Q7" s="41" t="str">
        <f>IF(P7&gt;0,ROUND(((Y7*A7)/(1-(P7*(1+Variables!$B$10)))),1),"")</f>
        <v/>
      </c>
      <c r="U7" s="27">
        <f t="shared" si="2"/>
        <v>234.39967631720918</v>
      </c>
      <c r="V7" s="27">
        <f>VLOOKUP((J7/A7),Variables!$A$3:$C$8,3,TRUE())</f>
        <v>122</v>
      </c>
      <c r="W7" s="27">
        <f t="shared" si="3"/>
        <v>560.88493975903611</v>
      </c>
      <c r="X7" s="24">
        <f>+Z7/A7*Variables!$B$10</f>
        <v>41.857085056644493</v>
      </c>
      <c r="Y7" s="28">
        <f>+(W7/(1-(N7+Variables!$B$10)))/G7</f>
        <v>55.809446742192655</v>
      </c>
      <c r="Z7" s="5">
        <f t="shared" si="4"/>
        <v>208448.28358208956</v>
      </c>
      <c r="AM7" s="18"/>
      <c r="AN7" s="18"/>
      <c r="AO7" s="18"/>
      <c r="AP7" s="18"/>
      <c r="AQ7" s="18"/>
    </row>
    <row r="8" spans="1:43" ht="15" customHeight="1" x14ac:dyDescent="0.3">
      <c r="A8" s="43">
        <v>269</v>
      </c>
      <c r="B8" s="30">
        <v>45111</v>
      </c>
      <c r="C8" s="31" t="s">
        <v>53</v>
      </c>
      <c r="D8" s="32" t="s">
        <v>54</v>
      </c>
      <c r="E8" s="32" t="s">
        <v>55</v>
      </c>
      <c r="F8" s="33" t="s">
        <v>47</v>
      </c>
      <c r="G8" s="34">
        <v>200</v>
      </c>
      <c r="H8" s="80">
        <f>3100+150</f>
        <v>3250</v>
      </c>
      <c r="I8" s="36"/>
      <c r="J8" s="19">
        <f t="shared" si="14"/>
        <v>650000</v>
      </c>
      <c r="K8" s="38">
        <f>+J8*0.105+5000+5000</f>
        <v>78250</v>
      </c>
      <c r="L8" s="7">
        <f t="shared" si="0"/>
        <v>4988</v>
      </c>
      <c r="M8" s="5">
        <f t="shared" si="12"/>
        <v>997600</v>
      </c>
      <c r="N8" s="8">
        <f>VLOOKUP((J8/A8),Variables!$A$3:$C$8,2,TRUE())</f>
        <v>0.22</v>
      </c>
      <c r="O8" s="42">
        <f t="shared" si="1"/>
        <v>219472.60273972608</v>
      </c>
      <c r="P8" s="40"/>
      <c r="Q8" s="41" t="str">
        <f>IF(P8&gt;0,ROUND(((Y8*A8)/(1-(P8*(1+Variables!$B$10)))),1),"")</f>
        <v/>
      </c>
      <c r="U8" s="27">
        <f t="shared" si="2"/>
        <v>815.88328156032003</v>
      </c>
      <c r="V8" s="27">
        <f>VLOOKUP((J8/A8),Variables!$A$3:$C$8,3,TRUE())</f>
        <v>510</v>
      </c>
      <c r="W8" s="27">
        <f t="shared" si="3"/>
        <v>2707.2490706319704</v>
      </c>
      <c r="X8" s="24">
        <f>+Z8/A8*Variables!$B$10</f>
        <v>185.42801853643635</v>
      </c>
      <c r="Y8" s="28">
        <f>+(W8/(1-(N8+Variables!$B$10)))/G8</f>
        <v>18.542801853643635</v>
      </c>
      <c r="Z8" s="5">
        <f t="shared" si="4"/>
        <v>997602.73972602747</v>
      </c>
      <c r="AM8" s="18"/>
      <c r="AN8" s="18"/>
      <c r="AO8" s="18"/>
      <c r="AP8" s="18"/>
      <c r="AQ8" s="18"/>
    </row>
    <row r="9" spans="1:43" ht="15" customHeight="1" x14ac:dyDescent="0.3">
      <c r="A9" s="43">
        <v>269</v>
      </c>
      <c r="B9" s="30">
        <v>45113</v>
      </c>
      <c r="C9" s="31" t="s">
        <v>56</v>
      </c>
      <c r="D9" s="3" t="s">
        <v>59</v>
      </c>
      <c r="E9" s="3" t="s">
        <v>60</v>
      </c>
      <c r="F9" s="75" t="s">
        <v>61</v>
      </c>
      <c r="G9" s="3">
        <v>150</v>
      </c>
      <c r="H9" s="81">
        <v>2295</v>
      </c>
      <c r="I9" s="36"/>
      <c r="J9" s="19">
        <f t="shared" ref="J9" si="15">(G9*H9)+I9</f>
        <v>344250</v>
      </c>
      <c r="K9" s="38">
        <v>6000</v>
      </c>
      <c r="L9" s="7">
        <f t="shared" ref="L9" si="16">ROUND(IF((Y9*A9*G9)&gt;(J9+(X9*A9)+K9+(U9*A9)),(Y9*A9),((J9+(X9*A9)+K9+(U9*A9))/G9)),1)</f>
        <v>3485.1</v>
      </c>
      <c r="M9" s="5">
        <f t="shared" ref="M9" si="17">+L9*G9</f>
        <v>522765</v>
      </c>
      <c r="N9" s="8">
        <f>VLOOKUP((J9/A9),Variables!$A$3:$C$8,2,TRUE())</f>
        <v>0.28000000000000003</v>
      </c>
      <c r="O9" s="42">
        <f t="shared" ref="O9" si="18">+U9*A9</f>
        <v>146373.13432835825</v>
      </c>
      <c r="P9" s="40"/>
      <c r="Q9" s="41" t="str">
        <f>IF(P9&gt;0,ROUND(((Y9*A9)/(1-(P9*(1+Variables!$B$10)))),1),"")</f>
        <v/>
      </c>
      <c r="U9" s="27">
        <f t="shared" ref="U9" si="19">+IF(((Y9*G9)-W9-X9)&lt;V9,V9,((Y9*G9)-W9-X9))</f>
        <v>544.13804583032811</v>
      </c>
      <c r="V9" s="27">
        <f>VLOOKUP((J9/A9),Variables!$A$3:$C$8,3,TRUE())</f>
        <v>122</v>
      </c>
      <c r="W9" s="27">
        <f t="shared" ref="W9" si="20">+(J9+K9)/A9</f>
        <v>1302.0446096654275</v>
      </c>
      <c r="X9" s="24">
        <f>+Z9/A9*Variables!$B$10</f>
        <v>97.167508183987138</v>
      </c>
      <c r="Y9" s="28">
        <f>+(W9/(1-(N9+Variables!$B$10)))/G9</f>
        <v>12.955667757864951</v>
      </c>
      <c r="Z9" s="5">
        <f t="shared" ref="Z9" si="21">+Y9*G9*A9</f>
        <v>522761.19402985083</v>
      </c>
      <c r="AM9" s="18"/>
      <c r="AN9" s="18"/>
      <c r="AO9" s="18"/>
      <c r="AP9" s="18"/>
      <c r="AQ9" s="18"/>
    </row>
    <row r="10" spans="1:43" ht="15" customHeight="1" x14ac:dyDescent="0.3">
      <c r="A10" s="43">
        <v>269</v>
      </c>
      <c r="B10" s="30">
        <v>45113</v>
      </c>
      <c r="C10" s="31" t="s">
        <v>56</v>
      </c>
      <c r="D10" s="3" t="s">
        <v>57</v>
      </c>
      <c r="E10" s="3" t="s">
        <v>58</v>
      </c>
      <c r="F10" s="75" t="s">
        <v>47</v>
      </c>
      <c r="G10" s="3">
        <v>150</v>
      </c>
      <c r="H10" s="81">
        <f>1.94*273.5+100</f>
        <v>630.59</v>
      </c>
      <c r="I10" s="36"/>
      <c r="J10" s="19">
        <f t="shared" ref="J10" si="22">(G10*H10)+I10</f>
        <v>94588.5</v>
      </c>
      <c r="K10" s="38">
        <v>3000</v>
      </c>
      <c r="L10" s="7">
        <f t="shared" ref="L10" si="23">ROUND(IF((Y10*A10*G10)&gt;(J10+(X10*A10)+K10+(U10*A10)),(Y10*A10),((J10+(X10*A10)+K10+(U10*A10))/G10)),1)</f>
        <v>1000.9</v>
      </c>
      <c r="M10" s="5">
        <f t="shared" ref="M10" si="24">+L10*G10</f>
        <v>150135</v>
      </c>
      <c r="N10" s="8">
        <f>VLOOKUP((J10/A10),Variables!$A$3:$C$8,2,TRUE())</f>
        <v>0.3</v>
      </c>
      <c r="O10" s="42">
        <f t="shared" ref="O10" si="25">+U10*A10</f>
        <v>45040.846153846134</v>
      </c>
      <c r="P10" s="40"/>
      <c r="Q10" s="41" t="str">
        <f>IF(P10&gt;0,ROUND(((Y10*A10)/(1-(P10*(1+Variables!$B$10)))),1),"")</f>
        <v/>
      </c>
      <c r="U10" s="27">
        <f t="shared" ref="U10" si="26">+IF(((Y10*G10)-W10-X10)&lt;V10,V10,((Y10*G10)-W10-X10))</f>
        <v>167.43808979124958</v>
      </c>
      <c r="V10" s="27">
        <f>VLOOKUP((J10/A10),Variables!$A$3:$C$8,3,TRUE())</f>
        <v>81.632653061224488</v>
      </c>
      <c r="W10" s="27">
        <f t="shared" ref="W10" si="27">+(J10+K10)/A10</f>
        <v>362.78252788104089</v>
      </c>
      <c r="X10" s="24">
        <f>+Z10/A10*Variables!$B$10</f>
        <v>27.906348298541605</v>
      </c>
      <c r="Y10" s="28">
        <f>+(W10/(1-(N10+Variables!$B$10)))/G10</f>
        <v>3.7208464398055474</v>
      </c>
      <c r="Z10" s="5">
        <f t="shared" ref="Z10" si="28">+Y10*G10*A10</f>
        <v>150136.15384615384</v>
      </c>
      <c r="AM10" s="18"/>
      <c r="AN10" s="18"/>
      <c r="AO10" s="18"/>
      <c r="AP10" s="18"/>
      <c r="AQ10" s="18"/>
    </row>
    <row r="11" spans="1:43" ht="15" customHeight="1" x14ac:dyDescent="0.3">
      <c r="A11" s="43">
        <f t="shared" si="5"/>
        <v>269</v>
      </c>
      <c r="B11" s="30">
        <v>45113</v>
      </c>
      <c r="C11" s="31" t="s">
        <v>56</v>
      </c>
      <c r="D11" s="3" t="s">
        <v>62</v>
      </c>
      <c r="E11" s="76" t="s">
        <v>63</v>
      </c>
      <c r="F11" s="75" t="s">
        <v>47</v>
      </c>
      <c r="G11" s="3">
        <v>150</v>
      </c>
      <c r="H11" s="81">
        <f>2295+1.94*273.5+100</f>
        <v>2925.59</v>
      </c>
      <c r="I11" s="36"/>
      <c r="J11" s="19">
        <f t="shared" si="14"/>
        <v>438838.5</v>
      </c>
      <c r="K11" s="38">
        <f>6000+3000</f>
        <v>9000</v>
      </c>
      <c r="L11" s="7">
        <f t="shared" si="0"/>
        <v>4265.1000000000004</v>
      </c>
      <c r="M11" s="5">
        <f t="shared" si="12"/>
        <v>639765</v>
      </c>
      <c r="N11" s="8">
        <f>VLOOKUP((J11/A11),Variables!$A$3:$C$8,2,TRUE())</f>
        <v>0.25</v>
      </c>
      <c r="O11" s="42">
        <f t="shared" si="1"/>
        <v>159942.32142857145</v>
      </c>
      <c r="P11" s="40"/>
      <c r="Q11" s="41" t="str">
        <f>IF(P11&gt;0,ROUND(((Y11*A11)/(1-(P11*(1+Variables!$B$10)))),1),"")</f>
        <v/>
      </c>
      <c r="U11" s="27">
        <f t="shared" si="2"/>
        <v>594.58112055231027</v>
      </c>
      <c r="V11" s="27">
        <f>VLOOKUP((J11/A11),Variables!$A$3:$C$8,3,TRUE())</f>
        <v>400</v>
      </c>
      <c r="W11" s="27">
        <f t="shared" si="3"/>
        <v>1664.8271375464683</v>
      </c>
      <c r="X11" s="24">
        <f>+Z11/A11*Variables!$B$10</f>
        <v>118.91622411046204</v>
      </c>
      <c r="Y11" s="28">
        <f>+(W11/(1-(N11+Variables!$B$10)))/G11</f>
        <v>15.855496548061604</v>
      </c>
      <c r="Z11" s="5">
        <f t="shared" si="4"/>
        <v>639769.28571428568</v>
      </c>
      <c r="AM11" s="18"/>
      <c r="AN11" s="18"/>
      <c r="AO11" s="18"/>
      <c r="AP11" s="18"/>
      <c r="AQ11" s="18"/>
    </row>
    <row r="12" spans="1:43" ht="15" customHeight="1" x14ac:dyDescent="0.3">
      <c r="A12" s="43">
        <f t="shared" si="5"/>
        <v>269</v>
      </c>
      <c r="B12" s="30">
        <v>45114</v>
      </c>
      <c r="C12" s="31" t="s">
        <v>64</v>
      </c>
      <c r="D12" s="32" t="s">
        <v>65</v>
      </c>
      <c r="E12" s="32" t="s">
        <v>66</v>
      </c>
      <c r="F12" s="33" t="s">
        <v>67</v>
      </c>
      <c r="G12" s="34">
        <v>100</v>
      </c>
      <c r="H12" s="80">
        <f>205+30+10</f>
        <v>245</v>
      </c>
      <c r="I12" s="36"/>
      <c r="J12" s="19">
        <f t="shared" si="14"/>
        <v>24500</v>
      </c>
      <c r="K12" s="38"/>
      <c r="L12" s="7">
        <f t="shared" si="0"/>
        <v>483.4</v>
      </c>
      <c r="M12" s="5">
        <f t="shared" si="12"/>
        <v>48340</v>
      </c>
      <c r="N12" s="8">
        <f>VLOOKUP((J12/A12),Variables!$A$3:$C$8,2,TRUE())</f>
        <v>0.3</v>
      </c>
      <c r="O12" s="42">
        <f t="shared" si="1"/>
        <v>21959.183673469386</v>
      </c>
      <c r="P12" s="40"/>
      <c r="Q12" s="41" t="str">
        <f>IF(P12&gt;0,ROUND(((Y12*A12)/(1-(P12*(1+Variables!$B$10)))),1),"")</f>
        <v/>
      </c>
      <c r="U12" s="27">
        <f t="shared" si="2"/>
        <v>81.632653061224488</v>
      </c>
      <c r="V12" s="27">
        <f>VLOOKUP((J12/A12),Variables!$A$3:$C$8,3,TRUE())</f>
        <v>81.632653061224488</v>
      </c>
      <c r="W12" s="27">
        <f t="shared" si="3"/>
        <v>91.078066914498137</v>
      </c>
      <c r="X12" s="24">
        <f>+Z12/A12*Variables!$B$10</f>
        <v>7.0060051472690876</v>
      </c>
      <c r="Y12" s="28">
        <f>+(W12/(1-(N12+Variables!$B$10)))/G12</f>
        <v>1.4012010294538175</v>
      </c>
      <c r="Z12" s="5">
        <f t="shared" si="4"/>
        <v>37692.307692307688</v>
      </c>
      <c r="AM12" s="18"/>
      <c r="AN12" s="18"/>
      <c r="AO12" s="18"/>
      <c r="AP12" s="18"/>
      <c r="AQ12" s="18"/>
    </row>
    <row r="13" spans="1:43" ht="15" customHeight="1" x14ac:dyDescent="0.3">
      <c r="A13" s="43">
        <f t="shared" si="5"/>
        <v>269</v>
      </c>
      <c r="B13" s="30">
        <v>45114</v>
      </c>
      <c r="C13" s="31" t="s">
        <v>68</v>
      </c>
      <c r="D13" s="32" t="s">
        <v>69</v>
      </c>
      <c r="E13" s="32" t="s">
        <v>70</v>
      </c>
      <c r="F13" s="33" t="s">
        <v>71</v>
      </c>
      <c r="G13" s="34">
        <v>180</v>
      </c>
      <c r="H13" s="82">
        <v>19833.734</v>
      </c>
      <c r="I13">
        <f>100*310+80*260</f>
        <v>51800</v>
      </c>
      <c r="J13" s="19">
        <f t="shared" si="14"/>
        <v>3621872.12</v>
      </c>
      <c r="K13" s="77">
        <f>8000+23100+2400+(J13*0.5*0.105)+(J13*0.5*0.07)</f>
        <v>350413.81050000002</v>
      </c>
      <c r="L13" s="7">
        <f t="shared" si="0"/>
        <v>28660.1</v>
      </c>
      <c r="M13" s="5">
        <f t="shared" si="12"/>
        <v>5158818</v>
      </c>
      <c r="N13" s="8">
        <f>VLOOKUP((J13/A13),Variables!$A$3:$C$8,2,TRUE())</f>
        <v>0.18</v>
      </c>
      <c r="O13" s="42">
        <f t="shared" si="1"/>
        <v>928586.3214155843</v>
      </c>
      <c r="P13" s="40"/>
      <c r="Q13" s="41" t="str">
        <f>IF(P13&gt;0,ROUND(((Y13*A13)/(1-(P13*(1+Variables!$B$10)))),1),"")</f>
        <v/>
      </c>
      <c r="U13" s="27">
        <f t="shared" si="2"/>
        <v>3451.9937599092355</v>
      </c>
      <c r="V13" s="27">
        <f>VLOOKUP((J13/A13),Variables!$A$3:$C$8,3,TRUE())</f>
        <v>1094</v>
      </c>
      <c r="W13" s="27">
        <f t="shared" si="3"/>
        <v>14766.862195167287</v>
      </c>
      <c r="X13" s="24">
        <f>+Z13/A13*Variables!$B$10</f>
        <v>958.88715553034331</v>
      </c>
      <c r="Y13" s="28">
        <f>+(W13/(1-(N13+Variables!$B$10)))/G13</f>
        <v>106.54301728114925</v>
      </c>
      <c r="Z13" s="5">
        <f t="shared" si="4"/>
        <v>5158812.8967532469</v>
      </c>
      <c r="AM13" s="18"/>
      <c r="AN13" s="18"/>
      <c r="AO13" s="18"/>
      <c r="AP13" s="18"/>
      <c r="AQ13" s="18"/>
    </row>
    <row r="14" spans="1:43" ht="15" customHeight="1" x14ac:dyDescent="0.3">
      <c r="A14" s="43">
        <f t="shared" si="5"/>
        <v>269</v>
      </c>
      <c r="B14" s="30">
        <v>45117</v>
      </c>
      <c r="C14" s="31" t="s">
        <v>41</v>
      </c>
      <c r="D14" s="32" t="s">
        <v>49</v>
      </c>
      <c r="E14" s="32" t="s">
        <v>40</v>
      </c>
      <c r="F14" s="33" t="s">
        <v>47</v>
      </c>
      <c r="G14" s="34">
        <v>50</v>
      </c>
      <c r="H14" s="80">
        <v>2063.1799999999998</v>
      </c>
      <c r="I14" s="36"/>
      <c r="J14" s="19">
        <f t="shared" si="14"/>
        <v>103158.99999999999</v>
      </c>
      <c r="K14" s="38">
        <v>15000</v>
      </c>
      <c r="L14" s="7">
        <f t="shared" si="0"/>
        <v>3635.7</v>
      </c>
      <c r="M14" s="5">
        <f t="shared" si="12"/>
        <v>181785</v>
      </c>
      <c r="N14" s="8">
        <f>VLOOKUP((J14/A14),Variables!$A$3:$C$8,2,TRUE())</f>
        <v>0.3</v>
      </c>
      <c r="O14" s="42">
        <f t="shared" si="1"/>
        <v>54534.923076923071</v>
      </c>
      <c r="P14" s="40"/>
      <c r="Q14" s="41" t="str">
        <f>IF(P14&gt;0,ROUND(((Y14*A14)/(1-(P14*(1+Variables!$B$10)))),1),"")</f>
        <v/>
      </c>
      <c r="U14" s="27">
        <f t="shared" si="2"/>
        <v>202.73205604804116</v>
      </c>
      <c r="V14" s="27">
        <f>VLOOKUP((J14/A14),Variables!$A$3:$C$8,3,TRUE())</f>
        <v>81.632653061224488</v>
      </c>
      <c r="W14" s="27">
        <f t="shared" si="3"/>
        <v>439.25278810408918</v>
      </c>
      <c r="X14" s="24">
        <f>+Z14/A14*Variables!$B$10</f>
        <v>33.78867600800686</v>
      </c>
      <c r="Y14" s="28">
        <f>+(W14/(1-(N14+Variables!$B$10)))/G14</f>
        <v>13.515470403202745</v>
      </c>
      <c r="Z14" s="5">
        <f t="shared" si="4"/>
        <v>181783.07692307691</v>
      </c>
      <c r="AM14" s="18"/>
      <c r="AN14" s="18"/>
      <c r="AO14" s="18"/>
      <c r="AP14" s="18"/>
      <c r="AQ14" s="18"/>
    </row>
    <row r="15" spans="1:43" ht="15" customHeight="1" x14ac:dyDescent="0.3">
      <c r="A15" s="43">
        <f t="shared" si="5"/>
        <v>269</v>
      </c>
      <c r="B15" s="30">
        <v>45124</v>
      </c>
      <c r="C15" s="31" t="s">
        <v>72</v>
      </c>
      <c r="D15" s="32" t="s">
        <v>54</v>
      </c>
      <c r="E15" s="32" t="s">
        <v>73</v>
      </c>
      <c r="F15" s="33" t="s">
        <v>47</v>
      </c>
      <c r="G15" s="34">
        <v>600</v>
      </c>
      <c r="H15" s="80">
        <f>990*1.1+200</f>
        <v>1289</v>
      </c>
      <c r="I15" s="36"/>
      <c r="J15" s="19">
        <f t="shared" si="14"/>
        <v>773400</v>
      </c>
      <c r="K15" s="38">
        <v>8000</v>
      </c>
      <c r="L15" s="7">
        <f t="shared" si="0"/>
        <v>1784</v>
      </c>
      <c r="M15" s="5">
        <f t="shared" si="12"/>
        <v>1070400</v>
      </c>
      <c r="N15" s="8">
        <f>VLOOKUP((J15/A15),Variables!$A$3:$C$8,2,TRUE())</f>
        <v>0.22</v>
      </c>
      <c r="O15" s="42">
        <f t="shared" si="1"/>
        <v>235490.4109589041</v>
      </c>
      <c r="P15" s="40"/>
      <c r="Q15" s="41" t="str">
        <f>IF(P15&gt;0,ROUND(((Y15*A15)/(1-(P15*(1+Variables!$B$10)))),1),"")</f>
        <v/>
      </c>
      <c r="U15" s="27">
        <f t="shared" si="2"/>
        <v>875.42903702194837</v>
      </c>
      <c r="V15" s="27">
        <f>VLOOKUP((J15/A15),Variables!$A$3:$C$8,3,TRUE())</f>
        <v>510</v>
      </c>
      <c r="W15" s="27">
        <f t="shared" si="3"/>
        <v>2904.8327137546466</v>
      </c>
      <c r="X15" s="24">
        <f>+Z15/A15*Variables!$B$10</f>
        <v>198.9611447777155</v>
      </c>
      <c r="Y15" s="28">
        <f>+(W15/(1-(N15+Variables!$B$10)))/G15</f>
        <v>6.632038159257184</v>
      </c>
      <c r="Z15" s="5">
        <f t="shared" si="4"/>
        <v>1070410.9589041094</v>
      </c>
      <c r="AM15" s="18"/>
      <c r="AN15" s="18"/>
      <c r="AO15" s="18"/>
      <c r="AP15" s="18"/>
      <c r="AQ15" s="18"/>
    </row>
    <row r="16" spans="1:43" ht="15" customHeight="1" x14ac:dyDescent="0.3">
      <c r="A16" s="43">
        <f t="shared" si="5"/>
        <v>269</v>
      </c>
      <c r="B16" s="30">
        <v>45131</v>
      </c>
      <c r="C16" s="31" t="s">
        <v>74</v>
      </c>
      <c r="D16" s="32" t="s">
        <v>75</v>
      </c>
      <c r="E16" s="32" t="s">
        <v>77</v>
      </c>
      <c r="F16" s="33" t="s">
        <v>76</v>
      </c>
      <c r="G16" s="34">
        <v>300</v>
      </c>
      <c r="H16" s="80">
        <f>6400+150</f>
        <v>6550</v>
      </c>
      <c r="I16" s="36"/>
      <c r="J16" s="19">
        <f t="shared" ref="J16" si="29">(G16*H16)+I16</f>
        <v>1965000</v>
      </c>
      <c r="K16" s="38">
        <v>4000</v>
      </c>
      <c r="L16" s="7">
        <f t="shared" ref="L16" si="30">ROUND(IF((Y16*A16*G16)&gt;(J16+(X16*A16)+K16+(U16*A16)),(Y16*A16),((J16+(X16*A16)+K16+(U16*A16))/G16)),1)</f>
        <v>8523.7999999999993</v>
      </c>
      <c r="M16" s="5">
        <f t="shared" ref="M16" si="31">+L16*G16</f>
        <v>2557140</v>
      </c>
      <c r="N16" s="8">
        <f>VLOOKUP((J16/A16),Variables!$A$3:$C$8,2,TRUE())</f>
        <v>0.18</v>
      </c>
      <c r="O16" s="42">
        <f t="shared" ref="O16" si="32">+U16*A16</f>
        <v>460285.71428571432</v>
      </c>
      <c r="P16" s="40"/>
      <c r="Q16" s="41" t="str">
        <f>IF(P16&gt;0,ROUND(((Y16*A16)/(1-(P16*(1+Variables!$B$10)))),1),"")</f>
        <v/>
      </c>
      <c r="U16" s="27">
        <f t="shared" ref="U16" si="33">+IF(((Y16*G16)-W16-X16)&lt;V16,V16,((Y16*G16)-W16-X16))</f>
        <v>1711.0993096123209</v>
      </c>
      <c r="V16" s="27">
        <f>VLOOKUP((J16/A16),Variables!$A$3:$C$8,3,TRUE())</f>
        <v>1094</v>
      </c>
      <c r="W16" s="27">
        <f t="shared" ref="W16" si="34">+(J16+K16)/A16</f>
        <v>7319.7026022304835</v>
      </c>
      <c r="X16" s="24">
        <f>+Z16/A16*Variables!$B$10</f>
        <v>475.30536378120024</v>
      </c>
      <c r="Y16" s="28">
        <f>+(W16/(1-(N16+Variables!$B$10)))/G16</f>
        <v>31.687024252080015</v>
      </c>
      <c r="Z16" s="5">
        <f t="shared" ref="Z16" si="35">+Y16*G16*A16</f>
        <v>2557142.8571428573</v>
      </c>
      <c r="AM16" s="18"/>
      <c r="AN16" s="18"/>
      <c r="AO16" s="18"/>
      <c r="AP16" s="18"/>
      <c r="AQ16" s="18"/>
    </row>
    <row r="17" spans="1:43" ht="15" customHeight="1" x14ac:dyDescent="0.3">
      <c r="A17" s="43">
        <f t="shared" si="5"/>
        <v>269</v>
      </c>
      <c r="B17" s="30">
        <v>45131</v>
      </c>
      <c r="C17" s="31" t="s">
        <v>74</v>
      </c>
      <c r="D17" s="32" t="s">
        <v>78</v>
      </c>
      <c r="E17" s="32" t="s">
        <v>79</v>
      </c>
      <c r="F17" s="33" t="s">
        <v>76</v>
      </c>
      <c r="G17" s="34">
        <v>500</v>
      </c>
      <c r="H17" s="80">
        <f>21.72*285.5*0.85*0.98*0.98*1.075+58.33*2</f>
        <v>5558.4963194299989</v>
      </c>
      <c r="I17" s="36"/>
      <c r="J17" s="19">
        <f t="shared" ref="J17" si="36">(G17*H17)+I17</f>
        <v>2779248.1597149996</v>
      </c>
      <c r="K17" s="38">
        <f>4000+J17*0.4*0.07</f>
        <v>81818.948472019998</v>
      </c>
      <c r="L17" s="7">
        <f t="shared" ref="L17" si="37">ROUND(IF((Y17*A17*G17)&gt;(J17+(X17*A17)+K17+(U17*A17)),(Y17*A17),((J17+(X17*A17)+K17+(U17*A17))/G17)),1)</f>
        <v>7431.3</v>
      </c>
      <c r="M17" s="5">
        <f t="shared" ref="M17" si="38">+L17*G17</f>
        <v>3715650</v>
      </c>
      <c r="N17" s="8">
        <f>VLOOKUP((J17/A17),Variables!$A$3:$C$8,2,TRUE())</f>
        <v>0.18</v>
      </c>
      <c r="O17" s="42">
        <f t="shared" ref="O17" si="39">+U17*A17</f>
        <v>668820.88243332924</v>
      </c>
      <c r="P17" s="40"/>
      <c r="Q17" s="41" t="str">
        <f>IF(P17&gt;0,ROUND(((Y17*A17)/(1-(P17*(1+Variables!$B$10)))),1),"")</f>
        <v/>
      </c>
      <c r="U17" s="27">
        <f t="shared" ref="U17" si="40">+IF(((Y17*G17)-W17-X17)&lt;V17,V17,((Y17*G17)-W17-X17))</f>
        <v>2486.3229830235286</v>
      </c>
      <c r="V17" s="27">
        <f>VLOOKUP((J17/A17),Variables!$A$3:$C$8,3,TRUE())</f>
        <v>1094</v>
      </c>
      <c r="W17" s="27">
        <f t="shared" ref="W17" si="41">+(J17+K17)/A17</f>
        <v>10635.937205156208</v>
      </c>
      <c r="X17" s="24">
        <f>+Z17/A17*Variables!$B$10</f>
        <v>690.64527306209141</v>
      </c>
      <c r="Y17" s="28">
        <f>+(W17/(1-(N17+Variables!$B$10)))/G17</f>
        <v>27.625810922483655</v>
      </c>
      <c r="Z17" s="5">
        <f t="shared" ref="Z17" si="42">+Y17*G17*A17</f>
        <v>3715671.5690740515</v>
      </c>
      <c r="AM17" s="18"/>
      <c r="AN17" s="18"/>
      <c r="AO17" s="18"/>
      <c r="AP17" s="18"/>
      <c r="AQ17" s="18"/>
    </row>
    <row r="18" spans="1:43" ht="15" customHeight="1" x14ac:dyDescent="0.3">
      <c r="A18" s="43">
        <v>269</v>
      </c>
      <c r="B18" s="30">
        <v>45131</v>
      </c>
      <c r="C18" s="31" t="s">
        <v>74</v>
      </c>
      <c r="D18" s="32" t="s">
        <v>80</v>
      </c>
      <c r="E18" s="32" t="s">
        <v>81</v>
      </c>
      <c r="F18" s="33" t="s">
        <v>76</v>
      </c>
      <c r="G18" s="34">
        <v>500</v>
      </c>
      <c r="H18" s="80">
        <f>150*2</f>
        <v>300</v>
      </c>
      <c r="I18" s="36">
        <v>999500</v>
      </c>
      <c r="J18" s="19">
        <f t="shared" ref="J18" si="43">(G18*H18)+I18</f>
        <v>1149500</v>
      </c>
      <c r="K18" s="38">
        <v>4000</v>
      </c>
      <c r="L18" s="7">
        <f t="shared" ref="L18" si="44">ROUND(IF((Y18*A18*G18)&gt;(J18+(X18*A18)+K18+(U18*A18)),(Y18*A18),((J18+(X18*A18)+K18+(U18*A18))/G18)),1)</f>
        <v>3076</v>
      </c>
      <c r="M18" s="5">
        <f t="shared" ref="M18" si="45">+L18*G18</f>
        <v>1538000</v>
      </c>
      <c r="N18" s="8">
        <f>VLOOKUP((J18/A18),Variables!$A$3:$C$8,2,TRUE())</f>
        <v>0.2</v>
      </c>
      <c r="O18" s="42">
        <f t="shared" ref="O18" si="46">+U18*A18</f>
        <v>307599.99999999994</v>
      </c>
      <c r="P18" s="40"/>
      <c r="Q18" s="41" t="str">
        <f>IF(P18&gt;0,ROUND(((Y18*A18)/(1-(P18*(1+Variables!$B$10)))),1),"")</f>
        <v/>
      </c>
      <c r="U18" s="27">
        <f t="shared" ref="U18" si="47">+IF(((Y18*G18)-W18-X18)&lt;V18,V18,((Y18*G18)-W18-X18))</f>
        <v>1143.4944237918214</v>
      </c>
      <c r="V18" s="27">
        <f>VLOOKUP((J18/A18),Variables!$A$3:$C$8,3,TRUE())</f>
        <v>898</v>
      </c>
      <c r="W18" s="27">
        <f t="shared" ref="W18" si="48">+(J18+K18)/A18</f>
        <v>4288.1040892193305</v>
      </c>
      <c r="X18" s="24">
        <f>+Z18/A18*Variables!$B$10</f>
        <v>285.87360594795535</v>
      </c>
      <c r="Y18" s="28">
        <f>+(W18/(1-(N18+Variables!$B$10)))/G18</f>
        <v>11.434944237918215</v>
      </c>
      <c r="Z18" s="5">
        <f t="shared" ref="Z18" si="49">+Y18*G18*A18</f>
        <v>1537999.9999999998</v>
      </c>
      <c r="AM18" s="18"/>
      <c r="AN18" s="18"/>
      <c r="AO18" s="18"/>
      <c r="AP18" s="18"/>
      <c r="AQ18" s="18"/>
    </row>
    <row r="19" spans="1:43" ht="15" customHeight="1" x14ac:dyDescent="0.3">
      <c r="A19" s="43">
        <v>269</v>
      </c>
      <c r="B19" s="30">
        <v>45131</v>
      </c>
      <c r="C19" s="31" t="s">
        <v>85</v>
      </c>
      <c r="D19" s="32" t="s">
        <v>82</v>
      </c>
      <c r="E19" s="32" t="s">
        <v>83</v>
      </c>
      <c r="F19" s="33" t="s">
        <v>84</v>
      </c>
      <c r="G19" s="34">
        <v>300</v>
      </c>
      <c r="H19" s="80">
        <v>319.8</v>
      </c>
      <c r="I19" s="36"/>
      <c r="J19" s="19">
        <f t="shared" ref="J19" si="50">(G19*H19)+I19</f>
        <v>95940</v>
      </c>
      <c r="K19" s="38">
        <v>5000</v>
      </c>
      <c r="L19" s="7">
        <f t="shared" ref="L19" si="51">ROUND(IF((Y19*A19*G19)&gt;(J19+(X19*A19)+K19+(U19*A19)),(Y19*A19),((J19+(X19*A19)+K19+(U19*A19))/G19)),1)</f>
        <v>517.6</v>
      </c>
      <c r="M19" s="5">
        <f t="shared" ref="M19" si="52">+L19*G19</f>
        <v>155280</v>
      </c>
      <c r="N19" s="8">
        <f>VLOOKUP((J19/A19),Variables!$A$3:$C$8,2,TRUE())</f>
        <v>0.3</v>
      </c>
      <c r="O19" s="42">
        <f t="shared" ref="O19" si="53">+U19*A19</f>
        <v>46587.692307692298</v>
      </c>
      <c r="P19" s="40"/>
      <c r="Q19" s="41" t="str">
        <f>IF(P19&gt;0,ROUND(((Y19*A19)/(1-(P19*(1+Variables!$B$10)))),1),"")</f>
        <v/>
      </c>
      <c r="U19" s="27">
        <f t="shared" ref="U19" si="54">+IF(((Y19*G19)-W19-X19)&lt;V19,V19,((Y19*G19)-W19-X19))</f>
        <v>173.18844724049183</v>
      </c>
      <c r="V19" s="27">
        <f>VLOOKUP((J19/A19),Variables!$A$3:$C$8,3,TRUE())</f>
        <v>81.632653061224488</v>
      </c>
      <c r="W19" s="27">
        <f t="shared" ref="W19" si="55">+(J19+K19)/A19</f>
        <v>375.24163568773236</v>
      </c>
      <c r="X19" s="24">
        <f>+Z19/A19*Variables!$B$10</f>
        <v>28.864741206748644</v>
      </c>
      <c r="Y19" s="28">
        <f>+(W19/(1-(N19+Variables!$B$10)))/G19</f>
        <v>1.9243160804499093</v>
      </c>
      <c r="Z19" s="5">
        <f t="shared" ref="Z19" si="56">+Y19*G19*A19</f>
        <v>155292.30769230769</v>
      </c>
      <c r="AM19" s="18"/>
      <c r="AN19" s="18"/>
      <c r="AO19" s="18"/>
      <c r="AP19" s="18"/>
      <c r="AQ19" s="18"/>
    </row>
    <row r="20" spans="1:43" ht="15" customHeight="1" x14ac:dyDescent="0.3">
      <c r="A20" s="43">
        <v>269</v>
      </c>
      <c r="B20" s="30">
        <v>45131</v>
      </c>
      <c r="C20" s="31" t="s">
        <v>85</v>
      </c>
      <c r="D20" s="32" t="s">
        <v>82</v>
      </c>
      <c r="E20" s="32" t="s">
        <v>83</v>
      </c>
      <c r="F20" s="33" t="s">
        <v>84</v>
      </c>
      <c r="G20" s="34">
        <v>500</v>
      </c>
      <c r="H20" s="80">
        <v>304.57</v>
      </c>
      <c r="I20" s="36"/>
      <c r="J20" s="19">
        <f t="shared" ref="J20:J21" si="57">(G20*H20)+I20</f>
        <v>152285</v>
      </c>
      <c r="K20" s="38">
        <v>5000</v>
      </c>
      <c r="L20" s="7">
        <f t="shared" ref="L20:L21" si="58">ROUND(IF((Y20*A20*G20)&gt;(J20+(X20*A20)+K20+(U20*A20)),(Y20*A20),((J20+(X20*A20)+K20+(U20*A20))/G20)),1)</f>
        <v>469.5</v>
      </c>
      <c r="M20" s="5">
        <f t="shared" ref="M20:M21" si="59">+L20*G20</f>
        <v>234750</v>
      </c>
      <c r="N20" s="8">
        <f>VLOOKUP((J20/A20),Variables!$A$3:$C$8,2,TRUE())</f>
        <v>0.28000000000000003</v>
      </c>
      <c r="O20" s="42">
        <f t="shared" ref="O20:O21" si="60">+U20*A20</f>
        <v>65731.044776119423</v>
      </c>
      <c r="P20" s="40"/>
      <c r="Q20" s="41" t="str">
        <f>IF(P20&gt;0,ROUND(((Y20*A20)/(1-(P20*(1+Variables!$B$10)))),1),"")</f>
        <v/>
      </c>
      <c r="U20" s="27">
        <f t="shared" ref="U20:U21" si="61">+IF(((Y20*G20)-W20-X20)&lt;V20,V20,((Y20*G20)-W20-X20))</f>
        <v>244.35332630527665</v>
      </c>
      <c r="V20" s="27">
        <f>VLOOKUP((J20/A20),Variables!$A$3:$C$8,3,TRUE())</f>
        <v>122</v>
      </c>
      <c r="W20" s="27">
        <f t="shared" ref="W20:W21" si="62">+(J20+K20)/A20</f>
        <v>584.70260223048331</v>
      </c>
      <c r="X20" s="24">
        <f>+Z20/A20*Variables!$B$10</f>
        <v>43.634522554513687</v>
      </c>
      <c r="Y20" s="28">
        <f>+(W20/(1-(N20+Variables!$B$10)))/G20</f>
        <v>1.7453809021805473</v>
      </c>
      <c r="Z20" s="5">
        <f t="shared" ref="Z20:Z21" si="63">+Y20*G20*A20</f>
        <v>234753.73134328361</v>
      </c>
      <c r="AM20" s="18"/>
      <c r="AN20" s="18"/>
      <c r="AO20" s="18"/>
      <c r="AP20" s="18"/>
      <c r="AQ20" s="18"/>
    </row>
    <row r="21" spans="1:43" ht="15" customHeight="1" x14ac:dyDescent="0.3">
      <c r="A21" s="43">
        <v>269</v>
      </c>
      <c r="B21" s="30">
        <v>45131</v>
      </c>
      <c r="C21" s="31" t="s">
        <v>85</v>
      </c>
      <c r="D21" s="32" t="s">
        <v>82</v>
      </c>
      <c r="E21" s="32" t="s">
        <v>83</v>
      </c>
      <c r="F21" s="33" t="s">
        <v>86</v>
      </c>
      <c r="G21" s="34">
        <v>300</v>
      </c>
      <c r="H21" s="80">
        <v>345.8</v>
      </c>
      <c r="I21" s="36"/>
      <c r="J21" s="19">
        <f t="shared" si="57"/>
        <v>103740</v>
      </c>
      <c r="K21" s="38">
        <v>5000</v>
      </c>
      <c r="L21" s="7">
        <f t="shared" si="58"/>
        <v>557.6</v>
      </c>
      <c r="M21" s="5">
        <f t="shared" si="59"/>
        <v>167280</v>
      </c>
      <c r="N21" s="8">
        <f>VLOOKUP((J21/A21),Variables!$A$3:$C$8,2,TRUE())</f>
        <v>0.3</v>
      </c>
      <c r="O21" s="42">
        <f t="shared" si="60"/>
        <v>50187.692307692305</v>
      </c>
      <c r="P21" s="40"/>
      <c r="Q21" s="41" t="str">
        <f>IF(P21&gt;0,ROUND(((Y21*A21)/(1-(P21*(1+Variables!$B$10)))),1),"")</f>
        <v/>
      </c>
      <c r="U21" s="27">
        <f t="shared" si="61"/>
        <v>186.57134686874463</v>
      </c>
      <c r="V21" s="27">
        <f>VLOOKUP((J21/A21),Variables!$A$3:$C$8,3,TRUE())</f>
        <v>81.632653061224488</v>
      </c>
      <c r="W21" s="27">
        <f t="shared" si="62"/>
        <v>404.23791821561338</v>
      </c>
      <c r="X21" s="24">
        <f>+Z21/A21*Variables!$B$10</f>
        <v>31.095224478124109</v>
      </c>
      <c r="Y21" s="28">
        <f>+(W21/(1-(N21+Variables!$B$10)))/G21</f>
        <v>2.0730149652082739</v>
      </c>
      <c r="Z21" s="5">
        <f t="shared" si="63"/>
        <v>167292.30769230769</v>
      </c>
      <c r="AM21" s="18"/>
      <c r="AN21" s="18"/>
      <c r="AO21" s="18"/>
      <c r="AP21" s="18"/>
      <c r="AQ21" s="18"/>
    </row>
    <row r="22" spans="1:43" ht="15" customHeight="1" x14ac:dyDescent="0.3">
      <c r="A22" s="43">
        <v>269</v>
      </c>
      <c r="B22" s="30">
        <v>45131</v>
      </c>
      <c r="C22" s="31" t="s">
        <v>85</v>
      </c>
      <c r="D22" s="32" t="s">
        <v>82</v>
      </c>
      <c r="E22" s="32" t="s">
        <v>83</v>
      </c>
      <c r="F22" s="33" t="s">
        <v>86</v>
      </c>
      <c r="G22" s="34">
        <v>500</v>
      </c>
      <c r="H22" s="80">
        <v>329.33</v>
      </c>
      <c r="I22" s="36"/>
      <c r="J22" s="19">
        <f t="shared" ref="J22" si="64">(G22*H22)+I22</f>
        <v>164665</v>
      </c>
      <c r="K22" s="38">
        <v>5000</v>
      </c>
      <c r="L22" s="7">
        <f t="shared" ref="L22" si="65">ROUND(IF((Y22*A22*G22)&gt;(J22+(X22*A22)+K22+(U22*A22)),(Y22*A22),((J22+(X22*A22)+K22+(U22*A22))/G22)),1)</f>
        <v>506.5</v>
      </c>
      <c r="M22" s="5">
        <f t="shared" ref="M22" si="66">+L22*G22</f>
        <v>253250</v>
      </c>
      <c r="N22" s="8">
        <f>VLOOKUP((J22/A22),Variables!$A$3:$C$8,2,TRUE())</f>
        <v>0.28000000000000003</v>
      </c>
      <c r="O22" s="42">
        <f t="shared" ref="O22" si="67">+U22*A22</f>
        <v>70904.776119403017</v>
      </c>
      <c r="P22" s="40"/>
      <c r="Q22" s="41" t="str">
        <f>IF(P22&gt;0,ROUND(((Y22*A22)/(1-(P22*(1+Variables!$B$10)))),1),"")</f>
        <v/>
      </c>
      <c r="U22" s="27">
        <f t="shared" ref="U22" si="68">+IF(((Y22*G22)-W22-X22)&lt;V22,V22,((Y22*G22)-W22-X22))</f>
        <v>263.58652832491828</v>
      </c>
      <c r="V22" s="27">
        <f>VLOOKUP((J22/A22),Variables!$A$3:$C$8,3,TRUE())</f>
        <v>122</v>
      </c>
      <c r="W22" s="27">
        <f t="shared" ref="W22" si="69">+(J22+K22)/A22</f>
        <v>630.72490706319707</v>
      </c>
      <c r="X22" s="24">
        <f>+Z22/A22*Variables!$B$10</f>
        <v>47.06902291516397</v>
      </c>
      <c r="Y22" s="28">
        <f>+(W22/(1-(N22+Variables!$B$10)))/G22</f>
        <v>1.8827609166065586</v>
      </c>
      <c r="Z22" s="5">
        <f t="shared" ref="Z22" si="70">+Y22*G22*A22</f>
        <v>253231.34328358213</v>
      </c>
      <c r="AM22" s="18"/>
      <c r="AN22" s="18"/>
      <c r="AO22" s="18"/>
      <c r="AP22" s="18"/>
      <c r="AQ22" s="18"/>
    </row>
    <row r="23" spans="1:43" ht="15" customHeight="1" x14ac:dyDescent="0.3">
      <c r="A23" s="43">
        <v>269</v>
      </c>
      <c r="B23" s="30">
        <v>45132</v>
      </c>
      <c r="C23" s="31" t="s">
        <v>87</v>
      </c>
      <c r="D23" s="84" t="s">
        <v>88</v>
      </c>
      <c r="E23" s="84" t="s">
        <v>89</v>
      </c>
      <c r="F23" s="84" t="s">
        <v>34</v>
      </c>
      <c r="G23" s="84">
        <v>50</v>
      </c>
      <c r="H23" s="85">
        <f>11.88*1.1*286.5</f>
        <v>3743.9820000000004</v>
      </c>
      <c r="I23" s="85">
        <f>300*50</f>
        <v>15000</v>
      </c>
      <c r="J23" s="19">
        <f t="shared" ref="J23" si="71">(G23*H23)+I23</f>
        <v>202199.10000000003</v>
      </c>
      <c r="K23" s="38">
        <v>6000</v>
      </c>
      <c r="L23" s="7">
        <f t="shared" ref="L23:L36" si="72">ROUND(IF((Y23*A23*G23)&gt;(J23+(X23*A23)+K23+(U23*A23)),(Y23*A23),((J23+(X23*A23)+K23+(U23*A23))/G23)),1)</f>
        <v>6214.9</v>
      </c>
      <c r="M23" s="5">
        <f t="shared" ref="M23:M36" si="73">+L23*G23</f>
        <v>310745</v>
      </c>
      <c r="N23" s="8">
        <f>VLOOKUP((J23/A23),Variables!$A$3:$C$8,2,TRUE())</f>
        <v>0.28000000000000003</v>
      </c>
      <c r="O23" s="42">
        <f t="shared" ref="O23:O36" si="74">+U23*A23</f>
        <v>87008.579104477671</v>
      </c>
      <c r="P23" s="40"/>
      <c r="Q23" s="41" t="str">
        <f>IF(P23&gt;0,ROUND(((Y23*A23)/(1-(P23*(1+Variables!$B$10)))),1),"")</f>
        <v/>
      </c>
      <c r="U23" s="27">
        <f t="shared" ref="U23:U36" si="75">+IF(((Y23*G23)-W23-X23)&lt;V23,V23,((Y23*G23)-W23-X23))</f>
        <v>323.45196693114377</v>
      </c>
      <c r="V23" s="27">
        <f>VLOOKUP((J23/A23),Variables!$A$3:$C$8,3,TRUE())</f>
        <v>122</v>
      </c>
      <c r="W23" s="27">
        <f t="shared" ref="W23:W36" si="76">+(J23+K23)/A23</f>
        <v>773.97434944237932</v>
      </c>
      <c r="X23" s="24">
        <f>+Z23/A23*Variables!$B$10</f>
        <v>57.759279809132799</v>
      </c>
      <c r="Y23" s="28">
        <f>+(W23/(1-(N23+Variables!$B$10)))/G23</f>
        <v>23.103711923653119</v>
      </c>
      <c r="Z23" s="5">
        <f t="shared" ref="Z23:Z36" si="77">+Y23*G23*A23</f>
        <v>310744.92537313444</v>
      </c>
      <c r="AM23" s="18"/>
      <c r="AN23" s="18"/>
      <c r="AO23" s="18"/>
      <c r="AP23" s="18"/>
      <c r="AQ23" s="18"/>
    </row>
    <row r="24" spans="1:43" ht="15" customHeight="1" x14ac:dyDescent="0.3">
      <c r="A24" s="43">
        <v>269</v>
      </c>
      <c r="B24" s="30">
        <v>45138</v>
      </c>
      <c r="C24" s="31" t="s">
        <v>102</v>
      </c>
      <c r="D24" s="32" t="s">
        <v>103</v>
      </c>
      <c r="E24" s="87" t="s">
        <v>104</v>
      </c>
      <c r="F24" s="67"/>
      <c r="G24" s="29">
        <v>200</v>
      </c>
      <c r="H24" s="81">
        <f>+(1870+1840)*0.75+0.66*289+100</f>
        <v>3073.24</v>
      </c>
      <c r="I24" s="85"/>
      <c r="J24" s="19">
        <f t="shared" ref="J24" si="78">(G24*H24)+I24</f>
        <v>614648</v>
      </c>
      <c r="K24" s="77">
        <f>5000+1500</f>
        <v>6500</v>
      </c>
      <c r="L24" s="7">
        <f t="shared" si="72"/>
        <v>4254.3999999999996</v>
      </c>
      <c r="M24" s="5">
        <f t="shared" si="73"/>
        <v>850879.99999999988</v>
      </c>
      <c r="N24" s="8">
        <f>VLOOKUP((J24/A24),Variables!$A$3:$C$8,2,TRUE())</f>
        <v>0.22</v>
      </c>
      <c r="O24" s="42">
        <f t="shared" si="74"/>
        <v>187195.28767123292</v>
      </c>
      <c r="P24" s="40"/>
      <c r="Q24" s="41" t="str">
        <f>IF(P24&gt;0,ROUND(((Y24*A24)/(1-(P24*(1+Variables!$B$10)))),1),"")</f>
        <v/>
      </c>
      <c r="U24" s="27">
        <f t="shared" si="75"/>
        <v>695.89326271833795</v>
      </c>
      <c r="V24" s="27">
        <f>VLOOKUP((J24/A24),Variables!$A$3:$C$8,3,TRUE())</f>
        <v>510</v>
      </c>
      <c r="W24" s="27">
        <f t="shared" si="76"/>
        <v>2309.1003717472117</v>
      </c>
      <c r="X24" s="24">
        <f>+Z24/A24*Variables!$B$10</f>
        <v>158.15755970871317</v>
      </c>
      <c r="Y24" s="28">
        <f>+(W24/(1-(N24+Variables!$B$10)))/G24</f>
        <v>15.815755970871315</v>
      </c>
      <c r="Z24" s="5">
        <f t="shared" si="77"/>
        <v>850887.67123287672</v>
      </c>
      <c r="AM24" s="18"/>
      <c r="AN24" s="18"/>
      <c r="AO24" s="18"/>
      <c r="AP24" s="18"/>
      <c r="AQ24" s="18"/>
    </row>
    <row r="25" spans="1:43" ht="15" customHeight="1" x14ac:dyDescent="0.3">
      <c r="A25" s="43">
        <v>286.5</v>
      </c>
      <c r="B25" s="86">
        <v>45139</v>
      </c>
      <c r="C25" s="31" t="s">
        <v>68</v>
      </c>
      <c r="D25" s="32" t="s">
        <v>90</v>
      </c>
      <c r="E25" s="32" t="s">
        <v>91</v>
      </c>
      <c r="F25" s="67" t="s">
        <v>34</v>
      </c>
      <c r="G25" s="29">
        <v>15</v>
      </c>
      <c r="H25" s="81">
        <v>13566</v>
      </c>
      <c r="I25" s="36"/>
      <c r="J25" s="19">
        <f t="shared" si="14"/>
        <v>203490</v>
      </c>
      <c r="K25" s="77">
        <f>8000+2400+3000+(J25*0.5*0.21)+(J25*0.5*0.245)</f>
        <v>59693.974999999991</v>
      </c>
      <c r="L25" s="7">
        <f t="shared" si="72"/>
        <v>26187.5</v>
      </c>
      <c r="M25" s="5">
        <f t="shared" si="73"/>
        <v>392812.5</v>
      </c>
      <c r="N25" s="8">
        <f>VLOOKUP((J25/A25),Variables!$A$3:$C$8,2,TRUE())</f>
        <v>0.28000000000000003</v>
      </c>
      <c r="O25" s="42">
        <f t="shared" si="74"/>
        <v>109987.3328358209</v>
      </c>
      <c r="P25" s="40"/>
      <c r="Q25" s="41" t="str">
        <f>IF(P25&gt;0,ROUND(((Y25*A25)/(1-(P25*(1+Variables!$B$10)))),1),"")</f>
        <v/>
      </c>
      <c r="U25" s="27">
        <f t="shared" si="75"/>
        <v>383.89994009012531</v>
      </c>
      <c r="V25" s="27">
        <f>VLOOKUP((J25/A25),Variables!$A$3:$C$8,3,TRUE())</f>
        <v>122</v>
      </c>
      <c r="W25" s="27">
        <f t="shared" si="76"/>
        <v>918.61771378708545</v>
      </c>
      <c r="X25" s="24">
        <f>+Z25/A25*Variables!$B$10</f>
        <v>68.553560730379516</v>
      </c>
      <c r="Y25" s="28">
        <f>+(W25/(1-(N25+Variables!$B$10)))/G25</f>
        <v>91.404747640506017</v>
      </c>
      <c r="Z25" s="5">
        <f t="shared" si="77"/>
        <v>392811.90298507462</v>
      </c>
      <c r="AM25" s="18"/>
      <c r="AN25" s="18"/>
      <c r="AO25" s="18"/>
      <c r="AP25" s="18"/>
      <c r="AQ25" s="18"/>
    </row>
    <row r="26" spans="1:43" ht="15" customHeight="1" x14ac:dyDescent="0.3">
      <c r="A26" s="43">
        <f t="shared" ref="A26:A30" si="79">+A25</f>
        <v>286.5</v>
      </c>
      <c r="B26" s="86">
        <v>45139</v>
      </c>
      <c r="C26" s="31" t="s">
        <v>68</v>
      </c>
      <c r="D26" s="32" t="s">
        <v>90</v>
      </c>
      <c r="E26" s="32" t="s">
        <v>91</v>
      </c>
      <c r="F26" s="67" t="s">
        <v>34</v>
      </c>
      <c r="G26" s="29">
        <v>13</v>
      </c>
      <c r="H26" s="81">
        <v>13566</v>
      </c>
      <c r="I26" s="36"/>
      <c r="J26" s="19">
        <f t="shared" ref="J26" si="80">(G26*H26)+I26</f>
        <v>176358</v>
      </c>
      <c r="K26" s="77">
        <f>15000+2400+3000+(J26*0.5*0.21)+(J26*0.5*0.245)</f>
        <v>60521.444999999992</v>
      </c>
      <c r="L26" s="7">
        <f t="shared" si="72"/>
        <v>27196.3</v>
      </c>
      <c r="M26" s="5">
        <f t="shared" si="73"/>
        <v>353551.89999999997</v>
      </c>
      <c r="N26" s="8">
        <f>VLOOKUP((J26/A26),Variables!$A$3:$C$8,2,TRUE())</f>
        <v>0.28000000000000003</v>
      </c>
      <c r="O26" s="42">
        <f t="shared" si="74"/>
        <v>98994.39492537317</v>
      </c>
      <c r="P26" s="40"/>
      <c r="Q26" s="41" t="str">
        <f>IF(P26&gt;0,ROUND(((Y26*A26)/(1-(P26*(1+Variables!$B$10)))),1),"")</f>
        <v/>
      </c>
      <c r="U26" s="27">
        <f t="shared" si="75"/>
        <v>345.53017425959223</v>
      </c>
      <c r="V26" s="27">
        <f>VLOOKUP((J26/A26),Variables!$A$3:$C$8,3,TRUE())</f>
        <v>122</v>
      </c>
      <c r="W26" s="27">
        <f t="shared" si="76"/>
        <v>826.80434554973829</v>
      </c>
      <c r="X26" s="24">
        <f>+Z26/A26*Variables!$B$10</f>
        <v>61.70181683207003</v>
      </c>
      <c r="Y26" s="28">
        <f>+(W26/(1-(N26+Variables!$B$10)))/G26</f>
        <v>94.925872049338508</v>
      </c>
      <c r="Z26" s="5">
        <f t="shared" si="77"/>
        <v>353551.41044776124</v>
      </c>
      <c r="AM26" s="18"/>
      <c r="AN26" s="18"/>
      <c r="AO26" s="18"/>
      <c r="AP26" s="18"/>
      <c r="AQ26" s="18"/>
    </row>
    <row r="27" spans="1:43" ht="15" customHeight="1" x14ac:dyDescent="0.3">
      <c r="A27" s="43">
        <f t="shared" si="79"/>
        <v>286.5</v>
      </c>
      <c r="B27" s="86">
        <v>45140</v>
      </c>
      <c r="C27" s="31" t="s">
        <v>92</v>
      </c>
      <c r="D27" s="32" t="s">
        <v>93</v>
      </c>
      <c r="E27" s="32" t="s">
        <v>94</v>
      </c>
      <c r="F27" s="67" t="s">
        <v>34</v>
      </c>
      <c r="G27" s="29">
        <v>100</v>
      </c>
      <c r="H27" s="81">
        <f>5400*1.15+170</f>
        <v>6379.9999999999991</v>
      </c>
      <c r="I27" s="36"/>
      <c r="J27" s="19">
        <f t="shared" ref="J27" si="81">(G27*H27)+I27</f>
        <v>637999.99999999988</v>
      </c>
      <c r="K27" s="77">
        <f>4000+4000+J27*0.4*0.035</f>
        <v>16932</v>
      </c>
      <c r="L27" s="7">
        <f t="shared" si="72"/>
        <v>8971.7000000000007</v>
      </c>
      <c r="M27" s="5">
        <f t="shared" si="73"/>
        <v>897170.00000000012</v>
      </c>
      <c r="N27" s="8">
        <f>VLOOKUP((J27/A27),Variables!$A$3:$C$8,2,TRUE())</f>
        <v>0.22</v>
      </c>
      <c r="O27" s="42">
        <f t="shared" si="74"/>
        <v>197376.76712328763</v>
      </c>
      <c r="P27" s="40"/>
      <c r="Q27" s="41" t="str">
        <f>IF(P27&gt;0,ROUND(((Y27*A27)/(1-(P27*(1+Variables!$B$10)))),1),"")</f>
        <v/>
      </c>
      <c r="U27" s="27">
        <f t="shared" si="75"/>
        <v>688.92414353678055</v>
      </c>
      <c r="V27" s="27">
        <f>VLOOKUP((J27/A27),Variables!$A$3:$C$8,3,TRUE())</f>
        <v>510</v>
      </c>
      <c r="W27" s="27">
        <f t="shared" si="76"/>
        <v>2285.9755671902267</v>
      </c>
      <c r="X27" s="24">
        <f>+Z27/A27*Variables!$B$10</f>
        <v>156.57366898563197</v>
      </c>
      <c r="Y27" s="28">
        <f>+(W27/(1-(N27+Variables!$B$10)))/G27</f>
        <v>31.31473379712639</v>
      </c>
      <c r="Z27" s="5">
        <f t="shared" si="77"/>
        <v>897167.12328767113</v>
      </c>
      <c r="AM27" s="18"/>
      <c r="AN27" s="18"/>
      <c r="AO27" s="18"/>
      <c r="AP27" s="18"/>
      <c r="AQ27" s="18"/>
    </row>
    <row r="28" spans="1:43" ht="15" customHeight="1" x14ac:dyDescent="0.3">
      <c r="A28" s="43">
        <f t="shared" si="79"/>
        <v>286.5</v>
      </c>
      <c r="B28" s="86">
        <v>45140</v>
      </c>
      <c r="C28" s="31" t="s">
        <v>92</v>
      </c>
      <c r="D28" s="32" t="s">
        <v>65</v>
      </c>
      <c r="E28" s="32" t="s">
        <v>95</v>
      </c>
      <c r="F28" s="67" t="s">
        <v>86</v>
      </c>
      <c r="G28" s="29">
        <v>100</v>
      </c>
      <c r="H28" s="81">
        <f>205+10+30</f>
        <v>245</v>
      </c>
      <c r="I28" s="36"/>
      <c r="J28" s="19">
        <f t="shared" ref="J28" si="82">(G28*H28)+I28</f>
        <v>24500</v>
      </c>
      <c r="K28" s="77">
        <f>3000+3000</f>
        <v>6000</v>
      </c>
      <c r="L28" s="7">
        <f t="shared" si="72"/>
        <v>562.29999999999995</v>
      </c>
      <c r="M28" s="5">
        <f t="shared" si="73"/>
        <v>56229.999999999993</v>
      </c>
      <c r="N28" s="8">
        <f>VLOOKUP((J28/A28),Variables!$A$3:$C$8,2,TRUE())</f>
        <v>0.3</v>
      </c>
      <c r="O28" s="42">
        <f t="shared" si="74"/>
        <v>23387.755102040817</v>
      </c>
      <c r="P28" s="40"/>
      <c r="Q28" s="41" t="str">
        <f>IF(P28&gt;0,ROUND(((Y28*A28)/(1-(P28*(1+Variables!$B$10)))),1),"")</f>
        <v/>
      </c>
      <c r="U28" s="27">
        <f t="shared" si="75"/>
        <v>81.632653061224488</v>
      </c>
      <c r="V28" s="27">
        <f>VLOOKUP((J28/A28),Variables!$A$3:$C$8,3,TRUE())</f>
        <v>81.632653061224488</v>
      </c>
      <c r="W28" s="27">
        <f t="shared" si="76"/>
        <v>106.45724258289704</v>
      </c>
      <c r="X28" s="24">
        <f>+Z28/A28*Variables!$B$10</f>
        <v>8.1890186602228479</v>
      </c>
      <c r="Y28" s="28">
        <f>+(W28/(1-(N28+Variables!$B$10)))/G28</f>
        <v>1.6378037320445697</v>
      </c>
      <c r="Z28" s="5">
        <f t="shared" si="77"/>
        <v>46923.076923076922</v>
      </c>
      <c r="AM28" s="18"/>
      <c r="AN28" s="18"/>
      <c r="AO28" s="18"/>
      <c r="AP28" s="18"/>
      <c r="AQ28" s="18"/>
    </row>
    <row r="29" spans="1:43" ht="15" customHeight="1" x14ac:dyDescent="0.3">
      <c r="A29" s="43">
        <f t="shared" si="79"/>
        <v>286.5</v>
      </c>
      <c r="B29" s="86">
        <v>45140</v>
      </c>
      <c r="C29" s="31" t="s">
        <v>92</v>
      </c>
      <c r="D29" s="32" t="s">
        <v>96</v>
      </c>
      <c r="E29" s="32" t="s">
        <v>97</v>
      </c>
      <c r="F29" s="67" t="s">
        <v>98</v>
      </c>
      <c r="G29" s="29">
        <v>100</v>
      </c>
      <c r="H29" s="81">
        <f>2500*1.05</f>
        <v>2625</v>
      </c>
      <c r="I29" s="36"/>
      <c r="J29" s="19">
        <f t="shared" ref="J29:J32" si="83">(G29*H29)+I29</f>
        <v>262500</v>
      </c>
      <c r="K29" s="77">
        <f>4000+4000</f>
        <v>8000</v>
      </c>
      <c r="L29" s="7">
        <f t="shared" si="72"/>
        <v>4037.3</v>
      </c>
      <c r="M29" s="5">
        <f t="shared" si="73"/>
        <v>403730</v>
      </c>
      <c r="N29" s="8">
        <f>VLOOKUP((J29/A29),Variables!$A$3:$C$8,2,TRUE())</f>
        <v>0.28000000000000003</v>
      </c>
      <c r="O29" s="42">
        <f t="shared" si="74"/>
        <v>113044.776119403</v>
      </c>
      <c r="P29" s="40"/>
      <c r="Q29" s="41" t="str">
        <f>IF(P29&gt;0,ROUND(((Y29*A29)/(1-(P29*(1+Variables!$B$10)))),1),"")</f>
        <v/>
      </c>
      <c r="U29" s="27">
        <f t="shared" si="75"/>
        <v>394.57164439582198</v>
      </c>
      <c r="V29" s="27">
        <f>VLOOKUP((J29/A29),Variables!$A$3:$C$8,3,TRUE())</f>
        <v>122</v>
      </c>
      <c r="W29" s="27">
        <f t="shared" si="76"/>
        <v>944.15357766143109</v>
      </c>
      <c r="X29" s="24">
        <f>+Z29/A29*Variables!$B$10</f>
        <v>70.459222213539633</v>
      </c>
      <c r="Y29" s="28">
        <f>+(W29/(1-(N29+Variables!$B$10)))/G29</f>
        <v>14.091844442707927</v>
      </c>
      <c r="Z29" s="5">
        <f t="shared" si="77"/>
        <v>403731.34328358213</v>
      </c>
      <c r="AM29" s="18"/>
      <c r="AN29" s="18"/>
      <c r="AO29" s="18"/>
      <c r="AP29" s="18"/>
      <c r="AQ29" s="18"/>
    </row>
    <row r="30" spans="1:43" ht="15" customHeight="1" x14ac:dyDescent="0.3">
      <c r="A30" s="43">
        <f t="shared" si="79"/>
        <v>286.5</v>
      </c>
      <c r="B30" s="86">
        <v>45140</v>
      </c>
      <c r="C30" s="31" t="s">
        <v>92</v>
      </c>
      <c r="D30" s="32"/>
      <c r="E30" s="87" t="s">
        <v>99</v>
      </c>
      <c r="F30" s="67" t="s">
        <v>98</v>
      </c>
      <c r="G30" s="29">
        <v>100</v>
      </c>
      <c r="H30" s="81">
        <f>5400*1.15+170+205+10+30+2500*1.05</f>
        <v>9250</v>
      </c>
      <c r="I30" s="36"/>
      <c r="J30" s="19">
        <f t="shared" ref="J30" si="84">(G30*H30)+I30</f>
        <v>925000</v>
      </c>
      <c r="K30" s="77">
        <f>16932+6000+8000</f>
        <v>30932</v>
      </c>
      <c r="L30" s="7">
        <f t="shared" si="72"/>
        <v>13095</v>
      </c>
      <c r="M30" s="5">
        <f t="shared" si="73"/>
        <v>1309500</v>
      </c>
      <c r="N30" s="8">
        <f>VLOOKUP((J30/A30),Variables!$A$3:$C$8,2,TRUE())</f>
        <v>0.22</v>
      </c>
      <c r="O30" s="42">
        <f t="shared" si="74"/>
        <v>288089.09589041106</v>
      </c>
      <c r="P30" s="40"/>
      <c r="Q30" s="41" t="str">
        <f>IF(P30&gt;0,ROUND(((Y30*A30)/(1-(P30*(1+Variables!$B$10)))),1),"")</f>
        <v/>
      </c>
      <c r="U30" s="27">
        <f t="shared" si="75"/>
        <v>1005.5465825145237</v>
      </c>
      <c r="V30" s="27">
        <f>VLOOKUP((J30/A30),Variables!$A$3:$C$8,3,TRUE())</f>
        <v>510</v>
      </c>
      <c r="W30" s="27">
        <f t="shared" si="76"/>
        <v>3336.586387434555</v>
      </c>
      <c r="X30" s="24">
        <f>+Z30/A30*Variables!$B$10</f>
        <v>228.53331420784627</v>
      </c>
      <c r="Y30" s="28">
        <f>+(W30/(1-(N30+Variables!$B$10)))/G30</f>
        <v>45.706662841569248</v>
      </c>
      <c r="Z30" s="5">
        <f t="shared" si="77"/>
        <v>1309495.890410959</v>
      </c>
      <c r="AM30" s="18"/>
      <c r="AN30" s="18"/>
      <c r="AO30" s="18"/>
      <c r="AP30" s="18"/>
      <c r="AQ30" s="18"/>
    </row>
    <row r="31" spans="1:43" ht="15" customHeight="1" x14ac:dyDescent="0.3">
      <c r="A31" s="43">
        <f>+A29</f>
        <v>286.5</v>
      </c>
      <c r="B31" s="86">
        <v>45140</v>
      </c>
      <c r="C31" s="31" t="s">
        <v>92</v>
      </c>
      <c r="D31" s="32" t="s">
        <v>93</v>
      </c>
      <c r="E31" s="32" t="s">
        <v>94</v>
      </c>
      <c r="F31" s="67" t="s">
        <v>34</v>
      </c>
      <c r="G31" s="29">
        <v>100</v>
      </c>
      <c r="H31" s="81">
        <f>5400*1.15+170</f>
        <v>6379.9999999999991</v>
      </c>
      <c r="I31" s="36"/>
      <c r="J31" s="19">
        <f t="shared" si="83"/>
        <v>637999.99999999988</v>
      </c>
      <c r="K31" s="77">
        <f>4000+4000+J31*0.14</f>
        <v>97319.999999999985</v>
      </c>
      <c r="L31" s="7">
        <f t="shared" si="72"/>
        <v>10072.9</v>
      </c>
      <c r="M31" s="5">
        <f t="shared" si="73"/>
        <v>1007290</v>
      </c>
      <c r="N31" s="8">
        <f>VLOOKUP((J31/A31),Variables!$A$3:$C$8,2,TRUE())</f>
        <v>0.22</v>
      </c>
      <c r="O31" s="42">
        <f t="shared" si="74"/>
        <v>221603.28767123286</v>
      </c>
      <c r="P31" s="40"/>
      <c r="Q31" s="41" t="str">
        <f>IF(P31&gt;0,ROUND(((Y31*A31)/(1-(P31*(1+Variables!$B$10)))),1),"")</f>
        <v/>
      </c>
      <c r="U31" s="27">
        <f t="shared" si="75"/>
        <v>773.48442468144106</v>
      </c>
      <c r="V31" s="27">
        <f>VLOOKUP((J31/A31),Variables!$A$3:$C$8,3,TRUE())</f>
        <v>510</v>
      </c>
      <c r="W31" s="27">
        <f t="shared" si="76"/>
        <v>2566.5619546247813</v>
      </c>
      <c r="X31" s="24">
        <f>+Z31/A31*Variables!$B$10</f>
        <v>175.79191470032751</v>
      </c>
      <c r="Y31" s="28">
        <f>+(W31/(1-(N31+Variables!$B$10)))/G31</f>
        <v>35.158382940065501</v>
      </c>
      <c r="Z31" s="5">
        <f t="shared" si="77"/>
        <v>1007287.6712328765</v>
      </c>
      <c r="AM31" s="18"/>
      <c r="AN31" s="18"/>
      <c r="AO31" s="18"/>
      <c r="AP31" s="18"/>
      <c r="AQ31" s="18"/>
    </row>
    <row r="32" spans="1:43" ht="15" customHeight="1" x14ac:dyDescent="0.3">
      <c r="A32" s="43">
        <f>+A31</f>
        <v>286.5</v>
      </c>
      <c r="B32" s="86">
        <v>45140</v>
      </c>
      <c r="C32" s="31" t="s">
        <v>92</v>
      </c>
      <c r="D32" s="32" t="s">
        <v>65</v>
      </c>
      <c r="E32" s="32" t="s">
        <v>95</v>
      </c>
      <c r="F32" s="67" t="s">
        <v>86</v>
      </c>
      <c r="G32" s="29">
        <v>100</v>
      </c>
      <c r="H32" s="81">
        <f>205+10+30</f>
        <v>245</v>
      </c>
      <c r="I32" s="36"/>
      <c r="J32" s="19">
        <f t="shared" si="83"/>
        <v>24500</v>
      </c>
      <c r="K32" s="77">
        <f>3000+3000+J32*0.105</f>
        <v>8572.5</v>
      </c>
      <c r="L32" s="7">
        <f t="shared" si="72"/>
        <v>590</v>
      </c>
      <c r="M32" s="5">
        <f t="shared" si="73"/>
        <v>59000</v>
      </c>
      <c r="N32" s="8">
        <f>VLOOKUP((J32/A32),Variables!$A$3:$C$8,2,TRUE())</f>
        <v>0.3</v>
      </c>
      <c r="O32" s="42">
        <f t="shared" si="74"/>
        <v>23387.755102040817</v>
      </c>
      <c r="P32" s="40"/>
      <c r="Q32" s="41" t="str">
        <f>IF(P32&gt;0,ROUND(((Y32*A32)/(1-(P32*(1+Variables!$B$10)))),1),"")</f>
        <v/>
      </c>
      <c r="U32" s="27">
        <f t="shared" si="75"/>
        <v>81.632653061224488</v>
      </c>
      <c r="V32" s="27">
        <f>VLOOKUP((J32/A32),Variables!$A$3:$C$8,3,TRUE())</f>
        <v>81.632653061224488</v>
      </c>
      <c r="W32" s="27">
        <f t="shared" si="76"/>
        <v>115.43630017452007</v>
      </c>
      <c r="X32" s="24">
        <f>+Z32/A32*Variables!$B$10</f>
        <v>8.8797153980400054</v>
      </c>
      <c r="Y32" s="28">
        <f>+(W32/(1-(N32+Variables!$B$10)))/G32</f>
        <v>1.7759430796080011</v>
      </c>
      <c r="Z32" s="5">
        <f t="shared" si="77"/>
        <v>50880.769230769234</v>
      </c>
      <c r="AM32" s="18"/>
      <c r="AN32" s="18"/>
      <c r="AO32" s="18"/>
      <c r="AP32" s="18"/>
      <c r="AQ32" s="18"/>
    </row>
    <row r="33" spans="1:43" ht="15" customHeight="1" x14ac:dyDescent="0.3">
      <c r="A33" s="43">
        <f>+A32</f>
        <v>286.5</v>
      </c>
      <c r="B33" s="86">
        <v>45140</v>
      </c>
      <c r="C33" s="31" t="s">
        <v>92</v>
      </c>
      <c r="D33" s="32" t="s">
        <v>96</v>
      </c>
      <c r="E33" s="32" t="s">
        <v>97</v>
      </c>
      <c r="F33" s="67" t="s">
        <v>98</v>
      </c>
      <c r="G33" s="29">
        <v>100</v>
      </c>
      <c r="H33" s="81">
        <f>2500*1.05</f>
        <v>2625</v>
      </c>
      <c r="I33" s="36"/>
      <c r="J33" s="19">
        <f t="shared" ref="J33:J34" si="85">(G33*H33)+I33</f>
        <v>262500</v>
      </c>
      <c r="K33" s="77">
        <f>4000+4000+J33*0.5*0.14+J33*0.5*0.105</f>
        <v>40156.25</v>
      </c>
      <c r="L33" s="7">
        <f t="shared" si="72"/>
        <v>4517.3</v>
      </c>
      <c r="M33" s="5">
        <f t="shared" si="73"/>
        <v>451730</v>
      </c>
      <c r="N33" s="8">
        <f>VLOOKUP((J33/A33),Variables!$A$3:$C$8,2,TRUE())</f>
        <v>0.28000000000000003</v>
      </c>
      <c r="O33" s="42">
        <f t="shared" si="74"/>
        <v>126483.20895522392</v>
      </c>
      <c r="P33" s="40"/>
      <c r="Q33" s="41" t="str">
        <f>IF(P33&gt;0,ROUND(((Y33*A33)/(1-(P33*(1+Variables!$B$10)))),1),"")</f>
        <v/>
      </c>
      <c r="U33" s="27">
        <f t="shared" si="75"/>
        <v>441.47716912818123</v>
      </c>
      <c r="V33" s="27">
        <f>VLOOKUP((J33/A33),Variables!$A$3:$C$8,3,TRUE())</f>
        <v>122</v>
      </c>
      <c r="W33" s="27">
        <f t="shared" si="76"/>
        <v>1056.391797556719</v>
      </c>
      <c r="X33" s="24">
        <f>+Z33/A33*Variables!$B$10</f>
        <v>78.835208772889487</v>
      </c>
      <c r="Y33" s="28">
        <f>+(W33/(1-(N33+Variables!$B$10)))/G33</f>
        <v>15.767041754577896</v>
      </c>
      <c r="Z33" s="5">
        <f t="shared" si="77"/>
        <v>451725.74626865675</v>
      </c>
      <c r="AM33" s="18"/>
      <c r="AN33" s="18"/>
      <c r="AO33" s="18"/>
      <c r="AP33" s="18"/>
      <c r="AQ33" s="18"/>
    </row>
    <row r="34" spans="1:43" ht="15" customHeight="1" x14ac:dyDescent="0.3">
      <c r="A34" s="43">
        <f>+A33</f>
        <v>286.5</v>
      </c>
      <c r="B34" s="86">
        <v>45140</v>
      </c>
      <c r="C34" s="31" t="s">
        <v>92</v>
      </c>
      <c r="D34" s="32"/>
      <c r="E34" s="87" t="s">
        <v>99</v>
      </c>
      <c r="F34" s="67" t="s">
        <v>98</v>
      </c>
      <c r="G34" s="29">
        <v>100</v>
      </c>
      <c r="H34" s="81">
        <f>5400*1.15+170+205+10+30+2500*1.05</f>
        <v>9250</v>
      </c>
      <c r="I34" s="36"/>
      <c r="J34" s="19">
        <f t="shared" si="85"/>
        <v>925000</v>
      </c>
      <c r="K34" s="77">
        <f>97320+8573+40156</f>
        <v>146049</v>
      </c>
      <c r="L34" s="7">
        <f t="shared" si="72"/>
        <v>14671.9</v>
      </c>
      <c r="M34" s="5">
        <f t="shared" si="73"/>
        <v>1467190</v>
      </c>
      <c r="N34" s="8">
        <f>VLOOKUP((J34/A34),Variables!$A$3:$C$8,2,TRUE())</f>
        <v>0.22</v>
      </c>
      <c r="O34" s="42">
        <f t="shared" si="74"/>
        <v>322781.89041095891</v>
      </c>
      <c r="P34" s="40"/>
      <c r="Q34" s="41" t="str">
        <f>IF(P34&gt;0,ROUND(((Y34*A34)/(1-(P34*(1+Variables!$B$10)))),1),"")</f>
        <v/>
      </c>
      <c r="U34" s="27">
        <f t="shared" si="75"/>
        <v>1126.6383609457553</v>
      </c>
      <c r="V34" s="27">
        <f>VLOOKUP((J34/A34),Variables!$A$3:$C$8,3,TRUE())</f>
        <v>510</v>
      </c>
      <c r="W34" s="27">
        <f t="shared" si="76"/>
        <v>3738.3909249563699</v>
      </c>
      <c r="X34" s="24">
        <f>+Z34/A34*Variables!$B$10</f>
        <v>256.05417294221712</v>
      </c>
      <c r="Y34" s="28">
        <f>+(W34/(1-(N34+Variables!$B$10)))/G34</f>
        <v>51.210834588443419</v>
      </c>
      <c r="Z34" s="5">
        <f t="shared" si="77"/>
        <v>1467190.4109589041</v>
      </c>
      <c r="AM34" s="18"/>
      <c r="AN34" s="18"/>
      <c r="AO34" s="18"/>
      <c r="AP34" s="18"/>
      <c r="AQ34" s="18"/>
    </row>
    <row r="35" spans="1:43" ht="15" customHeight="1" x14ac:dyDescent="0.3">
      <c r="A35" s="43">
        <f>+A34</f>
        <v>286.5</v>
      </c>
      <c r="B35" s="86">
        <v>45140</v>
      </c>
      <c r="C35" s="31" t="s">
        <v>100</v>
      </c>
      <c r="D35" s="32" t="s">
        <v>90</v>
      </c>
      <c r="E35" s="32" t="s">
        <v>101</v>
      </c>
      <c r="F35" s="67" t="s">
        <v>34</v>
      </c>
      <c r="G35" s="29">
        <v>30</v>
      </c>
      <c r="H35" s="81">
        <v>5608</v>
      </c>
      <c r="I35" s="36"/>
      <c r="J35" s="19">
        <f t="shared" ref="J35:J39" si="86">(G35*H35)+I35</f>
        <v>168240</v>
      </c>
      <c r="K35" s="77">
        <f>4000+J35*0.035</f>
        <v>9888.4000000000015</v>
      </c>
      <c r="L35" s="7">
        <f t="shared" si="72"/>
        <v>8862.1</v>
      </c>
      <c r="M35" s="5">
        <f t="shared" si="73"/>
        <v>265863</v>
      </c>
      <c r="N35" s="8">
        <f>VLOOKUP((J35/A35),Variables!$A$3:$C$8,2,TRUE())</f>
        <v>0.28000000000000003</v>
      </c>
      <c r="O35" s="42">
        <f t="shared" si="74"/>
        <v>74441.719402985094</v>
      </c>
      <c r="P35" s="40"/>
      <c r="Q35" s="41" t="str">
        <f>IF(P35&gt;0,ROUND(((Y35*A35)/(1-(P35*(1+Variables!$B$10)))),1),"")</f>
        <v/>
      </c>
      <c r="U35" s="27">
        <f t="shared" si="75"/>
        <v>259.83148133677173</v>
      </c>
      <c r="V35" s="27">
        <f>VLOOKUP((J35/A35),Variables!$A$3:$C$8,3,TRUE())</f>
        <v>122</v>
      </c>
      <c r="W35" s="27">
        <f t="shared" si="76"/>
        <v>621.73961605584645</v>
      </c>
      <c r="X35" s="24">
        <f>+Z35/A35*Variables!$B$10</f>
        <v>46.398478810137803</v>
      </c>
      <c r="Y35" s="28">
        <f>+(W35/(1-(N35+Variables!$B$10)))/G35</f>
        <v>30.932319206758532</v>
      </c>
      <c r="Z35" s="5">
        <f t="shared" si="77"/>
        <v>265863.28358208959</v>
      </c>
      <c r="AM35" s="18"/>
      <c r="AN35" s="18"/>
      <c r="AO35" s="18"/>
      <c r="AP35" s="18"/>
      <c r="AQ35" s="18"/>
    </row>
    <row r="36" spans="1:43" ht="15" customHeight="1" x14ac:dyDescent="0.3">
      <c r="A36" s="43">
        <f>+A34</f>
        <v>286.5</v>
      </c>
      <c r="B36" s="86">
        <v>45140</v>
      </c>
      <c r="C36" s="31" t="s">
        <v>92</v>
      </c>
      <c r="D36" s="32" t="s">
        <v>93</v>
      </c>
      <c r="E36" s="32" t="s">
        <v>94</v>
      </c>
      <c r="F36" s="67" t="s">
        <v>34</v>
      </c>
      <c r="G36" s="29">
        <v>100</v>
      </c>
      <c r="H36" s="81">
        <f>5400*1.15+170</f>
        <v>6379.9999999999991</v>
      </c>
      <c r="I36" s="36"/>
      <c r="J36" s="19">
        <f t="shared" si="86"/>
        <v>637999.99999999988</v>
      </c>
      <c r="K36" s="77">
        <f>4000+4000+J36*0.14</f>
        <v>97319.999999999985</v>
      </c>
      <c r="L36" s="7">
        <f t="shared" si="72"/>
        <v>10072.9</v>
      </c>
      <c r="M36" s="5">
        <f t="shared" si="73"/>
        <v>1007290</v>
      </c>
      <c r="N36" s="8">
        <f>VLOOKUP((J36/A36),Variables!$A$3:$C$8,2,TRUE())</f>
        <v>0.22</v>
      </c>
      <c r="O36" s="42">
        <f t="shared" si="74"/>
        <v>221603.28767123286</v>
      </c>
      <c r="P36" s="40"/>
      <c r="Q36" s="41" t="str">
        <f>IF(P36&gt;0,ROUND(((Y36*A36)/(1-(P36*(1+Variables!$B$10)))),1),"")</f>
        <v/>
      </c>
      <c r="U36" s="27">
        <f t="shared" si="75"/>
        <v>773.48442468144106</v>
      </c>
      <c r="V36" s="27">
        <f>VLOOKUP((J36/A36),Variables!$A$3:$C$8,3,TRUE())</f>
        <v>510</v>
      </c>
      <c r="W36" s="27">
        <f t="shared" si="76"/>
        <v>2566.5619546247813</v>
      </c>
      <c r="X36" s="24">
        <f>+Z36/A36*Variables!$B$10</f>
        <v>175.79191470032751</v>
      </c>
      <c r="Y36" s="28">
        <f>+(W36/(1-(N36+Variables!$B$10)))/G36</f>
        <v>35.158382940065501</v>
      </c>
      <c r="Z36" s="5">
        <f t="shared" si="77"/>
        <v>1007287.6712328765</v>
      </c>
      <c r="AM36" s="18"/>
      <c r="AN36" s="18"/>
      <c r="AO36" s="18"/>
      <c r="AP36" s="18"/>
      <c r="AQ36" s="18"/>
    </row>
    <row r="37" spans="1:43" ht="15" customHeight="1" x14ac:dyDescent="0.3">
      <c r="A37" s="43">
        <f>+A35</f>
        <v>286.5</v>
      </c>
      <c r="B37" s="88">
        <v>45146</v>
      </c>
      <c r="C37" s="3" t="s">
        <v>105</v>
      </c>
      <c r="D37" s="3" t="s">
        <v>65</v>
      </c>
      <c r="E37" s="3" t="s">
        <v>106</v>
      </c>
      <c r="F37" s="3" t="s">
        <v>86</v>
      </c>
      <c r="G37" s="3">
        <v>300</v>
      </c>
      <c r="H37" s="89">
        <f>170+20+10</f>
        <v>200</v>
      </c>
      <c r="I37" s="89"/>
      <c r="J37" s="19">
        <f t="shared" si="86"/>
        <v>60000</v>
      </c>
      <c r="K37" s="90">
        <f>4000+J37*0.07</f>
        <v>8200</v>
      </c>
      <c r="L37" s="7">
        <f t="shared" ref="L37" si="87">ROUND(IF((Y37*A37*G37)&gt;(J37+(X37*A37)+K37+(U37*A37)),(Y37*A37),((J37+(X37*A37)+K37+(U37*A37))/G37)),1)</f>
        <v>349.7</v>
      </c>
      <c r="M37" s="5">
        <f t="shared" ref="M37" si="88">+L37*G37</f>
        <v>104910</v>
      </c>
      <c r="N37" s="8">
        <f>VLOOKUP((J37/A37),Variables!$A$3:$C$8,2,TRUE())</f>
        <v>0.3</v>
      </c>
      <c r="O37" s="42">
        <f t="shared" ref="O37" si="89">+U37*A37</f>
        <v>31476.923076923067</v>
      </c>
      <c r="P37" s="40"/>
      <c r="Q37" s="41" t="str">
        <f>IF(P37&gt;0,ROUND(((Y37*A37)/(1-(P37*(1+Variables!$B$10)))),1),"")</f>
        <v/>
      </c>
      <c r="U37" s="27">
        <f t="shared" ref="U37" si="90">+IF(((Y37*G37)-W37-X37)&lt;V37,V37,((Y37*G37)-W37-X37))</f>
        <v>109.86709625453078</v>
      </c>
      <c r="V37" s="27">
        <f>VLOOKUP((J37/A37),Variables!$A$3:$C$8,3,TRUE())</f>
        <v>81.632653061224488</v>
      </c>
      <c r="W37" s="27">
        <f t="shared" ref="W37" si="91">+(J37+K37)/A37</f>
        <v>238.0453752181501</v>
      </c>
      <c r="X37" s="24">
        <f>+Z37/A37*Variables!$B$10</f>
        <v>18.311182709088467</v>
      </c>
      <c r="Y37" s="28">
        <f>+(W37/(1-(N37+Variables!$B$10)))/G37</f>
        <v>1.2207455139392311</v>
      </c>
      <c r="Z37" s="5">
        <f t="shared" ref="Z37" si="92">+Y37*G37*A37</f>
        <v>104923.07692307692</v>
      </c>
      <c r="AM37" s="18"/>
      <c r="AN37" s="18"/>
      <c r="AO37" s="18"/>
      <c r="AP37" s="18"/>
      <c r="AQ37" s="18"/>
    </row>
    <row r="38" spans="1:43" ht="15" customHeight="1" x14ac:dyDescent="0.3">
      <c r="A38" s="43">
        <f>+A26</f>
        <v>286.5</v>
      </c>
      <c r="B38" s="88">
        <v>45146</v>
      </c>
      <c r="C38" s="3" t="s">
        <v>105</v>
      </c>
      <c r="D38" s="3" t="s">
        <v>49</v>
      </c>
      <c r="E38" s="3" t="s">
        <v>107</v>
      </c>
      <c r="F38" s="3" t="s">
        <v>34</v>
      </c>
      <c r="G38" s="3">
        <v>90</v>
      </c>
      <c r="H38" s="89">
        <f>9933.86</f>
        <v>9933.86</v>
      </c>
      <c r="I38" s="89"/>
      <c r="J38" s="19">
        <f t="shared" si="86"/>
        <v>894047.4</v>
      </c>
      <c r="K38" s="90">
        <f>5000+J38*0.105</f>
        <v>98874.976999999999</v>
      </c>
      <c r="L38" s="7">
        <f t="shared" ref="L38" si="93">ROUND(IF((Y38*A38*G38)&gt;(J38+(X38*A38)+K38+(U38*A38)),(Y38*A38),((J38+(X38*A38)+K38+(U38*A38))/G38)),1)</f>
        <v>15113</v>
      </c>
      <c r="M38" s="5">
        <f t="shared" ref="M38" si="94">+L38*G38</f>
        <v>1360170</v>
      </c>
      <c r="N38" s="8">
        <f>VLOOKUP((J38/A38),Variables!$A$3:$C$8,2,TRUE())</f>
        <v>0.22</v>
      </c>
      <c r="O38" s="42">
        <f t="shared" ref="O38" si="95">+U38*A38</f>
        <v>299236.88073972601</v>
      </c>
      <c r="P38" s="40"/>
      <c r="Q38" s="41" t="str">
        <f>IF(P38&gt;0,ROUND(((Y38*A38)/(1-(P38*(1+Variables!$B$10)))),1),"")</f>
        <v/>
      </c>
      <c r="U38" s="27">
        <f t="shared" ref="U38" si="96">+IF(((Y38*G38)-W38-X38)&lt;V38,V38,((Y38*G38)-W38-X38))</f>
        <v>1044.4568263166702</v>
      </c>
      <c r="V38" s="27">
        <f>VLOOKUP((J38/A38),Variables!$A$3:$C$8,3,TRUE())</f>
        <v>510</v>
      </c>
      <c r="W38" s="27">
        <f t="shared" ref="W38" si="97">+(J38+K38)/A38</f>
        <v>3465.6976509598603</v>
      </c>
      <c r="X38" s="24">
        <f>+Z38/A38*Variables!$B$10</f>
        <v>237.37655143560687</v>
      </c>
      <c r="Y38" s="28">
        <f>+(W38/(1-(N38+Variables!$B$10)))/G38</f>
        <v>52.750344763468192</v>
      </c>
      <c r="Z38" s="5">
        <f t="shared" ref="Z38" si="98">+Y38*G38*A38</f>
        <v>1360167.6397260274</v>
      </c>
      <c r="AM38" s="18"/>
      <c r="AN38" s="18"/>
      <c r="AO38" s="18"/>
      <c r="AP38" s="18"/>
      <c r="AQ38" s="18"/>
    </row>
    <row r="39" spans="1:43" ht="15" customHeight="1" x14ac:dyDescent="0.3">
      <c r="A39" s="43">
        <f>+A38</f>
        <v>286.5</v>
      </c>
      <c r="B39" s="88">
        <v>45146</v>
      </c>
      <c r="C39" s="3" t="s">
        <v>105</v>
      </c>
      <c r="D39" s="3" t="s">
        <v>108</v>
      </c>
      <c r="E39" s="76" t="s">
        <v>109</v>
      </c>
      <c r="F39"/>
      <c r="G39" s="3">
        <v>1</v>
      </c>
      <c r="H39" s="89">
        <f>(170+20+10)*300+9933.86*90</f>
        <v>954047.4</v>
      </c>
      <c r="I39" s="89"/>
      <c r="J39" s="19">
        <f t="shared" si="86"/>
        <v>954047.4</v>
      </c>
      <c r="K39" s="91">
        <f>+K38+K37</f>
        <v>107074.977</v>
      </c>
      <c r="L39" s="7">
        <f t="shared" ref="L39:L40" si="99">ROUND(IF((Y39*A39*G39)&gt;(J39+(X39*A39)+K39+(U39*A39)),(Y39*A39),((J39+(X39*A39)+K39+(U39*A39))/G39)),1)</f>
        <v>1453592.3</v>
      </c>
      <c r="M39" s="5">
        <f t="shared" ref="M39:M40" si="100">+L39*G39</f>
        <v>1453592.3</v>
      </c>
      <c r="N39" s="8">
        <f>VLOOKUP((J39/A39),Variables!$A$3:$C$8,2,TRUE())</f>
        <v>0.22</v>
      </c>
      <c r="O39" s="42">
        <f t="shared" ref="O39:O40" si="101">+U39*A39</f>
        <v>319790.30539726041</v>
      </c>
      <c r="P39" s="40"/>
      <c r="Q39" s="41" t="str">
        <f>IF(P39&gt;0,ROUND(((Y39*A39)/(1-(P39*(1+Variables!$B$10)))),1),"")</f>
        <v/>
      </c>
      <c r="U39" s="27">
        <f t="shared" ref="U39:U40" si="102">+IF(((Y39*G39)-W39-X39)&lt;V39,V39,((Y39*G39)-W39-X39))</f>
        <v>1116.1965284372091</v>
      </c>
      <c r="V39" s="27">
        <f>VLOOKUP((J39/A39),Variables!$A$3:$C$8,3,TRUE())</f>
        <v>510</v>
      </c>
      <c r="W39" s="27">
        <f t="shared" ref="W39:W40" si="103">+(J39+K39)/A39</f>
        <v>3703.743026178011</v>
      </c>
      <c r="X39" s="24">
        <f>+Z39/A39*Variables!$B$10</f>
        <v>253.68102919027476</v>
      </c>
      <c r="Y39" s="28">
        <f>+(W39/(1-(N39+Variables!$B$10)))/G39</f>
        <v>5073.6205838054948</v>
      </c>
      <c r="Z39" s="5">
        <f t="shared" ref="Z39:Z40" si="104">+Y39*G39*A39</f>
        <v>1453592.2972602742</v>
      </c>
      <c r="AM39" s="18"/>
      <c r="AN39" s="18"/>
      <c r="AO39" s="18"/>
      <c r="AP39" s="18"/>
      <c r="AQ39" s="18"/>
    </row>
    <row r="40" spans="1:43" ht="15" customHeight="1" x14ac:dyDescent="0.3">
      <c r="A40" s="43">
        <f t="shared" ref="A40:A45" si="105">+A28</f>
        <v>286.5</v>
      </c>
      <c r="B40" s="88">
        <v>45147</v>
      </c>
      <c r="C40" s="3" t="s">
        <v>110</v>
      </c>
      <c r="D40" s="3" t="s">
        <v>111</v>
      </c>
      <c r="E40" s="3" t="s">
        <v>112</v>
      </c>
      <c r="F40" s="3" t="s">
        <v>34</v>
      </c>
      <c r="G40" s="3">
        <v>120</v>
      </c>
      <c r="H40" s="89">
        <f>42840*1.05+200</f>
        <v>45182</v>
      </c>
      <c r="I40" s="89"/>
      <c r="J40" s="19">
        <f t="shared" ref="J40" si="106">(G40*H40)+I40</f>
        <v>5421840</v>
      </c>
      <c r="K40" s="90">
        <v>5000</v>
      </c>
      <c r="L40" s="7">
        <f t="shared" si="99"/>
        <v>58732</v>
      </c>
      <c r="M40" s="5">
        <f t="shared" si="100"/>
        <v>7047840</v>
      </c>
      <c r="N40" s="8">
        <f>VLOOKUP((J40/A40),Variables!$A$3:$C$8,2,TRUE())</f>
        <v>0.18</v>
      </c>
      <c r="O40" s="42">
        <f t="shared" si="101"/>
        <v>1268611.9480519474</v>
      </c>
      <c r="P40" s="40"/>
      <c r="Q40" s="41" t="str">
        <f>IF(P40&gt;0,ROUND(((Y40*A40)/(1-(P40*(1+Variables!$B$10)))),1),"")</f>
        <v/>
      </c>
      <c r="U40" s="27">
        <f t="shared" si="102"/>
        <v>4427.9649146664833</v>
      </c>
      <c r="V40" s="27">
        <f>VLOOKUP((J40/A40),Variables!$A$3:$C$8,3,TRUE())</f>
        <v>1094</v>
      </c>
      <c r="W40" s="27">
        <f t="shared" si="103"/>
        <v>18941.849912739966</v>
      </c>
      <c r="X40" s="24">
        <f>+Z40/A40*Variables!$B$10</f>
        <v>1229.9902540740238</v>
      </c>
      <c r="Y40" s="28">
        <f>+(W40/(1-(N40+Variables!$B$10)))/G40</f>
        <v>204.99837567900394</v>
      </c>
      <c r="Z40" s="5">
        <f t="shared" si="104"/>
        <v>7047844.1558441557</v>
      </c>
      <c r="AM40" s="18"/>
      <c r="AN40" s="18"/>
      <c r="AO40" s="18"/>
      <c r="AP40" s="18"/>
      <c r="AQ40" s="18"/>
    </row>
    <row r="41" spans="1:43" ht="15" customHeight="1" x14ac:dyDescent="0.3">
      <c r="A41" s="43">
        <f t="shared" si="105"/>
        <v>286.5</v>
      </c>
      <c r="B41" s="88">
        <v>45147</v>
      </c>
      <c r="C41" s="3" t="s">
        <v>110</v>
      </c>
      <c r="D41" s="3" t="s">
        <v>111</v>
      </c>
      <c r="E41" s="3" t="s">
        <v>113</v>
      </c>
      <c r="F41" s="3" t="s">
        <v>34</v>
      </c>
      <c r="G41" s="3">
        <v>120</v>
      </c>
      <c r="H41" s="89">
        <f>34190*1.05+200</f>
        <v>36099.5</v>
      </c>
      <c r="I41" s="89"/>
      <c r="J41" s="19">
        <f t="shared" ref="J41" si="107">(G41*H41)+I41</f>
        <v>4331940</v>
      </c>
      <c r="K41" s="90">
        <v>5000</v>
      </c>
      <c r="L41" s="7">
        <f t="shared" ref="L41" si="108">ROUND(IF((Y41*A41*G41)&gt;(J41+(X41*A41)+K41+(U41*A41)),(Y41*A41),((J41+(X41*A41)+K41+(U41*A41))/G41)),1)</f>
        <v>46936.6</v>
      </c>
      <c r="M41" s="5">
        <f t="shared" ref="M41" si="109">+L41*G41</f>
        <v>5632392</v>
      </c>
      <c r="N41" s="8">
        <f>VLOOKUP((J41/A41),Variables!$A$3:$C$8,2,TRUE())</f>
        <v>0.18</v>
      </c>
      <c r="O41" s="42">
        <f t="shared" ref="O41" si="110">+U41*A41</f>
        <v>1013830.1298701302</v>
      </c>
      <c r="P41" s="40"/>
      <c r="Q41" s="41" t="str">
        <f>IF(P41&gt;0,ROUND(((Y41*A41)/(1-(P41*(1+Variables!$B$10)))),1),"")</f>
        <v/>
      </c>
      <c r="U41" s="27">
        <f t="shared" ref="U41" si="111">+IF(((Y41*G41)-W41-X41)&lt;V41,V41,((Y41*G41)-W41-X41))</f>
        <v>3538.6741007683427</v>
      </c>
      <c r="V41" s="27">
        <f>VLOOKUP((J41/A41),Variables!$A$3:$C$8,3,TRUE())</f>
        <v>1094</v>
      </c>
      <c r="W41" s="27">
        <f t="shared" ref="W41" si="112">+(J41+K41)/A41</f>
        <v>15137.661431064573</v>
      </c>
      <c r="X41" s="24">
        <f>+Z41/A41*Variables!$B$10</f>
        <v>982.96502799120617</v>
      </c>
      <c r="Y41" s="28">
        <f>+(W41/(1-(N41+Variables!$B$10)))/G41</f>
        <v>163.82750466520102</v>
      </c>
      <c r="Z41" s="5">
        <f t="shared" ref="Z41" si="113">+Y41*G41*A41</f>
        <v>5632389.6103896108</v>
      </c>
      <c r="AM41" s="18"/>
      <c r="AN41" s="18"/>
      <c r="AO41" s="18"/>
      <c r="AP41" s="18"/>
      <c r="AQ41" s="18"/>
    </row>
    <row r="42" spans="1:43" ht="15" customHeight="1" x14ac:dyDescent="0.3">
      <c r="A42" s="43">
        <f t="shared" si="105"/>
        <v>286.5</v>
      </c>
      <c r="B42" s="88">
        <v>45147</v>
      </c>
      <c r="C42" s="3" t="s">
        <v>110</v>
      </c>
      <c r="D42" s="3" t="s">
        <v>115</v>
      </c>
      <c r="E42" s="3" t="s">
        <v>114</v>
      </c>
      <c r="F42" s="3" t="s">
        <v>34</v>
      </c>
      <c r="G42" s="3">
        <v>120</v>
      </c>
      <c r="H42" s="89">
        <f>54210*1.05+200</f>
        <v>57120.5</v>
      </c>
      <c r="I42" s="89"/>
      <c r="J42" s="19">
        <f t="shared" ref="J42" si="114">(G42*H42)+I42</f>
        <v>6854460</v>
      </c>
      <c r="K42" s="90">
        <v>5000</v>
      </c>
      <c r="L42" s="7">
        <f t="shared" ref="L42" si="115">ROUND(IF((Y42*A42*G42)&gt;(J42+(X42*A42)+K42+(U42*A42)),(Y42*A42),((J42+(X42*A42)+K42+(U42*A42))/G42)),1)</f>
        <v>74236.600000000006</v>
      </c>
      <c r="M42" s="5">
        <f t="shared" ref="M42" si="116">+L42*G42</f>
        <v>8908392</v>
      </c>
      <c r="N42" s="8">
        <f>VLOOKUP((J42/A42),Variables!$A$3:$C$8,2,TRUE())</f>
        <v>0.18</v>
      </c>
      <c r="O42" s="42">
        <f t="shared" ref="O42" si="117">+U42*A42</f>
        <v>1603510.1298701293</v>
      </c>
      <c r="P42" s="40"/>
      <c r="Q42" s="41" t="str">
        <f>IF(P42&gt;0,ROUND(((Y42*A42)/(1-(P42*(1+Variables!$B$10)))),1),"")</f>
        <v/>
      </c>
      <c r="U42" s="27">
        <f t="shared" ref="U42" si="118">+IF(((Y42*G42)-W42-X42)&lt;V42,V42,((Y42*G42)-W42-X42))</f>
        <v>5596.8939960562975</v>
      </c>
      <c r="V42" s="27">
        <f>VLOOKUP((J42/A42),Variables!$A$3:$C$8,3,TRUE())</f>
        <v>1094</v>
      </c>
      <c r="W42" s="27">
        <f t="shared" ref="W42" si="119">+(J42+K42)/A42</f>
        <v>23942.268760907504</v>
      </c>
      <c r="X42" s="24">
        <f>+Z42/A42*Variables!$B$10</f>
        <v>1554.6927766823053</v>
      </c>
      <c r="Y42" s="28">
        <f>+(W42/(1-(N42+Variables!$B$10)))/G42</f>
        <v>259.11546278038423</v>
      </c>
      <c r="Z42" s="5">
        <f t="shared" ref="Z42" si="120">+Y42*G42*A42</f>
        <v>8908389.6103896089</v>
      </c>
      <c r="AM42" s="18"/>
      <c r="AN42" s="18"/>
      <c r="AO42" s="18"/>
      <c r="AP42" s="18"/>
      <c r="AQ42" s="18"/>
    </row>
    <row r="43" spans="1:43" ht="15" customHeight="1" x14ac:dyDescent="0.3">
      <c r="A43" s="43">
        <f t="shared" si="105"/>
        <v>286.5</v>
      </c>
      <c r="B43" s="88">
        <v>45147</v>
      </c>
      <c r="C43" s="3" t="s">
        <v>110</v>
      </c>
      <c r="D43" s="3" t="s">
        <v>115</v>
      </c>
      <c r="E43" s="3" t="s">
        <v>116</v>
      </c>
      <c r="F43" s="3" t="s">
        <v>34</v>
      </c>
      <c r="G43" s="3">
        <v>120</v>
      </c>
      <c r="H43" s="89">
        <f>52259.65*1.05+200</f>
        <v>55072.632500000007</v>
      </c>
      <c r="I43" s="89"/>
      <c r="J43" s="19">
        <f t="shared" ref="J43" si="121">(G43*H43)+I43</f>
        <v>6608715.9000000004</v>
      </c>
      <c r="K43" s="90">
        <v>5000</v>
      </c>
      <c r="L43" s="7">
        <f t="shared" ref="L43" si="122">ROUND(IF((Y43*A43*G43)&gt;(J43+(X43*A43)+K43+(U43*A43)),(Y43*A43),((J43+(X43*A43)+K43+(U43*A43))/G43)),1)</f>
        <v>71577</v>
      </c>
      <c r="M43" s="5">
        <f t="shared" ref="M43" si="123">+L43*G43</f>
        <v>8589240</v>
      </c>
      <c r="N43" s="8">
        <f>VLOOKUP((J43/A43),Variables!$A$3:$C$8,2,TRUE())</f>
        <v>0.18</v>
      </c>
      <c r="O43" s="42">
        <f t="shared" ref="O43" si="124">+U43*A43</f>
        <v>1546063.4571428571</v>
      </c>
      <c r="P43" s="40"/>
      <c r="Q43" s="41" t="str">
        <f>IF(P43&gt;0,ROUND(((Y43*A43)/(1-(P43*(1+Variables!$B$10)))),1),"")</f>
        <v/>
      </c>
      <c r="U43" s="27">
        <f t="shared" ref="U43" si="125">+IF(((Y43*G43)-W43-X43)&lt;V43,V43,((Y43*G43)-W43-X43))</f>
        <v>5396.3820493642479</v>
      </c>
      <c r="V43" s="27">
        <f>VLOOKUP((J43/A43),Variables!$A$3:$C$8,3,TRUE())</f>
        <v>1094</v>
      </c>
      <c r="W43" s="27">
        <f t="shared" ref="W43" si="126">+(J43+K43)/A43</f>
        <v>23084.523211169286</v>
      </c>
      <c r="X43" s="24">
        <f>+Z43/A43*Variables!$B$10</f>
        <v>1498.9950137122914</v>
      </c>
      <c r="Y43" s="28">
        <f>+(W43/(1-(N43+Variables!$B$10)))/G43</f>
        <v>249.83250228538188</v>
      </c>
      <c r="Z43" s="5">
        <f t="shared" ref="Z43" si="127">+Y43*G43*A43</f>
        <v>8589241.4285714291</v>
      </c>
      <c r="AM43" s="18"/>
      <c r="AN43" s="18"/>
      <c r="AO43" s="18"/>
      <c r="AP43" s="18"/>
      <c r="AQ43" s="18"/>
    </row>
    <row r="44" spans="1:43" ht="15" customHeight="1" x14ac:dyDescent="0.3">
      <c r="A44" s="43">
        <f t="shared" si="105"/>
        <v>286.5</v>
      </c>
      <c r="B44" s="88">
        <v>45147</v>
      </c>
      <c r="C44" s="3" t="s">
        <v>110</v>
      </c>
      <c r="D44" s="3" t="s">
        <v>115</v>
      </c>
      <c r="E44" s="3" t="s">
        <v>117</v>
      </c>
      <c r="F44" s="3" t="s">
        <v>34</v>
      </c>
      <c r="G44" s="3">
        <v>120</v>
      </c>
      <c r="H44" s="89">
        <f>54210*1.05+200</f>
        <v>57120.5</v>
      </c>
      <c r="I44" s="89"/>
      <c r="J44" s="19">
        <f t="shared" ref="J44" si="128">(G44*H44)+I44</f>
        <v>6854460</v>
      </c>
      <c r="K44" s="90">
        <v>5000</v>
      </c>
      <c r="L44" s="7">
        <f t="shared" ref="L44" si="129">ROUND(IF((Y44*A44*G44)&gt;(J44+(X44*A44)+K44+(U44*A44)),(Y44*A44),((J44+(X44*A44)+K44+(U44*A44))/G44)),1)</f>
        <v>74236.600000000006</v>
      </c>
      <c r="M44" s="5">
        <f t="shared" ref="M44" si="130">+L44*G44</f>
        <v>8908392</v>
      </c>
      <c r="N44" s="8">
        <f>VLOOKUP((J44/A44),Variables!$A$3:$C$8,2,TRUE())</f>
        <v>0.18</v>
      </c>
      <c r="O44" s="42">
        <f t="shared" ref="O44" si="131">+U44*A44</f>
        <v>1603510.1298701293</v>
      </c>
      <c r="P44" s="40"/>
      <c r="Q44" s="41" t="str">
        <f>IF(P44&gt;0,ROUND(((Y44*A44)/(1-(P44*(1+Variables!$B$10)))),1),"")</f>
        <v/>
      </c>
      <c r="U44" s="27">
        <f t="shared" ref="U44" si="132">+IF(((Y44*G44)-W44-X44)&lt;V44,V44,((Y44*G44)-W44-X44))</f>
        <v>5596.8939960562975</v>
      </c>
      <c r="V44" s="27">
        <f>VLOOKUP((J44/A44),Variables!$A$3:$C$8,3,TRUE())</f>
        <v>1094</v>
      </c>
      <c r="W44" s="27">
        <f t="shared" ref="W44" si="133">+(J44+K44)/A44</f>
        <v>23942.268760907504</v>
      </c>
      <c r="X44" s="24">
        <f>+Z44/A44*Variables!$B$10</f>
        <v>1554.6927766823053</v>
      </c>
      <c r="Y44" s="28">
        <f>+(W44/(1-(N44+Variables!$B$10)))/G44</f>
        <v>259.11546278038423</v>
      </c>
      <c r="Z44" s="5">
        <f t="shared" ref="Z44" si="134">+Y44*G44*A44</f>
        <v>8908389.6103896089</v>
      </c>
      <c r="AM44" s="18"/>
      <c r="AN44" s="18"/>
      <c r="AO44" s="18"/>
      <c r="AP44" s="18"/>
      <c r="AQ44" s="18"/>
    </row>
    <row r="45" spans="1:43" ht="15" customHeight="1" x14ac:dyDescent="0.3">
      <c r="A45" s="43">
        <f t="shared" si="105"/>
        <v>286.5</v>
      </c>
      <c r="B45" s="88">
        <v>45147</v>
      </c>
      <c r="C45" s="3" t="s">
        <v>110</v>
      </c>
      <c r="D45" s="3" t="s">
        <v>115</v>
      </c>
      <c r="E45" s="3" t="s">
        <v>118</v>
      </c>
      <c r="F45" s="3" t="s">
        <v>34</v>
      </c>
      <c r="G45" s="3">
        <v>120</v>
      </c>
      <c r="H45" s="89">
        <f>52259.65*1.05+200</f>
        <v>55072.632500000007</v>
      </c>
      <c r="I45" s="89"/>
      <c r="J45" s="19">
        <f t="shared" ref="J45" si="135">(G45*H45)+I45</f>
        <v>6608715.9000000004</v>
      </c>
      <c r="K45" s="90">
        <v>5000</v>
      </c>
      <c r="L45" s="7">
        <f t="shared" ref="L45" si="136">ROUND(IF((Y45*A45*G45)&gt;(J45+(X45*A45)+K45+(U45*A45)),(Y45*A45),((J45+(X45*A45)+K45+(U45*A45))/G45)),1)</f>
        <v>71577</v>
      </c>
      <c r="M45" s="5">
        <f t="shared" ref="M45" si="137">+L45*G45</f>
        <v>8589240</v>
      </c>
      <c r="N45" s="8">
        <f>VLOOKUP((J45/A45),Variables!$A$3:$C$8,2,TRUE())</f>
        <v>0.18</v>
      </c>
      <c r="O45" s="42">
        <f t="shared" ref="O45" si="138">+U45*A45</f>
        <v>1546063.4571428571</v>
      </c>
      <c r="P45" s="40"/>
      <c r="Q45" s="41" t="str">
        <f>IF(P45&gt;0,ROUND(((Y45*A45)/(1-(P45*(1+Variables!$B$10)))),1),"")</f>
        <v/>
      </c>
      <c r="U45" s="27">
        <f t="shared" ref="U45" si="139">+IF(((Y45*G45)-W45-X45)&lt;V45,V45,((Y45*G45)-W45-X45))</f>
        <v>5396.3820493642479</v>
      </c>
      <c r="V45" s="27">
        <f>VLOOKUP((J45/A45),Variables!$A$3:$C$8,3,TRUE())</f>
        <v>1094</v>
      </c>
      <c r="W45" s="27">
        <f t="shared" ref="W45" si="140">+(J45+K45)/A45</f>
        <v>23084.523211169286</v>
      </c>
      <c r="X45" s="24">
        <f>+Z45/A45*Variables!$B$10</f>
        <v>1498.9950137122914</v>
      </c>
      <c r="Y45" s="28">
        <f>+(W45/(1-(N45+Variables!$B$10)))/G45</f>
        <v>249.83250228538188</v>
      </c>
      <c r="Z45" s="5">
        <f t="shared" ref="Z45" si="141">+Y45*G45*A45</f>
        <v>8589241.4285714291</v>
      </c>
      <c r="AM45" s="18"/>
      <c r="AN45" s="18"/>
      <c r="AO45" s="18"/>
      <c r="AP45" s="18"/>
      <c r="AQ45" s="18"/>
    </row>
    <row r="46" spans="1:43" ht="15" customHeight="1" x14ac:dyDescent="0.3">
      <c r="A46" s="43">
        <v>365</v>
      </c>
      <c r="B46" s="88">
        <v>45147</v>
      </c>
      <c r="C46" s="3" t="s">
        <v>110</v>
      </c>
      <c r="D46" s="3" t="s">
        <v>115</v>
      </c>
      <c r="E46" s="3" t="s">
        <v>118</v>
      </c>
      <c r="F46" s="3" t="s">
        <v>34</v>
      </c>
      <c r="G46" s="3">
        <v>120</v>
      </c>
      <c r="H46" s="89">
        <f>52259.65*1.05+200</f>
        <v>55072.632500000007</v>
      </c>
      <c r="I46" s="89"/>
      <c r="J46" s="19">
        <f t="shared" ref="J46" si="142">(G46*H46)+I46</f>
        <v>6608715.9000000004</v>
      </c>
      <c r="K46" s="90">
        <v>5000</v>
      </c>
      <c r="L46" s="7">
        <f t="shared" ref="L46" si="143">ROUND(IF((Y46*A46*G46)&gt;(J46+(X46*A46)+K46+(U46*A46)),(Y46*A46),((J46+(X46*A46)+K46+(U46*A46))/G46)),1)</f>
        <v>71577</v>
      </c>
      <c r="M46" s="5">
        <f t="shared" ref="M46" si="144">+L46*G46</f>
        <v>8589240</v>
      </c>
      <c r="N46" s="8">
        <f>VLOOKUP((J46/A46),Variables!$A$3:$C$8,2,TRUE())</f>
        <v>0.18</v>
      </c>
      <c r="O46" s="42">
        <f t="shared" ref="O46" si="145">+U46*A46</f>
        <v>1546063.4571428569</v>
      </c>
      <c r="P46" s="40"/>
      <c r="Q46" s="41" t="str">
        <f>IF(P46&gt;0,ROUND(((Y46*A46)/(1-(P46*(1+Variables!$B$10)))),1),"")</f>
        <v/>
      </c>
      <c r="U46" s="27">
        <f t="shared" ref="U46" si="146">+IF(((Y46*G46)-W46-X46)&lt;V46,V46,((Y46*G46)-W46-X46))</f>
        <v>4235.7902935420734</v>
      </c>
      <c r="V46" s="27">
        <f>VLOOKUP((J46/A46),Variables!$A$3:$C$8,3,TRUE())</f>
        <v>1094</v>
      </c>
      <c r="W46" s="27">
        <f t="shared" ref="W46" si="147">+(J46+K46)/A46</f>
        <v>18119.769589041098</v>
      </c>
      <c r="X46" s="24">
        <f>+Z46/A46*Variables!$B$10</f>
        <v>1176.6084148727984</v>
      </c>
      <c r="Y46" s="28">
        <f>+(W46/(1-(N46+Variables!$B$10)))/G46</f>
        <v>196.10140247879974</v>
      </c>
      <c r="Z46" s="5">
        <f t="shared" ref="Z46" si="148">+Y46*G46*A46</f>
        <v>8589241.4285714291</v>
      </c>
      <c r="AM46" s="18"/>
      <c r="AN46" s="18"/>
      <c r="AO46" s="18"/>
      <c r="AP46" s="18"/>
      <c r="AQ46" s="18"/>
    </row>
    <row r="47" spans="1:43" ht="15" customHeight="1" x14ac:dyDescent="0.3">
      <c r="A47" s="43">
        <v>365</v>
      </c>
      <c r="B47" s="88">
        <v>45166</v>
      </c>
      <c r="C47" s="3" t="s">
        <v>121</v>
      </c>
      <c r="D47" s="3" t="s">
        <v>123</v>
      </c>
      <c r="E47" s="76" t="s">
        <v>122</v>
      </c>
      <c r="F47" s="3" t="s">
        <v>47</v>
      </c>
      <c r="G47" s="3">
        <v>50</v>
      </c>
      <c r="H47" s="89">
        <f>13.9*368.5+200+4.4*368.5+280+17608.39</f>
        <v>24831.940000000002</v>
      </c>
      <c r="I47" s="89">
        <v>30555.37</v>
      </c>
      <c r="J47" s="19">
        <f t="shared" ref="J47" si="149">(G47*H47)+I47</f>
        <v>1272152.3700000001</v>
      </c>
      <c r="K47" s="90">
        <f>10000+7000+4000+4000+4000</f>
        <v>29000</v>
      </c>
      <c r="L47" s="7">
        <f t="shared" ref="L47" si="150">ROUND(IF((Y47*A47*G47)&gt;(J47+(X47*A47)+K47+(U47*A47)),(Y47*A47),((J47+(X47*A47)+K47+(U47*A47))/G47)),1)</f>
        <v>35648</v>
      </c>
      <c r="M47" s="5">
        <f t="shared" ref="M47" si="151">+L47*G47</f>
        <v>1782400</v>
      </c>
      <c r="N47" s="8">
        <f>VLOOKUP((J47/A47),Variables!$A$3:$C$8,2,TRUE())</f>
        <v>0.22</v>
      </c>
      <c r="O47" s="42">
        <f t="shared" ref="O47" si="152">+U47*A47</f>
        <v>392128.11150684935</v>
      </c>
      <c r="P47" s="40"/>
      <c r="Q47" s="41" t="str">
        <f>IF(P47&gt;0,ROUND(((Y47*A47)/(1-(P47*(1+Variables!$B$10)))),1),"")</f>
        <v/>
      </c>
      <c r="U47" s="27">
        <f t="shared" ref="U47" si="153">+IF(((Y47*G47)-W47-X47)&lt;V47,V47,((Y47*G47)-W47-X47))</f>
        <v>1074.3235931694503</v>
      </c>
      <c r="V47" s="27">
        <f>VLOOKUP((J47/A47),Variables!$A$3:$C$8,3,TRUE())</f>
        <v>510</v>
      </c>
      <c r="W47" s="27">
        <f t="shared" ref="W47" si="154">+(J47+K47)/A47</f>
        <v>3564.8010136986304</v>
      </c>
      <c r="X47" s="24">
        <f>+Z47/A47*Variables!$B$10</f>
        <v>244.1644529930569</v>
      </c>
      <c r="Y47" s="28">
        <f>+(W47/(1-(N47+Variables!$B$10)))/G47</f>
        <v>97.665781197222756</v>
      </c>
      <c r="Z47" s="5">
        <f t="shared" ref="Z47" si="155">+Y47*G47*A47</f>
        <v>1782400.5068493153</v>
      </c>
      <c r="AM47" s="18"/>
      <c r="AN47" s="18"/>
      <c r="AO47" s="18"/>
      <c r="AP47" s="18"/>
      <c r="AQ47" s="18"/>
    </row>
    <row r="48" spans="1:43" ht="15" customHeight="1" x14ac:dyDescent="0.3">
      <c r="A48" s="43">
        <v>365</v>
      </c>
      <c r="B48" s="88">
        <v>45166</v>
      </c>
      <c r="C48" s="3" t="s">
        <v>124</v>
      </c>
      <c r="D48" s="3"/>
      <c r="E48" s="76" t="s">
        <v>134</v>
      </c>
      <c r="F48" s="57"/>
      <c r="G48" s="3">
        <v>100</v>
      </c>
      <c r="H48" s="35">
        <f>Kits!G13</f>
        <v>16539.16</v>
      </c>
      <c r="I48" s="36"/>
      <c r="J48" s="19">
        <f t="shared" ref="J48" si="156">(G48*H48)+I48</f>
        <v>1653916</v>
      </c>
      <c r="K48" s="90">
        <f>Kits!L13</f>
        <v>29000</v>
      </c>
      <c r="L48" s="7">
        <f t="shared" ref="L48" si="157">ROUND(IF((Y48*A48*G48)&gt;(J48+(X48*A48)+K48+(U48*A48)),(Y48*A48),((J48+(X48*A48)+K48+(U48*A48))/G48)),1)</f>
        <v>22438.9</v>
      </c>
      <c r="M48" s="5">
        <f t="shared" ref="M48" si="158">+L48*G48</f>
        <v>2243890</v>
      </c>
      <c r="N48" s="8">
        <f>VLOOKUP((J48/A48),Variables!$A$3:$C$8,2,TRUE())</f>
        <v>0.2</v>
      </c>
      <c r="O48" s="42">
        <f t="shared" ref="O48" si="159">+U48*A48</f>
        <v>448777.60000000015</v>
      </c>
      <c r="P48" s="40"/>
      <c r="Q48" s="41" t="str">
        <f>IF(P48&gt;0,ROUND(((Y48*A48)/(1-(P48*(1+Variables!$B$10)))),1),"")</f>
        <v/>
      </c>
      <c r="U48" s="27">
        <f t="shared" ref="U48" si="160">+IF(((Y48*G48)-W48-X48)&lt;V48,V48,((Y48*G48)-W48-X48))</f>
        <v>1229.5276712328771</v>
      </c>
      <c r="V48" s="27">
        <f>VLOOKUP((J48/A48),Variables!$A$3:$C$8,3,TRUE())</f>
        <v>898</v>
      </c>
      <c r="W48" s="27">
        <f t="shared" ref="W48" si="161">+(J48+K48)/A48</f>
        <v>4610.728767123288</v>
      </c>
      <c r="X48" s="24">
        <f>+Z48/A48*Variables!$B$10</f>
        <v>307.38191780821927</v>
      </c>
      <c r="Y48" s="28">
        <f>+(W48/(1-(N48+Variables!$B$10)))/G48</f>
        <v>61.476383561643843</v>
      </c>
      <c r="Z48" s="5">
        <f t="shared" ref="Z48" si="162">+Y48*G48*A48</f>
        <v>2243888.0000000005</v>
      </c>
      <c r="AM48" s="18"/>
      <c r="AN48" s="18"/>
      <c r="AO48" s="18"/>
      <c r="AP48" s="18"/>
      <c r="AQ48" s="18"/>
    </row>
    <row r="49" spans="1:43" ht="15" customHeight="1" x14ac:dyDescent="0.3">
      <c r="A49" s="43">
        <v>365</v>
      </c>
      <c r="B49" s="88">
        <v>45166</v>
      </c>
      <c r="C49" s="3" t="s">
        <v>124</v>
      </c>
      <c r="D49" s="3"/>
      <c r="E49" s="76" t="s">
        <v>135</v>
      </c>
      <c r="F49" s="57"/>
      <c r="G49" s="3">
        <v>100</v>
      </c>
      <c r="H49" s="35">
        <f>Kits!G20</f>
        <v>15121.74</v>
      </c>
      <c r="I49" s="36"/>
      <c r="J49" s="19">
        <f t="shared" ref="J49" si="163">(G49*H49)+I49</f>
        <v>1512174</v>
      </c>
      <c r="K49" s="90">
        <f>Kits!L20</f>
        <v>22000</v>
      </c>
      <c r="L49" s="7">
        <f t="shared" ref="L49" si="164">ROUND(IF((Y49*A49*G49)&gt;(J49+(X49*A49)+K49+(U49*A49)),(Y49*A49),((J49+(X49*A49)+K49+(U49*A49))/G49)),1)</f>
        <v>20455.7</v>
      </c>
      <c r="M49" s="5">
        <f t="shared" ref="M49" si="165">+L49*G49</f>
        <v>2045570</v>
      </c>
      <c r="N49" s="8">
        <f>VLOOKUP((J49/A49),Variables!$A$3:$C$8,2,TRUE())</f>
        <v>0.2</v>
      </c>
      <c r="O49" s="42">
        <f t="shared" ref="O49" si="166">+U49*A49</f>
        <v>409113.06666666665</v>
      </c>
      <c r="P49" s="40"/>
      <c r="Q49" s="41" t="str">
        <f>IF(P49&gt;0,ROUND(((Y49*A49)/(1-(P49*(1+Variables!$B$10)))),1),"")</f>
        <v/>
      </c>
      <c r="U49" s="27">
        <f t="shared" ref="U49" si="167">+IF(((Y49*G49)-W49-X49)&lt;V49,V49,((Y49*G49)-W49-X49))</f>
        <v>1120.8577168949771</v>
      </c>
      <c r="V49" s="27">
        <f>VLOOKUP((J49/A49),Variables!$A$3:$C$8,3,TRUE())</f>
        <v>898</v>
      </c>
      <c r="W49" s="27">
        <f t="shared" ref="W49" si="168">+(J49+K49)/A49</f>
        <v>4203.216438356164</v>
      </c>
      <c r="X49" s="24">
        <f>+Z49/A49*Variables!$B$10</f>
        <v>280.21442922374428</v>
      </c>
      <c r="Y49" s="28">
        <f>+(W49/(1-(N49+Variables!$B$10)))/G49</f>
        <v>56.042885844748852</v>
      </c>
      <c r="Z49" s="5">
        <f t="shared" ref="Z49" si="169">+Y49*G49*A49</f>
        <v>2045565.333333333</v>
      </c>
      <c r="AM49" s="18"/>
      <c r="AN49" s="18"/>
      <c r="AO49" s="18"/>
      <c r="AP49" s="18"/>
      <c r="AQ49" s="18"/>
    </row>
    <row r="50" spans="1:43" ht="15" customHeight="1" x14ac:dyDescent="0.3">
      <c r="A50" s="43">
        <v>365</v>
      </c>
      <c r="B50" s="88">
        <v>45166</v>
      </c>
      <c r="C50" s="3" t="s">
        <v>124</v>
      </c>
      <c r="D50" s="3"/>
      <c r="E50" s="76" t="s">
        <v>135</v>
      </c>
      <c r="F50" s="57"/>
      <c r="G50" s="3">
        <v>80</v>
      </c>
      <c r="H50" s="35"/>
      <c r="I50" s="36">
        <f>Kits!G27</f>
        <v>1280562.6000000001</v>
      </c>
      <c r="J50" s="19">
        <f t="shared" ref="J50" si="170">(G50*H50)+I50</f>
        <v>1280562.6000000001</v>
      </c>
      <c r="K50" s="90">
        <f>Kits!L27</f>
        <v>22000</v>
      </c>
      <c r="L50" s="7">
        <f t="shared" ref="L50" si="171">ROUND(IF((Y50*A50*G50)&gt;(J50+(X50*A50)+K50+(U50*A50)),(Y50*A50),((J50+(X50*A50)+K50+(U50*A50))/G50)),1)</f>
        <v>22304.2</v>
      </c>
      <c r="M50" s="5">
        <f t="shared" ref="M50" si="172">+L50*G50</f>
        <v>1784336</v>
      </c>
      <c r="N50" s="8">
        <f>VLOOKUP((J50/A50),Variables!$A$3:$C$8,2,TRUE())</f>
        <v>0.22</v>
      </c>
      <c r="O50" s="42">
        <f t="shared" ref="O50" si="173">+U50*A50</f>
        <v>392553.11232876725</v>
      </c>
      <c r="P50" s="40"/>
      <c r="Q50" s="41" t="str">
        <f>IF(P50&gt;0,ROUND(((Y50*A50)/(1-(P50*(1+Variables!$B$10)))),1),"")</f>
        <v/>
      </c>
      <c r="U50" s="27">
        <f t="shared" ref="U50" si="174">+IF(((Y50*G50)-W50-X50)&lt;V50,V50,((Y50*G50)-W50-X50))</f>
        <v>1075.487978982924</v>
      </c>
      <c r="V50" s="27">
        <f>VLOOKUP((J50/A50),Variables!$A$3:$C$8,3,TRUE())</f>
        <v>510</v>
      </c>
      <c r="W50" s="27">
        <f t="shared" ref="W50" si="175">+(J50+K50)/A50</f>
        <v>3568.664657534247</v>
      </c>
      <c r="X50" s="24">
        <f>+Z50/A50*Variables!$B$10</f>
        <v>244.42908613248269</v>
      </c>
      <c r="Y50" s="28">
        <f>+(W50/(1-(N50+Variables!$B$10)))/G50</f>
        <v>61.107271533120674</v>
      </c>
      <c r="Z50" s="5">
        <f t="shared" ref="Z50" si="176">+Y50*G50*A50</f>
        <v>1784332.3287671236</v>
      </c>
      <c r="AM50" s="18"/>
      <c r="AN50" s="18"/>
      <c r="AO50" s="18"/>
      <c r="AP50" s="18"/>
      <c r="AQ50" s="18"/>
    </row>
    <row r="51" spans="1:43" ht="15" customHeight="1" x14ac:dyDescent="0.3">
      <c r="A51" s="43">
        <v>365</v>
      </c>
      <c r="B51" s="88">
        <v>45175</v>
      </c>
      <c r="C51" s="3" t="s">
        <v>136</v>
      </c>
      <c r="D51" s="3" t="s">
        <v>141</v>
      </c>
      <c r="E51" s="3" t="s">
        <v>142</v>
      </c>
      <c r="F51" s="57" t="s">
        <v>143</v>
      </c>
      <c r="G51" s="3">
        <v>50</v>
      </c>
      <c r="H51" s="35">
        <v>585.9</v>
      </c>
      <c r="I51" s="36"/>
      <c r="J51" s="19">
        <f t="shared" ref="J51" si="177">(G51*H51)+I51</f>
        <v>29295</v>
      </c>
      <c r="K51" s="90">
        <v>8000</v>
      </c>
      <c r="L51" s="7">
        <f t="shared" ref="L51" si="178">ROUND(IF((Y51*A51*G51)&gt;(J51+(X51*A51)+K51+(U51*A51)),(Y51*A51),((J51+(X51*A51)+K51+(U51*A51))/G51)),1)</f>
        <v>1399.2</v>
      </c>
      <c r="M51" s="5">
        <f t="shared" ref="M51" si="179">+L51*G51</f>
        <v>69960</v>
      </c>
      <c r="N51" s="8">
        <f>VLOOKUP((J51/A51),Variables!$A$3:$C$8,2,TRUE())</f>
        <v>0.3</v>
      </c>
      <c r="O51" s="42">
        <f t="shared" ref="O51" si="180">+U51*A51</f>
        <v>29795.918367346938</v>
      </c>
      <c r="P51" s="40"/>
      <c r="Q51" s="41" t="str">
        <f>IF(P51&gt;0,ROUND(((Y51*A51)/(1-(P51*(1+Variables!$B$10)))),1),"")</f>
        <v/>
      </c>
      <c r="U51" s="27">
        <f t="shared" ref="U51" si="181">+IF(((Y51*G51)-W51-X51)&lt;V51,V51,((Y51*G51)-W51-X51))</f>
        <v>81.632653061224488</v>
      </c>
      <c r="V51" s="27">
        <f>VLOOKUP((J51/A51),Variables!$A$3:$C$8,3,TRUE())</f>
        <v>81.632653061224488</v>
      </c>
      <c r="W51" s="27">
        <f t="shared" ref="W51" si="182">+(J51+K51)/A51</f>
        <v>102.17808219178082</v>
      </c>
      <c r="X51" s="24">
        <f>+Z51/A51*Variables!$B$10</f>
        <v>7.8598524762908317</v>
      </c>
      <c r="Y51" s="28">
        <f>+(W51/(1-(N51+Variables!$B$10)))/G51</f>
        <v>3.1439409905163327</v>
      </c>
      <c r="Z51" s="5">
        <f t="shared" ref="Z51" si="183">+Y51*G51*A51</f>
        <v>57376.923076923071</v>
      </c>
      <c r="AM51" s="18"/>
      <c r="AN51" s="18"/>
      <c r="AO51" s="18"/>
      <c r="AP51" s="18"/>
      <c r="AQ51" s="18"/>
    </row>
    <row r="52" spans="1:43" ht="15" customHeight="1" x14ac:dyDescent="0.3">
      <c r="A52" s="43">
        <v>365</v>
      </c>
      <c r="B52" s="88">
        <v>45175</v>
      </c>
      <c r="C52" s="3" t="s">
        <v>136</v>
      </c>
      <c r="D52" s="3" t="s">
        <v>141</v>
      </c>
      <c r="E52" s="3" t="s">
        <v>142</v>
      </c>
      <c r="F52" s="57" t="s">
        <v>143</v>
      </c>
      <c r="G52" s="3">
        <v>100</v>
      </c>
      <c r="H52" s="35">
        <v>583</v>
      </c>
      <c r="I52" s="36"/>
      <c r="J52" s="19">
        <f t="shared" ref="J52:J57" si="184">(G52*H52)+I52</f>
        <v>58300</v>
      </c>
      <c r="K52" s="90">
        <v>8000</v>
      </c>
      <c r="L52" s="7">
        <f t="shared" ref="L52:L57" si="185">ROUND(IF((Y52*A52*G52)&gt;(J52+(X52*A52)+K52+(U52*A52)),(Y52*A52),((J52+(X52*A52)+K52+(U52*A52))/G52)),1)</f>
        <v>1020</v>
      </c>
      <c r="M52" s="5">
        <f t="shared" ref="M52:M57" si="186">+L52*G52</f>
        <v>102000</v>
      </c>
      <c r="N52" s="8">
        <f>VLOOKUP((J52/A52),Variables!$A$3:$C$8,2,TRUE())</f>
        <v>0.3</v>
      </c>
      <c r="O52" s="42">
        <f t="shared" ref="O52:O57" si="187">+U52*A52</f>
        <v>30600</v>
      </c>
      <c r="P52" s="40"/>
      <c r="Q52" s="41" t="str">
        <f>IF(P52&gt;0,ROUND(((Y52*A52)/(1-(P52*(1+Variables!$B$10)))),1),"")</f>
        <v/>
      </c>
      <c r="U52" s="27">
        <f t="shared" ref="U52:U57" si="188">+IF(((Y52*G52)-W52-X52)&lt;V52,V52,((Y52*G52)-W52-X52))</f>
        <v>83.835616438356169</v>
      </c>
      <c r="V52" s="27">
        <f>VLOOKUP((J52/A52),Variables!$A$3:$C$8,3,TRUE())</f>
        <v>81.632653061224488</v>
      </c>
      <c r="W52" s="27">
        <f t="shared" ref="W52:W57" si="189">+(J52+K52)/A52</f>
        <v>181.64383561643837</v>
      </c>
      <c r="X52" s="24">
        <f>+Z52/A52*Variables!$B$10</f>
        <v>13.972602739726028</v>
      </c>
      <c r="Y52" s="28">
        <f>+(W52/(1-(N52+Variables!$B$10)))/G52</f>
        <v>2.7945205479452055</v>
      </c>
      <c r="Z52" s="5">
        <f t="shared" ref="Z52:Z57" si="190">+Y52*G52*A52</f>
        <v>102000</v>
      </c>
      <c r="AM52" s="18"/>
      <c r="AN52" s="18"/>
      <c r="AO52" s="18"/>
      <c r="AP52" s="18"/>
      <c r="AQ52" s="18"/>
    </row>
    <row r="53" spans="1:43" ht="15" customHeight="1" x14ac:dyDescent="0.3">
      <c r="A53" s="43">
        <v>365</v>
      </c>
      <c r="B53" s="88">
        <v>45175</v>
      </c>
      <c r="C53" s="3" t="s">
        <v>136</v>
      </c>
      <c r="D53" s="3" t="s">
        <v>137</v>
      </c>
      <c r="E53" s="3" t="s">
        <v>138</v>
      </c>
      <c r="F53" s="57" t="s">
        <v>34</v>
      </c>
      <c r="G53" s="3">
        <v>50</v>
      </c>
      <c r="H53" s="35">
        <f>3.96*365.5+200</f>
        <v>1647.3799999999999</v>
      </c>
      <c r="I53" s="36"/>
      <c r="J53" s="19">
        <f t="shared" si="184"/>
        <v>82369</v>
      </c>
      <c r="K53" s="90">
        <v>5000</v>
      </c>
      <c r="L53" s="7">
        <f t="shared" si="185"/>
        <v>2688.3</v>
      </c>
      <c r="M53" s="5">
        <f t="shared" si="186"/>
        <v>134415</v>
      </c>
      <c r="N53" s="8">
        <f>VLOOKUP((J53/A53),Variables!$A$3:$C$8,2,TRUE())</f>
        <v>0.3</v>
      </c>
      <c r="O53" s="42">
        <f t="shared" si="187"/>
        <v>40324.153846153851</v>
      </c>
      <c r="P53" s="40"/>
      <c r="Q53" s="41" t="str">
        <f>IF(P53&gt;0,ROUND(((Y53*A53)/(1-(P53*(1+Variables!$B$10)))),1),"")</f>
        <v/>
      </c>
      <c r="U53" s="27">
        <f t="shared" si="188"/>
        <v>110.47713382507904</v>
      </c>
      <c r="V53" s="27">
        <f>VLOOKUP((J53/A53),Variables!$A$3:$C$8,3,TRUE())</f>
        <v>81.632653061224488</v>
      </c>
      <c r="W53" s="27">
        <f t="shared" si="189"/>
        <v>239.36712328767123</v>
      </c>
      <c r="X53" s="24">
        <f>+Z53/A53*Variables!$B$10</f>
        <v>18.412855637513172</v>
      </c>
      <c r="Y53" s="28">
        <f>+(W53/(1-(N53+Variables!$B$10)))/G53</f>
        <v>7.365142255005269</v>
      </c>
      <c r="Z53" s="5">
        <f t="shared" si="190"/>
        <v>134413.84615384616</v>
      </c>
      <c r="AM53" s="18"/>
      <c r="AN53" s="18"/>
      <c r="AO53" s="18"/>
      <c r="AP53" s="18"/>
      <c r="AQ53" s="18"/>
    </row>
    <row r="54" spans="1:43" ht="15" customHeight="1" x14ac:dyDescent="0.3">
      <c r="A54" s="43">
        <v>365</v>
      </c>
      <c r="B54" s="88">
        <v>45175</v>
      </c>
      <c r="C54" s="3" t="s">
        <v>136</v>
      </c>
      <c r="D54" s="3" t="s">
        <v>137</v>
      </c>
      <c r="E54" s="3" t="s">
        <v>138</v>
      </c>
      <c r="F54" s="57" t="s">
        <v>34</v>
      </c>
      <c r="G54" s="3">
        <v>100</v>
      </c>
      <c r="H54" s="35">
        <f>3.96*365.5+180</f>
        <v>1627.3799999999999</v>
      </c>
      <c r="I54" s="36"/>
      <c r="J54" s="19">
        <f t="shared" ref="J54" si="191">(G54*H54)+I54</f>
        <v>162738</v>
      </c>
      <c r="K54" s="90">
        <v>5000</v>
      </c>
      <c r="L54" s="7">
        <f t="shared" ref="L54" si="192">ROUND(IF((Y54*A54*G54)&gt;(J54+(X54*A54)+K54+(U54*A54)),(Y54*A54),((J54+(X54*A54)+K54+(U54*A54))/G54)),1)</f>
        <v>2503.6</v>
      </c>
      <c r="M54" s="5">
        <f t="shared" ref="M54" si="193">+L54*G54</f>
        <v>250360</v>
      </c>
      <c r="N54" s="8">
        <f>VLOOKUP((J54/A54),Variables!$A$3:$C$8,2,TRUE())</f>
        <v>0.28000000000000003</v>
      </c>
      <c r="O54" s="42">
        <f t="shared" ref="O54" si="194">+U54*A54</f>
        <v>70099.462686567203</v>
      </c>
      <c r="P54" s="40"/>
      <c r="Q54" s="41" t="str">
        <f>IF(P54&gt;0,ROUND(((Y54*A54)/(1-(P54*(1+Variables!$B$10)))),1),"")</f>
        <v/>
      </c>
      <c r="U54" s="27">
        <f t="shared" ref="U54" si="195">+IF(((Y54*G54)-W54-X54)&lt;V54,V54,((Y54*G54)-W54-X54))</f>
        <v>192.05332242895125</v>
      </c>
      <c r="V54" s="27">
        <f>VLOOKUP((J54/A54),Variables!$A$3:$C$8,3,TRUE())</f>
        <v>122</v>
      </c>
      <c r="W54" s="27">
        <f t="shared" ref="W54" si="196">+(J54+K54)/A54</f>
        <v>459.55616438356162</v>
      </c>
      <c r="X54" s="24">
        <f>+Z54/A54*Variables!$B$10</f>
        <v>34.295236148026994</v>
      </c>
      <c r="Y54" s="28">
        <f>+(W54/(1-(N54+Variables!$B$10)))/G54</f>
        <v>6.8590472296053981</v>
      </c>
      <c r="Z54" s="5">
        <f t="shared" ref="Z54" si="197">+Y54*G54*A54</f>
        <v>250355.22388059704</v>
      </c>
      <c r="AM54" s="18"/>
      <c r="AN54" s="18"/>
      <c r="AO54" s="18"/>
      <c r="AP54" s="18"/>
      <c r="AQ54" s="18"/>
    </row>
    <row r="55" spans="1:43" ht="15" customHeight="1" x14ac:dyDescent="0.3">
      <c r="A55" s="43">
        <v>365</v>
      </c>
      <c r="B55" s="88">
        <v>45175</v>
      </c>
      <c r="C55" s="3" t="s">
        <v>136</v>
      </c>
      <c r="D55" s="3" t="s">
        <v>137</v>
      </c>
      <c r="E55" s="3" t="s">
        <v>140</v>
      </c>
      <c r="F55" s="57" t="s">
        <v>34</v>
      </c>
      <c r="G55" s="3">
        <v>50</v>
      </c>
      <c r="H55" s="35">
        <f>3.52*365.5+200</f>
        <v>1486.56</v>
      </c>
      <c r="I55" s="36"/>
      <c r="J55" s="19">
        <f t="shared" si="184"/>
        <v>74328</v>
      </c>
      <c r="K55" s="90">
        <v>5000</v>
      </c>
      <c r="L55" s="7">
        <f t="shared" si="185"/>
        <v>2440.9</v>
      </c>
      <c r="M55" s="5">
        <f t="shared" si="186"/>
        <v>122045</v>
      </c>
      <c r="N55" s="8">
        <f>VLOOKUP((J55/A55),Variables!$A$3:$C$8,2,TRUE())</f>
        <v>0.3</v>
      </c>
      <c r="O55" s="42">
        <f t="shared" si="187"/>
        <v>36612.923076923063</v>
      </c>
      <c r="P55" s="40"/>
      <c r="Q55" s="41" t="str">
        <f>IF(P55&gt;0,ROUND(((Y55*A55)/(1-(P55*(1+Variables!$B$10)))),1),"")</f>
        <v/>
      </c>
      <c r="U55" s="27">
        <f t="shared" si="188"/>
        <v>100.3093782929399</v>
      </c>
      <c r="V55" s="27">
        <f>VLOOKUP((J55/A55),Variables!$A$3:$C$8,3,TRUE())</f>
        <v>81.632653061224488</v>
      </c>
      <c r="W55" s="27">
        <f t="shared" si="189"/>
        <v>217.33698630136988</v>
      </c>
      <c r="X55" s="24">
        <f>+Z55/A55*Variables!$B$10</f>
        <v>16.71822971548999</v>
      </c>
      <c r="Y55" s="28">
        <f>+(W55/(1-(N55+Variables!$B$10)))/G55</f>
        <v>6.6872918861959958</v>
      </c>
      <c r="Z55" s="5">
        <f t="shared" si="190"/>
        <v>122043.07692307692</v>
      </c>
      <c r="AM55" s="18"/>
      <c r="AN55" s="18"/>
      <c r="AO55" s="18"/>
      <c r="AP55" s="18"/>
      <c r="AQ55" s="18"/>
    </row>
    <row r="56" spans="1:43" ht="15" customHeight="1" x14ac:dyDescent="0.3">
      <c r="A56" s="43">
        <v>365</v>
      </c>
      <c r="B56" s="88">
        <v>45175</v>
      </c>
      <c r="C56" s="3" t="s">
        <v>136</v>
      </c>
      <c r="D56" s="3" t="s">
        <v>137</v>
      </c>
      <c r="E56" s="3" t="s">
        <v>140</v>
      </c>
      <c r="F56" s="57" t="s">
        <v>34</v>
      </c>
      <c r="G56" s="3">
        <v>100</v>
      </c>
      <c r="H56" s="35">
        <f>3.52*365.5+180</f>
        <v>1466.56</v>
      </c>
      <c r="I56" s="36"/>
      <c r="J56" s="19">
        <f t="shared" ref="J56" si="198">(G56*H56)+I56</f>
        <v>146656</v>
      </c>
      <c r="K56" s="90">
        <v>5000</v>
      </c>
      <c r="L56" s="7">
        <f t="shared" ref="L56" si="199">ROUND(IF((Y56*A56*G56)&gt;(J56+(X56*A56)+K56+(U56*A56)),(Y56*A56),((J56+(X56*A56)+K56+(U56*A56))/G56)),1)</f>
        <v>2333.1999999999998</v>
      </c>
      <c r="M56" s="5">
        <f t="shared" ref="M56" si="200">+L56*G56</f>
        <v>233319.99999999997</v>
      </c>
      <c r="N56" s="8">
        <f>VLOOKUP((J56/A56),Variables!$A$3:$C$8,2,TRUE())</f>
        <v>0.3</v>
      </c>
      <c r="O56" s="42">
        <f t="shared" ref="O56" si="201">+U56*A56</f>
        <v>69995.076923076937</v>
      </c>
      <c r="P56" s="40"/>
      <c r="Q56" s="41" t="str">
        <f>IF(P56&gt;0,ROUND(((Y56*A56)/(1-(P56*(1+Variables!$B$10)))),1),"")</f>
        <v/>
      </c>
      <c r="U56" s="27">
        <f t="shared" ref="U56" si="202">+IF(((Y56*G56)-W56-X56)&lt;V56,V56,((Y56*G56)-W56-X56))</f>
        <v>191.76733403582722</v>
      </c>
      <c r="V56" s="27">
        <f>VLOOKUP((J56/A56),Variables!$A$3:$C$8,3,TRUE())</f>
        <v>81.632653061224488</v>
      </c>
      <c r="W56" s="27">
        <f t="shared" ref="W56" si="203">+(J56+K56)/A56</f>
        <v>415.49589041095891</v>
      </c>
      <c r="X56" s="24">
        <f>+Z56/A56*Variables!$B$10</f>
        <v>31.961222339304534</v>
      </c>
      <c r="Y56" s="28">
        <f>+(W56/(1-(N56+Variables!$B$10)))/G56</f>
        <v>6.3922444678609063</v>
      </c>
      <c r="Z56" s="5">
        <f t="shared" ref="Z56" si="204">+Y56*G56*A56</f>
        <v>233316.92307692309</v>
      </c>
      <c r="AM56" s="18"/>
      <c r="AN56" s="18"/>
      <c r="AO56" s="18"/>
      <c r="AP56" s="18"/>
      <c r="AQ56" s="18"/>
    </row>
    <row r="57" spans="1:43" ht="15" customHeight="1" x14ac:dyDescent="0.3">
      <c r="A57" s="43">
        <v>365</v>
      </c>
      <c r="B57" s="88">
        <v>45175</v>
      </c>
      <c r="C57" s="3" t="s">
        <v>136</v>
      </c>
      <c r="D57" s="3" t="s">
        <v>137</v>
      </c>
      <c r="E57" s="3" t="s">
        <v>139</v>
      </c>
      <c r="F57" s="57" t="s">
        <v>34</v>
      </c>
      <c r="G57" s="3">
        <v>15</v>
      </c>
      <c r="H57" s="35">
        <f>3.41*365.5+200</f>
        <v>1446.355</v>
      </c>
      <c r="I57" s="36"/>
      <c r="J57" s="19">
        <f t="shared" si="184"/>
        <v>21695.325000000001</v>
      </c>
      <c r="K57" s="90"/>
      <c r="L57" s="7">
        <f t="shared" si="185"/>
        <v>3544</v>
      </c>
      <c r="M57" s="5">
        <f t="shared" si="186"/>
        <v>53160</v>
      </c>
      <c r="N57" s="8">
        <f>VLOOKUP((J57/A57),Variables!$A$3:$C$8,2,TRUE())</f>
        <v>0.3</v>
      </c>
      <c r="O57" s="42">
        <f t="shared" si="187"/>
        <v>29795.918367346938</v>
      </c>
      <c r="P57" s="40"/>
      <c r="Q57" s="41" t="str">
        <f>IF(P57&gt;0,ROUND(((Y57*A57)/(1-(P57*(1+Variables!$B$10)))),1),"")</f>
        <v/>
      </c>
      <c r="U57" s="27">
        <f t="shared" si="188"/>
        <v>81.632653061224488</v>
      </c>
      <c r="V57" s="27">
        <f>VLOOKUP((J57/A57),Variables!$A$3:$C$8,3,TRUE())</f>
        <v>81.632653061224488</v>
      </c>
      <c r="W57" s="27">
        <f t="shared" si="189"/>
        <v>59.439246575342466</v>
      </c>
      <c r="X57" s="24">
        <f>+Z57/A57*Variables!$B$10</f>
        <v>4.572249736564804</v>
      </c>
      <c r="Y57" s="28">
        <f>+(W57/(1-(N57+Variables!$B$10)))/G57</f>
        <v>6.0963329820864063</v>
      </c>
      <c r="Z57" s="5">
        <f t="shared" si="190"/>
        <v>33377.423076923071</v>
      </c>
      <c r="AM57" s="18"/>
      <c r="AN57" s="18"/>
      <c r="AO57" s="18"/>
      <c r="AP57" s="18"/>
      <c r="AQ57" s="18"/>
    </row>
    <row r="58" spans="1:43" ht="15" customHeight="1" x14ac:dyDescent="0.3">
      <c r="A58" s="43">
        <v>365</v>
      </c>
      <c r="B58" s="88">
        <v>45175</v>
      </c>
      <c r="C58" s="3" t="s">
        <v>56</v>
      </c>
      <c r="D58" s="3" t="s">
        <v>82</v>
      </c>
      <c r="E58" s="3" t="s">
        <v>83</v>
      </c>
      <c r="F58" s="57" t="s">
        <v>84</v>
      </c>
      <c r="G58" s="3">
        <v>500</v>
      </c>
      <c r="H58" s="35">
        <v>425.98</v>
      </c>
      <c r="I58" s="36"/>
      <c r="J58" s="19">
        <f t="shared" ref="J58" si="205">(G58*H58)+I58</f>
        <v>212990</v>
      </c>
      <c r="K58" s="90">
        <v>4000</v>
      </c>
      <c r="L58" s="7">
        <f t="shared" ref="L58" si="206">ROUND(IF((Y58*A58*G58)&gt;(J58+(X58*A58)+K58+(U58*A58)),(Y58*A58),((J58+(X58*A58)+K58+(U58*A58))/G58)),1)</f>
        <v>647.70000000000005</v>
      </c>
      <c r="M58" s="5">
        <f t="shared" ref="M58" si="207">+L58*G58</f>
        <v>323850</v>
      </c>
      <c r="N58" s="8">
        <f>VLOOKUP((J58/A58),Variables!$A$3:$C$8,2,TRUE())</f>
        <v>0.28000000000000003</v>
      </c>
      <c r="O58" s="42">
        <f t="shared" ref="O58" si="208">+U58*A58</f>
        <v>90682.388059701538</v>
      </c>
      <c r="P58" s="40"/>
      <c r="Q58" s="41" t="str">
        <f>IF(P58&gt;0,ROUND(((Y58*A58)/(1-(P58*(1+Variables!$B$10)))),1),"")</f>
        <v/>
      </c>
      <c r="U58" s="27">
        <f t="shared" ref="U58" si="209">+IF(((Y58*G58)-W58-X58)&lt;V58,V58,((Y58*G58)-W58-X58))</f>
        <v>248.44489879370283</v>
      </c>
      <c r="V58" s="27">
        <f>VLOOKUP((J58/A58),Variables!$A$3:$C$8,3,TRUE())</f>
        <v>122</v>
      </c>
      <c r="W58" s="27">
        <f t="shared" ref="W58" si="210">+(J58+K58)/A58</f>
        <v>594.49315068493149</v>
      </c>
      <c r="X58" s="24">
        <f>+Z58/A58*Variables!$B$10</f>
        <v>44.365160498875497</v>
      </c>
      <c r="Y58" s="28">
        <f>+(W58/(1-(N58+Variables!$B$10)))/G58</f>
        <v>1.7746064199550196</v>
      </c>
      <c r="Z58" s="5">
        <f t="shared" ref="Z58" si="211">+Y58*G58*A58</f>
        <v>323865.67164179106</v>
      </c>
      <c r="AM58" s="18"/>
      <c r="AN58" s="18"/>
      <c r="AO58" s="18"/>
      <c r="AP58" s="18"/>
      <c r="AQ58" s="18"/>
    </row>
    <row r="59" spans="1:43" ht="15" customHeight="1" x14ac:dyDescent="0.3">
      <c r="A59" s="43">
        <v>365</v>
      </c>
      <c r="B59" s="88">
        <v>45175</v>
      </c>
      <c r="C59" s="3" t="s">
        <v>56</v>
      </c>
      <c r="D59" s="3" t="s">
        <v>82</v>
      </c>
      <c r="E59" s="3" t="s">
        <v>83</v>
      </c>
      <c r="F59" s="57" t="s">
        <v>86</v>
      </c>
      <c r="G59" s="3">
        <v>500</v>
      </c>
      <c r="H59" s="35">
        <v>468.84</v>
      </c>
      <c r="I59" s="36"/>
      <c r="J59" s="19">
        <f t="shared" ref="J59" si="212">(G59*H59)+I59</f>
        <v>234420</v>
      </c>
      <c r="K59" s="90">
        <v>4000</v>
      </c>
      <c r="L59" s="7">
        <f t="shared" ref="L59" si="213">ROUND(IF((Y59*A59*G59)&gt;(J59+(X59*A59)+K59+(U59*A59)),(Y59*A59),((J59+(X59*A59)+K59+(U59*A59))/G59)),1)</f>
        <v>711.7</v>
      </c>
      <c r="M59" s="5">
        <f t="shared" ref="M59" si="214">+L59*G59</f>
        <v>355850</v>
      </c>
      <c r="N59" s="8">
        <f>VLOOKUP((J59/A59),Variables!$A$3:$C$8,2,TRUE())</f>
        <v>0.28000000000000003</v>
      </c>
      <c r="O59" s="42">
        <f t="shared" ref="O59" si="215">+U59*A59</f>
        <v>99638.208955223905</v>
      </c>
      <c r="P59" s="40"/>
      <c r="Q59" s="41" t="str">
        <f>IF(P59&gt;0,ROUND(((Y59*A59)/(1-(P59*(1+Variables!$B$10)))),1),"")</f>
        <v/>
      </c>
      <c r="U59" s="27">
        <f t="shared" ref="U59" si="216">+IF(((Y59*G59)-W59-X59)&lt;V59,V59,((Y59*G59)-W59-X59))</f>
        <v>272.98139439787371</v>
      </c>
      <c r="V59" s="27">
        <f>VLOOKUP((J59/A59),Variables!$A$3:$C$8,3,TRUE())</f>
        <v>122</v>
      </c>
      <c r="W59" s="27">
        <f t="shared" ref="W59" si="217">+(J59+K59)/A59</f>
        <v>653.20547945205476</v>
      </c>
      <c r="X59" s="24">
        <f>+Z59/A59*Variables!$B$10</f>
        <v>48.746677571048878</v>
      </c>
      <c r="Y59" s="28">
        <f>+(W59/(1-(N59+Variables!$B$10)))/G59</f>
        <v>1.9498671028419547</v>
      </c>
      <c r="Z59" s="5">
        <f t="shared" ref="Z59" si="218">+Y59*G59*A59</f>
        <v>355850.74626865675</v>
      </c>
      <c r="AM59" s="18"/>
      <c r="AN59" s="18"/>
      <c r="AO59" s="18"/>
      <c r="AP59" s="18"/>
      <c r="AQ59" s="18"/>
    </row>
    <row r="60" spans="1:43" ht="15" customHeight="1" x14ac:dyDescent="0.3">
      <c r="A60" s="43">
        <v>365</v>
      </c>
      <c r="B60" s="88">
        <v>45175</v>
      </c>
      <c r="C60" s="3" t="s">
        <v>56</v>
      </c>
      <c r="D60" s="3" t="s">
        <v>65</v>
      </c>
      <c r="E60" s="3" t="s">
        <v>144</v>
      </c>
      <c r="F60" s="57" t="s">
        <v>84</v>
      </c>
      <c r="G60" s="3">
        <v>500</v>
      </c>
      <c r="H60" s="35">
        <f>220+10</f>
        <v>230</v>
      </c>
      <c r="I60" s="36"/>
      <c r="J60" s="19">
        <f t="shared" ref="J60" si="219">(G60*H60)+I60</f>
        <v>115000</v>
      </c>
      <c r="K60" s="90">
        <v>4000</v>
      </c>
      <c r="L60" s="7">
        <f t="shared" ref="L60" si="220">ROUND(IF((Y60*A60*G60)&gt;(J60+(X60*A60)+K60+(U60*A60)),(Y60*A60),((J60+(X60*A60)+K60+(U60*A60))/G60)),1)</f>
        <v>366.2</v>
      </c>
      <c r="M60" s="5">
        <f t="shared" ref="M60" si="221">+L60*G60</f>
        <v>183100</v>
      </c>
      <c r="N60" s="8">
        <f>VLOOKUP((J60/A60),Variables!$A$3:$C$8,2,TRUE())</f>
        <v>0.3</v>
      </c>
      <c r="O60" s="42">
        <f t="shared" ref="O60" si="222">+U60*A60</f>
        <v>54923.076923076915</v>
      </c>
      <c r="P60" s="40"/>
      <c r="Q60" s="41" t="str">
        <f>IF(P60&gt;0,ROUND(((Y60*A60)/(1-(P60*(1+Variables!$B$10)))),1),"")</f>
        <v/>
      </c>
      <c r="U60" s="27">
        <f t="shared" ref="U60" si="223">+IF(((Y60*G60)-W60-X60)&lt;V60,V60,((Y60*G60)-W60-X60))</f>
        <v>150.47418335089566</v>
      </c>
      <c r="V60" s="27">
        <f>VLOOKUP((J60/A60),Variables!$A$3:$C$8,3,TRUE())</f>
        <v>81.632653061224488</v>
      </c>
      <c r="W60" s="27">
        <f t="shared" ref="W60" si="224">+(J60+K60)/A60</f>
        <v>326.02739726027397</v>
      </c>
      <c r="X60" s="24">
        <f>+Z60/A60*Variables!$B$10</f>
        <v>25.079030558482614</v>
      </c>
      <c r="Y60" s="28">
        <f>+(W60/(1-(N60+Variables!$B$10)))/G60</f>
        <v>1.0031612223393045</v>
      </c>
      <c r="Z60" s="5">
        <f t="shared" ref="Z60" si="225">+Y60*G60*A60</f>
        <v>183076.92307692306</v>
      </c>
      <c r="AM60" s="18"/>
      <c r="AN60" s="18"/>
      <c r="AO60" s="18"/>
      <c r="AP60" s="18"/>
      <c r="AQ60" s="18"/>
    </row>
    <row r="61" spans="1:43" ht="15" customHeight="1" x14ac:dyDescent="0.3">
      <c r="A61" s="43">
        <v>365</v>
      </c>
      <c r="B61" s="88">
        <v>45175</v>
      </c>
      <c r="C61" s="3" t="s">
        <v>56</v>
      </c>
      <c r="D61" s="3" t="s">
        <v>65</v>
      </c>
      <c r="E61" s="3" t="s">
        <v>144</v>
      </c>
      <c r="F61" s="57" t="s">
        <v>86</v>
      </c>
      <c r="G61" s="3">
        <v>500</v>
      </c>
      <c r="H61" s="35">
        <f>220+40+10</f>
        <v>270</v>
      </c>
      <c r="I61" s="36"/>
      <c r="J61" s="19">
        <f t="shared" ref="J61" si="226">(G61*H61)+I61</f>
        <v>135000</v>
      </c>
      <c r="K61" s="90">
        <v>4000</v>
      </c>
      <c r="L61" s="7">
        <f t="shared" ref="L61" si="227">ROUND(IF((Y61*A61*G61)&gt;(J61+(X61*A61)+K61+(U61*A61)),(Y61*A61),((J61+(X61*A61)+K61+(U61*A61))/G61)),1)</f>
        <v>427.7</v>
      </c>
      <c r="M61" s="5">
        <f t="shared" ref="M61" si="228">+L61*G61</f>
        <v>213850</v>
      </c>
      <c r="N61" s="8">
        <f>VLOOKUP((J61/A61),Variables!$A$3:$C$8,2,TRUE())</f>
        <v>0.3</v>
      </c>
      <c r="O61" s="42">
        <f t="shared" ref="O61" si="229">+U61*A61</f>
        <v>64153.846153846142</v>
      </c>
      <c r="P61" s="40"/>
      <c r="Q61" s="41" t="str">
        <f>IF(P61&gt;0,ROUND(((Y61*A61)/(1-(P61*(1+Variables!$B$10)))),1),"")</f>
        <v/>
      </c>
      <c r="U61" s="27">
        <f t="shared" ref="U61" si="230">+IF(((Y61*G61)-W61-X61)&lt;V61,V61,((Y61*G61)-W61-X61))</f>
        <v>175.7639620653319</v>
      </c>
      <c r="V61" s="27">
        <f>VLOOKUP((J61/A61),Variables!$A$3:$C$8,3,TRUE())</f>
        <v>81.632653061224488</v>
      </c>
      <c r="W61" s="27">
        <f t="shared" ref="W61" si="231">+(J61+K61)/A61</f>
        <v>380.82191780821915</v>
      </c>
      <c r="X61" s="24">
        <f>+Z61/A61*Variables!$B$10</f>
        <v>29.293993677555321</v>
      </c>
      <c r="Y61" s="28">
        <f>+(W61/(1-(N61+Variables!$B$10)))/G61</f>
        <v>1.1717597471022128</v>
      </c>
      <c r="Z61" s="5">
        <f t="shared" ref="Z61" si="232">+Y61*G61*A61</f>
        <v>213846.15384615381</v>
      </c>
      <c r="AM61" s="18"/>
      <c r="AN61" s="18"/>
      <c r="AO61" s="18"/>
      <c r="AP61" s="18"/>
      <c r="AQ61" s="18"/>
    </row>
    <row r="62" spans="1:43" ht="15" customHeight="1" x14ac:dyDescent="0.3">
      <c r="A62" s="43">
        <v>365</v>
      </c>
      <c r="B62" s="88">
        <v>45177</v>
      </c>
      <c r="C62" s="3" t="s">
        <v>145</v>
      </c>
      <c r="D62" s="3" t="s">
        <v>146</v>
      </c>
      <c r="E62" s="3" t="s">
        <v>151</v>
      </c>
      <c r="F62" s="57"/>
      <c r="G62" s="3">
        <v>8800</v>
      </c>
      <c r="H62" s="35"/>
      <c r="I62" s="36">
        <f>44363636.36*0.9</f>
        <v>39927272.723999999</v>
      </c>
      <c r="J62" s="19">
        <f t="shared" ref="J62" si="233">(G62*H62)+I62</f>
        <v>39927272.723999999</v>
      </c>
      <c r="K62" s="90"/>
      <c r="L62" s="7">
        <f t="shared" ref="L62" si="234">ROUND(IF((Y62*A62*G62)&gt;(J62+(X62*A62)+K62+(U62*A62)),(Y62*A62),((J62+(X62*A62)+K62+(U62*A62))/G62)),1)</f>
        <v>5892.5</v>
      </c>
      <c r="M62" s="5">
        <f t="shared" ref="M62" si="235">+L62*G62</f>
        <v>51854000</v>
      </c>
      <c r="N62" s="8">
        <f>VLOOKUP((J62/A62),Variables!$A$3:$C$8,2,TRUE())</f>
        <v>0.18</v>
      </c>
      <c r="O62" s="42">
        <f t="shared" ref="O62" si="236">+U62*A62</f>
        <v>9333648.1692467574</v>
      </c>
      <c r="P62" s="40"/>
      <c r="Q62" s="41" t="str">
        <f>IF(P62&gt;0,ROUND(((Y62*A62)/(1-(P62*(1+Variables!$B$10)))),1),"")</f>
        <v/>
      </c>
      <c r="U62" s="27">
        <f t="shared" ref="U62" si="237">+IF(((Y62*G62)-W62-X62)&lt;V62,V62,((Y62*G62)-W62-X62))</f>
        <v>25571.638819854128</v>
      </c>
      <c r="V62" s="27">
        <f>VLOOKUP((J62/A62),Variables!$A$3:$C$8,3,TRUE())</f>
        <v>1094</v>
      </c>
      <c r="W62" s="27">
        <f t="shared" ref="W62" si="238">+(J62+K62)/A62</f>
        <v>109389.78828493151</v>
      </c>
      <c r="X62" s="24">
        <f>+Z62/A62*Variables!$B$10</f>
        <v>7103.2330055150342</v>
      </c>
      <c r="Y62" s="28">
        <f>+(W62/(1-(N62+Variables!$B$10)))/G62</f>
        <v>16.143711376170529</v>
      </c>
      <c r="Z62" s="5">
        <f t="shared" ref="Z62" si="239">+Y62*G62*A62</f>
        <v>51853600.940259747</v>
      </c>
      <c r="AM62" s="18"/>
      <c r="AN62" s="18"/>
      <c r="AO62" s="18"/>
      <c r="AP62" s="18"/>
      <c r="AQ62" s="18"/>
    </row>
    <row r="63" spans="1:43" ht="15" customHeight="1" x14ac:dyDescent="0.3">
      <c r="A63" s="43">
        <v>365</v>
      </c>
      <c r="B63" s="88">
        <v>45177</v>
      </c>
      <c r="C63" s="3" t="s">
        <v>145</v>
      </c>
      <c r="D63" s="3" t="s">
        <v>146</v>
      </c>
      <c r="E63" s="3" t="s">
        <v>147</v>
      </c>
      <c r="F63" s="57"/>
      <c r="G63" s="3">
        <v>8800</v>
      </c>
      <c r="H63" s="35"/>
      <c r="I63" s="36">
        <f>68763636.4*0.9</f>
        <v>61887272.760000005</v>
      </c>
      <c r="J63" s="19">
        <f t="shared" ref="J63" si="240">(G63*H63)+I63</f>
        <v>61887272.760000005</v>
      </c>
      <c r="K63" s="90"/>
      <c r="L63" s="7">
        <f t="shared" ref="L63" si="241">ROUND(IF((Y63*A63*G63)&gt;(J63+(X63*A63)+K63+(U63*A63)),(Y63*A63),((J63+(X63*A63)+K63+(U63*A63))/G63)),1)</f>
        <v>9133.2999999999993</v>
      </c>
      <c r="M63" s="5">
        <f t="shared" ref="M63" si="242">+L63*G63</f>
        <v>80373040</v>
      </c>
      <c r="N63" s="8">
        <f>VLOOKUP((J63/A63),Variables!$A$3:$C$8,2,TRUE())</f>
        <v>0.18</v>
      </c>
      <c r="O63" s="42">
        <f t="shared" ref="O63" si="243">+U63*A63</f>
        <v>14467154.671168832</v>
      </c>
      <c r="P63" s="40"/>
      <c r="Q63" s="41" t="str">
        <f>IF(P63&gt;0,ROUND(((Y63*A63)/(1-(P63*(1+Variables!$B$10)))),1),"")</f>
        <v/>
      </c>
      <c r="U63" s="27">
        <f t="shared" ref="U63" si="244">+IF(((Y63*G63)-W63-X63)&lt;V63,V63,((Y63*G63)-W63-X63))</f>
        <v>39636.040194983099</v>
      </c>
      <c r="V63" s="27">
        <f>VLOOKUP((J63/A63),Variables!$A$3:$C$8,3,TRUE())</f>
        <v>1094</v>
      </c>
      <c r="W63" s="27">
        <f t="shared" ref="W63" si="245">+(J63+K63)/A63</f>
        <v>169554.17194520548</v>
      </c>
      <c r="X63" s="24">
        <f>+Z63/A63*Variables!$B$10</f>
        <v>11010.011165273085</v>
      </c>
      <c r="Y63" s="28">
        <f>+(W63/(1-(N63+Variables!$B$10)))/G63</f>
        <v>25.022752648347918</v>
      </c>
      <c r="Z63" s="5">
        <f t="shared" ref="Z63" si="246">+Y63*G63*A63</f>
        <v>80373081.506493509</v>
      </c>
      <c r="AM63" s="18"/>
      <c r="AN63" s="18"/>
      <c r="AO63" s="18"/>
      <c r="AP63" s="18"/>
      <c r="AQ63" s="18"/>
    </row>
    <row r="64" spans="1:43" ht="15" customHeight="1" x14ac:dyDescent="0.3">
      <c r="A64" s="43">
        <v>365</v>
      </c>
      <c r="B64" s="88">
        <v>45177</v>
      </c>
      <c r="C64" s="3" t="s">
        <v>145</v>
      </c>
      <c r="D64" s="3" t="s">
        <v>146</v>
      </c>
      <c r="E64" s="3" t="s">
        <v>148</v>
      </c>
      <c r="F64" s="57"/>
      <c r="G64" s="3">
        <v>8800</v>
      </c>
      <c r="H64" s="35"/>
      <c r="I64" s="36">
        <f>48800000*0.9</f>
        <v>43920000</v>
      </c>
      <c r="J64" s="19">
        <f t="shared" ref="J64" si="247">(G64*H64)+I64</f>
        <v>43920000</v>
      </c>
      <c r="K64" s="90"/>
      <c r="L64" s="7">
        <f t="shared" ref="L64" si="248">ROUND(IF((Y64*A64*G64)&gt;(J64+(X64*A64)+K64+(U64*A64)),(Y64*A64),((J64+(X64*A64)+K64+(U64*A64))/G64)),1)</f>
        <v>6481.7</v>
      </c>
      <c r="M64" s="5">
        <f t="shared" ref="M64" si="249">+L64*G64</f>
        <v>57038960</v>
      </c>
      <c r="N64" s="8">
        <f>VLOOKUP((J64/A64),Variables!$A$3:$C$8,2,TRUE())</f>
        <v>0.18</v>
      </c>
      <c r="O64" s="42">
        <f t="shared" ref="O64" si="250">+U64*A64</f>
        <v>10267012.987012986</v>
      </c>
      <c r="P64" s="40"/>
      <c r="Q64" s="41" t="str">
        <f>IF(P64&gt;0,ROUND(((Y64*A64)/(1-(P64*(1+Variables!$B$10)))),1),"")</f>
        <v/>
      </c>
      <c r="U64" s="27">
        <f t="shared" ref="U64" si="251">+IF(((Y64*G64)-W64-X64)&lt;V64,V64,((Y64*G64)-W64-X64))</f>
        <v>28128.802704145168</v>
      </c>
      <c r="V64" s="27">
        <f>VLOOKUP((J64/A64),Variables!$A$3:$C$8,3,TRUE())</f>
        <v>1094</v>
      </c>
      <c r="W64" s="27">
        <f t="shared" ref="W64" si="252">+(J64+K64)/A64</f>
        <v>120328.76712328767</v>
      </c>
      <c r="X64" s="24">
        <f>+Z64/A64*Variables!$B$10</f>
        <v>7813.5563067069925</v>
      </c>
      <c r="Y64" s="28">
        <f>+(W64/(1-(N64+Variables!$B$10)))/G64</f>
        <v>17.758082515243164</v>
      </c>
      <c r="Z64" s="5">
        <f t="shared" ref="Z64" si="253">+Y64*G64*A64</f>
        <v>57038961.038961038</v>
      </c>
      <c r="AM64" s="18"/>
      <c r="AN64" s="18"/>
      <c r="AO64" s="18"/>
      <c r="AP64" s="18"/>
      <c r="AQ64" s="18"/>
    </row>
    <row r="65" spans="1:43" ht="15" customHeight="1" x14ac:dyDescent="0.3">
      <c r="A65" s="43">
        <v>365</v>
      </c>
      <c r="B65" s="88">
        <v>45177</v>
      </c>
      <c r="C65" s="3" t="s">
        <v>145</v>
      </c>
      <c r="D65" s="3" t="s">
        <v>146</v>
      </c>
      <c r="E65" s="3" t="s">
        <v>149</v>
      </c>
      <c r="F65" s="57"/>
      <c r="G65" s="3">
        <v>8800</v>
      </c>
      <c r="H65" s="35"/>
      <c r="I65" s="36">
        <f>13309090.91*0.9</f>
        <v>11978181.819</v>
      </c>
      <c r="J65" s="19">
        <f t="shared" ref="J65" si="254">(G65*H65)+I65</f>
        <v>11978181.819</v>
      </c>
      <c r="K65" s="90"/>
      <c r="L65" s="7">
        <f t="shared" ref="L65" si="255">ROUND(IF((Y65*A65*G65)&gt;(J65+(X65*A65)+K65+(U65*A65)),(Y65*A65),((J65+(X65*A65)+K65+(U65*A65))/G65)),1)</f>
        <v>1767.7</v>
      </c>
      <c r="M65" s="5">
        <f t="shared" ref="M65" si="256">+L65*G65</f>
        <v>15555760</v>
      </c>
      <c r="N65" s="8">
        <f>VLOOKUP((J65/A65),Variables!$A$3:$C$8,2,TRUE())</f>
        <v>0.18</v>
      </c>
      <c r="O65" s="42">
        <f t="shared" ref="O65" si="257">+U65*A65</f>
        <v>2800094.4511948042</v>
      </c>
      <c r="P65" s="40"/>
      <c r="Q65" s="41" t="str">
        <f>IF(P65&gt;0,ROUND(((Y65*A65)/(1-(P65*(1+Variables!$B$10)))),1),"")</f>
        <v/>
      </c>
      <c r="U65" s="27">
        <f t="shared" ref="U65" si="258">+IF(((Y65*G65)-W65-X65)&lt;V65,V65,((Y65*G65)-W65-X65))</f>
        <v>7671.4916471090519</v>
      </c>
      <c r="V65" s="27">
        <f>VLOOKUP((J65/A65),Variables!$A$3:$C$8,3,TRUE())</f>
        <v>1094</v>
      </c>
      <c r="W65" s="27">
        <f t="shared" ref="W65" si="259">+(J65+K65)/A65</f>
        <v>32816.936490410961</v>
      </c>
      <c r="X65" s="24">
        <f>+Z65/A65*Variables!$B$10</f>
        <v>2130.9699019747377</v>
      </c>
      <c r="Y65" s="28">
        <f>+(W65/(1-(N65+Variables!$B$10)))/G65</f>
        <v>4.8431134135789486</v>
      </c>
      <c r="Z65" s="5">
        <f t="shared" ref="Z65" si="260">+Y65*G65*A65</f>
        <v>15556080.284415584</v>
      </c>
      <c r="AM65" s="18"/>
      <c r="AN65" s="18"/>
      <c r="AO65" s="18"/>
      <c r="AP65" s="18"/>
      <c r="AQ65" s="18"/>
    </row>
    <row r="66" spans="1:43" ht="15" customHeight="1" x14ac:dyDescent="0.3">
      <c r="A66" s="43">
        <v>365</v>
      </c>
      <c r="B66" s="88">
        <v>45177</v>
      </c>
      <c r="C66" s="3" t="s">
        <v>145</v>
      </c>
      <c r="D66" s="3" t="s">
        <v>146</v>
      </c>
      <c r="E66" s="3" t="s">
        <v>150</v>
      </c>
      <c r="F66" s="57"/>
      <c r="G66" s="3">
        <v>8800</v>
      </c>
      <c r="H66" s="35"/>
      <c r="I66" s="36">
        <f>15527272.73*0.9</f>
        <v>13974545.457</v>
      </c>
      <c r="J66" s="19">
        <f t="shared" ref="J66" si="261">(G66*H66)+I66</f>
        <v>13974545.457</v>
      </c>
      <c r="K66" s="90"/>
      <c r="L66" s="7">
        <f t="shared" ref="L66" si="262">ROUND(IF((Y66*A66*G66)&gt;(J66+(X66*A66)+K66+(U66*A66)),(Y66*A66),((J66+(X66*A66)+K66+(U66*A66))/G66)),1)</f>
        <v>2062.4</v>
      </c>
      <c r="M66" s="5">
        <f t="shared" ref="M66" si="263">+L66*G66</f>
        <v>18149120</v>
      </c>
      <c r="N66" s="8">
        <f>VLOOKUP((J66/A66),Variables!$A$3:$C$8,2,TRUE())</f>
        <v>0.18</v>
      </c>
      <c r="O66" s="42">
        <f t="shared" ref="O66" si="264">+U66*A66</f>
        <v>3266776.8600779208</v>
      </c>
      <c r="P66" s="40"/>
      <c r="Q66" s="41" t="str">
        <f>IF(P66&gt;0,ROUND(((Y66*A66)/(1-(P66*(1+Variables!$B$10)))),1),"")</f>
        <v/>
      </c>
      <c r="U66" s="27">
        <f t="shared" ref="U66" si="265">+IF(((Y66*G66)-W66-X66)&lt;V66,V66,((Y66*G66)-W66-X66))</f>
        <v>8950.0735892545781</v>
      </c>
      <c r="V66" s="27">
        <f>VLOOKUP((J66/A66),Variables!$A$3:$C$8,3,TRUE())</f>
        <v>1094</v>
      </c>
      <c r="W66" s="27">
        <f t="shared" ref="W66" si="266">+(J66+K66)/A66</f>
        <v>38286.425909589045</v>
      </c>
      <c r="X66" s="24">
        <f>+Z66/A66*Variables!$B$10</f>
        <v>2486.1315525707173</v>
      </c>
      <c r="Y66" s="28">
        <f>+(W66/(1-(N66+Variables!$B$10)))/G66</f>
        <v>5.6502989831152659</v>
      </c>
      <c r="Z66" s="5">
        <f t="shared" ref="Z66" si="267">+Y66*G66*A66</f>
        <v>18148760.333766233</v>
      </c>
      <c r="AM66" s="18"/>
      <c r="AN66" s="18"/>
      <c r="AO66" s="18"/>
      <c r="AP66" s="18"/>
      <c r="AQ66" s="18"/>
    </row>
    <row r="67" spans="1:43" ht="15" customHeight="1" x14ac:dyDescent="0.3">
      <c r="A67" s="43">
        <v>365</v>
      </c>
      <c r="B67" s="88">
        <v>45189</v>
      </c>
      <c r="C67" s="3" t="s">
        <v>173</v>
      </c>
      <c r="D67" s="3" t="s">
        <v>174</v>
      </c>
      <c r="E67" s="3" t="s">
        <v>175</v>
      </c>
      <c r="F67" s="57" t="s">
        <v>71</v>
      </c>
      <c r="G67" s="3">
        <v>2</v>
      </c>
      <c r="H67" s="35">
        <v>10142.6</v>
      </c>
      <c r="I67" s="36"/>
      <c r="J67" s="19">
        <f t="shared" ref="J67" si="268">(G67*H67)+I67</f>
        <v>20285.2</v>
      </c>
      <c r="K67" s="90">
        <v>3000</v>
      </c>
      <c r="L67" s="7">
        <f t="shared" ref="L67" si="269">ROUND(IF((Y67*A67*G67)&gt;(J67+(X67*A67)+K67+(U67*A67)),(Y67*A67),((J67+(X67*A67)+K67+(U67*A67))/G67)),1)</f>
        <v>27436.1</v>
      </c>
      <c r="M67" s="5">
        <f t="shared" ref="M67" si="270">+L67*G67</f>
        <v>54872.2</v>
      </c>
      <c r="N67" s="8">
        <f>VLOOKUP((J67/A67),Variables!$A$3:$C$8,2,TRUE())</f>
        <v>0.3</v>
      </c>
      <c r="O67" s="42">
        <f t="shared" ref="O67" si="271">+U67*A67</f>
        <v>29795.918367346938</v>
      </c>
      <c r="P67" s="40"/>
      <c r="Q67" s="41" t="str">
        <f>IF(P67&gt;0,ROUND(((Y67*A67)/(1-(P67*(1+Variables!$B$10)))),1),"")</f>
        <v/>
      </c>
      <c r="U67" s="27">
        <f t="shared" ref="U67" si="272">+IF(((Y67*G67)-W67-X67)&lt;V67,V67,((Y67*G67)-W67-X67))</f>
        <v>81.632653061224488</v>
      </c>
      <c r="V67" s="27">
        <f>VLOOKUP((J67/A67),Variables!$A$3:$C$8,3,TRUE())</f>
        <v>81.632653061224488</v>
      </c>
      <c r="W67" s="27">
        <f t="shared" ref="W67" si="273">+(J67+K67)/A67</f>
        <v>63.795068493150687</v>
      </c>
      <c r="X67" s="24">
        <f>+Z67/A67*Variables!$B$10</f>
        <v>4.9073129610115913</v>
      </c>
      <c r="Y67" s="28">
        <f>+(W67/(1-(N67+Variables!$B$10)))/G67</f>
        <v>49.073129610115913</v>
      </c>
      <c r="Z67" s="5">
        <f t="shared" ref="Z67" si="274">+Y67*G67*A67</f>
        <v>35823.384615384617</v>
      </c>
      <c r="AM67" s="18"/>
      <c r="AN67" s="18"/>
      <c r="AO67" s="18"/>
      <c r="AP67" s="18"/>
      <c r="AQ67" s="18"/>
    </row>
    <row r="68" spans="1:43" ht="15" customHeight="1" x14ac:dyDescent="0.3">
      <c r="A68" s="43">
        <v>365</v>
      </c>
      <c r="B68" s="88">
        <v>45189</v>
      </c>
      <c r="C68" s="3" t="s">
        <v>110</v>
      </c>
      <c r="D68" s="3" t="s">
        <v>176</v>
      </c>
      <c r="E68" s="3" t="s">
        <v>177</v>
      </c>
      <c r="F68" s="57" t="s">
        <v>61</v>
      </c>
      <c r="G68" s="3">
        <v>50</v>
      </c>
      <c r="H68" s="35"/>
      <c r="I68" s="36">
        <v>528000</v>
      </c>
      <c r="J68" s="19">
        <f t="shared" ref="J68" si="275">(G68*H68)+I68</f>
        <v>528000</v>
      </c>
      <c r="K68" s="90">
        <v>3000</v>
      </c>
      <c r="L68" s="7">
        <f t="shared" ref="L68" si="276">ROUND(IF((Y68*A68*G68)&gt;(J68+(X68*A68)+K68+(U68*A68)),(Y68*A68),((J68+(X68*A68)+K68+(U68*A68))/G68)),1)</f>
        <v>15171.4</v>
      </c>
      <c r="M68" s="5">
        <f t="shared" ref="M68" si="277">+L68*G68</f>
        <v>758570</v>
      </c>
      <c r="N68" s="8">
        <f>VLOOKUP((J68/A68),Variables!$A$3:$C$8,2,TRUE())</f>
        <v>0.25</v>
      </c>
      <c r="O68" s="42">
        <f t="shared" ref="O68" si="278">+U68*A68</f>
        <v>189642.85714285716</v>
      </c>
      <c r="P68" s="40"/>
      <c r="Q68" s="41" t="str">
        <f>IF(P68&gt;0,ROUND(((Y68*A68)/(1-(P68*(1+Variables!$B$10)))),1),"")</f>
        <v/>
      </c>
      <c r="U68" s="27">
        <f t="shared" ref="U68" si="279">+IF(((Y68*G68)-W68-X68)&lt;V68,V68,((Y68*G68)-W68-X68))</f>
        <v>519.56947162426616</v>
      </c>
      <c r="V68" s="27">
        <f>VLOOKUP((J68/A68),Variables!$A$3:$C$8,3,TRUE())</f>
        <v>400</v>
      </c>
      <c r="W68" s="27">
        <f t="shared" ref="W68" si="280">+(J68+K68)/A68</f>
        <v>1454.7945205479452</v>
      </c>
      <c r="X68" s="24">
        <f>+Z68/A68*Variables!$B$10</f>
        <v>103.91389432485323</v>
      </c>
      <c r="Y68" s="28">
        <f>+(W68/(1-(N68+Variables!$B$10)))/G68</f>
        <v>41.56555772994129</v>
      </c>
      <c r="Z68" s="5">
        <f t="shared" ref="Z68" si="281">+Y68*G68*A68</f>
        <v>758571.42857142864</v>
      </c>
      <c r="AM68" s="18"/>
      <c r="AN68" s="18"/>
      <c r="AO68" s="18"/>
      <c r="AP68" s="18"/>
      <c r="AQ68" s="18"/>
    </row>
    <row r="69" spans="1:43" ht="15" customHeight="1" x14ac:dyDescent="0.3">
      <c r="A69" s="43">
        <v>365</v>
      </c>
      <c r="B69" s="88">
        <v>45201</v>
      </c>
      <c r="C69" s="3" t="s">
        <v>110</v>
      </c>
      <c r="D69" s="3" t="s">
        <v>176</v>
      </c>
      <c r="E69" s="3" t="s">
        <v>192</v>
      </c>
      <c r="F69" s="57" t="s">
        <v>61</v>
      </c>
      <c r="G69" s="3">
        <v>50</v>
      </c>
      <c r="H69" s="35"/>
      <c r="I69" s="36">
        <v>335000</v>
      </c>
      <c r="J69" s="19">
        <f t="shared" ref="J69" si="282">(G69*H69)+I69</f>
        <v>335000</v>
      </c>
      <c r="K69" s="90">
        <v>3000</v>
      </c>
      <c r="L69" s="7">
        <f t="shared" ref="L69" si="283">ROUND(IF((Y69*A69*G69)&gt;(J69+(X69*A69)+K69+(U69*A69)),(Y69*A69),((J69+(X69*A69)+K69+(U69*A69))/G69)),1)</f>
        <v>10089.6</v>
      </c>
      <c r="M69" s="5">
        <f t="shared" ref="M69" si="284">+L69*G69</f>
        <v>504480</v>
      </c>
      <c r="N69" s="8">
        <f>VLOOKUP((J69/A69),Variables!$A$3:$C$8,2,TRUE())</f>
        <v>0.28000000000000003</v>
      </c>
      <c r="O69" s="42">
        <f t="shared" ref="O69" si="285">+U69*A69</f>
        <v>141253.73134328361</v>
      </c>
      <c r="P69" s="40"/>
      <c r="Q69" s="41" t="str">
        <f>IF(P69&gt;0,ROUND(((Y69*A69)/(1-(P69*(1+Variables!$B$10)))),1),"")</f>
        <v/>
      </c>
      <c r="U69" s="27">
        <f t="shared" ref="U69" si="286">+IF(((Y69*G69)-W69-X69)&lt;V69,V69,((Y69*G69)-W69-X69))</f>
        <v>386.99652422817428</v>
      </c>
      <c r="V69" s="27">
        <f>VLOOKUP((J69/A69),Variables!$A$3:$C$8,3,TRUE())</f>
        <v>122</v>
      </c>
      <c r="W69" s="27">
        <f t="shared" ref="W69" si="287">+(J69+K69)/A69</f>
        <v>926.02739726027403</v>
      </c>
      <c r="X69" s="24">
        <f>+Z69/A69*Variables!$B$10</f>
        <v>69.10652218360255</v>
      </c>
      <c r="Y69" s="28">
        <f>+(W69/(1-(N69+Variables!$B$10)))/G69</f>
        <v>27.642608873441016</v>
      </c>
      <c r="Z69" s="5">
        <f t="shared" ref="Z69" si="288">+Y69*G69*A69</f>
        <v>504477.61194029858</v>
      </c>
      <c r="AM69" s="18"/>
      <c r="AN69" s="18"/>
      <c r="AO69" s="18"/>
      <c r="AP69" s="18"/>
      <c r="AQ69" s="18"/>
    </row>
    <row r="70" spans="1:43" ht="15" customHeight="1" x14ac:dyDescent="0.3">
      <c r="A70" s="43">
        <v>365</v>
      </c>
      <c r="B70" s="88">
        <v>45201</v>
      </c>
      <c r="C70" s="3" t="s">
        <v>110</v>
      </c>
      <c r="D70" s="3"/>
      <c r="E70" s="76" t="s">
        <v>206</v>
      </c>
      <c r="F70" s="57" t="s">
        <v>61</v>
      </c>
      <c r="G70" s="3">
        <v>1</v>
      </c>
      <c r="H70" s="35"/>
      <c r="I70" s="36">
        <f>+I68+I69+(0.38*368.5+76.5)*1000</f>
        <v>1079530</v>
      </c>
      <c r="J70" s="19">
        <f t="shared" ref="J70" si="289">(G70*H70)+I70</f>
        <v>1079530</v>
      </c>
      <c r="K70" s="90">
        <f>3000+5000</f>
        <v>8000</v>
      </c>
      <c r="L70" s="7">
        <f t="shared" ref="L70" si="290">ROUND(IF((Y70*A70*G70)&gt;(J70+(X70*A70)+K70+(U70*A70)),(Y70*A70),((J70+(X70*A70)+K70+(U70*A70))/G70)),1)</f>
        <v>1489767.1</v>
      </c>
      <c r="M70" s="5">
        <f t="shared" ref="M70" si="291">+L70*G70</f>
        <v>1489767.1</v>
      </c>
      <c r="N70" s="8">
        <f>VLOOKUP((J70/A70),Variables!$A$3:$C$8,2,TRUE())</f>
        <v>0.22</v>
      </c>
      <c r="O70" s="42">
        <f t="shared" ref="O70" si="292">+U70*A70</f>
        <v>327748.76712328766</v>
      </c>
      <c r="P70" s="40"/>
      <c r="Q70" s="41" t="str">
        <f>IF(P70&gt;0,ROUND(((Y70*A70)/(1-(P70*(1+Variables!$B$10)))),1),"")</f>
        <v/>
      </c>
      <c r="U70" s="27">
        <f t="shared" ref="U70" si="293">+IF(((Y70*G70)-W70-X70)&lt;V70,V70,((Y70*G70)-W70-X70))</f>
        <v>897.94182773503462</v>
      </c>
      <c r="V70" s="27">
        <f>VLOOKUP((J70/A70),Variables!$A$3:$C$8,3,TRUE())</f>
        <v>510</v>
      </c>
      <c r="W70" s="27">
        <f t="shared" ref="W70" si="294">+(J70+K70)/A70</f>
        <v>2979.5342465753424</v>
      </c>
      <c r="X70" s="24">
        <f>+Z70/A70*Variables!$B$10</f>
        <v>204.07768812159881</v>
      </c>
      <c r="Y70" s="28">
        <f>+(W70/(1-(N70+Variables!$B$10)))/G70</f>
        <v>4081.5537624319759</v>
      </c>
      <c r="Z70" s="5">
        <f t="shared" ref="Z70" si="295">+Y70*G70*A70</f>
        <v>1489767.1232876712</v>
      </c>
      <c r="AM70" s="18"/>
      <c r="AN70" s="18"/>
      <c r="AO70" s="18"/>
      <c r="AP70" s="18"/>
      <c r="AQ70" s="18"/>
    </row>
    <row r="71" spans="1:43" ht="15" customHeight="1" x14ac:dyDescent="0.3">
      <c r="A71" s="43">
        <v>365</v>
      </c>
      <c r="B71" s="88">
        <v>45190</v>
      </c>
      <c r="C71" s="3" t="s">
        <v>178</v>
      </c>
      <c r="D71" s="3" t="s">
        <v>179</v>
      </c>
      <c r="E71" s="3" t="s">
        <v>180</v>
      </c>
      <c r="F71" s="57" t="s">
        <v>71</v>
      </c>
      <c r="G71" s="3">
        <v>1000</v>
      </c>
      <c r="H71" s="35"/>
      <c r="I71" s="36">
        <v>528000</v>
      </c>
      <c r="J71" s="19">
        <f t="shared" ref="J71" si="296">(G71*H71)+I71</f>
        <v>528000</v>
      </c>
      <c r="K71" s="90">
        <v>3000</v>
      </c>
      <c r="L71" s="7">
        <f t="shared" ref="L71" si="297">ROUND(IF((Y71*A71*G71)&gt;(J71+(X71*A71)+K71+(U71*A71)),(Y71*A71),((J71+(X71*A71)+K71+(U71*A71))/G71)),1)</f>
        <v>758.6</v>
      </c>
      <c r="M71" s="5">
        <f t="shared" ref="M71" si="298">+L71*G71</f>
        <v>758600</v>
      </c>
      <c r="N71" s="8">
        <f>VLOOKUP((J71/A71),Variables!$A$3:$C$8,2,TRUE())</f>
        <v>0.25</v>
      </c>
      <c r="O71" s="42">
        <f t="shared" ref="O71" si="299">+U71*A71</f>
        <v>189642.85714285716</v>
      </c>
      <c r="P71" s="40"/>
      <c r="Q71" s="41" t="str">
        <f>IF(P71&gt;0,ROUND(((Y71*A71)/(1-(P71*(1+Variables!$B$10)))),1),"")</f>
        <v/>
      </c>
      <c r="U71" s="27">
        <f t="shared" ref="U71" si="300">+IF(((Y71*G71)-W71-X71)&lt;V71,V71,((Y71*G71)-W71-X71))</f>
        <v>519.56947162426616</v>
      </c>
      <c r="V71" s="27">
        <f>VLOOKUP((J71/A71),Variables!$A$3:$C$8,3,TRUE())</f>
        <v>400</v>
      </c>
      <c r="W71" s="27">
        <f t="shared" ref="W71" si="301">+(J71+K71)/A71</f>
        <v>1454.7945205479452</v>
      </c>
      <c r="X71" s="24">
        <f>+Z71/A71*Variables!$B$10</f>
        <v>103.91389432485323</v>
      </c>
      <c r="Y71" s="28">
        <f>+(W71/(1-(N71+Variables!$B$10)))/G71</f>
        <v>2.0782778864970646</v>
      </c>
      <c r="Z71" s="5">
        <f t="shared" ref="Z71" si="302">+Y71*G71*A71</f>
        <v>758571.42857142864</v>
      </c>
      <c r="AM71" s="18"/>
      <c r="AN71" s="18"/>
      <c r="AO71" s="18"/>
      <c r="AP71" s="18"/>
      <c r="AQ71" s="18"/>
    </row>
    <row r="72" spans="1:43" ht="15" customHeight="1" x14ac:dyDescent="0.3">
      <c r="A72" s="43">
        <v>365</v>
      </c>
      <c r="B72" s="88">
        <v>45194</v>
      </c>
      <c r="C72" s="3" t="s">
        <v>182</v>
      </c>
      <c r="D72" s="3" t="s">
        <v>183</v>
      </c>
      <c r="E72" s="3" t="s">
        <v>187</v>
      </c>
      <c r="F72" s="57" t="s">
        <v>154</v>
      </c>
      <c r="G72" s="3">
        <v>130</v>
      </c>
      <c r="H72" s="35">
        <f>1.06*368</f>
        <v>390.08000000000004</v>
      </c>
      <c r="I72" s="35">
        <f>20249*1.2</f>
        <v>24298.799999999999</v>
      </c>
      <c r="J72" s="19">
        <f t="shared" ref="J72" si="303">(G72*H72)+I72</f>
        <v>75009.200000000012</v>
      </c>
      <c r="K72" s="39">
        <f>2000+2000+I72*0.07</f>
        <v>5700.9160000000002</v>
      </c>
      <c r="L72" s="7">
        <f t="shared" ref="L72" si="304">ROUND(IF((Y72*A72*G72)&gt;(J72+(X72*A72)+K72+(U72*A72)),(Y72*A72),((J72+(X72*A72)+K72+(U72*A72))/G72)),1)</f>
        <v>955.1</v>
      </c>
      <c r="M72" s="5">
        <f t="shared" ref="M72" si="305">+L72*G72</f>
        <v>124163</v>
      </c>
      <c r="N72" s="8">
        <f>VLOOKUP((J72/A72),Variables!$A$3:$C$8,2,TRUE())</f>
        <v>0.3</v>
      </c>
      <c r="O72" s="42">
        <f t="shared" ref="O72" si="306">+U72*A72</f>
        <v>37250.822769230777</v>
      </c>
      <c r="P72" s="40"/>
      <c r="Q72" s="41" t="str">
        <f>IF(P72&gt;0,ROUND(((Y72*A72)/(1-(P72*(1+Variables!$B$10)))),1),"")</f>
        <v/>
      </c>
      <c r="U72" s="27">
        <f t="shared" ref="U72" si="307">+IF(((Y72*G72)-W72-X72)&lt;V72,V72,((Y72*G72)-W72-X72))</f>
        <v>102.05704868282405</v>
      </c>
      <c r="V72" s="27">
        <f>VLOOKUP((J72/A72),Variables!$A$3:$C$8,3,TRUE())</f>
        <v>81.632653061224488</v>
      </c>
      <c r="W72" s="27">
        <f t="shared" ref="W72" si="308">+(J72+K72)/A72</f>
        <v>221.12360547945207</v>
      </c>
      <c r="X72" s="24">
        <f>+Z72/A72*Variables!$B$10</f>
        <v>17.009508113804007</v>
      </c>
      <c r="Y72" s="28">
        <f>+(W72/(1-(N72+Variables!$B$10)))/G72</f>
        <v>2.6168474021236934</v>
      </c>
      <c r="Z72" s="5">
        <f t="shared" ref="Z72" si="309">+Y72*G72*A72</f>
        <v>124169.40923076925</v>
      </c>
      <c r="AM72" s="18"/>
      <c r="AN72" s="18"/>
      <c r="AO72" s="18"/>
      <c r="AP72" s="18"/>
      <c r="AQ72" s="18"/>
    </row>
    <row r="73" spans="1:43" ht="15" customHeight="1" x14ac:dyDescent="0.3">
      <c r="A73" s="43">
        <v>365</v>
      </c>
      <c r="B73" s="88">
        <v>45194</v>
      </c>
      <c r="C73" s="3" t="s">
        <v>182</v>
      </c>
      <c r="D73" s="3" t="s">
        <v>183</v>
      </c>
      <c r="E73" s="3" t="s">
        <v>185</v>
      </c>
      <c r="F73" s="57" t="s">
        <v>154</v>
      </c>
      <c r="G73" s="3">
        <v>130</v>
      </c>
      <c r="H73" s="35">
        <f>0.58*368</f>
        <v>213.44</v>
      </c>
      <c r="I73" s="35">
        <f>20249*1.2</f>
        <v>24298.799999999999</v>
      </c>
      <c r="J73" s="19">
        <f t="shared" ref="J73" si="310">(G73*H73)+I73</f>
        <v>52046</v>
      </c>
      <c r="K73" s="39">
        <f>2000+2000+I73*0.07</f>
        <v>5700.9160000000002</v>
      </c>
      <c r="L73" s="7">
        <f t="shared" ref="L73" si="311">ROUND(IF((Y73*A73*G73)&gt;(J73+(X73*A73)+K73+(U73*A73)),(Y73*A73),((J73+(X73*A73)+K73+(U73*A73))/G73)),1)</f>
        <v>707.6</v>
      </c>
      <c r="M73" s="5">
        <f t="shared" ref="M73" si="312">+L73*G73</f>
        <v>91988</v>
      </c>
      <c r="N73" s="8">
        <f>VLOOKUP((J73/A73),Variables!$A$3:$C$8,2,TRUE())</f>
        <v>0.3</v>
      </c>
      <c r="O73" s="42">
        <f t="shared" ref="O73" si="313">+U73*A73</f>
        <v>29795.918367346938</v>
      </c>
      <c r="P73" s="40"/>
      <c r="Q73" s="41" t="str">
        <f>IF(P73&gt;0,ROUND(((Y73*A73)/(1-(P73*(1+Variables!$B$10)))),1),"")</f>
        <v/>
      </c>
      <c r="U73" s="27">
        <f t="shared" ref="U73" si="314">+IF(((Y73*G73)-W73-X73)&lt;V73,V73,((Y73*G73)-W73-X73))</f>
        <v>81.632653061224488</v>
      </c>
      <c r="V73" s="27">
        <f>VLOOKUP((J73/A73),Variables!$A$3:$C$8,3,TRUE())</f>
        <v>81.632653061224488</v>
      </c>
      <c r="W73" s="27">
        <f t="shared" ref="W73" si="315">+(J73+K73)/A73</f>
        <v>158.21072876712327</v>
      </c>
      <c r="X73" s="24">
        <f>+Z73/A73*Variables!$B$10</f>
        <v>12.170056059009482</v>
      </c>
      <c r="Y73" s="28">
        <f>+(W73/(1-(N73+Variables!$B$10)))/G73</f>
        <v>1.8723163167706895</v>
      </c>
      <c r="Z73" s="5">
        <f t="shared" ref="Z73" si="316">+Y73*G73*A73</f>
        <v>88841.409230769219</v>
      </c>
      <c r="AM73" s="18"/>
      <c r="AN73" s="18"/>
      <c r="AO73" s="18"/>
      <c r="AP73" s="18"/>
      <c r="AQ73" s="18"/>
    </row>
    <row r="74" spans="1:43" ht="15" customHeight="1" x14ac:dyDescent="0.3">
      <c r="A74" s="43">
        <v>365</v>
      </c>
      <c r="B74" s="88">
        <v>45195</v>
      </c>
      <c r="C74" s="3" t="s">
        <v>182</v>
      </c>
      <c r="D74" s="3" t="s">
        <v>183</v>
      </c>
      <c r="E74" s="3" t="s">
        <v>188</v>
      </c>
      <c r="F74" s="57" t="s">
        <v>154</v>
      </c>
      <c r="G74" s="3">
        <v>130</v>
      </c>
      <c r="H74" s="35">
        <f>0.76*368</f>
        <v>279.68</v>
      </c>
      <c r="I74" s="35">
        <f>20249*1.2</f>
        <v>24298.799999999999</v>
      </c>
      <c r="J74" s="19">
        <f t="shared" ref="J74" si="317">(G74*H74)+I74</f>
        <v>60657.2</v>
      </c>
      <c r="K74" s="39">
        <f>+I74*0.07</f>
        <v>1700.9160000000002</v>
      </c>
      <c r="L74" s="7">
        <f t="shared" ref="L74" si="318">ROUND(IF((Y74*A74*G74)&gt;(J74+(X74*A74)+K74+(U74*A74)),(Y74*A74),((J74+(X74*A74)+K74+(U74*A74))/G74)),1)</f>
        <v>745.8</v>
      </c>
      <c r="M74" s="5">
        <f t="shared" ref="M74" si="319">+L74*G74</f>
        <v>96954</v>
      </c>
      <c r="N74" s="8">
        <f>VLOOKUP((J74/A74),Variables!$A$3:$C$8,2,TRUE())</f>
        <v>0.3</v>
      </c>
      <c r="O74" s="42">
        <f t="shared" ref="O74" si="320">+U74*A74</f>
        <v>29795.918367346938</v>
      </c>
      <c r="P74" s="40"/>
      <c r="Q74" s="41" t="str">
        <f>IF(P74&gt;0,ROUND(((Y74*A74)/(1-(P74*(1+Variables!$B$10)))),1),"")</f>
        <v/>
      </c>
      <c r="U74" s="27">
        <f t="shared" ref="U74" si="321">+IF(((Y74*G74)-W74-X74)&lt;V74,V74,((Y74*G74)-W74-X74))</f>
        <v>81.632653061224488</v>
      </c>
      <c r="V74" s="27">
        <f>VLOOKUP((J74/A74),Variables!$A$3:$C$8,3,TRUE())</f>
        <v>81.632653061224488</v>
      </c>
      <c r="W74" s="27">
        <f t="shared" ref="W74" si="322">+(J74+K74)/A74</f>
        <v>170.84415342465752</v>
      </c>
      <c r="X74" s="24">
        <f>+Z74/A74*Variables!$B$10</f>
        <v>13.141857955742887</v>
      </c>
      <c r="Y74" s="28">
        <f>+(W74/(1-(N74+Variables!$B$10)))/G74</f>
        <v>2.0218243008835213</v>
      </c>
      <c r="Z74" s="5">
        <f t="shared" ref="Z74" si="323">+Y74*G74*A74</f>
        <v>95935.563076923077</v>
      </c>
      <c r="AM74" s="18"/>
      <c r="AN74" s="18"/>
      <c r="AO74" s="18"/>
      <c r="AP74" s="18"/>
      <c r="AQ74" s="18"/>
    </row>
    <row r="75" spans="1:43" ht="15" customHeight="1" x14ac:dyDescent="0.3">
      <c r="A75" s="43">
        <v>365</v>
      </c>
      <c r="B75" s="88">
        <v>45195</v>
      </c>
      <c r="C75" s="3" t="s">
        <v>193</v>
      </c>
      <c r="D75" s="3" t="s">
        <v>194</v>
      </c>
      <c r="E75" s="3" t="s">
        <v>195</v>
      </c>
      <c r="F75" s="57"/>
      <c r="G75" s="3">
        <v>1150</v>
      </c>
      <c r="H75" s="35"/>
      <c r="I75" s="89">
        <f>350*1000+245*150+30000</f>
        <v>416750</v>
      </c>
      <c r="J75" s="19">
        <f t="shared" ref="J75:J76" si="324">(G75*H75)+I75</f>
        <v>416750</v>
      </c>
      <c r="K75" s="39"/>
      <c r="L75" s="7">
        <f t="shared" ref="L75:L76" si="325">ROUND(IF((Y75*A75*G75)&gt;(J75+(X75*A75)+K75+(U75*A75)),(Y75*A75),((J75+(X75*A75)+K75+(U75*A75))/G75)),1)</f>
        <v>540.9</v>
      </c>
      <c r="M75" s="5">
        <f t="shared" ref="M75:M76" si="326">+L75*G75</f>
        <v>622035</v>
      </c>
      <c r="N75" s="8">
        <f>VLOOKUP((J75/A75),Variables!$A$3:$C$8,2,TRUE())</f>
        <v>0.28000000000000003</v>
      </c>
      <c r="O75" s="42">
        <f t="shared" ref="O75:O76" si="327">+U75*A75</f>
        <v>174164.17910447769</v>
      </c>
      <c r="P75" s="40"/>
      <c r="Q75" s="41" t="str">
        <f>IF(P75&gt;0,ROUND(((Y75*A75)/(1-(P75*(1+Variables!$B$10)))),1),"")</f>
        <v/>
      </c>
      <c r="U75" s="27">
        <f t="shared" ref="U75:U76" si="328">+IF(((Y75*G75)-W75-X75)&lt;V75,V75,((Y75*G75)-W75-X75))</f>
        <v>477.16213453281557</v>
      </c>
      <c r="V75" s="27">
        <f>VLOOKUP((J75/A75),Variables!$A$3:$C$8,3,TRUE())</f>
        <v>122</v>
      </c>
      <c r="W75" s="27">
        <f t="shared" ref="W75:W76" si="329">+(J75+K75)/A75</f>
        <v>1141.7808219178082</v>
      </c>
      <c r="X75" s="24">
        <f>+Z75/A75*Variables!$B$10</f>
        <v>85.207524023717042</v>
      </c>
      <c r="Y75" s="28">
        <f>+(W75/(1-(N75+Variables!$B$10)))/G75</f>
        <v>1.4818699830211659</v>
      </c>
      <c r="Z75" s="5">
        <f t="shared" ref="Z75:Z76" si="330">+Y75*G75*A75</f>
        <v>622014.92537313444</v>
      </c>
      <c r="AM75" s="18"/>
      <c r="AN75" s="18"/>
      <c r="AO75" s="18"/>
      <c r="AP75" s="18"/>
      <c r="AQ75" s="18"/>
    </row>
    <row r="76" spans="1:43" ht="15" customHeight="1" x14ac:dyDescent="0.3">
      <c r="A76" s="43">
        <v>365</v>
      </c>
      <c r="B76" s="88">
        <v>45202</v>
      </c>
      <c r="C76" s="3" t="s">
        <v>110</v>
      </c>
      <c r="D76" s="3" t="s">
        <v>197</v>
      </c>
      <c r="E76" s="3" t="s">
        <v>198</v>
      </c>
      <c r="F76" s="57" t="s">
        <v>154</v>
      </c>
      <c r="G76" s="3">
        <v>1000</v>
      </c>
      <c r="H76">
        <f>0.38*368.5+76.5</f>
        <v>216.53</v>
      </c>
      <c r="I76" s="36"/>
      <c r="J76" s="19">
        <f t="shared" si="324"/>
        <v>216530</v>
      </c>
      <c r="K76" s="90">
        <v>5000</v>
      </c>
      <c r="L76" s="7">
        <f t="shared" si="325"/>
        <v>330.6</v>
      </c>
      <c r="M76" s="5">
        <f t="shared" si="326"/>
        <v>330600</v>
      </c>
      <c r="N76" s="8">
        <f>VLOOKUP((J76/A76),Variables!$A$3:$C$8,2,TRUE())</f>
        <v>0.28000000000000003</v>
      </c>
      <c r="O76" s="42">
        <f t="shared" si="327"/>
        <v>92579.701492537337</v>
      </c>
      <c r="P76" s="40"/>
      <c r="Q76" s="41" t="str">
        <f>IF(P76&gt;0,ROUND(((Y76*A76)/(1-(P76*(1+Variables!$B$10)))),1),"")</f>
        <v/>
      </c>
      <c r="U76" s="27">
        <f t="shared" si="328"/>
        <v>253.64301778777354</v>
      </c>
      <c r="V76" s="27">
        <f>VLOOKUP((J76/A76),Variables!$A$3:$C$8,3,TRUE())</f>
        <v>122</v>
      </c>
      <c r="W76" s="27">
        <f t="shared" si="329"/>
        <v>606.93150684931504</v>
      </c>
      <c r="X76" s="24">
        <f>+Z76/A76*Variables!$B$10</f>
        <v>45.293396033530982</v>
      </c>
      <c r="Y76" s="28">
        <f>+(W76/(1-(N76+Variables!$B$10)))/G76</f>
        <v>0.90586792067061961</v>
      </c>
      <c r="Z76" s="5">
        <f t="shared" si="330"/>
        <v>330641.79104477615</v>
      </c>
      <c r="AM76" s="18"/>
      <c r="AN76" s="18"/>
      <c r="AO76" s="18"/>
      <c r="AP76" s="18"/>
      <c r="AQ76" s="18"/>
    </row>
    <row r="77" spans="1:43" ht="15" customHeight="1" x14ac:dyDescent="0.3">
      <c r="A77" s="43">
        <v>365</v>
      </c>
      <c r="B77" s="88">
        <v>45202</v>
      </c>
      <c r="C77" s="3" t="s">
        <v>110</v>
      </c>
      <c r="D77" s="3" t="s">
        <v>196</v>
      </c>
      <c r="E77" s="3" t="s">
        <v>205</v>
      </c>
      <c r="F77" s="57" t="s">
        <v>71</v>
      </c>
      <c r="G77" s="3">
        <v>100</v>
      </c>
      <c r="H77">
        <f>32450+470</f>
        <v>32920</v>
      </c>
      <c r="I77" s="36">
        <v>1500</v>
      </c>
      <c r="J77" s="19">
        <f t="shared" ref="J77" si="331">(G77*H77)+I77</f>
        <v>3293500</v>
      </c>
      <c r="K77" s="90">
        <v>7000</v>
      </c>
      <c r="L77" s="7">
        <f t="shared" ref="L77" si="332">ROUND(IF((Y77*A77*G77)&gt;(J77+(X77*A77)+K77+(U77*A77)),(Y77*A77),((J77+(X77*A77)+K77+(U77*A77))/G77)),1)</f>
        <v>42863.6</v>
      </c>
      <c r="M77" s="5">
        <f t="shared" ref="M77" si="333">+L77*G77</f>
        <v>4286360</v>
      </c>
      <c r="N77" s="8">
        <f>VLOOKUP((J77/A77),Variables!$A$3:$C$8,2,TRUE())</f>
        <v>0.18</v>
      </c>
      <c r="O77" s="42">
        <f t="shared" ref="O77" si="334">+U77*A77</f>
        <v>771545.45454545424</v>
      </c>
      <c r="P77" s="40"/>
      <c r="Q77" s="41" t="str">
        <f>IF(P77&gt;0,ROUND(((Y77*A77)/(1-(P77*(1+Variables!$B$10)))),1),"")</f>
        <v/>
      </c>
      <c r="U77" s="27">
        <f t="shared" ref="U77" si="335">+IF(((Y77*G77)-W77-X77)&lt;V77,V77,((Y77*G77)-W77-X77))</f>
        <v>2113.8231631382309</v>
      </c>
      <c r="V77" s="27">
        <f>VLOOKUP((J77/A77),Variables!$A$3:$C$8,3,TRUE())</f>
        <v>1094</v>
      </c>
      <c r="W77" s="27">
        <f t="shared" ref="W77" si="336">+(J77+K77)/A77</f>
        <v>9042.465753424658</v>
      </c>
      <c r="X77" s="24">
        <f>+Z77/A77*Variables!$B$10</f>
        <v>587.17310087173109</v>
      </c>
      <c r="Y77" s="28">
        <f>+(W77/(1-(N77+Variables!$B$10)))/G77</f>
        <v>117.43462017434621</v>
      </c>
      <c r="Z77" s="5">
        <f t="shared" ref="Z77" si="337">+Y77*G77*A77</f>
        <v>4286363.6363636367</v>
      </c>
      <c r="AM77" s="18"/>
      <c r="AN77" s="18"/>
      <c r="AO77" s="18"/>
      <c r="AP77" s="18"/>
      <c r="AQ77" s="18"/>
    </row>
    <row r="78" spans="1:43" ht="15" customHeight="1" x14ac:dyDescent="0.3">
      <c r="A78" s="43">
        <v>365</v>
      </c>
      <c r="B78" s="88">
        <v>45202</v>
      </c>
      <c r="C78" s="3" t="s">
        <v>110</v>
      </c>
      <c r="D78" s="3" t="s">
        <v>196</v>
      </c>
      <c r="E78" s="3" t="s">
        <v>204</v>
      </c>
      <c r="F78" s="57" t="s">
        <v>71</v>
      </c>
      <c r="G78" s="3">
        <v>100</v>
      </c>
      <c r="H78">
        <f>68750+470</f>
        <v>69220</v>
      </c>
      <c r="I78" s="36">
        <v>1500</v>
      </c>
      <c r="J78" s="19">
        <f t="shared" ref="J78" si="338">(G78*H78)+I78</f>
        <v>6923500</v>
      </c>
      <c r="K78" s="90">
        <v>7000</v>
      </c>
      <c r="L78" s="7">
        <f t="shared" ref="L78" si="339">ROUND(IF((Y78*A78*G78)&gt;(J78+(X78*A78)+K78+(U78*A78)),(Y78*A78),((J78+(X78*A78)+K78+(U78*A78))/G78)),1)</f>
        <v>90006.5</v>
      </c>
      <c r="M78" s="5">
        <f t="shared" ref="M78" si="340">+L78*G78</f>
        <v>9000650</v>
      </c>
      <c r="N78" s="8">
        <f>VLOOKUP((J78/A78),Variables!$A$3:$C$8,2,TRUE())</f>
        <v>0.18</v>
      </c>
      <c r="O78" s="42">
        <f t="shared" ref="O78" si="341">+U78*A78</f>
        <v>1620116.8831168835</v>
      </c>
      <c r="P78" s="40"/>
      <c r="Q78" s="41" t="str">
        <f>IF(P78&gt;0,ROUND(((Y78*A78)/(1-(P78*(1+Variables!$B$10)))),1),"")</f>
        <v/>
      </c>
      <c r="U78" s="27">
        <f t="shared" ref="U78" si="342">+IF(((Y78*G78)-W78-X78)&lt;V78,V78,((Y78*G78)-W78-X78))</f>
        <v>4438.6763921010506</v>
      </c>
      <c r="V78" s="27">
        <f>VLOOKUP((J78/A78),Variables!$A$3:$C$8,3,TRUE())</f>
        <v>1094</v>
      </c>
      <c r="W78" s="27">
        <f t="shared" ref="W78" si="343">+(J78+K78)/A78</f>
        <v>18987.671232876713</v>
      </c>
      <c r="X78" s="24">
        <f>+Z78/A78*Variables!$B$10</f>
        <v>1232.9656644725139</v>
      </c>
      <c r="Y78" s="28">
        <f>+(W78/(1-(N78+Variables!$B$10)))/G78</f>
        <v>246.59313289450279</v>
      </c>
      <c r="Z78" s="5">
        <f t="shared" ref="Z78" si="344">+Y78*G78*A78</f>
        <v>9000649.3506493513</v>
      </c>
      <c r="AM78" s="18"/>
      <c r="AN78" s="18"/>
      <c r="AO78" s="18"/>
      <c r="AP78" s="18"/>
      <c r="AQ78" s="18"/>
    </row>
    <row r="79" spans="1:43" ht="15" customHeight="1" x14ac:dyDescent="0.3">
      <c r="A79" s="43">
        <v>365</v>
      </c>
      <c r="B79" s="88">
        <v>45202</v>
      </c>
      <c r="C79" s="3" t="s">
        <v>110</v>
      </c>
      <c r="D79" s="3" t="s">
        <v>115</v>
      </c>
      <c r="E79" s="96" t="s">
        <v>199</v>
      </c>
      <c r="F79" s="57" t="s">
        <v>34</v>
      </c>
      <c r="G79" s="3">
        <v>100</v>
      </c>
      <c r="H79">
        <f>115500+300</f>
        <v>115800</v>
      </c>
      <c r="I79" s="36"/>
      <c r="J79" s="19">
        <f t="shared" ref="J79" si="345">(G79*H79)+I79</f>
        <v>11580000</v>
      </c>
      <c r="K79" s="90">
        <v>7000</v>
      </c>
      <c r="L79" s="7">
        <f t="shared" ref="L79" si="346">ROUND(IF((Y79*A79*G79)&gt;(J79+(X79*A79)+K79+(U79*A79)),(Y79*A79),((J79+(X79*A79)+K79+(U79*A79))/G79)),1)</f>
        <v>150480.5</v>
      </c>
      <c r="M79" s="5">
        <f t="shared" ref="M79" si="347">+L79*G79</f>
        <v>15048050</v>
      </c>
      <c r="N79" s="8">
        <f>VLOOKUP((J79/A79),Variables!$A$3:$C$8,2,TRUE())</f>
        <v>0.18</v>
      </c>
      <c r="O79" s="42">
        <f t="shared" ref="O79" si="348">+U79*A79</f>
        <v>2708649.3506493508</v>
      </c>
      <c r="P79" s="40"/>
      <c r="Q79" s="41" t="str">
        <f>IF(P79&gt;0,ROUND(((Y79*A79)/(1-(P79*(1+Variables!$B$10)))),1),"")</f>
        <v/>
      </c>
      <c r="U79" s="27">
        <f t="shared" ref="U79" si="349">+IF(((Y79*G79)-W79-X79)&lt;V79,V79,((Y79*G79)-W79-X79))</f>
        <v>7420.9571250667141</v>
      </c>
      <c r="V79" s="27">
        <f>VLOOKUP((J79/A79),Variables!$A$3:$C$8,3,TRUE())</f>
        <v>1094</v>
      </c>
      <c r="W79" s="27">
        <f t="shared" ref="W79" si="350">+(J79+K79)/A79</f>
        <v>31745.205479452055</v>
      </c>
      <c r="X79" s="24">
        <f>+Z79/A79*Variables!$B$10</f>
        <v>2061.3769791851987</v>
      </c>
      <c r="Y79" s="28">
        <f>+(W79/(1-(N79+Variables!$B$10)))/G79</f>
        <v>412.2753958370397</v>
      </c>
      <c r="Z79" s="5">
        <f t="shared" ref="Z79" si="351">+Y79*G79*A79</f>
        <v>15048051.948051948</v>
      </c>
      <c r="AM79" s="18"/>
      <c r="AN79" s="18"/>
      <c r="AO79" s="18"/>
      <c r="AP79" s="18"/>
      <c r="AQ79" s="18"/>
    </row>
    <row r="80" spans="1:43" ht="15" customHeight="1" x14ac:dyDescent="0.3">
      <c r="A80" s="43">
        <v>365</v>
      </c>
      <c r="B80" s="88">
        <v>45202</v>
      </c>
      <c r="C80" s="3" t="s">
        <v>110</v>
      </c>
      <c r="D80" s="3" t="s">
        <v>115</v>
      </c>
      <c r="E80" s="96" t="s">
        <v>200</v>
      </c>
      <c r="F80" s="57" t="s">
        <v>34</v>
      </c>
      <c r="G80" s="3">
        <v>100</v>
      </c>
      <c r="H80">
        <f>132000+300</f>
        <v>132300</v>
      </c>
      <c r="I80" s="36"/>
      <c r="J80" s="19">
        <f t="shared" ref="J80" si="352">(G80*H80)+I80</f>
        <v>13230000</v>
      </c>
      <c r="K80" s="90">
        <v>7000</v>
      </c>
      <c r="L80" s="7">
        <f t="shared" ref="L80" si="353">ROUND(IF((Y80*A80*G80)&gt;(J80+(X80*A80)+K80+(U80*A80)),(Y80*A80),((J80+(X80*A80)+K80+(U80*A80))/G80)),1)</f>
        <v>171909.1</v>
      </c>
      <c r="M80" s="5">
        <f t="shared" ref="M80" si="354">+L80*G80</f>
        <v>17190910</v>
      </c>
      <c r="N80" s="8">
        <f>VLOOKUP((J80/A80),Variables!$A$3:$C$8,2,TRUE())</f>
        <v>0.18</v>
      </c>
      <c r="O80" s="42">
        <f t="shared" ref="O80" si="355">+U80*A80</f>
        <v>3094363.6363636362</v>
      </c>
      <c r="P80" s="40"/>
      <c r="Q80" s="41" t="str">
        <f>IF(P80&gt;0,ROUND(((Y80*A80)/(1-(P80*(1+Variables!$B$10)))),1),"")</f>
        <v/>
      </c>
      <c r="U80" s="27">
        <f t="shared" ref="U80" si="356">+IF(((Y80*G80)-W80-X80)&lt;V80,V80,((Y80*G80)-W80-X80))</f>
        <v>8477.7085927770859</v>
      </c>
      <c r="V80" s="27">
        <f>VLOOKUP((J80/A80),Variables!$A$3:$C$8,3,TRUE())</f>
        <v>1094</v>
      </c>
      <c r="W80" s="27">
        <f t="shared" ref="W80" si="357">+(J80+K80)/A80</f>
        <v>36265.753424657538</v>
      </c>
      <c r="X80" s="24">
        <f>+Z80/A80*Variables!$B$10</f>
        <v>2354.9190535491912</v>
      </c>
      <c r="Y80" s="28">
        <f>+(W80/(1-(N80+Variables!$B$10)))/G80</f>
        <v>470.98381070983817</v>
      </c>
      <c r="Z80" s="5">
        <f t="shared" ref="Z80" si="358">+Y80*G80*A80</f>
        <v>17190909.090909094</v>
      </c>
      <c r="AM80" s="18"/>
      <c r="AN80" s="18"/>
      <c r="AO80" s="18"/>
      <c r="AP80" s="18"/>
      <c r="AQ80" s="18"/>
    </row>
    <row r="81" spans="1:43" ht="15" customHeight="1" x14ac:dyDescent="0.3">
      <c r="A81" s="43">
        <v>365</v>
      </c>
      <c r="B81" s="88">
        <v>45202</v>
      </c>
      <c r="C81" s="3" t="s">
        <v>110</v>
      </c>
      <c r="D81" s="3" t="s">
        <v>115</v>
      </c>
      <c r="E81" s="96" t="s">
        <v>201</v>
      </c>
      <c r="F81" s="57" t="s">
        <v>34</v>
      </c>
      <c r="G81" s="3">
        <v>100</v>
      </c>
      <c r="H81">
        <f>125950+300</f>
        <v>126250</v>
      </c>
      <c r="I81" s="36"/>
      <c r="J81" s="19">
        <f t="shared" ref="J81" si="359">(G81*H81)+I81</f>
        <v>12625000</v>
      </c>
      <c r="K81" s="90">
        <v>7000</v>
      </c>
      <c r="L81" s="7">
        <f t="shared" ref="L81" si="360">ROUND(IF((Y81*A81*G81)&gt;(J81+(X81*A81)+K81+(U81*A81)),(Y81*A81),((J81+(X81*A81)+K81+(U81*A81))/G81)),1)</f>
        <v>164051.9</v>
      </c>
      <c r="M81" s="5">
        <f t="shared" ref="M81" si="361">+L81*G81</f>
        <v>16405190</v>
      </c>
      <c r="N81" s="8">
        <f>VLOOKUP((J81/A81),Variables!$A$3:$C$8,2,TRUE())</f>
        <v>0.18</v>
      </c>
      <c r="O81" s="42">
        <f t="shared" ref="O81" si="362">+U81*A81</f>
        <v>2952935.064935063</v>
      </c>
      <c r="P81" s="40"/>
      <c r="Q81" s="41" t="str">
        <f>IF(P81&gt;0,ROUND(((Y81*A81)/(1-(P81*(1+Variables!$B$10)))),1),"")</f>
        <v/>
      </c>
      <c r="U81" s="27">
        <f t="shared" ref="U81" si="363">+IF(((Y81*G81)-W81-X81)&lt;V81,V81,((Y81*G81)-W81-X81))</f>
        <v>8090.2330546166104</v>
      </c>
      <c r="V81" s="27">
        <f>VLOOKUP((J81/A81),Variables!$A$3:$C$8,3,TRUE())</f>
        <v>1094</v>
      </c>
      <c r="W81" s="27">
        <f t="shared" ref="W81" si="364">+(J81+K81)/A81</f>
        <v>34608.219178082189</v>
      </c>
      <c r="X81" s="24">
        <f>+Z81/A81*Variables!$B$10</f>
        <v>2247.2869596157266</v>
      </c>
      <c r="Y81" s="28">
        <f>+(W81/(1-(N81+Variables!$B$10)))/G81</f>
        <v>449.45739192314528</v>
      </c>
      <c r="Z81" s="5">
        <f t="shared" ref="Z81" si="365">+Y81*G81*A81</f>
        <v>16405194.805194803</v>
      </c>
      <c r="AM81" s="18"/>
      <c r="AN81" s="18"/>
      <c r="AO81" s="18"/>
      <c r="AP81" s="18"/>
      <c r="AQ81" s="18"/>
    </row>
    <row r="82" spans="1:43" ht="15" customHeight="1" x14ac:dyDescent="0.3">
      <c r="A82" s="43">
        <v>365</v>
      </c>
      <c r="B82" s="88">
        <v>45202</v>
      </c>
      <c r="C82" s="3" t="s">
        <v>110</v>
      </c>
      <c r="D82" s="3" t="s">
        <v>115</v>
      </c>
      <c r="E82" s="96" t="s">
        <v>202</v>
      </c>
      <c r="F82" s="57" t="s">
        <v>34</v>
      </c>
      <c r="G82" s="3">
        <v>100</v>
      </c>
      <c r="H82">
        <f>103950+300</f>
        <v>104250</v>
      </c>
      <c r="I82" s="36"/>
      <c r="J82" s="19">
        <f t="shared" ref="J82" si="366">(G82*H82)+I82</f>
        <v>10425000</v>
      </c>
      <c r="K82" s="90">
        <v>7000</v>
      </c>
      <c r="L82" s="7">
        <f t="shared" ref="L82" si="367">ROUND(IF((Y82*A82*G82)&gt;(J82+(X82*A82)+K82+(U82*A82)),(Y82*A82),((J82+(X82*A82)+K82+(U82*A82))/G82)),1)</f>
        <v>135480.5</v>
      </c>
      <c r="M82" s="5">
        <f t="shared" ref="M82" si="368">+L82*G82</f>
        <v>13548050</v>
      </c>
      <c r="N82" s="8">
        <f>VLOOKUP((J82/A82),Variables!$A$3:$C$8,2,TRUE())</f>
        <v>0.18</v>
      </c>
      <c r="O82" s="42">
        <f t="shared" ref="O82" si="369">+U82*A82</f>
        <v>2438649.3506493494</v>
      </c>
      <c r="P82" s="40"/>
      <c r="Q82" s="41" t="str">
        <f>IF(P82&gt;0,ROUND(((Y82*A82)/(1-(P82*(1+Variables!$B$10)))),1),"")</f>
        <v/>
      </c>
      <c r="U82" s="27">
        <f t="shared" ref="U82" si="370">+IF(((Y82*G82)-W82-X82)&lt;V82,V82,((Y82*G82)-W82-X82))</f>
        <v>6681.2310976694507</v>
      </c>
      <c r="V82" s="27">
        <f>VLOOKUP((J82/A82),Variables!$A$3:$C$8,3,TRUE())</f>
        <v>1094</v>
      </c>
      <c r="W82" s="27">
        <f t="shared" ref="W82" si="371">+(J82+K82)/A82</f>
        <v>28580.821917808218</v>
      </c>
      <c r="X82" s="24">
        <f>+Z82/A82*Variables!$B$10</f>
        <v>1855.8975271304037</v>
      </c>
      <c r="Y82" s="28">
        <f>+(W82/(1-(N82+Variables!$B$10)))/G82</f>
        <v>371.17950542608071</v>
      </c>
      <c r="Z82" s="5">
        <f t="shared" ref="Z82" si="372">+Y82*G82*A82</f>
        <v>13548051.948051946</v>
      </c>
      <c r="AM82" s="18"/>
      <c r="AN82" s="18"/>
      <c r="AO82" s="18"/>
      <c r="AP82" s="18"/>
      <c r="AQ82" s="18"/>
    </row>
    <row r="83" spans="1:43" ht="15" customHeight="1" x14ac:dyDescent="0.3">
      <c r="A83" s="43">
        <v>365</v>
      </c>
      <c r="B83" s="88">
        <v>45202</v>
      </c>
      <c r="C83" s="3" t="s">
        <v>110</v>
      </c>
      <c r="D83" s="3" t="s">
        <v>115</v>
      </c>
      <c r="E83" s="96" t="s">
        <v>203</v>
      </c>
      <c r="F83" s="57" t="s">
        <v>34</v>
      </c>
      <c r="G83" s="3">
        <v>100</v>
      </c>
      <c r="H83">
        <f>97900+300</f>
        <v>98200</v>
      </c>
      <c r="I83" s="36"/>
      <c r="J83" s="19">
        <f t="shared" ref="J83" si="373">(G83*H83)+I83</f>
        <v>9820000</v>
      </c>
      <c r="K83" s="90">
        <v>7000</v>
      </c>
      <c r="L83" s="7">
        <f t="shared" ref="L83" si="374">ROUND(IF((Y83*A83*G83)&gt;(J83+(X83*A83)+K83+(U83*A83)),(Y83*A83),((J83+(X83*A83)+K83+(U83*A83))/G83)),1)</f>
        <v>127623.4</v>
      </c>
      <c r="M83" s="5">
        <f t="shared" ref="M83" si="375">+L83*G83</f>
        <v>12762340</v>
      </c>
      <c r="N83" s="8">
        <f>VLOOKUP((J83/A83),Variables!$A$3:$C$8,2,TRUE())</f>
        <v>0.18</v>
      </c>
      <c r="O83" s="42">
        <f t="shared" ref="O83" si="376">+U83*A83</f>
        <v>2297220.7792207785</v>
      </c>
      <c r="P83" s="40"/>
      <c r="Q83" s="41" t="str">
        <f>IF(P83&gt;0,ROUND(((Y83*A83)/(1-(P83*(1+Variables!$B$10)))),1),"")</f>
        <v/>
      </c>
      <c r="U83" s="27">
        <f t="shared" ref="U83" si="377">+IF(((Y83*G83)-W83-X83)&lt;V83,V83,((Y83*G83)-W83-X83))</f>
        <v>6293.7555595089825</v>
      </c>
      <c r="V83" s="27">
        <f>VLOOKUP((J83/A83),Variables!$A$3:$C$8,3,TRUE())</f>
        <v>1094</v>
      </c>
      <c r="W83" s="27">
        <f t="shared" ref="W83" si="378">+(J83+K83)/A83</f>
        <v>26923.287671232876</v>
      </c>
      <c r="X83" s="24">
        <f>+Z83/A83*Variables!$B$10</f>
        <v>1748.26543319694</v>
      </c>
      <c r="Y83" s="28">
        <f>+(W83/(1-(N83+Variables!$B$10)))/G83</f>
        <v>349.65308663938799</v>
      </c>
      <c r="Z83" s="5">
        <f t="shared" ref="Z83" si="379">+Y83*G83*A83</f>
        <v>12762337.662337661</v>
      </c>
      <c r="AM83" s="18"/>
      <c r="AN83" s="18"/>
      <c r="AO83" s="18"/>
      <c r="AP83" s="18"/>
      <c r="AQ83" s="18"/>
    </row>
    <row r="84" spans="1:43" ht="15" customHeight="1" x14ac:dyDescent="0.3">
      <c r="A84" s="43">
        <v>365</v>
      </c>
      <c r="B84" s="88">
        <v>45202</v>
      </c>
      <c r="C84" s="3" t="s">
        <v>110</v>
      </c>
      <c r="D84" s="3" t="s">
        <v>49</v>
      </c>
      <c r="E84" s="96" t="s">
        <v>207</v>
      </c>
      <c r="F84" s="57" t="s">
        <v>34</v>
      </c>
      <c r="G84" s="3">
        <v>50</v>
      </c>
      <c r="H84">
        <v>3093.4</v>
      </c>
      <c r="I84" s="36"/>
      <c r="J84" s="19">
        <f t="shared" ref="J84" si="380">(G84*H84)+I84</f>
        <v>154670</v>
      </c>
      <c r="K84" s="90">
        <v>2500</v>
      </c>
      <c r="L84" s="7">
        <f t="shared" ref="L84" si="381">ROUND(IF((Y84*A84*G84)&gt;(J84+(X84*A84)+K84+(U84*A84)),(Y84*A84),((J84+(X84*A84)+K84+(U84*A84))/G84)),1)</f>
        <v>4691.6000000000004</v>
      </c>
      <c r="M84" s="5">
        <f t="shared" ref="M84" si="382">+L84*G84</f>
        <v>234580.00000000003</v>
      </c>
      <c r="N84" s="8">
        <f>VLOOKUP((J84/A84),Variables!$A$3:$C$8,2,TRUE())</f>
        <v>0.28000000000000003</v>
      </c>
      <c r="O84" s="42">
        <f t="shared" ref="O84" si="383">+U84*A84</f>
        <v>65682.985074626908</v>
      </c>
      <c r="P84" s="40"/>
      <c r="Q84" s="41" t="str">
        <f>IF(P84&gt;0,ROUND(((Y84*A84)/(1-(P84*(1+Variables!$B$10)))),1),"")</f>
        <v/>
      </c>
      <c r="U84" s="27">
        <f t="shared" ref="U84" si="384">+IF(((Y84*G84)-W84-X84)&lt;V84,V84,((Y84*G84)-W84-X84))</f>
        <v>179.9533837661011</v>
      </c>
      <c r="V84" s="27">
        <f>VLOOKUP((J84/A84),Variables!$A$3:$C$8,3,TRUE())</f>
        <v>122</v>
      </c>
      <c r="W84" s="27">
        <f t="shared" ref="W84" si="385">+(J84+K84)/A84</f>
        <v>430.60273972602738</v>
      </c>
      <c r="X84" s="24">
        <f>+Z84/A84*Variables!$B$10</f>
        <v>32.134532815375188</v>
      </c>
      <c r="Y84" s="28">
        <f>+(W84/(1-(N84+Variables!$B$10)))/G84</f>
        <v>12.853813126150074</v>
      </c>
      <c r="Z84" s="5">
        <f t="shared" ref="Z84" si="386">+Y84*G84*A84</f>
        <v>234582.08955223885</v>
      </c>
      <c r="AM84" s="18"/>
      <c r="AN84" s="18"/>
      <c r="AO84" s="18"/>
      <c r="AP84" s="18"/>
      <c r="AQ84" s="18"/>
    </row>
    <row r="85" spans="1:43" ht="15" customHeight="1" x14ac:dyDescent="0.3">
      <c r="A85" s="43">
        <v>365</v>
      </c>
      <c r="B85" s="88">
        <v>45202</v>
      </c>
      <c r="C85" s="3" t="s">
        <v>110</v>
      </c>
      <c r="D85" s="3" t="s">
        <v>49</v>
      </c>
      <c r="E85" s="96" t="s">
        <v>209</v>
      </c>
      <c r="F85" s="57" t="s">
        <v>34</v>
      </c>
      <c r="G85" s="3">
        <v>50</v>
      </c>
      <c r="H85">
        <v>4790.7</v>
      </c>
      <c r="I85" s="36"/>
      <c r="J85" s="19">
        <f t="shared" ref="J85" si="387">(G85*H85)+I85</f>
        <v>239535</v>
      </c>
      <c r="K85" s="90">
        <v>2500</v>
      </c>
      <c r="L85" s="7">
        <f t="shared" ref="L85" si="388">ROUND(IF((Y85*A85*G85)&gt;(J85+(X85*A85)+K85+(U85*A85)),(Y85*A85),((J85+(X85*A85)+K85+(U85*A85))/G85)),1)</f>
        <v>7224.9</v>
      </c>
      <c r="M85" s="5">
        <f t="shared" ref="M85" si="389">+L85*G85</f>
        <v>361245</v>
      </c>
      <c r="N85" s="8">
        <f>VLOOKUP((J85/A85),Variables!$A$3:$C$8,2,TRUE())</f>
        <v>0.28000000000000003</v>
      </c>
      <c r="O85" s="42">
        <f t="shared" ref="O85" si="390">+U85*A85</f>
        <v>101148.95522388064</v>
      </c>
      <c r="P85" s="40"/>
      <c r="Q85" s="41" t="str">
        <f>IF(P85&gt;0,ROUND(((Y85*A85)/(1-(P85*(1+Variables!$B$10)))),1),"")</f>
        <v/>
      </c>
      <c r="U85" s="27">
        <f t="shared" ref="U85" si="391">+IF(((Y85*G85)-W85-X85)&lt;V85,V85,((Y85*G85)-W85-X85))</f>
        <v>277.12042527090586</v>
      </c>
      <c r="V85" s="27">
        <f>VLOOKUP((J85/A85),Variables!$A$3:$C$8,3,TRUE())</f>
        <v>122</v>
      </c>
      <c r="W85" s="27">
        <f t="shared" ref="W85" si="392">+(J85+K85)/A85</f>
        <v>663.10958904109589</v>
      </c>
      <c r="X85" s="24">
        <f>+Z85/A85*Variables!$B$10</f>
        <v>49.485790226947465</v>
      </c>
      <c r="Y85" s="28">
        <f>+(W85/(1-(N85+Variables!$B$10)))/G85</f>
        <v>19.794316090778985</v>
      </c>
      <c r="Z85" s="5">
        <f t="shared" ref="Z85" si="393">+Y85*G85*A85</f>
        <v>361246.26865671645</v>
      </c>
      <c r="AM85" s="18"/>
      <c r="AN85" s="18"/>
      <c r="AO85" s="18"/>
      <c r="AP85" s="18"/>
      <c r="AQ85" s="18"/>
    </row>
    <row r="86" spans="1:43" ht="15" customHeight="1" x14ac:dyDescent="0.3">
      <c r="A86" s="43">
        <v>365</v>
      </c>
      <c r="B86" s="88">
        <v>45202</v>
      </c>
      <c r="C86" s="3" t="s">
        <v>110</v>
      </c>
      <c r="D86" s="3" t="s">
        <v>49</v>
      </c>
      <c r="E86" s="96" t="s">
        <v>208</v>
      </c>
      <c r="F86" s="57" t="s">
        <v>34</v>
      </c>
      <c r="G86" s="3">
        <v>50</v>
      </c>
      <c r="H86">
        <v>6235.26</v>
      </c>
      <c r="I86" s="36"/>
      <c r="J86" s="19">
        <f t="shared" ref="J86" si="394">(G86*H86)+I86</f>
        <v>311763</v>
      </c>
      <c r="K86" s="90">
        <v>2500</v>
      </c>
      <c r="L86" s="7">
        <f t="shared" ref="L86" si="395">ROUND(IF((Y86*A86*G86)&gt;(J86+(X86*A86)+K86+(U86*A86)),(Y86*A86),((J86+(X86*A86)+K86+(U86*A86))/G86)),1)</f>
        <v>9381</v>
      </c>
      <c r="M86" s="5">
        <f t="shared" ref="M86" si="396">+L86*G86</f>
        <v>469050</v>
      </c>
      <c r="N86" s="8">
        <f>VLOOKUP((J86/A86),Variables!$A$3:$C$8,2,TRUE())</f>
        <v>0.28000000000000003</v>
      </c>
      <c r="O86" s="42">
        <f t="shared" ref="O86" si="397">+U86*A86</f>
        <v>131333.79104477615</v>
      </c>
      <c r="P86" s="40"/>
      <c r="Q86" s="41" t="str">
        <f>IF(P86&gt;0,ROUND(((Y86*A86)/(1-(P86*(1+Variables!$B$10)))),1),"")</f>
        <v/>
      </c>
      <c r="U86" s="27">
        <f t="shared" ref="U86" si="398">+IF(((Y86*G86)-W86-X86)&lt;V86,V86,((Y86*G86)-W86-X86))</f>
        <v>359.81860560212647</v>
      </c>
      <c r="V86" s="27">
        <f>VLOOKUP((J86/A86),Variables!$A$3:$C$8,3,TRUE())</f>
        <v>122</v>
      </c>
      <c r="W86" s="27">
        <f t="shared" ref="W86" si="399">+(J86+K86)/A86</f>
        <v>860.99452054794517</v>
      </c>
      <c r="X86" s="24">
        <f>+Z86/A86*Variables!$B$10</f>
        <v>64.253322428951137</v>
      </c>
      <c r="Y86" s="28">
        <f>+(W86/(1-(N86+Variables!$B$10)))/G86</f>
        <v>25.701328971580455</v>
      </c>
      <c r="Z86" s="5">
        <f t="shared" ref="Z86" si="400">+Y86*G86*A86</f>
        <v>469049.25373134331</v>
      </c>
      <c r="AM86" s="18"/>
      <c r="AN86" s="18"/>
      <c r="AO86" s="18"/>
      <c r="AP86" s="18"/>
      <c r="AQ86" s="18"/>
    </row>
    <row r="87" spans="1:43" ht="15" customHeight="1" x14ac:dyDescent="0.3">
      <c r="A87" s="43">
        <v>365</v>
      </c>
      <c r="B87" s="88">
        <v>45210</v>
      </c>
      <c r="C87" s="3" t="s">
        <v>110</v>
      </c>
      <c r="D87" s="3" t="s">
        <v>49</v>
      </c>
      <c r="E87" s="96" t="s">
        <v>208</v>
      </c>
      <c r="F87" s="57" t="s">
        <v>34</v>
      </c>
      <c r="G87" s="3">
        <v>30</v>
      </c>
      <c r="H87">
        <f>4676.82+100</f>
        <v>4776.82</v>
      </c>
      <c r="I87" s="36"/>
      <c r="J87" s="19">
        <f t="shared" ref="J87" si="401">(G87*H87)+I87</f>
        <v>143304.59999999998</v>
      </c>
      <c r="K87" s="90">
        <v>10000</v>
      </c>
      <c r="L87" s="7">
        <f t="shared" ref="L87" si="402">ROUND(IF((Y87*A87*G87)&gt;(J87+(X87*A87)+K87+(U87*A87)),(Y87*A87),((J87+(X87*A87)+K87+(U87*A87))/G87)),1)</f>
        <v>7861.8</v>
      </c>
      <c r="M87" s="5">
        <f t="shared" ref="M87" si="403">+L87*G87</f>
        <v>235854</v>
      </c>
      <c r="N87" s="8">
        <f>VLOOKUP((J87/A87),Variables!$A$3:$C$8,2,TRUE())</f>
        <v>0.3</v>
      </c>
      <c r="O87" s="42">
        <f t="shared" ref="O87" si="404">+U87*A87</f>
        <v>70755.969230769188</v>
      </c>
      <c r="P87" s="40"/>
      <c r="Q87" s="41" t="str">
        <f>IF(P87&gt;0,ROUND(((Y87*A87)/(1-(P87*(1+Variables!$B$10)))),1),"")</f>
        <v/>
      </c>
      <c r="U87" s="27">
        <f t="shared" ref="U87" si="405">+IF(((Y87*G87)-W87-X87)&lt;V87,V87,((Y87*G87)-W87-X87))</f>
        <v>193.85197049525806</v>
      </c>
      <c r="V87" s="27">
        <f>VLOOKUP((J87/A87),Variables!$A$3:$C$8,3,TRUE())</f>
        <v>81.632653061224488</v>
      </c>
      <c r="W87" s="27">
        <f t="shared" ref="W87" si="406">+(J87+K87)/A87</f>
        <v>420.01260273972599</v>
      </c>
      <c r="X87" s="24">
        <f>+Z87/A87*Variables!$B$10</f>
        <v>32.308661749209691</v>
      </c>
      <c r="Y87" s="28">
        <f>+(W87/(1-(N87+Variables!$B$10)))/G87</f>
        <v>21.539107832806458</v>
      </c>
      <c r="Z87" s="5">
        <f t="shared" ref="Z87" si="407">+Y87*G87*A87</f>
        <v>235853.23076923072</v>
      </c>
      <c r="AM87" s="18"/>
      <c r="AN87" s="18"/>
      <c r="AO87" s="18"/>
      <c r="AP87" s="18"/>
      <c r="AQ87" s="18"/>
    </row>
    <row r="88" spans="1:43" ht="15" customHeight="1" x14ac:dyDescent="0.3">
      <c r="A88" s="43">
        <v>365</v>
      </c>
      <c r="B88" s="88">
        <v>45202</v>
      </c>
      <c r="C88" s="3" t="s">
        <v>110</v>
      </c>
      <c r="D88" s="3" t="s">
        <v>90</v>
      </c>
      <c r="E88" s="96" t="s">
        <v>210</v>
      </c>
      <c r="F88" s="57" t="s">
        <v>34</v>
      </c>
      <c r="G88" s="3">
        <v>50</v>
      </c>
      <c r="H88">
        <v>4018</v>
      </c>
      <c r="I88" s="36"/>
      <c r="J88" s="19">
        <f t="shared" ref="J88" si="408">(G88*H88)+I88</f>
        <v>200900</v>
      </c>
      <c r="K88" s="90">
        <v>2500</v>
      </c>
      <c r="L88" s="7">
        <f t="shared" ref="L88" si="409">ROUND(IF((Y88*A88*G88)&gt;(J88+(X88*A88)+K88+(U88*A88)),(Y88*A88),((J88+(X88*A88)+K88+(U88*A88))/G88)),1)</f>
        <v>6071.6</v>
      </c>
      <c r="M88" s="5">
        <f t="shared" ref="M88" si="410">+L88*G88</f>
        <v>303580</v>
      </c>
      <c r="N88" s="8">
        <f>VLOOKUP((J88/A88),Variables!$A$3:$C$8,2,TRUE())</f>
        <v>0.28000000000000003</v>
      </c>
      <c r="O88" s="42">
        <f t="shared" ref="O88" si="411">+U88*A88</f>
        <v>85002.985074626864</v>
      </c>
      <c r="P88" s="40"/>
      <c r="Q88" s="41" t="str">
        <f>IF(P88&gt;0,ROUND(((Y88*A88)/(1-(P88*(1+Variables!$B$10)))),1),"")</f>
        <v/>
      </c>
      <c r="U88" s="27">
        <f t="shared" ref="U88" si="412">+IF(((Y88*G88)-W88-X88)&lt;V88,V88,((Y88*G88)-W88-X88))</f>
        <v>232.88489061541605</v>
      </c>
      <c r="V88" s="27">
        <f>VLOOKUP((J88/A88),Variables!$A$3:$C$8,3,TRUE())</f>
        <v>122</v>
      </c>
      <c r="W88" s="27">
        <f t="shared" ref="W88" si="413">+(J88+K88)/A88</f>
        <v>557.2602739726027</v>
      </c>
      <c r="X88" s="24">
        <f>+Z88/A88*Variables!$B$10</f>
        <v>41.58658760989573</v>
      </c>
      <c r="Y88" s="28">
        <f>+(W88/(1-(N88+Variables!$B$10)))/G88</f>
        <v>16.634635043958291</v>
      </c>
      <c r="Z88" s="5">
        <f t="shared" ref="Z88" si="414">+Y88*G88*A88</f>
        <v>303582.08955223882</v>
      </c>
      <c r="AM88" s="18"/>
      <c r="AN88" s="18"/>
      <c r="AO88" s="18"/>
      <c r="AP88" s="18"/>
      <c r="AQ88" s="18"/>
    </row>
    <row r="89" spans="1:43" ht="15" customHeight="1" x14ac:dyDescent="0.3">
      <c r="A89" s="43">
        <v>365</v>
      </c>
      <c r="B89" s="88">
        <v>45205</v>
      </c>
      <c r="C89" s="3" t="s">
        <v>214</v>
      </c>
      <c r="D89" s="3" t="s">
        <v>215</v>
      </c>
      <c r="E89" s="3" t="s">
        <v>216</v>
      </c>
      <c r="F89" s="57" t="s">
        <v>217</v>
      </c>
      <c r="G89" s="3">
        <v>1000</v>
      </c>
      <c r="H89" s="35">
        <v>793</v>
      </c>
      <c r="I89" s="36"/>
      <c r="J89" s="19">
        <f t="shared" ref="J89" si="415">(G89*H89)+I89</f>
        <v>793000</v>
      </c>
      <c r="K89" s="90">
        <v>2500</v>
      </c>
      <c r="L89" s="7">
        <f t="shared" ref="L89" si="416">ROUND(IF((Y89*A89*G89)&gt;(J89+(X89*A89)+K89+(U89*A89)),(Y89*A89),((J89+(X89*A89)+K89+(U89*A89))/G89)),1)</f>
        <v>1089.7</v>
      </c>
      <c r="M89" s="5">
        <f t="shared" ref="M89" si="417">+L89*G89</f>
        <v>1089700</v>
      </c>
      <c r="N89" s="8">
        <f>VLOOKUP((J89/A89),Variables!$A$3:$C$8,2,TRUE())</f>
        <v>0.22</v>
      </c>
      <c r="O89" s="42">
        <f t="shared" ref="O89" si="418">+U89*A89</f>
        <v>239739.72602739724</v>
      </c>
      <c r="P89" s="40"/>
      <c r="Q89" s="41" t="str">
        <f>IF(P89&gt;0,ROUND(((Y89*A89)/(1-(P89*(1+Variables!$B$10)))),1),"")</f>
        <v/>
      </c>
      <c r="U89" s="27">
        <f t="shared" ref="U89" si="419">+IF(((Y89*G89)-W89-X89)&lt;V89,V89,((Y89*G89)-W89-X89))</f>
        <v>656.82116719834858</v>
      </c>
      <c r="V89" s="27">
        <f>VLOOKUP((J89/A89),Variables!$A$3:$C$8,3,TRUE())</f>
        <v>510</v>
      </c>
      <c r="W89" s="27">
        <f t="shared" ref="W89" si="420">+(J89+K89)/A89</f>
        <v>2179.4520547945203</v>
      </c>
      <c r="X89" s="24">
        <f>+Z89/A89*Variables!$B$10</f>
        <v>149.27753799962468</v>
      </c>
      <c r="Y89" s="28">
        <f>+(W89/(1-(N89+Variables!$B$10)))/G89</f>
        <v>2.9855507599924938</v>
      </c>
      <c r="Z89" s="5">
        <f t="shared" ref="Z89" si="421">+Y89*G89*A89</f>
        <v>1089726.0273972601</v>
      </c>
      <c r="AM89" s="18"/>
      <c r="AN89" s="18"/>
      <c r="AO89" s="18"/>
      <c r="AP89" s="18"/>
      <c r="AQ89" s="18"/>
    </row>
    <row r="90" spans="1:43" ht="15" customHeight="1" x14ac:dyDescent="0.3">
      <c r="A90" s="43">
        <v>365</v>
      </c>
      <c r="B90" s="88">
        <v>45205</v>
      </c>
      <c r="C90" s="3" t="s">
        <v>214</v>
      </c>
      <c r="D90" s="3" t="s">
        <v>218</v>
      </c>
      <c r="E90" s="3" t="s">
        <v>219</v>
      </c>
      <c r="F90" s="57" t="s">
        <v>47</v>
      </c>
      <c r="G90" s="3">
        <v>1000</v>
      </c>
      <c r="H90" s="35">
        <f>2.25*366.5+120</f>
        <v>944.625</v>
      </c>
      <c r="I90" s="36"/>
      <c r="J90" s="19">
        <f t="shared" ref="J90" si="422">(G90*H90)+I90</f>
        <v>944625</v>
      </c>
      <c r="K90" s="90">
        <v>2500</v>
      </c>
      <c r="L90" s="7">
        <f t="shared" ref="L90" si="423">ROUND(IF((Y90*A90*G90)&gt;(J90+(X90*A90)+K90+(U90*A90)),(Y90*A90),((J90+(X90*A90)+K90+(U90*A90))/G90)),1)</f>
        <v>1297.4000000000001</v>
      </c>
      <c r="M90" s="5">
        <f t="shared" ref="M90" si="424">+L90*G90</f>
        <v>1297400</v>
      </c>
      <c r="N90" s="8">
        <f>VLOOKUP((J90/A90),Variables!$A$3:$C$8,2,TRUE())</f>
        <v>0.22</v>
      </c>
      <c r="O90" s="42">
        <f t="shared" ref="O90" si="425">+U90*A90</f>
        <v>285434.9315068493</v>
      </c>
      <c r="P90" s="40"/>
      <c r="Q90" s="41" t="str">
        <f>IF(P90&gt;0,ROUND(((Y90*A90)/(1-(P90*(1+Variables!$B$10)))),1),"")</f>
        <v/>
      </c>
      <c r="U90" s="27">
        <f t="shared" ref="U90" si="426">+IF(((Y90*G90)-W90-X90)&lt;V90,V90,((Y90*G90)-W90-X90))</f>
        <v>782.0135109776694</v>
      </c>
      <c r="V90" s="27">
        <f>VLOOKUP((J90/A90),Variables!$A$3:$C$8,3,TRUE())</f>
        <v>510</v>
      </c>
      <c r="W90" s="27">
        <f t="shared" ref="W90" si="427">+(J90+K90)/A90</f>
        <v>2594.8630136986303</v>
      </c>
      <c r="X90" s="24">
        <f>+Z90/A90*Variables!$B$10</f>
        <v>177.7303434040158</v>
      </c>
      <c r="Y90" s="28">
        <f>+(W90/(1-(N90+Variables!$B$10)))/G90</f>
        <v>3.5546068680803153</v>
      </c>
      <c r="Z90" s="5">
        <f t="shared" ref="Z90" si="428">+Y90*G90*A90</f>
        <v>1297431.5068493153</v>
      </c>
      <c r="AM90" s="18"/>
      <c r="AN90" s="18"/>
      <c r="AO90" s="18"/>
      <c r="AP90" s="18"/>
      <c r="AQ90" s="18"/>
    </row>
    <row r="91" spans="1:43" ht="15" customHeight="1" x14ac:dyDescent="0.3">
      <c r="A91" s="43">
        <v>365</v>
      </c>
      <c r="B91" s="88">
        <v>45209</v>
      </c>
      <c r="C91" s="3" t="s">
        <v>220</v>
      </c>
      <c r="D91" s="3" t="s">
        <v>52</v>
      </c>
      <c r="E91" s="3" t="s">
        <v>221</v>
      </c>
      <c r="F91" s="57" t="s">
        <v>34</v>
      </c>
      <c r="G91" s="3">
        <v>25</v>
      </c>
      <c r="H91" s="35">
        <f>15.19*1030+350</f>
        <v>15995.699999999999</v>
      </c>
      <c r="I91" s="36"/>
      <c r="J91" s="19">
        <f t="shared" ref="J91" si="429">(G91*H91)+I91</f>
        <v>399892.5</v>
      </c>
      <c r="K91" s="90">
        <f>4000+4000</f>
        <v>8000</v>
      </c>
      <c r="L91" s="7">
        <f t="shared" ref="L91" si="430">ROUND(IF((Y91*A91*G91)&gt;(J91+(X91*A91)+K91+(U91*A91)),(Y91*A91),((J91+(X91*A91)+K91+(U91*A91))/G91)),1)</f>
        <v>24351.8</v>
      </c>
      <c r="M91" s="5">
        <f t="shared" ref="M91" si="431">+L91*G91</f>
        <v>608795</v>
      </c>
      <c r="N91" s="8">
        <f>VLOOKUP((J91/A91),Variables!$A$3:$C$8,2,TRUE())</f>
        <v>0.28000000000000003</v>
      </c>
      <c r="O91" s="42">
        <f t="shared" ref="O91" si="432">+U91*A91</f>
        <v>170462.5373134329</v>
      </c>
      <c r="P91" s="40"/>
      <c r="Q91" s="41" t="str">
        <f>IF(P91&gt;0,ROUND(((Y91*A91)/(1-(P91*(1+Variables!$B$10)))),1),"")</f>
        <v/>
      </c>
      <c r="U91" s="27">
        <f t="shared" ref="U91" si="433">+IF(((Y91*G91)-W91-X91)&lt;V91,V91,((Y91*G91)-W91-X91))</f>
        <v>467.02065017378879</v>
      </c>
      <c r="V91" s="27">
        <f>VLOOKUP((J91/A91),Variables!$A$3:$C$8,3,TRUE())</f>
        <v>122</v>
      </c>
      <c r="W91" s="27">
        <f t="shared" ref="W91" si="434">+(J91+K91)/A91</f>
        <v>1117.513698630137</v>
      </c>
      <c r="X91" s="24">
        <f>+Z91/A91*Variables!$B$10</f>
        <v>83.396544673890844</v>
      </c>
      <c r="Y91" s="28">
        <f>+(W91/(1-(N91+Variables!$B$10)))/G91</f>
        <v>66.717235739112667</v>
      </c>
      <c r="Z91" s="5">
        <f t="shared" ref="Z91" si="435">+Y91*G91*A91</f>
        <v>608794.77611940308</v>
      </c>
      <c r="AM91" s="18"/>
      <c r="AN91" s="18"/>
      <c r="AO91" s="18"/>
      <c r="AP91" s="18"/>
      <c r="AQ91" s="18"/>
    </row>
    <row r="92" spans="1:43" ht="15" customHeight="1" x14ac:dyDescent="0.3">
      <c r="A92" s="43">
        <v>365</v>
      </c>
      <c r="B92" s="88">
        <v>45209</v>
      </c>
      <c r="C92" s="3" t="s">
        <v>220</v>
      </c>
      <c r="D92" s="3" t="s">
        <v>137</v>
      </c>
      <c r="E92" s="3" t="s">
        <v>222</v>
      </c>
      <c r="F92" s="57" t="s">
        <v>34</v>
      </c>
      <c r="G92" s="3">
        <v>25</v>
      </c>
      <c r="H92" s="35">
        <f>18.43*365.5+350</f>
        <v>7086.165</v>
      </c>
      <c r="I92" s="36"/>
      <c r="J92" s="19">
        <f t="shared" ref="J92:J93" si="436">(G92*H92)+I92</f>
        <v>177154.125</v>
      </c>
      <c r="K92" s="90">
        <v>4000</v>
      </c>
      <c r="L92" s="7">
        <f t="shared" ref="L92:L93" si="437">ROUND(IF((Y92*A92*G92)&gt;(J92+(X92*A92)+K92+(U92*A92)),(Y92*A92),((J92+(X92*A92)+K92+(U92*A92))/G92)),1)</f>
        <v>10815.2</v>
      </c>
      <c r="M92" s="5">
        <f t="shared" ref="M92:M93" si="438">+L92*G92</f>
        <v>270380</v>
      </c>
      <c r="N92" s="8">
        <f>VLOOKUP((J92/A92),Variables!$A$3:$C$8,2,TRUE())</f>
        <v>0.28000000000000003</v>
      </c>
      <c r="O92" s="42">
        <f t="shared" ref="O92:O93" si="439">+U92*A92</f>
        <v>75706.201492537351</v>
      </c>
      <c r="P92" s="40"/>
      <c r="Q92" s="41" t="str">
        <f>IF(P92&gt;0,ROUND(((Y92*A92)/(1-(P92*(1+Variables!$B$10)))),1),"")</f>
        <v/>
      </c>
      <c r="U92" s="27">
        <f t="shared" ref="U92:U93" si="440">+IF(((Y92*G92)-W92-X92)&lt;V92,V92,((Y92*G92)-W92-X92))</f>
        <v>207.41425066448588</v>
      </c>
      <c r="V92" s="27">
        <f>VLOOKUP((J92/A92),Variables!$A$3:$C$8,3,TRUE())</f>
        <v>122</v>
      </c>
      <c r="W92" s="27">
        <f t="shared" ref="W92:W93" si="441">+(J92+K92)/A92</f>
        <v>496.31267123287671</v>
      </c>
      <c r="X92" s="24">
        <f>+Z92/A92*Variables!$B$10</f>
        <v>37.038259047229609</v>
      </c>
      <c r="Y92" s="28">
        <f>+(W92/(1-(N92+Variables!$B$10)))/G92</f>
        <v>29.630607237783689</v>
      </c>
      <c r="Z92" s="5">
        <f t="shared" ref="Z92:Z93" si="442">+Y92*G92*A92</f>
        <v>270379.29104477615</v>
      </c>
      <c r="AM92" s="18"/>
      <c r="AN92" s="18"/>
      <c r="AO92" s="18"/>
      <c r="AP92" s="18"/>
      <c r="AQ92" s="18"/>
    </row>
    <row r="93" spans="1:43" ht="15" customHeight="1" x14ac:dyDescent="0.3">
      <c r="A93" s="43">
        <v>365</v>
      </c>
      <c r="B93" s="88">
        <v>45229</v>
      </c>
      <c r="C93" s="3" t="s">
        <v>220</v>
      </c>
      <c r="D93" s="3" t="s">
        <v>52</v>
      </c>
      <c r="E93" s="3" t="s">
        <v>221</v>
      </c>
      <c r="F93" s="57" t="s">
        <v>34</v>
      </c>
      <c r="G93" s="3">
        <v>10</v>
      </c>
      <c r="H93" s="35">
        <f>15.19*930+350</f>
        <v>14476.699999999999</v>
      </c>
      <c r="I93" s="36"/>
      <c r="J93" s="19">
        <f t="shared" si="436"/>
        <v>144767</v>
      </c>
      <c r="K93" s="90">
        <f>4000+4000</f>
        <v>8000</v>
      </c>
      <c r="L93" s="7">
        <f t="shared" si="437"/>
        <v>23502.6</v>
      </c>
      <c r="M93" s="5">
        <f t="shared" si="438"/>
        <v>235026</v>
      </c>
      <c r="N93" s="8">
        <f>VLOOKUP((J93/A93),Variables!$A$3:$C$8,2,TRUE())</f>
        <v>0.3</v>
      </c>
      <c r="O93" s="42">
        <f t="shared" si="439"/>
        <v>70507.846153846156</v>
      </c>
      <c r="P93" s="40"/>
      <c r="Q93" s="41" t="str">
        <f>IF(P93&gt;0,ROUND(((Y93*A93)/(1-(P93*(1+Variables!$B$10)))),1),"")</f>
        <v/>
      </c>
      <c r="U93" s="27">
        <f t="shared" si="440"/>
        <v>193.17218124341412</v>
      </c>
      <c r="V93" s="27">
        <f>VLOOKUP((J93/A93),Variables!$A$3:$C$8,3,TRUE())</f>
        <v>81.632653061224488</v>
      </c>
      <c r="W93" s="27">
        <f t="shared" si="441"/>
        <v>418.53972602739725</v>
      </c>
      <c r="X93" s="24">
        <f>+Z93/A93*Variables!$B$10</f>
        <v>32.195363540569019</v>
      </c>
      <c r="Y93" s="28">
        <f>+(W93/(1-(N93+Variables!$B$10)))/G93</f>
        <v>64.390727081138039</v>
      </c>
      <c r="Z93" s="5">
        <f t="shared" si="442"/>
        <v>235026.15384615384</v>
      </c>
      <c r="AM93" s="18"/>
      <c r="AN93" s="18"/>
      <c r="AO93" s="18"/>
      <c r="AP93" s="18"/>
      <c r="AQ93" s="18"/>
    </row>
    <row r="94" spans="1:43" ht="15" customHeight="1" x14ac:dyDescent="0.3">
      <c r="A94" s="43">
        <v>365</v>
      </c>
      <c r="B94" s="88">
        <v>45229</v>
      </c>
      <c r="C94" s="3" t="s">
        <v>220</v>
      </c>
      <c r="D94" s="3" t="s">
        <v>137</v>
      </c>
      <c r="E94" s="3" t="s">
        <v>222</v>
      </c>
      <c r="F94" s="57" t="s">
        <v>34</v>
      </c>
      <c r="G94" s="3">
        <v>10</v>
      </c>
      <c r="H94" s="35">
        <f>20.64*365.5+350</f>
        <v>7893.92</v>
      </c>
      <c r="I94" s="36"/>
      <c r="J94" s="19">
        <f t="shared" ref="J94" si="443">(G94*H94)+I94</f>
        <v>78939.199999999997</v>
      </c>
      <c r="K94" s="90">
        <v>4000</v>
      </c>
      <c r="L94" s="7">
        <f t="shared" ref="L94" si="444">ROUND(IF((Y94*A94*G94)&gt;(J94+(X94*A94)+K94+(U94*A94)),(Y94*A94),((J94+(X94*A94)+K94+(U94*A94))/G94)),1)</f>
        <v>12759.9</v>
      </c>
      <c r="M94" s="5">
        <f t="shared" ref="M94" si="445">+L94*G94</f>
        <v>127599</v>
      </c>
      <c r="N94" s="8">
        <f>VLOOKUP((J94/A94),Variables!$A$3:$C$8,2,TRUE())</f>
        <v>0.3</v>
      </c>
      <c r="O94" s="42">
        <f t="shared" ref="O94" si="446">+U94*A94</f>
        <v>38279.63076923076</v>
      </c>
      <c r="P94" s="40"/>
      <c r="Q94" s="41" t="str">
        <f>IF(P94&gt;0,ROUND(((Y94*A94)/(1-(P94*(1+Variables!$B$10)))),1),"")</f>
        <v/>
      </c>
      <c r="U94" s="27">
        <f t="shared" ref="U94" si="447">+IF(((Y94*G94)-W94-X94)&lt;V94,V94,((Y94*G94)-W94-X94))</f>
        <v>104.87570073761852</v>
      </c>
      <c r="V94" s="27">
        <f>VLOOKUP((J94/A94),Variables!$A$3:$C$8,3,TRUE())</f>
        <v>81.632653061224488</v>
      </c>
      <c r="W94" s="27">
        <f t="shared" ref="W94" si="448">+(J94+K94)/A94</f>
        <v>227.23068493150683</v>
      </c>
      <c r="X94" s="24">
        <f>+Z94/A94*Variables!$B$10</f>
        <v>17.479283456269755</v>
      </c>
      <c r="Y94" s="28">
        <f>+(W94/(1-(N94+Variables!$B$10)))/G94</f>
        <v>34.95856691253951</v>
      </c>
      <c r="Z94" s="5">
        <f t="shared" ref="Z94" si="449">+Y94*G94*A94</f>
        <v>127598.76923076921</v>
      </c>
      <c r="AM94" s="18"/>
      <c r="AN94" s="18"/>
      <c r="AO94" s="18"/>
      <c r="AP94" s="18"/>
      <c r="AQ94" s="18"/>
    </row>
    <row r="95" spans="1:43" ht="15" customHeight="1" x14ac:dyDescent="0.3">
      <c r="A95" s="43">
        <v>365</v>
      </c>
      <c r="B95" s="88">
        <v>45209</v>
      </c>
      <c r="C95" s="3" t="s">
        <v>223</v>
      </c>
      <c r="D95" s="3" t="s">
        <v>49</v>
      </c>
      <c r="E95" s="3" t="s">
        <v>224</v>
      </c>
      <c r="F95" s="57" t="s">
        <v>154</v>
      </c>
      <c r="G95" s="3">
        <v>1000</v>
      </c>
      <c r="H95" s="35">
        <v>618.67999999999995</v>
      </c>
      <c r="I95" s="36"/>
      <c r="J95" s="19">
        <f t="shared" ref="J95" si="450">(G95*H95)+I95</f>
        <v>618680</v>
      </c>
      <c r="K95" s="90">
        <v>7000</v>
      </c>
      <c r="L95" s="7">
        <f t="shared" ref="L95" si="451">ROUND(IF((Y95*A95*G95)&gt;(J95+(X95*A95)+K95+(U95*A95)),(Y95*A95),((J95+(X95*A95)+K95+(U95*A95))/G95)),1)</f>
        <v>893.8</v>
      </c>
      <c r="M95" s="5">
        <f t="shared" ref="M95" si="452">+L95*G95</f>
        <v>893800</v>
      </c>
      <c r="N95" s="8">
        <f>VLOOKUP((J95/A95),Variables!$A$3:$C$8,2,TRUE())</f>
        <v>0.25</v>
      </c>
      <c r="O95" s="42">
        <f t="shared" ref="O95" si="453">+U95*A95</f>
        <v>223457.14285714284</v>
      </c>
      <c r="P95" s="40"/>
      <c r="Q95" s="41" t="str">
        <f>IF(P95&gt;0,ROUND(((Y95*A95)/(1-(P95*(1+Variables!$B$10)))),1),"")</f>
        <v/>
      </c>
      <c r="U95" s="27">
        <f t="shared" ref="U95" si="454">+IF(((Y95*G95)-W95-X95)&lt;V95,V95,((Y95*G95)-W95-X95))</f>
        <v>612.21135029354207</v>
      </c>
      <c r="V95" s="27">
        <f>VLOOKUP((J95/A95),Variables!$A$3:$C$8,3,TRUE())</f>
        <v>400</v>
      </c>
      <c r="W95" s="27">
        <f t="shared" ref="W95" si="455">+(J95+K95)/A95</f>
        <v>1714.1917808219177</v>
      </c>
      <c r="X95" s="24">
        <f>+Z95/A95*Variables!$B$10</f>
        <v>122.44227005870842</v>
      </c>
      <c r="Y95" s="28">
        <f>+(W95/(1-(N95+Variables!$B$10)))/G95</f>
        <v>2.4488454011741685</v>
      </c>
      <c r="Z95" s="5">
        <f t="shared" ref="Z95" si="456">+Y95*G95*A95</f>
        <v>893828.57142857136</v>
      </c>
      <c r="AM95" s="18"/>
      <c r="AN95" s="18"/>
      <c r="AO95" s="18"/>
      <c r="AP95" s="18"/>
      <c r="AQ95" s="18"/>
    </row>
    <row r="96" spans="1:43" ht="15" customHeight="1" x14ac:dyDescent="0.3">
      <c r="A96" s="43">
        <v>365</v>
      </c>
      <c r="B96" s="88">
        <v>45222</v>
      </c>
      <c r="C96" s="3" t="s">
        <v>225</v>
      </c>
      <c r="D96" s="3" t="s">
        <v>226</v>
      </c>
      <c r="E96" s="3" t="s">
        <v>227</v>
      </c>
      <c r="F96" s="57" t="s">
        <v>61</v>
      </c>
      <c r="G96" s="3">
        <v>15</v>
      </c>
      <c r="H96" s="35">
        <v>4550</v>
      </c>
      <c r="I96" s="36"/>
      <c r="J96" s="19">
        <f t="shared" ref="J96" si="457">(G96*H96)+I96</f>
        <v>68250</v>
      </c>
      <c r="K96" s="90">
        <f>5000+J96*0.5*0.06+J96*0.5*0.06</f>
        <v>9095</v>
      </c>
      <c r="L96" s="7">
        <f t="shared" ref="L96" si="458">ROUND(IF((Y96*A96*G96)&gt;(J96+(X96*A96)+K96+(U96*A96)),(Y96*A96),((J96+(X96*A96)+K96+(U96*A96))/G96)),1)</f>
        <v>7932.8</v>
      </c>
      <c r="M96" s="5">
        <f t="shared" ref="M96" si="459">+L96*G96</f>
        <v>118992</v>
      </c>
      <c r="N96" s="8">
        <f>VLOOKUP((J96/A96),Variables!$A$3:$C$8,2,TRUE())</f>
        <v>0.3</v>
      </c>
      <c r="O96" s="42">
        <f t="shared" ref="O96" si="460">+U96*A96</f>
        <v>35697.69230769229</v>
      </c>
      <c r="P96" s="40"/>
      <c r="Q96" s="41" t="str">
        <f>IF(P96&gt;0,ROUND(((Y96*A96)/(1-(P96*(1+Variables!$B$10)))),1),"")</f>
        <v/>
      </c>
      <c r="U96" s="27">
        <f t="shared" ref="U96" si="461">+IF(((Y96*G96)-W96-X96)&lt;V96,V96,((Y96*G96)-W96-X96))</f>
        <v>97.801896733403538</v>
      </c>
      <c r="V96" s="27">
        <f>VLOOKUP((J96/A96),Variables!$A$3:$C$8,3,TRUE())</f>
        <v>81.632653061224488</v>
      </c>
      <c r="W96" s="27">
        <f t="shared" ref="W96" si="462">+(J96+K96)/A96</f>
        <v>211.9041095890411</v>
      </c>
      <c r="X96" s="24">
        <f>+Z96/A96*Variables!$B$10</f>
        <v>16.30031612223393</v>
      </c>
      <c r="Y96" s="28">
        <f>+(W96/(1-(N96+Variables!$B$10)))/G96</f>
        <v>21.733754829645239</v>
      </c>
      <c r="Z96" s="5">
        <f t="shared" ref="Z96" si="463">+Y96*G96*A96</f>
        <v>118992.30769230767</v>
      </c>
      <c r="AM96" s="18"/>
      <c r="AN96" s="18"/>
      <c r="AO96" s="18"/>
      <c r="AP96" s="18"/>
      <c r="AQ96" s="18"/>
    </row>
    <row r="97" spans="1:43" ht="15" customHeight="1" x14ac:dyDescent="0.3">
      <c r="A97" s="43">
        <v>365</v>
      </c>
      <c r="B97" s="88">
        <v>45226</v>
      </c>
      <c r="C97" s="3" t="s">
        <v>225</v>
      </c>
      <c r="D97" s="3" t="s">
        <v>226</v>
      </c>
      <c r="E97" s="3" t="s">
        <v>227</v>
      </c>
      <c r="F97" s="57" t="s">
        <v>365</v>
      </c>
      <c r="G97" s="3">
        <v>15</v>
      </c>
      <c r="H97" s="35">
        <f>4550-300</f>
        <v>4250</v>
      </c>
      <c r="I97" s="36"/>
      <c r="J97" s="19">
        <f t="shared" ref="J97" si="464">(G97*H97)+I97</f>
        <v>63750</v>
      </c>
      <c r="K97" s="90">
        <f>5000+J97*0.5*0.06+J97*0.5*0.06</f>
        <v>8825</v>
      </c>
      <c r="L97" s="7">
        <f t="shared" ref="L97" si="465">ROUND(IF((Y97*A97*G97)&gt;(J97+(X97*A97)+K97+(U97*A97)),(Y97*A97),((J97+(X97*A97)+K97+(U97*A97))/G97)),1)</f>
        <v>7443.6</v>
      </c>
      <c r="M97" s="5">
        <f t="shared" ref="M97" si="466">+L97*G97</f>
        <v>111654</v>
      </c>
      <c r="N97" s="8">
        <f>VLOOKUP((J97/A97),Variables!$A$3:$C$8,2,TRUE())</f>
        <v>0.3</v>
      </c>
      <c r="O97" s="42">
        <f t="shared" ref="O97" si="467">+U97*A97</f>
        <v>33496.153846153851</v>
      </c>
      <c r="P97" s="40"/>
      <c r="Q97" s="41" t="str">
        <f>IF(P97&gt;0,ROUND(((Y97*A97)/(1-(P97*(1+Variables!$B$10)))),1),"")</f>
        <v/>
      </c>
      <c r="U97" s="27">
        <f t="shared" ref="U97" si="468">+IF(((Y97*G97)-W97-X97)&lt;V97,V97,((Y97*G97)-W97-X97))</f>
        <v>91.770284510010555</v>
      </c>
      <c r="V97" s="27">
        <f>VLOOKUP((J97/A97),Variables!$A$3:$C$8,3,TRUE())</f>
        <v>81.632653061224488</v>
      </c>
      <c r="W97" s="27">
        <f t="shared" ref="W97" si="469">+(J97+K97)/A97</f>
        <v>198.83561643835617</v>
      </c>
      <c r="X97" s="24">
        <f>+Z97/A97*Variables!$B$10</f>
        <v>15.295047418335091</v>
      </c>
      <c r="Y97" s="28">
        <f>+(W97/(1-(N97+Variables!$B$10)))/G97</f>
        <v>20.393396557780122</v>
      </c>
      <c r="Z97" s="5">
        <f t="shared" ref="Z97" si="470">+Y97*G97*A97</f>
        <v>111653.84615384616</v>
      </c>
      <c r="AM97" s="18"/>
      <c r="AN97" s="18"/>
      <c r="AO97" s="18"/>
      <c r="AP97" s="18"/>
      <c r="AQ97" s="18"/>
    </row>
    <row r="98" spans="1:43" ht="15" customHeight="1" x14ac:dyDescent="0.3">
      <c r="A98" s="43">
        <v>365</v>
      </c>
      <c r="B98" s="88">
        <v>45226</v>
      </c>
      <c r="C98" s="3" t="s">
        <v>225</v>
      </c>
      <c r="D98" s="3" t="s">
        <v>226</v>
      </c>
      <c r="E98" s="3" t="s">
        <v>384</v>
      </c>
      <c r="F98" s="57" t="s">
        <v>365</v>
      </c>
      <c r="G98" s="3">
        <v>15</v>
      </c>
      <c r="H98" s="35">
        <f>4550-300</f>
        <v>4250</v>
      </c>
      <c r="I98" s="36">
        <v>30000</v>
      </c>
      <c r="J98" s="19">
        <f t="shared" ref="J98" si="471">(G98*H98)+I98</f>
        <v>93750</v>
      </c>
      <c r="K98" s="90">
        <f>5000+J98*0.5*0.06+J98*0.5*0.06</f>
        <v>10625</v>
      </c>
      <c r="L98" s="7">
        <f t="shared" ref="L98" si="472">ROUND(IF((Y98*A98*G98)&gt;(J98+(X98*A98)+K98+(U98*A98)),(Y98*A98),((J98+(X98*A98)+K98+(U98*A98))/G98)),1)</f>
        <v>10705.1</v>
      </c>
      <c r="M98" s="5">
        <f t="shared" ref="M98" si="473">+L98*G98</f>
        <v>160576.5</v>
      </c>
      <c r="N98" s="8">
        <f>VLOOKUP((J98/A98),Variables!$A$3:$C$8,2,TRUE())</f>
        <v>0.3</v>
      </c>
      <c r="O98" s="42">
        <f t="shared" ref="O98" si="474">+U98*A98</f>
        <v>48173.076923076922</v>
      </c>
      <c r="P98" s="40"/>
      <c r="Q98" s="41" t="str">
        <f>IF(P98&gt;0,ROUND(((Y98*A98)/(1-(P98*(1+Variables!$B$10)))),1),"")</f>
        <v/>
      </c>
      <c r="U98" s="27">
        <f t="shared" ref="U98" si="475">+IF(((Y98*G98)-W98-X98)&lt;V98,V98,((Y98*G98)-W98-X98))</f>
        <v>131.98103266596416</v>
      </c>
      <c r="V98" s="27">
        <f>VLOOKUP((J98/A98),Variables!$A$3:$C$8,3,TRUE())</f>
        <v>81.632653061224488</v>
      </c>
      <c r="W98" s="27">
        <f t="shared" ref="W98" si="476">+(J98+K98)/A98</f>
        <v>285.95890410958901</v>
      </c>
      <c r="X98" s="24">
        <f>+Z98/A98*Variables!$B$10</f>
        <v>21.996838777660695</v>
      </c>
      <c r="Y98" s="28">
        <f>+(W98/(1-(N98+Variables!$B$10)))/G98</f>
        <v>29.329118370214257</v>
      </c>
      <c r="Z98" s="5">
        <f t="shared" ref="Z98" si="477">+Y98*G98*A98</f>
        <v>160576.92307692306</v>
      </c>
      <c r="AM98" s="18"/>
      <c r="AN98" s="18"/>
      <c r="AO98" s="18"/>
      <c r="AP98" s="18"/>
      <c r="AQ98" s="18"/>
    </row>
    <row r="99" spans="1:43" ht="15" customHeight="1" x14ac:dyDescent="0.3">
      <c r="A99" s="43">
        <v>365</v>
      </c>
      <c r="B99" s="88">
        <v>45223</v>
      </c>
      <c r="C99" s="3" t="s">
        <v>228</v>
      </c>
      <c r="D99" s="106" t="s">
        <v>78</v>
      </c>
      <c r="E99" s="3" t="s">
        <v>229</v>
      </c>
      <c r="F99" s="106" t="s">
        <v>230</v>
      </c>
      <c r="G99" s="107">
        <v>200</v>
      </c>
      <c r="H99" s="107">
        <v>1392.5371</v>
      </c>
      <c r="I99" s="36"/>
      <c r="J99" s="19">
        <f t="shared" ref="J99" si="478">(G99*H99)+I99</f>
        <v>278507.42</v>
      </c>
      <c r="K99" s="90">
        <v>4000</v>
      </c>
      <c r="L99" s="7">
        <f t="shared" ref="L99" si="479">ROUND(IF((Y99*A99*G99)&gt;(J99+(X99*A99)+K99+(U99*A99)),(Y99*A99),((J99+(X99*A99)+K99+(U99*A99))/G99)),1)</f>
        <v>2108.3000000000002</v>
      </c>
      <c r="M99" s="5">
        <f t="shared" ref="M99" si="480">+L99*G99</f>
        <v>421660.00000000006</v>
      </c>
      <c r="N99" s="8">
        <f>VLOOKUP((J99/A99),Variables!$A$3:$C$8,2,TRUE())</f>
        <v>0.28000000000000003</v>
      </c>
      <c r="O99" s="42">
        <f t="shared" ref="O99" si="481">+U99*A99</f>
        <v>118062.80238805975</v>
      </c>
      <c r="P99" s="40"/>
      <c r="Q99" s="41" t="str">
        <f>IF(P99&gt;0,ROUND(((Y99*A99)/(1-(P99*(1+Variables!$B$10)))),1),"")</f>
        <v/>
      </c>
      <c r="U99" s="27">
        <f t="shared" ref="U99" si="482">+IF(((Y99*G99)-W99-X99)&lt;V99,V99,((Y99*G99)-W99-X99))</f>
        <v>323.45973257002669</v>
      </c>
      <c r="V99" s="27">
        <f>VLOOKUP((J99/A99),Variables!$A$3:$C$8,3,TRUE())</f>
        <v>122</v>
      </c>
      <c r="W99" s="27">
        <f t="shared" ref="W99" si="483">+(J99+K99)/A99</f>
        <v>773.99293150684923</v>
      </c>
      <c r="X99" s="24">
        <f>+Z99/A99*Variables!$B$10</f>
        <v>57.760666530361895</v>
      </c>
      <c r="Y99" s="28">
        <f>+(W99/(1-(N99+Variables!$B$10)))/G99</f>
        <v>5.7760666530361888</v>
      </c>
      <c r="Z99" s="5">
        <f t="shared" ref="Z99" si="484">+Y99*G99*A99</f>
        <v>421652.86567164183</v>
      </c>
      <c r="AM99" s="18"/>
      <c r="AN99" s="18"/>
      <c r="AO99" s="18"/>
      <c r="AP99" s="18"/>
      <c r="AQ99" s="18"/>
    </row>
    <row r="100" spans="1:43" ht="15" customHeight="1" x14ac:dyDescent="0.3">
      <c r="A100" s="43">
        <v>365</v>
      </c>
      <c r="B100" s="88">
        <v>45223</v>
      </c>
      <c r="C100" s="3" t="s">
        <v>228</v>
      </c>
      <c r="D100" s="106" t="s">
        <v>231</v>
      </c>
      <c r="E100" s="3" t="s">
        <v>232</v>
      </c>
      <c r="F100" s="106" t="s">
        <v>233</v>
      </c>
      <c r="G100" s="107">
        <v>200</v>
      </c>
      <c r="H100" s="107">
        <v>223.9</v>
      </c>
      <c r="I100" s="36"/>
      <c r="J100" s="19">
        <f t="shared" ref="J100" si="485">(G100*H100)+I100</f>
        <v>44780</v>
      </c>
      <c r="K100" s="90">
        <v>1500</v>
      </c>
      <c r="L100" s="7">
        <f t="shared" ref="L100" si="486">ROUND(IF((Y100*A100*G100)&gt;(J100+(X100*A100)+K100+(U100*A100)),(Y100*A100),((J100+(X100*A100)+K100+(U100*A100))/G100)),1)</f>
        <v>398.2</v>
      </c>
      <c r="M100" s="5">
        <f t="shared" ref="M100" si="487">+L100*G100</f>
        <v>79640</v>
      </c>
      <c r="N100" s="8">
        <f>VLOOKUP((J100/A100),Variables!$A$3:$C$8,2,TRUE())</f>
        <v>0.3</v>
      </c>
      <c r="O100" s="42">
        <f t="shared" ref="O100" si="488">+U100*A100</f>
        <v>29795.918367346938</v>
      </c>
      <c r="P100" s="40"/>
      <c r="Q100" s="41" t="str">
        <f>IF(P100&gt;0,ROUND(((Y100*A100)/(1-(P100*(1+Variables!$B$10)))),1),"")</f>
        <v/>
      </c>
      <c r="U100" s="27">
        <f t="shared" ref="U100" si="489">+IF(((Y100*G100)-W100-X100)&lt;V100,V100,((Y100*G100)-W100-X100))</f>
        <v>81.632653061224488</v>
      </c>
      <c r="V100" s="27">
        <f>VLOOKUP((J100/A100),Variables!$A$3:$C$8,3,TRUE())</f>
        <v>81.632653061224488</v>
      </c>
      <c r="W100" s="27">
        <f t="shared" ref="W100" si="490">+(J100+K100)/A100</f>
        <v>126.79452054794521</v>
      </c>
      <c r="X100" s="24">
        <f>+Z100/A100*Variables!$B$10</f>
        <v>9.7534246575342465</v>
      </c>
      <c r="Y100" s="28">
        <f>+(W100/(1-(N100+Variables!$B$10)))/G100</f>
        <v>0.97534246575342465</v>
      </c>
      <c r="Z100" s="5">
        <f t="shared" ref="Z100" si="491">+Y100*G100*A100</f>
        <v>71200</v>
      </c>
      <c r="AM100" s="18"/>
      <c r="AN100" s="18"/>
      <c r="AO100" s="18"/>
      <c r="AP100" s="18"/>
      <c r="AQ100" s="18"/>
    </row>
    <row r="101" spans="1:43" ht="15" customHeight="1" x14ac:dyDescent="0.3">
      <c r="A101" s="43">
        <v>365</v>
      </c>
      <c r="B101" s="88">
        <v>45223</v>
      </c>
      <c r="C101" s="3" t="s">
        <v>228</v>
      </c>
      <c r="D101" s="106" t="s">
        <v>65</v>
      </c>
      <c r="E101" s="3" t="s">
        <v>234</v>
      </c>
      <c r="F101" s="106" t="s">
        <v>235</v>
      </c>
      <c r="G101" s="3">
        <v>100</v>
      </c>
      <c r="H101" s="35">
        <v>335</v>
      </c>
      <c r="I101" s="36"/>
      <c r="J101" s="19">
        <f t="shared" ref="J101" si="492">(G101*H101)+I101</f>
        <v>33500</v>
      </c>
      <c r="K101" s="90">
        <v>6000</v>
      </c>
      <c r="L101" s="7">
        <f t="shared" ref="L101" si="493">ROUND(IF((Y101*A101*G101)&gt;(J101+(X101*A101)+K101+(U101*A101)),(Y101*A101),((J101+(X101*A101)+K101+(U101*A101))/G101)),1)</f>
        <v>723.3</v>
      </c>
      <c r="M101" s="5">
        <f t="shared" ref="M101" si="494">+L101*G101</f>
        <v>72330</v>
      </c>
      <c r="N101" s="8">
        <f>VLOOKUP((J101/A101),Variables!$A$3:$C$8,2,TRUE())</f>
        <v>0.3</v>
      </c>
      <c r="O101" s="42">
        <f t="shared" ref="O101" si="495">+U101*A101</f>
        <v>29795.918367346938</v>
      </c>
      <c r="P101" s="40"/>
      <c r="Q101" s="41" t="str">
        <f>IF(P101&gt;0,ROUND(((Y101*A101)/(1-(P101*(1+Variables!$B$10)))),1),"")</f>
        <v/>
      </c>
      <c r="U101" s="27">
        <f t="shared" ref="U101" si="496">+IF(((Y101*G101)-W101-X101)&lt;V101,V101,((Y101*G101)-W101-X101))</f>
        <v>81.632653061224488</v>
      </c>
      <c r="V101" s="27">
        <f>VLOOKUP((J101/A101),Variables!$A$3:$C$8,3,TRUE())</f>
        <v>81.632653061224488</v>
      </c>
      <c r="W101" s="27">
        <f t="shared" ref="W101" si="497">+(J101+K101)/A101</f>
        <v>108.21917808219177</v>
      </c>
      <c r="X101" s="24">
        <f>+Z101/A101*Variables!$B$10</f>
        <v>8.324552160168599</v>
      </c>
      <c r="Y101" s="28">
        <f>+(W101/(1-(N101+Variables!$B$10)))/G101</f>
        <v>1.6649104320337196</v>
      </c>
      <c r="Z101" s="5">
        <f t="shared" ref="Z101" si="498">+Y101*G101*A101</f>
        <v>60769.230769230766</v>
      </c>
      <c r="AM101" s="18"/>
      <c r="AN101" s="18"/>
      <c r="AO101" s="18"/>
      <c r="AP101" s="18"/>
      <c r="AQ101" s="18"/>
    </row>
    <row r="102" spans="1:43" ht="15" customHeight="1" x14ac:dyDescent="0.3">
      <c r="A102" s="43">
        <v>365</v>
      </c>
      <c r="B102" s="88">
        <v>45223</v>
      </c>
      <c r="C102" s="3" t="s">
        <v>228</v>
      </c>
      <c r="D102" s="106"/>
      <c r="E102" s="76" t="s">
        <v>236</v>
      </c>
      <c r="F102" s="106"/>
      <c r="G102" s="3">
        <v>1</v>
      </c>
      <c r="H102" s="35">
        <f>+H99*G99+H100*G100+H101*G101</f>
        <v>356787.42</v>
      </c>
      <c r="I102" s="36"/>
      <c r="J102" s="19">
        <f t="shared" ref="J102:J104" si="499">(G102*H102)+I102</f>
        <v>356787.42</v>
      </c>
      <c r="K102" s="90">
        <f>+K99+K100+K101</f>
        <v>11500</v>
      </c>
      <c r="L102" s="7">
        <f t="shared" ref="L102:L104" si="500">ROUND(IF((Y102*A102*G102)&gt;(J102+(X102*A102)+K102+(U102*A102)),(Y102*A102),((J102+(X102*A102)+K102+(U102*A102))/G102)),1)</f>
        <v>549682.69999999995</v>
      </c>
      <c r="M102" s="5">
        <f t="shared" ref="M102:M104" si="501">+L102*G102</f>
        <v>549682.69999999995</v>
      </c>
      <c r="N102" s="8">
        <f>VLOOKUP((J102/A102),Variables!$A$3:$C$8,2,TRUE())</f>
        <v>0.28000000000000003</v>
      </c>
      <c r="O102" s="42">
        <f t="shared" ref="O102:O104" si="502">+U102*A102</f>
        <v>153911.16059701497</v>
      </c>
      <c r="P102" s="40"/>
      <c r="Q102" s="41" t="str">
        <f>IF(P102&gt;0,ROUND(((Y102*A102)/(1-(P102*(1+Variables!$B$10)))),1),"")</f>
        <v/>
      </c>
      <c r="U102" s="27">
        <f t="shared" ref="U102:U104" si="503">+IF(((Y102*G102)-W102-X102)&lt;V102,V102,((Y102*G102)-W102-X102))</f>
        <v>421.67441259456155</v>
      </c>
      <c r="V102" s="27">
        <f>VLOOKUP((J102/A102),Variables!$A$3:$C$8,3,TRUE())</f>
        <v>122</v>
      </c>
      <c r="W102" s="27">
        <f t="shared" ref="W102:W104" si="504">+(J102+K102)/A102</f>
        <v>1009.0066301369862</v>
      </c>
      <c r="X102" s="24">
        <f>+Z102/A102*Variables!$B$10</f>
        <v>75.299002249028817</v>
      </c>
      <c r="Y102" s="28">
        <f>+(W102/(1-(N102+Variables!$B$10)))/G102</f>
        <v>1505.9800449805766</v>
      </c>
      <c r="Z102" s="5">
        <f t="shared" ref="Z102:Z104" si="505">+Y102*G102*A102</f>
        <v>549682.71641791041</v>
      </c>
      <c r="AM102" s="18"/>
      <c r="AN102" s="18"/>
      <c r="AO102" s="18"/>
      <c r="AP102" s="18"/>
      <c r="AQ102" s="18"/>
    </row>
    <row r="103" spans="1:43" ht="15" customHeight="1" x14ac:dyDescent="0.3">
      <c r="A103" s="43">
        <v>365</v>
      </c>
      <c r="B103" s="88">
        <v>45223</v>
      </c>
      <c r="C103" s="3" t="s">
        <v>237</v>
      </c>
      <c r="D103" s="106" t="s">
        <v>238</v>
      </c>
      <c r="E103" s="3" t="s">
        <v>240</v>
      </c>
      <c r="F103" s="106" t="s">
        <v>154</v>
      </c>
      <c r="G103" s="107">
        <v>150</v>
      </c>
      <c r="H103" s="107">
        <v>780</v>
      </c>
      <c r="I103" s="36"/>
      <c r="J103" s="19">
        <f t="shared" si="499"/>
        <v>117000</v>
      </c>
      <c r="K103" s="90">
        <v>1500</v>
      </c>
      <c r="L103" s="7">
        <f t="shared" si="500"/>
        <v>1215.4000000000001</v>
      </c>
      <c r="M103" s="5">
        <f t="shared" si="501"/>
        <v>182310</v>
      </c>
      <c r="N103" s="8">
        <f>VLOOKUP((J103/A103),Variables!$A$3:$C$8,2,TRUE())</f>
        <v>0.3</v>
      </c>
      <c r="O103" s="42">
        <f t="shared" si="502"/>
        <v>54692.307692307681</v>
      </c>
      <c r="P103" s="40"/>
      <c r="Q103" s="41" t="str">
        <f>IF(P103&gt;0,ROUND(((Y103*A103)/(1-(P103*(1+Variables!$B$10)))),1),"")</f>
        <v/>
      </c>
      <c r="U103" s="27">
        <f t="shared" si="503"/>
        <v>149.84193888303474</v>
      </c>
      <c r="V103" s="27">
        <f>VLOOKUP((J103/A103),Variables!$A$3:$C$8,3,TRUE())</f>
        <v>81.632653061224488</v>
      </c>
      <c r="W103" s="27">
        <f t="shared" si="504"/>
        <v>324.65753424657532</v>
      </c>
      <c r="X103" s="24">
        <f>+Z103/A103*Variables!$B$10</f>
        <v>24.973656480505795</v>
      </c>
      <c r="Y103" s="28">
        <f>+(W103/(1-(N103+Variables!$B$10)))/G103</f>
        <v>3.3298208640674392</v>
      </c>
      <c r="Z103" s="5">
        <f t="shared" si="505"/>
        <v>182307.69230769228</v>
      </c>
      <c r="AM103" s="18"/>
      <c r="AN103" s="18"/>
      <c r="AO103" s="18"/>
      <c r="AP103" s="18"/>
      <c r="AQ103" s="18"/>
    </row>
    <row r="104" spans="1:43" ht="15" customHeight="1" x14ac:dyDescent="0.3">
      <c r="A104" s="43">
        <v>365</v>
      </c>
      <c r="B104" s="88">
        <v>45223</v>
      </c>
      <c r="C104" s="3" t="s">
        <v>237</v>
      </c>
      <c r="D104" s="106" t="s">
        <v>238</v>
      </c>
      <c r="E104" s="3" t="s">
        <v>239</v>
      </c>
      <c r="F104" s="106" t="s">
        <v>154</v>
      </c>
      <c r="G104" s="107">
        <v>150</v>
      </c>
      <c r="H104" s="35">
        <v>780</v>
      </c>
      <c r="I104" s="36"/>
      <c r="J104" s="19">
        <f t="shared" si="499"/>
        <v>117000</v>
      </c>
      <c r="K104" s="90">
        <v>6000</v>
      </c>
      <c r="L104" s="7">
        <f t="shared" si="500"/>
        <v>1261.5</v>
      </c>
      <c r="M104" s="5">
        <f t="shared" si="501"/>
        <v>189225</v>
      </c>
      <c r="N104" s="8">
        <f>VLOOKUP((J104/A104),Variables!$A$3:$C$8,2,TRUE())</f>
        <v>0.3</v>
      </c>
      <c r="O104" s="42">
        <f t="shared" si="502"/>
        <v>56769.230769230766</v>
      </c>
      <c r="P104" s="40"/>
      <c r="Q104" s="41" t="str">
        <f>IF(P104&gt;0,ROUND(((Y104*A104)/(1-(P104*(1+Variables!$B$10)))),1),"")</f>
        <v/>
      </c>
      <c r="U104" s="27">
        <f t="shared" si="503"/>
        <v>155.53213909378292</v>
      </c>
      <c r="V104" s="27">
        <f>VLOOKUP((J104/A104),Variables!$A$3:$C$8,3,TRUE())</f>
        <v>81.632653061224488</v>
      </c>
      <c r="W104" s="27">
        <f t="shared" si="504"/>
        <v>336.98630136986299</v>
      </c>
      <c r="X104" s="24">
        <f>+Z104/A104*Variables!$B$10</f>
        <v>25.922023182297153</v>
      </c>
      <c r="Y104" s="28">
        <f>+(W104/(1-(N104+Variables!$B$10)))/G104</f>
        <v>3.4562697576396202</v>
      </c>
      <c r="Z104" s="5">
        <f t="shared" si="505"/>
        <v>189230.76923076922</v>
      </c>
      <c r="AM104" s="18"/>
      <c r="AN104" s="18"/>
      <c r="AO104" s="18"/>
      <c r="AP104" s="18"/>
      <c r="AQ104" s="18"/>
    </row>
    <row r="105" spans="1:43" ht="15" customHeight="1" x14ac:dyDescent="0.3">
      <c r="A105" s="43">
        <v>365</v>
      </c>
      <c r="B105" s="88">
        <v>45223</v>
      </c>
      <c r="C105" s="3" t="s">
        <v>237</v>
      </c>
      <c r="D105" s="106"/>
      <c r="E105" s="76" t="s">
        <v>241</v>
      </c>
      <c r="F105" s="106" t="s">
        <v>154</v>
      </c>
      <c r="G105" s="3">
        <v>300</v>
      </c>
      <c r="H105" s="35">
        <v>780</v>
      </c>
      <c r="I105" s="36"/>
      <c r="J105" s="19">
        <f t="shared" ref="J105:J107" si="506">(G105*H105)+I105</f>
        <v>234000</v>
      </c>
      <c r="K105" s="90">
        <f>7000+J105*0.5*0.24+J105*0.5*0.16+4000</f>
        <v>57800</v>
      </c>
      <c r="L105" s="7">
        <f t="shared" ref="L105:L107" si="507">ROUND(IF((Y105*A105*G105)&gt;(J105+(X105*A105)+K105+(U105*A105)),(Y105*A105),((J105+(X105*A105)+K105+(U105*A105))/G105)),1)</f>
        <v>1451.7</v>
      </c>
      <c r="M105" s="5">
        <f t="shared" ref="M105:M107" si="508">+L105*G105</f>
        <v>435510</v>
      </c>
      <c r="N105" s="8">
        <f>VLOOKUP((J105/A105),Variables!$A$3:$C$8,2,TRUE())</f>
        <v>0.28000000000000003</v>
      </c>
      <c r="O105" s="42">
        <f t="shared" ref="O105:O107" si="509">+U105*A105</f>
        <v>121946.26865671643</v>
      </c>
      <c r="P105" s="40"/>
      <c r="Q105" s="41" t="str">
        <f>IF(P105&gt;0,ROUND(((Y105*A105)/(1-(P105*(1+Variables!$B$10)))),1),"")</f>
        <v/>
      </c>
      <c r="U105" s="27">
        <f t="shared" ref="U105:U107" si="510">+IF(((Y105*G105)-W105-X105)&lt;V105,V105,((Y105*G105)-W105-X105))</f>
        <v>334.09936618278476</v>
      </c>
      <c r="V105" s="27">
        <f>VLOOKUP((J105/A105),Variables!$A$3:$C$8,3,TRUE())</f>
        <v>122</v>
      </c>
      <c r="W105" s="27">
        <f t="shared" ref="W105:W107" si="511">+(J105+K105)/A105</f>
        <v>799.45205479452056</v>
      </c>
      <c r="X105" s="24">
        <f>+Z105/A105*Variables!$B$10</f>
        <v>59.660601104068704</v>
      </c>
      <c r="Y105" s="28">
        <f>+(W105/(1-(N105+Variables!$B$10)))/G105</f>
        <v>3.9773734069379132</v>
      </c>
      <c r="Z105" s="5">
        <f t="shared" ref="Z105:Z107" si="512">+Y105*G105*A105</f>
        <v>435522.38805970154</v>
      </c>
      <c r="AM105" s="18"/>
      <c r="AN105" s="18"/>
      <c r="AO105" s="18"/>
      <c r="AP105" s="18"/>
      <c r="AQ105" s="18"/>
    </row>
    <row r="106" spans="1:43" ht="15" customHeight="1" x14ac:dyDescent="0.3">
      <c r="A106" s="43">
        <v>365</v>
      </c>
      <c r="B106" s="88">
        <v>45223</v>
      </c>
      <c r="C106" s="3" t="s">
        <v>242</v>
      </c>
      <c r="D106" s="106"/>
      <c r="E106" s="76" t="s">
        <v>243</v>
      </c>
      <c r="F106" s="106"/>
      <c r="G106" s="107">
        <v>100</v>
      </c>
      <c r="H106" s="107"/>
      <c r="I106" s="36">
        <v>2173164.5</v>
      </c>
      <c r="J106" s="19">
        <f t="shared" si="506"/>
        <v>2173164.5</v>
      </c>
      <c r="K106" s="90">
        <v>35000</v>
      </c>
      <c r="L106" s="7">
        <f t="shared" si="507"/>
        <v>28677.5</v>
      </c>
      <c r="M106" s="5">
        <f t="shared" si="508"/>
        <v>2867750</v>
      </c>
      <c r="N106" s="8">
        <f>VLOOKUP((J106/A106),Variables!$A$3:$C$8,2,TRUE())</f>
        <v>0.18</v>
      </c>
      <c r="O106" s="42">
        <f t="shared" si="509"/>
        <v>516194.29870129854</v>
      </c>
      <c r="P106" s="40"/>
      <c r="Q106" s="41" t="str">
        <f>IF(P106&gt;0,ROUND(((Y106*A106)/(1-(P106*(1+Variables!$B$10)))),1),"")</f>
        <v/>
      </c>
      <c r="U106" s="27">
        <f t="shared" si="510"/>
        <v>1414.2309553460234</v>
      </c>
      <c r="V106" s="27">
        <f>VLOOKUP((J106/A106),Variables!$A$3:$C$8,3,TRUE())</f>
        <v>1094</v>
      </c>
      <c r="W106" s="27">
        <f t="shared" si="511"/>
        <v>6049.7657534246573</v>
      </c>
      <c r="X106" s="24">
        <f>+Z106/A106*Variables!$B$10</f>
        <v>392.84193204056214</v>
      </c>
      <c r="Y106" s="28">
        <f>+(W106/(1-(N106+Variables!$B$10)))/G106</f>
        <v>78.568386408112431</v>
      </c>
      <c r="Z106" s="5">
        <f t="shared" si="512"/>
        <v>2867746.1038961038</v>
      </c>
      <c r="AM106" s="18"/>
      <c r="AN106" s="18"/>
      <c r="AO106" s="18"/>
      <c r="AP106" s="18"/>
      <c r="AQ106" s="18"/>
    </row>
    <row r="107" spans="1:43" ht="15" customHeight="1" x14ac:dyDescent="0.3">
      <c r="A107" s="43">
        <v>365</v>
      </c>
      <c r="B107" s="88">
        <v>45223</v>
      </c>
      <c r="C107" s="3" t="s">
        <v>242</v>
      </c>
      <c r="D107" s="106"/>
      <c r="E107" s="76" t="s">
        <v>256</v>
      </c>
      <c r="F107" s="106"/>
      <c r="G107" s="107">
        <v>100</v>
      </c>
      <c r="H107" s="35"/>
      <c r="I107" s="36">
        <v>3274495</v>
      </c>
      <c r="J107" s="19">
        <f t="shared" si="506"/>
        <v>3274495</v>
      </c>
      <c r="K107" s="90">
        <v>14000</v>
      </c>
      <c r="L107" s="7">
        <f t="shared" si="507"/>
        <v>42707.7</v>
      </c>
      <c r="M107" s="5">
        <f t="shared" si="508"/>
        <v>4270770</v>
      </c>
      <c r="N107" s="8">
        <f>VLOOKUP((J107/A107),Variables!$A$3:$C$8,2,TRUE())</f>
        <v>0.18</v>
      </c>
      <c r="O107" s="42">
        <f t="shared" si="509"/>
        <v>768739.09090909106</v>
      </c>
      <c r="P107" s="40"/>
      <c r="Q107" s="41" t="str">
        <f>IF(P107&gt;0,ROUND(((Y107*A107)/(1-(P107*(1+Variables!$B$10)))),1),"")</f>
        <v/>
      </c>
      <c r="U107" s="27">
        <f t="shared" si="510"/>
        <v>2106.1344956413454</v>
      </c>
      <c r="V107" s="27">
        <f>VLOOKUP((J107/A107),Variables!$A$3:$C$8,3,TRUE())</f>
        <v>1094</v>
      </c>
      <c r="W107" s="27">
        <f t="shared" si="511"/>
        <v>9009.5753424657541</v>
      </c>
      <c r="X107" s="24">
        <f>+Z107/A107*Variables!$B$10</f>
        <v>585.03735990037364</v>
      </c>
      <c r="Y107" s="28">
        <f>+(W107/(1-(N107+Variables!$B$10)))/G107</f>
        <v>117.00747198007474</v>
      </c>
      <c r="Z107" s="5">
        <f t="shared" si="512"/>
        <v>4270772.7272727275</v>
      </c>
      <c r="AM107" s="18"/>
      <c r="AN107" s="18"/>
      <c r="AO107" s="18"/>
      <c r="AP107" s="18"/>
      <c r="AQ107" s="18"/>
    </row>
    <row r="108" spans="1:43" ht="15" customHeight="1" x14ac:dyDescent="0.3">
      <c r="A108" s="43">
        <v>365</v>
      </c>
      <c r="B108" s="88">
        <v>45223</v>
      </c>
      <c r="C108" s="3" t="s">
        <v>242</v>
      </c>
      <c r="D108" s="106"/>
      <c r="E108" s="76" t="s">
        <v>258</v>
      </c>
      <c r="F108" s="106"/>
      <c r="G108" s="3">
        <v>100</v>
      </c>
      <c r="H108" s="35"/>
      <c r="I108" s="36">
        <v>2356837.5</v>
      </c>
      <c r="J108" s="19">
        <f t="shared" ref="J108:J109" si="513">(G108*H108)+I108</f>
        <v>2356837.5</v>
      </c>
      <c r="K108" s="90">
        <v>40000</v>
      </c>
      <c r="L108" s="7">
        <f t="shared" ref="L108:L109" si="514">ROUND(IF((Y108*A108*G108)&gt;(J108+(X108*A108)+K108+(U108*A108)),(Y108*A108),((J108+(X108*A108)+K108+(U108*A108))/G108)),1)</f>
        <v>31127.8</v>
      </c>
      <c r="M108" s="5">
        <f t="shared" ref="M108:M109" si="515">+L108*G108</f>
        <v>3112780</v>
      </c>
      <c r="N108" s="8">
        <f>VLOOKUP((J108/A108),Variables!$A$3:$C$8,2,TRUE())</f>
        <v>0.18</v>
      </c>
      <c r="O108" s="42">
        <f t="shared" ref="O108:O109" si="516">+U108*A108</f>
        <v>560299.67532467551</v>
      </c>
      <c r="P108" s="40"/>
      <c r="Q108" s="41" t="str">
        <f>IF(P108&gt;0,ROUND(((Y108*A108)/(1-(P108*(1+Variables!$B$10)))),1),"")</f>
        <v/>
      </c>
      <c r="U108" s="27">
        <f t="shared" ref="U108:U109" si="517">+IF(((Y108*G108)-W108-X108)&lt;V108,V108,((Y108*G108)-W108-X108))</f>
        <v>1535.067603629248</v>
      </c>
      <c r="V108" s="27">
        <f>VLOOKUP((J108/A108),Variables!$A$3:$C$8,3,TRUE())</f>
        <v>1094</v>
      </c>
      <c r="W108" s="27">
        <f t="shared" ref="W108:W109" si="518">+(J108+K108)/A108</f>
        <v>6566.678082191781</v>
      </c>
      <c r="X108" s="24">
        <f>+Z108/A108*Variables!$B$10</f>
        <v>426.40766767479101</v>
      </c>
      <c r="Y108" s="28">
        <f>+(W108/(1-(N108+Variables!$B$10)))/G108</f>
        <v>85.2815335349582</v>
      </c>
      <c r="Z108" s="5">
        <f t="shared" ref="Z108:Z109" si="519">+Y108*G108*A108</f>
        <v>3112775.9740259741</v>
      </c>
      <c r="AM108" s="18"/>
      <c r="AN108" s="18"/>
      <c r="AO108" s="18"/>
      <c r="AP108" s="18"/>
      <c r="AQ108" s="18"/>
    </row>
    <row r="109" spans="1:43" ht="15" customHeight="1" x14ac:dyDescent="0.3">
      <c r="A109" s="43">
        <v>365</v>
      </c>
      <c r="B109" s="88">
        <v>45224</v>
      </c>
      <c r="C109" s="3" t="s">
        <v>68</v>
      </c>
      <c r="D109" s="106" t="s">
        <v>90</v>
      </c>
      <c r="E109" s="3" t="s">
        <v>263</v>
      </c>
      <c r="F109" s="106" t="s">
        <v>264</v>
      </c>
      <c r="G109" s="107">
        <v>50</v>
      </c>
      <c r="H109" s="107">
        <v>6409</v>
      </c>
      <c r="I109" s="36"/>
      <c r="J109" s="19">
        <f t="shared" si="513"/>
        <v>320450</v>
      </c>
      <c r="K109" s="90">
        <f>5000+4000+J109*0.5*0.2+J109*0.5*0.12</f>
        <v>60272</v>
      </c>
      <c r="L109" s="7">
        <f t="shared" si="514"/>
        <v>11364.8</v>
      </c>
      <c r="M109" s="5">
        <f t="shared" si="515"/>
        <v>568240</v>
      </c>
      <c r="N109" s="8">
        <f>VLOOKUP((J109/A109),Variables!$A$3:$C$8,2,TRUE())</f>
        <v>0.28000000000000003</v>
      </c>
      <c r="O109" s="42">
        <f t="shared" si="516"/>
        <v>159107.70149253742</v>
      </c>
      <c r="P109" s="40"/>
      <c r="Q109" s="41" t="str">
        <f>IF(P109&gt;0,ROUND(((Y109*A109)/(1-(P109*(1+Variables!$B$10)))),1),"")</f>
        <v/>
      </c>
      <c r="U109" s="27">
        <f t="shared" si="517"/>
        <v>435.91151093845866</v>
      </c>
      <c r="V109" s="27">
        <f>VLOOKUP((J109/A109),Variables!$A$3:$C$8,3,TRUE())</f>
        <v>122</v>
      </c>
      <c r="W109" s="27">
        <f t="shared" si="518"/>
        <v>1043.0739726027398</v>
      </c>
      <c r="X109" s="24">
        <f>+Z109/A109*Variables!$B$10</f>
        <v>77.841341239010447</v>
      </c>
      <c r="Y109" s="28">
        <f>+(W109/(1-(N109+Variables!$B$10)))/G109</f>
        <v>31.136536495604176</v>
      </c>
      <c r="Z109" s="5">
        <f t="shared" si="519"/>
        <v>568241.79104477621</v>
      </c>
      <c r="AM109" s="18"/>
      <c r="AN109" s="18"/>
      <c r="AO109" s="18"/>
      <c r="AP109" s="18"/>
      <c r="AQ109" s="18"/>
    </row>
    <row r="110" spans="1:43" ht="15" customHeight="1" x14ac:dyDescent="0.3">
      <c r="A110" s="43">
        <v>365</v>
      </c>
      <c r="B110" s="88">
        <v>45229</v>
      </c>
      <c r="C110" s="3" t="s">
        <v>68</v>
      </c>
      <c r="D110" s="106" t="s">
        <v>90</v>
      </c>
      <c r="E110" s="3" t="s">
        <v>263</v>
      </c>
      <c r="F110" s="106" t="s">
        <v>375</v>
      </c>
      <c r="G110" s="107">
        <v>50</v>
      </c>
      <c r="H110" s="107">
        <v>7231</v>
      </c>
      <c r="I110" s="36"/>
      <c r="J110" s="19">
        <f t="shared" ref="J110" si="520">(G110*H110)+I110</f>
        <v>361550</v>
      </c>
      <c r="K110" s="90">
        <f>5000+4000+J110*0.5*0.2+J110*0.5*0.12</f>
        <v>66848</v>
      </c>
      <c r="L110" s="7">
        <f t="shared" ref="L110" si="521">ROUND(IF((Y110*A110*G110)&gt;(J110+(X110*A110)+K110+(U110*A110)),(Y110*A110),((J110+(X110*A110)+K110+(U110*A110))/G110)),1)</f>
        <v>12788</v>
      </c>
      <c r="M110" s="5">
        <f t="shared" ref="M110" si="522">+L110*G110</f>
        <v>639400</v>
      </c>
      <c r="N110" s="8">
        <f>VLOOKUP((J110/A110),Variables!$A$3:$C$8,2,TRUE())</f>
        <v>0.28000000000000003</v>
      </c>
      <c r="O110" s="42">
        <f t="shared" ref="O110" si="523">+U110*A110</f>
        <v>179032.00000000003</v>
      </c>
      <c r="P110" s="40"/>
      <c r="Q110" s="41" t="str">
        <f>IF(P110&gt;0,ROUND(((Y110*A110)/(1-(P110*(1+Variables!$B$10)))),1),"")</f>
        <v/>
      </c>
      <c r="U110" s="27">
        <f t="shared" ref="U110" si="524">+IF(((Y110*G110)-W110-X110)&lt;V110,V110,((Y110*G110)-W110-X110))</f>
        <v>490.49863013698638</v>
      </c>
      <c r="V110" s="27">
        <f>VLOOKUP((J110/A110),Variables!$A$3:$C$8,3,TRUE())</f>
        <v>122</v>
      </c>
      <c r="W110" s="27">
        <f t="shared" ref="W110" si="525">+(J110+K110)/A110</f>
        <v>1173.6931506849314</v>
      </c>
      <c r="X110" s="24">
        <f>+Z110/A110*Variables!$B$10</f>
        <v>87.589041095890423</v>
      </c>
      <c r="Y110" s="28">
        <f>+(W110/(1-(N110+Variables!$B$10)))/G110</f>
        <v>35.035616438356165</v>
      </c>
      <c r="Z110" s="5">
        <f t="shared" ref="Z110" si="526">+Y110*G110*A110</f>
        <v>639400</v>
      </c>
      <c r="AM110" s="18"/>
      <c r="AN110" s="18"/>
      <c r="AO110" s="18"/>
      <c r="AP110" s="18"/>
      <c r="AQ110" s="18"/>
    </row>
    <row r="111" spans="1:43" ht="15" customHeight="1" x14ac:dyDescent="0.3">
      <c r="A111" s="43">
        <v>365</v>
      </c>
      <c r="B111" s="88">
        <v>45224</v>
      </c>
      <c r="C111" s="3" t="s">
        <v>265</v>
      </c>
      <c r="D111" s="106"/>
      <c r="E111" s="76" t="s">
        <v>266</v>
      </c>
      <c r="F111" s="106"/>
      <c r="G111" s="3">
        <v>25</v>
      </c>
      <c r="H111" s="35">
        <v>17190.580000000002</v>
      </c>
      <c r="I111" s="35">
        <v>20000</v>
      </c>
      <c r="J111" s="19">
        <f t="shared" ref="J111" si="527">(G111*H111)+I111</f>
        <v>449764.50000000006</v>
      </c>
      <c r="K111" s="90">
        <f>2500+2500+2500+2500+3500</f>
        <v>13500</v>
      </c>
      <c r="L111" s="7">
        <f t="shared" ref="L111" si="528">ROUND(IF((Y111*A111*G111)&gt;(J111+(X111*A111)+K111+(U111*A111)),(Y111*A111),((J111+(X111*A111)+K111+(U111*A111))/G111)),1)</f>
        <v>27657.599999999999</v>
      </c>
      <c r="M111" s="5">
        <f t="shared" ref="M111" si="529">+L111*G111</f>
        <v>691440</v>
      </c>
      <c r="N111" s="8">
        <f>VLOOKUP((J111/A111),Variables!$A$3:$C$8,2,TRUE())</f>
        <v>0.28000000000000003</v>
      </c>
      <c r="O111" s="42">
        <f t="shared" ref="O111" si="530">+U111*A111</f>
        <v>193603.0746268658</v>
      </c>
      <c r="P111" s="40"/>
      <c r="Q111" s="41" t="str">
        <f>IF(P111&gt;0,ROUND(((Y111*A111)/(1-(P111*(1+Variables!$B$10)))),1),"")</f>
        <v/>
      </c>
      <c r="U111" s="27">
        <f t="shared" ref="U111" si="531">+IF(((Y111*G111)-W111-X111)&lt;V111,V111,((Y111*G111)-W111-X111))</f>
        <v>530.41938253935837</v>
      </c>
      <c r="V111" s="27">
        <f>VLOOKUP((J111/A111),Variables!$A$3:$C$8,3,TRUE())</f>
        <v>122</v>
      </c>
      <c r="W111" s="27">
        <f t="shared" ref="W111" si="532">+(J111+K111)/A111</f>
        <v>1269.2178082191783</v>
      </c>
      <c r="X111" s="24">
        <f>+Z111/A111*Variables!$B$10</f>
        <v>94.717746882028237</v>
      </c>
      <c r="Y111" s="28">
        <f>+(W111/(1-(N111+Variables!$B$10)))/G111</f>
        <v>75.774197505622595</v>
      </c>
      <c r="Z111" s="5">
        <f t="shared" ref="Z111" si="533">+Y111*G111*A111</f>
        <v>691439.55223880615</v>
      </c>
      <c r="AM111" s="18"/>
      <c r="AN111" s="18"/>
      <c r="AO111" s="18"/>
      <c r="AP111" s="18"/>
      <c r="AQ111" s="18"/>
    </row>
    <row r="112" spans="1:43" ht="15" customHeight="1" x14ac:dyDescent="0.3">
      <c r="A112" s="43">
        <v>365</v>
      </c>
      <c r="B112" s="88">
        <v>45224</v>
      </c>
      <c r="C112" s="3" t="s">
        <v>265</v>
      </c>
      <c r="D112" s="106"/>
      <c r="E112" s="76" t="s">
        <v>269</v>
      </c>
      <c r="F112" s="106"/>
      <c r="G112" s="3">
        <v>25</v>
      </c>
      <c r="H112" s="35">
        <v>20740.495000000003</v>
      </c>
      <c r="I112" s="35">
        <v>7500</v>
      </c>
      <c r="J112" s="19">
        <f t="shared" ref="J112" si="534">(G112*H112)+I112</f>
        <v>526012.375</v>
      </c>
      <c r="K112" s="90">
        <f>2500+2500+2500+2500+3500</f>
        <v>13500</v>
      </c>
      <c r="L112" s="7">
        <f t="shared" ref="L112" si="535">ROUND(IF((Y112*A112*G112)&gt;(J112+(X112*A112)+K112+(U112*A112)),(Y112*A112),((J112+(X112*A112)+K112+(U112*A112))/G112)),1)</f>
        <v>30829.3</v>
      </c>
      <c r="M112" s="5">
        <f t="shared" ref="M112" si="536">+L112*G112</f>
        <v>770732.5</v>
      </c>
      <c r="N112" s="8">
        <f>VLOOKUP((J112/A112),Variables!$A$3:$C$8,2,TRUE())</f>
        <v>0.25</v>
      </c>
      <c r="O112" s="42">
        <f t="shared" ref="O112" si="537">+U112*A112</f>
        <v>192682.99107142861</v>
      </c>
      <c r="P112" s="40"/>
      <c r="Q112" s="41" t="str">
        <f>IF(P112&gt;0,ROUND(((Y112*A112)/(1-(P112*(1+Variables!$B$10)))),1),"")</f>
        <v/>
      </c>
      <c r="U112" s="27">
        <f t="shared" ref="U112" si="538">+IF(((Y112*G112)-W112-X112)&lt;V112,V112,((Y112*G112)-W112-X112))</f>
        <v>527.89860567514688</v>
      </c>
      <c r="V112" s="27">
        <f>VLOOKUP((J112/A112),Variables!$A$3:$C$8,3,TRUE())</f>
        <v>400</v>
      </c>
      <c r="W112" s="27">
        <f t="shared" ref="W112" si="539">+(J112+K112)/A112</f>
        <v>1478.1160958904109</v>
      </c>
      <c r="X112" s="24">
        <f>+Z112/A112*Variables!$B$10</f>
        <v>105.57972113502936</v>
      </c>
      <c r="Y112" s="28">
        <f>+(W112/(1-(N112+Variables!$B$10)))/G112</f>
        <v>84.463776908023476</v>
      </c>
      <c r="Z112" s="5">
        <f t="shared" ref="Z112" si="540">+Y112*G112*A112</f>
        <v>770731.96428571432</v>
      </c>
      <c r="AM112" s="18"/>
      <c r="AN112" s="18"/>
      <c r="AO112" s="18"/>
      <c r="AP112" s="18"/>
      <c r="AQ112" s="18"/>
    </row>
    <row r="113" spans="1:43" ht="15" customHeight="1" x14ac:dyDescent="0.3">
      <c r="A113" s="43">
        <v>365</v>
      </c>
      <c r="B113" s="88">
        <v>45224</v>
      </c>
      <c r="C113" s="3" t="s">
        <v>265</v>
      </c>
      <c r="D113" s="106" t="s">
        <v>52</v>
      </c>
      <c r="E113" s="3" t="s">
        <v>270</v>
      </c>
      <c r="F113" s="106" t="s">
        <v>34</v>
      </c>
      <c r="G113" s="3">
        <v>25</v>
      </c>
      <c r="H113" s="35">
        <f>16000+320</f>
        <v>16320</v>
      </c>
      <c r="J113" s="19">
        <f t="shared" ref="J113" si="541">(G113*H113)+I113</f>
        <v>408000</v>
      </c>
      <c r="K113" s="90">
        <f>4000+4000</f>
        <v>8000</v>
      </c>
      <c r="L113" s="7">
        <f t="shared" ref="L113" si="542">ROUND(IF((Y113*A113*G113)&gt;(J113+(X113*A113)+K113+(U113*A113)),(Y113*A113),((J113+(X113*A113)+K113+(U113*A113))/G113)),1)</f>
        <v>24835.8</v>
      </c>
      <c r="M113" s="5">
        <f t="shared" ref="M113" si="543">+L113*G113</f>
        <v>620895</v>
      </c>
      <c r="N113" s="8">
        <f>VLOOKUP((J113/A113),Variables!$A$3:$C$8,2,TRUE())</f>
        <v>0.28000000000000003</v>
      </c>
      <c r="O113" s="42">
        <f t="shared" ref="O113" si="544">+U113*A113</f>
        <v>173850.74626865672</v>
      </c>
      <c r="P113" s="40"/>
      <c r="Q113" s="41" t="str">
        <f>IF(P113&gt;0,ROUND(((Y113*A113)/(1-(P113*(1+Variables!$B$10)))),1),"")</f>
        <v/>
      </c>
      <c r="U113" s="27">
        <f t="shared" ref="U113" si="545">+IF(((Y113*G113)-W113-X113)&lt;V113,V113,((Y113*G113)-W113-X113))</f>
        <v>476.30341443467597</v>
      </c>
      <c r="V113" s="27">
        <f>VLOOKUP((J113/A113),Variables!$A$3:$C$8,3,TRUE())</f>
        <v>122</v>
      </c>
      <c r="W113" s="27">
        <f t="shared" ref="W113" si="546">+(J113+K113)/A113</f>
        <v>1139.7260273972602</v>
      </c>
      <c r="X113" s="24">
        <f>+Z113/A113*Variables!$B$10</f>
        <v>85.054181149049271</v>
      </c>
      <c r="Y113" s="28">
        <f>+(W113/(1-(N113+Variables!$B$10)))/G113</f>
        <v>68.043344919239416</v>
      </c>
      <c r="Z113" s="5">
        <f t="shared" ref="Z113" si="547">+Y113*G113*A113</f>
        <v>620895.52238805965</v>
      </c>
      <c r="AM113" s="18"/>
      <c r="AN113" s="18"/>
      <c r="AO113" s="18"/>
      <c r="AP113" s="18"/>
      <c r="AQ113" s="18"/>
    </row>
    <row r="114" spans="1:43" ht="15" customHeight="1" x14ac:dyDescent="0.3">
      <c r="A114" s="43">
        <v>365</v>
      </c>
      <c r="B114" s="88">
        <v>45224</v>
      </c>
      <c r="C114" s="3" t="s">
        <v>145</v>
      </c>
      <c r="D114" s="3" t="s">
        <v>146</v>
      </c>
      <c r="E114" s="3" t="s">
        <v>147</v>
      </c>
      <c r="F114" s="57"/>
      <c r="G114" s="3">
        <v>8800</v>
      </c>
      <c r="H114" s="35"/>
      <c r="I114" s="36">
        <f>102036363.64*0.94</f>
        <v>95914181.82159999</v>
      </c>
      <c r="J114" s="19">
        <f t="shared" ref="J114" si="548">(G114*H114)+I114</f>
        <v>95914181.82159999</v>
      </c>
      <c r="K114" s="90">
        <v>30000</v>
      </c>
      <c r="L114" s="7">
        <f>ROUND(IF((Y114*A114*G114)&gt;(J114+(X114*A114)+K114+(U114*A114)),(Y114*A114),((J114+(X114*A114)+K114+(U114*A114))/G114)),1)</f>
        <v>14159.4</v>
      </c>
      <c r="M114" s="5">
        <f t="shared" ref="M114" si="549">+L114*G114</f>
        <v>124602720</v>
      </c>
      <c r="N114" s="8">
        <f>VLOOKUP((J114/A114),Variables!$A$3:$C$8,2,TRUE())</f>
        <v>0.18</v>
      </c>
      <c r="O114" s="42">
        <f t="shared" ref="O114" si="550">+U114*A114</f>
        <v>22428510.036218178</v>
      </c>
      <c r="P114" s="40"/>
      <c r="Q114" s="41" t="str">
        <f>IF(P114&gt;0,ROUND(((Y114*A114)/(1-(P114*(1+Variables!$B$10)))),1),"")</f>
        <v/>
      </c>
      <c r="U114" s="27">
        <f t="shared" ref="U114" si="551">+IF(((Y114*G114)-W114-X114)&lt;V114,V114,((Y114*G114)-W114-X114))</f>
        <v>61447.972701967607</v>
      </c>
      <c r="V114" s="27">
        <f>VLOOKUP((J114/A114),Variables!$A$3:$C$8,3,TRUE())</f>
        <v>1094</v>
      </c>
      <c r="W114" s="27">
        <f>+(J114+K114)/A114</f>
        <v>262860.77211397258</v>
      </c>
      <c r="X114" s="24">
        <f>+Z114/A114*Variables!$B$10</f>
        <v>17068.881306102117</v>
      </c>
      <c r="Y114" s="28">
        <f>+(W114/(1-(N114+Variables!$B$10)))/G114</f>
        <v>38.792912059322987</v>
      </c>
      <c r="Z114" s="5">
        <f t="shared" ref="Z114" si="552">+Y114*G114*A114</f>
        <v>124602833.53454544</v>
      </c>
      <c r="AM114" s="18"/>
      <c r="AN114" s="18"/>
      <c r="AO114" s="18"/>
      <c r="AP114" s="18"/>
      <c r="AQ114" s="18"/>
    </row>
    <row r="115" spans="1:43" ht="15" customHeight="1" x14ac:dyDescent="0.3">
      <c r="A115" s="43">
        <v>365</v>
      </c>
      <c r="B115" s="88">
        <v>45224</v>
      </c>
      <c r="C115" s="3" t="s">
        <v>145</v>
      </c>
      <c r="D115" s="3" t="s">
        <v>146</v>
      </c>
      <c r="E115" s="3" t="s">
        <v>147</v>
      </c>
      <c r="F115" s="57"/>
      <c r="G115" s="3">
        <v>8800</v>
      </c>
      <c r="H115" s="35"/>
      <c r="I115" s="36">
        <f>102036363.64*0.94</f>
        <v>95914181.82159999</v>
      </c>
      <c r="J115" s="19">
        <f t="shared" ref="J115" si="553">(G115*H115)+I115</f>
        <v>95914181.82159999</v>
      </c>
      <c r="K115" s="90">
        <f>30000+(J115*0.55+J115*0.21)*0.025</f>
        <v>1852369.4546103999</v>
      </c>
      <c r="L115" s="7">
        <f>ROUND(IF((Y115*A115*G115)&gt;(J115+(X115*A115)+K115+(U115*A115)),(Y115*A115),((J115+(X115*A115)+K115+(U115*A115))/G115)),1)</f>
        <v>14428.4</v>
      </c>
      <c r="M115" s="5">
        <f t="shared" ref="M115" si="554">+L115*G115</f>
        <v>126969920</v>
      </c>
      <c r="N115" s="8">
        <f>VLOOKUP((J115/A115),Variables!$A$3:$C$8,2,TRUE())</f>
        <v>0.18</v>
      </c>
      <c r="O115" s="42">
        <f t="shared" ref="O115" si="555">+U115*A115</f>
        <v>22854518.480153073</v>
      </c>
      <c r="P115" s="40"/>
      <c r="Q115" s="41" t="str">
        <f>IF(P115&gt;0,ROUND(((Y115*A115)/(1-(P115*(1+Variables!$B$10)))),1),"")</f>
        <v/>
      </c>
      <c r="U115" s="27">
        <f t="shared" ref="U115" si="556">+IF(((Y115*G115)-W115-X115)&lt;V115,V115,((Y115*G115)-W115-X115))</f>
        <v>62615.119123707045</v>
      </c>
      <c r="V115" s="27">
        <f>VLOOKUP((J115/A115),Variables!$A$3:$C$8,3,TRUE())</f>
        <v>1094</v>
      </c>
      <c r="W115" s="27">
        <f>+(J115+K115)/A115</f>
        <v>267853.56514030247</v>
      </c>
      <c r="X115" s="24">
        <f>+Z115/A115*Variables!$B$10</f>
        <v>17393.088645474185</v>
      </c>
      <c r="Y115" s="28">
        <f>+(W115/(1-(N115+Variables!$B$10)))/G115</f>
        <v>39.529746921532237</v>
      </c>
      <c r="Z115" s="5">
        <f t="shared" ref="Z115" si="557">+Y115*G115*A115</f>
        <v>126969547.11196154</v>
      </c>
      <c r="AM115" s="18"/>
      <c r="AN115" s="18"/>
      <c r="AO115" s="18"/>
      <c r="AP115" s="18"/>
      <c r="AQ115" s="18"/>
    </row>
    <row r="116" spans="1:43" ht="15" customHeight="1" x14ac:dyDescent="0.3">
      <c r="A116" s="43">
        <v>365</v>
      </c>
      <c r="B116" s="88">
        <v>45224</v>
      </c>
      <c r="C116" s="3" t="s">
        <v>271</v>
      </c>
      <c r="D116" s="106" t="s">
        <v>49</v>
      </c>
      <c r="E116" s="76" t="s">
        <v>274</v>
      </c>
      <c r="F116" s="57"/>
      <c r="G116" s="3">
        <v>90</v>
      </c>
      <c r="H116" s="35">
        <f>22689.21+13673.82+13681.43</f>
        <v>50044.46</v>
      </c>
      <c r="I116" s="36"/>
      <c r="J116" s="19">
        <f t="shared" ref="J116" si="558">(G116*H116)+I116</f>
        <v>4504001.4000000004</v>
      </c>
      <c r="K116" s="90">
        <v>10000</v>
      </c>
      <c r="L116" s="7">
        <f>ROUND(IF((Y116*A116*G116)&gt;(J116+(X116*A116)+K116+(U116*A116)),(Y116*A116),((J116+(X116*A116)+K116+(U116*A116))/G116)),1)</f>
        <v>65137.1</v>
      </c>
      <c r="M116" s="5">
        <f t="shared" ref="M116" si="559">+L116*G116</f>
        <v>5862339</v>
      </c>
      <c r="N116" s="8">
        <f>VLOOKUP((J116/A116),Variables!$A$3:$C$8,2,TRUE())</f>
        <v>0.18</v>
      </c>
      <c r="O116" s="42">
        <f t="shared" ref="O116" si="560">+U116*A116</f>
        <v>1055221.1064935073</v>
      </c>
      <c r="P116" s="40"/>
      <c r="Q116" s="41" t="str">
        <f>IF(P116&gt;0,ROUND(((Y116*A116)/(1-(P116*(1+Variables!$B$10)))),1),"")</f>
        <v/>
      </c>
      <c r="U116" s="27">
        <f t="shared" ref="U116" si="561">+IF(((Y116*G116)-W116-X116)&lt;V116,V116,((Y116*G116)-W116-X116))</f>
        <v>2891.0167301191977</v>
      </c>
      <c r="V116" s="27">
        <f>VLOOKUP((J116/A116),Variables!$A$3:$C$8,3,TRUE())</f>
        <v>1094</v>
      </c>
      <c r="W116" s="27">
        <f>+(J116+K116)/A116</f>
        <v>12367.127123287672</v>
      </c>
      <c r="X116" s="24">
        <f>+Z116/A116*Variables!$B$10</f>
        <v>803.06020281088786</v>
      </c>
      <c r="Y116" s="28">
        <f>+(W116/(1-(N116+Variables!$B$10)))/G116</f>
        <v>178.45782284686396</v>
      </c>
      <c r="Z116" s="5">
        <f t="shared" ref="Z116" si="562">+Y116*G116*A116</f>
        <v>5862339.480519481</v>
      </c>
      <c r="AM116" s="18"/>
      <c r="AN116" s="18"/>
      <c r="AO116" s="18"/>
      <c r="AP116" s="18"/>
      <c r="AQ116" s="18"/>
    </row>
    <row r="117" spans="1:43" ht="15" customHeight="1" x14ac:dyDescent="0.3">
      <c r="A117" s="43">
        <v>365</v>
      </c>
      <c r="B117" s="88">
        <v>45224</v>
      </c>
      <c r="C117" s="3" t="s">
        <v>271</v>
      </c>
      <c r="D117" s="106" t="s">
        <v>276</v>
      </c>
      <c r="E117" s="76" t="s">
        <v>275</v>
      </c>
      <c r="F117" s="57"/>
      <c r="G117" s="3">
        <v>90</v>
      </c>
      <c r="H117" s="35">
        <f>(20193+9333.6)*0.85+8357.79</f>
        <v>33455.399999999994</v>
      </c>
      <c r="I117" s="36">
        <f>15000+15000</f>
        <v>30000</v>
      </c>
      <c r="J117" s="19">
        <f t="shared" ref="J117" si="563">(G117*H117)+I117</f>
        <v>3040985.9999999995</v>
      </c>
      <c r="K117" s="90">
        <f>5000+5000+10000</f>
        <v>20000</v>
      </c>
      <c r="L117" s="7">
        <f t="shared" ref="L117" si="564">ROUND(IF((Y117*A117*G117)&gt;(J117+(X117*A117)+K117+(U117*A117)),(Y117*A117),((J117+(X117*A117)+K117+(U117*A117))/G117)),1)</f>
        <v>44170.1</v>
      </c>
      <c r="M117" s="5">
        <f t="shared" ref="M117" si="565">+L117*G117</f>
        <v>3975309</v>
      </c>
      <c r="N117" s="8">
        <f>VLOOKUP((J117/A117),Variables!$A$3:$C$8,2,TRUE())</f>
        <v>0.18</v>
      </c>
      <c r="O117" s="42">
        <f t="shared" ref="O117" si="566">+U117*A117</f>
        <v>715555.16883116867</v>
      </c>
      <c r="P117" s="40"/>
      <c r="Q117" s="41" t="str">
        <f>IF(P117&gt;0,ROUND(((Y117*A117)/(1-(P117*(1+Variables!$B$10)))),1),"")</f>
        <v/>
      </c>
      <c r="U117" s="27">
        <f t="shared" ref="U117" si="567">+IF(((Y117*G117)-W117-X117)&lt;V117,V117,((Y117*G117)-W117-X117))</f>
        <v>1960.4251200853937</v>
      </c>
      <c r="V117" s="27">
        <f>VLOOKUP((J117/A117),Variables!$A$3:$C$8,3,TRUE())</f>
        <v>1094</v>
      </c>
      <c r="W117" s="27">
        <f t="shared" ref="W117" si="568">+(J117+K117)/A117</f>
        <v>8386.2630136986281</v>
      </c>
      <c r="X117" s="24">
        <f>+Z117/A117*Variables!$B$10</f>
        <v>544.56253335705378</v>
      </c>
      <c r="Y117" s="28">
        <f>+(W117/(1-(N117+Variables!$B$10)))/G117</f>
        <v>121.01389630156751</v>
      </c>
      <c r="Z117" s="5">
        <f t="shared" ref="Z117" si="569">+Y117*G117*A117</f>
        <v>3975306.4935064926</v>
      </c>
      <c r="AM117" s="18"/>
      <c r="AN117" s="18"/>
      <c r="AO117" s="18"/>
      <c r="AP117" s="18"/>
      <c r="AQ117" s="18"/>
    </row>
    <row r="118" spans="1:43" ht="15" customHeight="1" x14ac:dyDescent="0.3">
      <c r="A118" s="43">
        <v>365</v>
      </c>
      <c r="B118" s="88">
        <v>45224</v>
      </c>
      <c r="C118" s="3" t="s">
        <v>277</v>
      </c>
      <c r="D118" s="106" t="s">
        <v>278</v>
      </c>
      <c r="E118" s="3" t="s">
        <v>281</v>
      </c>
      <c r="F118" s="57" t="s">
        <v>84</v>
      </c>
      <c r="G118" s="3">
        <v>100</v>
      </c>
      <c r="H118" s="35">
        <f>4.387*365.5+390</f>
        <v>1993.4484999999997</v>
      </c>
      <c r="I118" s="36"/>
      <c r="J118" s="19">
        <f t="shared" ref="J118" si="570">(G118*H118)+I118</f>
        <v>199344.84999999998</v>
      </c>
      <c r="K118" s="90">
        <v>8000</v>
      </c>
      <c r="L118" s="7">
        <f t="shared" ref="L118" si="571">ROUND(IF((Y118*A118*G118)&gt;(J118+(X118*A118)+K118+(U118*A118)),(Y118*A118),((J118+(X118*A118)+K118+(U118*A118))/G118)),1)</f>
        <v>3094.7</v>
      </c>
      <c r="M118" s="5">
        <f t="shared" ref="M118" si="572">+L118*G118</f>
        <v>309470</v>
      </c>
      <c r="N118" s="8">
        <f>VLOOKUP((J118/A118),Variables!$A$3:$C$8,2,TRUE())</f>
        <v>0.28000000000000003</v>
      </c>
      <c r="O118" s="42">
        <f t="shared" ref="O118" si="573">+U118*A118</f>
        <v>86651.579104477598</v>
      </c>
      <c r="P118" s="40"/>
      <c r="Q118" s="41" t="str">
        <f>IF(P118&gt;0,ROUND(((Y118*A118)/(1-(P118*(1+Variables!$B$10)))),1),"")</f>
        <v/>
      </c>
      <c r="U118" s="27">
        <f t="shared" ref="U118" si="574">+IF(((Y118*G118)-W118-X118)&lt;V118,V118,((Y118*G118)-W118-X118))</f>
        <v>237.40158658760987</v>
      </c>
      <c r="V118" s="27">
        <f>VLOOKUP((J118/A118),Variables!$A$3:$C$8,3,TRUE())</f>
        <v>122</v>
      </c>
      <c r="W118" s="27">
        <f t="shared" ref="W118" si="575">+(J118+K118)/A118</f>
        <v>568.06808219178072</v>
      </c>
      <c r="X118" s="24">
        <f>+Z118/A118*Variables!$B$10</f>
        <v>42.393140462073191</v>
      </c>
      <c r="Y118" s="28">
        <f>+(W118/(1-(N118+Variables!$B$10)))/G118</f>
        <v>8.4786280924146382</v>
      </c>
      <c r="Z118" s="5">
        <f t="shared" ref="Z118" si="576">+Y118*G118*A118</f>
        <v>309469.92537313426</v>
      </c>
      <c r="AM118" s="18"/>
      <c r="AN118" s="18"/>
      <c r="AO118" s="18"/>
      <c r="AP118" s="18"/>
      <c r="AQ118" s="18"/>
    </row>
    <row r="119" spans="1:43" ht="15" customHeight="1" x14ac:dyDescent="0.3">
      <c r="A119" s="43">
        <v>365</v>
      </c>
      <c r="B119" s="88">
        <v>45224</v>
      </c>
      <c r="C119" s="3" t="s">
        <v>277</v>
      </c>
      <c r="D119" s="106" t="s">
        <v>278</v>
      </c>
      <c r="E119" s="3" t="s">
        <v>279</v>
      </c>
      <c r="F119" s="57" t="s">
        <v>84</v>
      </c>
      <c r="G119" s="3">
        <v>100</v>
      </c>
      <c r="H119" s="35">
        <f>5.381*365.5+390</f>
        <v>2356.7555000000002</v>
      </c>
      <c r="I119" s="36"/>
      <c r="J119" s="19">
        <f t="shared" ref="J119" si="577">(G119*H119)+I119</f>
        <v>235675.55000000002</v>
      </c>
      <c r="K119" s="90">
        <v>8000</v>
      </c>
      <c r="L119" s="7">
        <f t="shared" ref="L119" si="578">ROUND(IF((Y119*A119*G119)&gt;(J119+(X119*A119)+K119+(U119*A119)),(Y119*A119),((J119+(X119*A119)+K119+(U119*A119))/G119)),1)</f>
        <v>3636.9</v>
      </c>
      <c r="M119" s="5">
        <f t="shared" ref="M119" si="579">+L119*G119</f>
        <v>363690</v>
      </c>
      <c r="N119" s="8">
        <f>VLOOKUP((J119/A119),Variables!$A$3:$C$8,2,TRUE())</f>
        <v>0.28000000000000003</v>
      </c>
      <c r="O119" s="42">
        <f t="shared" ref="O119" si="580">+U119*A119</f>
        <v>101834.55820895525</v>
      </c>
      <c r="P119" s="40"/>
      <c r="Q119" s="41" t="str">
        <f>IF(P119&gt;0,ROUND(((Y119*A119)/(1-(P119*(1+Variables!$B$10)))),1),"")</f>
        <v/>
      </c>
      <c r="U119" s="27">
        <f t="shared" ref="U119" si="581">+IF(((Y119*G119)-W119-X119)&lt;V119,V119,((Y119*G119)-W119-X119))</f>
        <v>278.99878961357604</v>
      </c>
      <c r="V119" s="27">
        <f>VLOOKUP((J119/A119),Variables!$A$3:$C$8,3,TRUE())</f>
        <v>122</v>
      </c>
      <c r="W119" s="27">
        <f t="shared" ref="W119" si="582">+(J119+K119)/A119</f>
        <v>667.60424657534247</v>
      </c>
      <c r="X119" s="24">
        <f>+Z119/A119*Variables!$B$10</f>
        <v>49.821212430995715</v>
      </c>
      <c r="Y119" s="28">
        <f>+(W119/(1-(N119+Variables!$B$10)))/G119</f>
        <v>9.9642424861991419</v>
      </c>
      <c r="Z119" s="5">
        <f t="shared" ref="Z119" si="583">+Y119*G119*A119</f>
        <v>363694.8507462687</v>
      </c>
      <c r="AM119" s="18"/>
      <c r="AN119" s="18"/>
      <c r="AO119" s="18"/>
      <c r="AP119" s="18"/>
      <c r="AQ119" s="18"/>
    </row>
    <row r="120" spans="1:43" ht="15" customHeight="1" x14ac:dyDescent="0.3">
      <c r="A120" s="43">
        <v>365</v>
      </c>
      <c r="B120" s="88">
        <v>45224</v>
      </c>
      <c r="C120" s="3" t="s">
        <v>277</v>
      </c>
      <c r="D120" s="106" t="s">
        <v>278</v>
      </c>
      <c r="E120" s="3" t="s">
        <v>280</v>
      </c>
      <c r="F120" s="57" t="s">
        <v>84</v>
      </c>
      <c r="G120" s="3">
        <v>100</v>
      </c>
      <c r="H120" s="35">
        <f>6.208*365.5+390</f>
        <v>2659.0239999999999</v>
      </c>
      <c r="I120" s="36"/>
      <c r="J120" s="19">
        <f t="shared" ref="J120" si="584">(G120*H120)+I120</f>
        <v>265902.39999999997</v>
      </c>
      <c r="K120" s="90">
        <v>8000</v>
      </c>
      <c r="L120" s="7">
        <f t="shared" ref="L120" si="585">ROUND(IF((Y120*A120*G120)&gt;(J120+(X120*A120)+K120+(U120*A120)),(Y120*A120),((J120+(X120*A120)+K120+(U120*A120))/G120)),1)</f>
        <v>4088.1</v>
      </c>
      <c r="M120" s="5">
        <f t="shared" ref="M120" si="586">+L120*G120</f>
        <v>408810</v>
      </c>
      <c r="N120" s="8">
        <f>VLOOKUP((J120/A120),Variables!$A$3:$C$8,2,TRUE())</f>
        <v>0.28000000000000003</v>
      </c>
      <c r="O120" s="42">
        <f t="shared" ref="O120" si="587">+U120*A120</f>
        <v>114466.67462686572</v>
      </c>
      <c r="P120" s="40"/>
      <c r="Q120" s="41" t="str">
        <f>IF(P120&gt;0,ROUND(((Y120*A120)/(1-(P120*(1+Variables!$B$10)))),1),"")</f>
        <v/>
      </c>
      <c r="U120" s="27">
        <f t="shared" ref="U120" si="588">+IF(((Y120*G120)-W120-X120)&lt;V120,V120,((Y120*G120)-W120-X120))</f>
        <v>313.60732774483756</v>
      </c>
      <c r="V120" s="27">
        <f>VLOOKUP((J120/A120),Variables!$A$3:$C$8,3,TRUE())</f>
        <v>122</v>
      </c>
      <c r="W120" s="27">
        <f t="shared" ref="W120" si="589">+(J120+K120)/A120</f>
        <v>750.4175342465752</v>
      </c>
      <c r="X120" s="24">
        <f>+Z120/A120*Variables!$B$10</f>
        <v>56.001308525863834</v>
      </c>
      <c r="Y120" s="28">
        <f>+(W120/(1-(N120+Variables!$B$10)))/G120</f>
        <v>11.200261705172766</v>
      </c>
      <c r="Z120" s="5">
        <f t="shared" ref="Z120" si="590">+Y120*G120*A120</f>
        <v>408809.55223880598</v>
      </c>
      <c r="AM120" s="18"/>
      <c r="AN120" s="18"/>
      <c r="AO120" s="18"/>
      <c r="AP120" s="18"/>
      <c r="AQ120" s="18"/>
    </row>
    <row r="121" spans="1:43" ht="15" customHeight="1" x14ac:dyDescent="0.3">
      <c r="A121" s="43">
        <v>365</v>
      </c>
      <c r="B121" s="88">
        <v>45224</v>
      </c>
      <c r="C121" s="3" t="s">
        <v>277</v>
      </c>
      <c r="D121" s="106" t="s">
        <v>78</v>
      </c>
      <c r="E121" s="3" t="s">
        <v>282</v>
      </c>
      <c r="F121" s="57" t="s">
        <v>47</v>
      </c>
      <c r="G121" s="3">
        <v>70</v>
      </c>
      <c r="H121" s="35">
        <f>2.9*368.5+114.52</f>
        <v>1183.1699999999998</v>
      </c>
      <c r="I121" s="36"/>
      <c r="J121" s="19">
        <f t="shared" ref="J121" si="591">(G121*H121)+I121</f>
        <v>82821.899999999994</v>
      </c>
      <c r="K121" s="90">
        <v>10000</v>
      </c>
      <c r="L121" s="7">
        <f t="shared" ref="L121" si="592">ROUND(IF((Y121*A121*G121)&gt;(J121+(X121*A121)+K121+(U121*A121)),(Y121*A121),((J121+(X121*A121)+K121+(U121*A121))/G121)),1)</f>
        <v>2040</v>
      </c>
      <c r="M121" s="5">
        <f t="shared" ref="M121" si="593">+L121*G121</f>
        <v>142800</v>
      </c>
      <c r="N121" s="8">
        <f>VLOOKUP((J121/A121),Variables!$A$3:$C$8,2,TRUE())</f>
        <v>0.3</v>
      </c>
      <c r="O121" s="42">
        <f t="shared" ref="O121" si="594">+U121*A121</f>
        <v>42840.87692307691</v>
      </c>
      <c r="P121" s="40"/>
      <c r="Q121" s="41" t="str">
        <f>IF(P121&gt;0,ROUND(((Y121*A121)/(1-(P121*(1+Variables!$B$10)))),1),"")</f>
        <v/>
      </c>
      <c r="U121" s="27">
        <f t="shared" ref="U121" si="595">+IF(((Y121*G121)-W121-X121)&lt;V121,V121,((Y121*G121)-W121-X121))</f>
        <v>117.37226554267647</v>
      </c>
      <c r="V121" s="27">
        <f>VLOOKUP((J121/A121),Variables!$A$3:$C$8,3,TRUE())</f>
        <v>81.632653061224488</v>
      </c>
      <c r="W121" s="27">
        <f t="shared" ref="W121" si="596">+(J121+K121)/A121</f>
        <v>254.30657534246575</v>
      </c>
      <c r="X121" s="24">
        <f>+Z121/A121*Variables!$B$10</f>
        <v>19.562044257112749</v>
      </c>
      <c r="Y121" s="28">
        <f>+(W121/(1-(N121+Variables!$B$10)))/G121</f>
        <v>5.5891555020322139</v>
      </c>
      <c r="Z121" s="5">
        <f t="shared" ref="Z121" si="597">+Y121*G121*A121</f>
        <v>142802.92307692306</v>
      </c>
      <c r="AM121" s="18"/>
      <c r="AN121" s="18"/>
      <c r="AO121" s="18"/>
      <c r="AP121" s="18"/>
      <c r="AQ121" s="18"/>
    </row>
    <row r="122" spans="1:43" ht="15" customHeight="1" x14ac:dyDescent="0.3">
      <c r="A122" s="43">
        <v>365</v>
      </c>
      <c r="B122" s="88">
        <v>45224</v>
      </c>
      <c r="C122" s="3" t="s">
        <v>277</v>
      </c>
      <c r="D122" s="106" t="s">
        <v>78</v>
      </c>
      <c r="E122" s="3" t="s">
        <v>283</v>
      </c>
      <c r="F122" s="57" t="s">
        <v>284</v>
      </c>
      <c r="G122" s="3">
        <v>70</v>
      </c>
      <c r="H122" s="35">
        <f>3.89*368.5+184.07</f>
        <v>1617.5350000000001</v>
      </c>
      <c r="I122" s="36"/>
      <c r="J122" s="19">
        <f t="shared" ref="J122" si="598">(G122*H122)+I122</f>
        <v>113227.45000000001</v>
      </c>
      <c r="K122" s="90">
        <v>8000</v>
      </c>
      <c r="L122" s="7">
        <f t="shared" ref="L122" si="599">ROUND(IF((Y122*A122*G122)&gt;(J122+(X122*A122)+K122+(U122*A122)),(Y122*A122),((J122+(X122*A122)+K122+(U122*A122))/G122)),1)</f>
        <v>2664.3</v>
      </c>
      <c r="M122" s="5">
        <f t="shared" ref="M122" si="600">+L122*G122</f>
        <v>186501</v>
      </c>
      <c r="N122" s="8">
        <f>VLOOKUP((J122/A122),Variables!$A$3:$C$8,2,TRUE())</f>
        <v>0.3</v>
      </c>
      <c r="O122" s="42">
        <f t="shared" ref="O122" si="601">+U122*A122</f>
        <v>55951.130769230767</v>
      </c>
      <c r="P122" s="40"/>
      <c r="Q122" s="41" t="str">
        <f>IF(P122&gt;0,ROUND(((Y122*A122)/(1-(P122*(1+Variables!$B$10)))),1),"")</f>
        <v/>
      </c>
      <c r="U122" s="27">
        <f t="shared" ref="U122" si="602">+IF(((Y122*G122)-W122-X122)&lt;V122,V122,((Y122*G122)-W122-X122))</f>
        <v>153.29076923076923</v>
      </c>
      <c r="V122" s="27">
        <f>VLOOKUP((J122/A122),Variables!$A$3:$C$8,3,TRUE())</f>
        <v>81.632653061224488</v>
      </c>
      <c r="W122" s="27">
        <f t="shared" ref="W122" si="603">+(J122+K122)/A122</f>
        <v>332.13000000000005</v>
      </c>
      <c r="X122" s="24">
        <f>+Z122/A122*Variables!$B$10</f>
        <v>25.548461538461542</v>
      </c>
      <c r="Y122" s="28">
        <f>+(W122/(1-(N122+Variables!$B$10)))/G122</f>
        <v>7.2995604395604401</v>
      </c>
      <c r="Z122" s="5">
        <f t="shared" ref="Z122" si="604">+Y122*G122*A122</f>
        <v>186503.76923076925</v>
      </c>
      <c r="AM122" s="18"/>
      <c r="AN122" s="18"/>
      <c r="AO122" s="18"/>
      <c r="AP122" s="18"/>
      <c r="AQ122" s="18"/>
    </row>
    <row r="123" spans="1:43" ht="15" customHeight="1" x14ac:dyDescent="0.3">
      <c r="A123" s="43">
        <v>365</v>
      </c>
      <c r="B123" s="88">
        <v>45224</v>
      </c>
      <c r="C123" s="3" t="s">
        <v>277</v>
      </c>
      <c r="D123" s="106" t="s">
        <v>49</v>
      </c>
      <c r="E123" s="3" t="s">
        <v>285</v>
      </c>
      <c r="F123" s="57" t="s">
        <v>284</v>
      </c>
      <c r="G123" s="3">
        <v>70</v>
      </c>
      <c r="H123" s="35">
        <v>1194.5</v>
      </c>
      <c r="I123" s="36">
        <v>15000</v>
      </c>
      <c r="J123" s="19">
        <f t="shared" ref="J123:J126" si="605">(G123*H123)+I123</f>
        <v>98615</v>
      </c>
      <c r="K123" s="90">
        <v>10000</v>
      </c>
      <c r="L123" s="7">
        <f t="shared" ref="L123:L126" si="606">ROUND(IF((Y123*A123*G123)&gt;(J123+(X123*A123)+K123+(U123*A123)),(Y123*A123),((J123+(X123*A123)+K123+(U123*A123))/G123)),1)</f>
        <v>2387.1</v>
      </c>
      <c r="M123" s="5">
        <f t="shared" ref="M123:M126" si="607">+L123*G123</f>
        <v>167097</v>
      </c>
      <c r="N123" s="8">
        <f>VLOOKUP((J123/A123),Variables!$A$3:$C$8,2,TRUE())</f>
        <v>0.3</v>
      </c>
      <c r="O123" s="42">
        <f t="shared" ref="O123:O126" si="608">+U123*A123</f>
        <v>50129.999999999985</v>
      </c>
      <c r="P123" s="40"/>
      <c r="Q123" s="41" t="str">
        <f>IF(P123&gt;0,ROUND(((Y123*A123)/(1-(P123*(1+Variables!$B$10)))),1),"")</f>
        <v/>
      </c>
      <c r="U123" s="27">
        <f t="shared" ref="U123:U126" si="609">+IF(((Y123*G123)-W123-X123)&lt;V123,V123,((Y123*G123)-W123-X123))</f>
        <v>137.34246575342462</v>
      </c>
      <c r="V123" s="27">
        <f>VLOOKUP((J123/A123),Variables!$A$3:$C$8,3,TRUE())</f>
        <v>81.632653061224488</v>
      </c>
      <c r="W123" s="27">
        <f t="shared" ref="W123:W126" si="610">+(J123+K123)/A123</f>
        <v>297.57534246575341</v>
      </c>
      <c r="X123" s="24">
        <f>+Z123/A123*Variables!$B$10</f>
        <v>22.890410958904109</v>
      </c>
      <c r="Y123" s="28">
        <f>+(W123/(1-(N123+Variables!$B$10)))/G123</f>
        <v>6.5401174168297445</v>
      </c>
      <c r="Z123" s="5">
        <f t="shared" ref="Z123:Z126" si="611">+Y123*G123*A123</f>
        <v>167099.99999999997</v>
      </c>
      <c r="AM123" s="18"/>
      <c r="AN123" s="18"/>
      <c r="AO123" s="18"/>
      <c r="AP123" s="18"/>
      <c r="AQ123" s="18"/>
    </row>
    <row r="124" spans="1:43" ht="15" customHeight="1" x14ac:dyDescent="0.3">
      <c r="A124" s="43">
        <v>365</v>
      </c>
      <c r="B124" s="88">
        <v>45225</v>
      </c>
      <c r="C124" s="3" t="s">
        <v>277</v>
      </c>
      <c r="D124" s="106" t="s">
        <v>49</v>
      </c>
      <c r="E124" s="3" t="s">
        <v>308</v>
      </c>
      <c r="F124" s="57" t="s">
        <v>154</v>
      </c>
      <c r="G124" s="3">
        <v>70</v>
      </c>
      <c r="H124" s="35">
        <v>1542.32</v>
      </c>
      <c r="I124" s="36">
        <v>15000</v>
      </c>
      <c r="J124" s="19">
        <f t="shared" ref="J124" si="612">(G124*H124)+I124</f>
        <v>122962.4</v>
      </c>
      <c r="K124" s="90">
        <v>10000</v>
      </c>
      <c r="L124" s="7">
        <f t="shared" ref="L124" si="613">ROUND(IF((Y124*A124*G124)&gt;(J124+(X124*A124)+K124+(U124*A124)),(Y124*A124),((J124+(X124*A124)+K124+(U124*A124))/G124)),1)</f>
        <v>2922.3</v>
      </c>
      <c r="M124" s="5">
        <f t="shared" ref="M124" si="614">+L124*G124</f>
        <v>204561</v>
      </c>
      <c r="N124" s="8">
        <f>VLOOKUP((J124/A124),Variables!$A$3:$C$8,2,TRUE())</f>
        <v>0.3</v>
      </c>
      <c r="O124" s="42">
        <f t="shared" ref="O124" si="615">+U124*A124</f>
        <v>61367.261538461535</v>
      </c>
      <c r="P124" s="40"/>
      <c r="Q124" s="41" t="str">
        <f>IF(P124&gt;0,ROUND(((Y124*A124)/(1-(P124*(1+Variables!$B$10)))),1),"")</f>
        <v/>
      </c>
      <c r="U124" s="27">
        <f t="shared" ref="U124" si="616">+IF(((Y124*G124)-W124-X124)&lt;V124,V124,((Y124*G124)-W124-X124))</f>
        <v>168.12948366701789</v>
      </c>
      <c r="V124" s="27">
        <f>VLOOKUP((J124/A124),Variables!$A$3:$C$8,3,TRUE())</f>
        <v>81.632653061224488</v>
      </c>
      <c r="W124" s="27">
        <f t="shared" ref="W124" si="617">+(J124+K124)/A124</f>
        <v>364.28054794520546</v>
      </c>
      <c r="X124" s="24">
        <f>+Z124/A124*Variables!$B$10</f>
        <v>28.021580611169654</v>
      </c>
      <c r="Y124" s="28">
        <f>+(W124/(1-(N124+Variables!$B$10)))/G124</f>
        <v>8.0061658889056151</v>
      </c>
      <c r="Z124" s="5">
        <f t="shared" ref="Z124" si="618">+Y124*G124*A124</f>
        <v>204557.53846153844</v>
      </c>
      <c r="AM124" s="18"/>
      <c r="AN124" s="18"/>
      <c r="AO124" s="18"/>
      <c r="AP124" s="18"/>
      <c r="AQ124" s="18"/>
    </row>
    <row r="125" spans="1:43" ht="15" customHeight="1" x14ac:dyDescent="0.3">
      <c r="A125" s="43">
        <v>365</v>
      </c>
      <c r="B125" s="88">
        <v>45225</v>
      </c>
      <c r="C125" s="3" t="s">
        <v>277</v>
      </c>
      <c r="D125" s="106" t="s">
        <v>49</v>
      </c>
      <c r="E125" s="3" t="s">
        <v>309</v>
      </c>
      <c r="F125" s="57" t="s">
        <v>154</v>
      </c>
      <c r="G125" s="3">
        <v>70</v>
      </c>
      <c r="H125" s="35">
        <v>1589.56</v>
      </c>
      <c r="I125" s="36">
        <v>15000</v>
      </c>
      <c r="J125" s="19">
        <f t="shared" ref="J125" si="619">(G125*H125)+I125</f>
        <v>126269.2</v>
      </c>
      <c r="K125" s="90">
        <v>10000</v>
      </c>
      <c r="L125" s="7">
        <f t="shared" ref="L125" si="620">ROUND(IF((Y125*A125*G125)&gt;(J125+(X125*A125)+K125+(U125*A125)),(Y125*A125),((J125+(X125*A125)+K125+(U125*A125))/G125)),1)</f>
        <v>2994.9</v>
      </c>
      <c r="M125" s="5">
        <f t="shared" ref="M125" si="621">+L125*G125</f>
        <v>209643</v>
      </c>
      <c r="N125" s="8">
        <f>VLOOKUP((J125/A125),Variables!$A$3:$C$8,2,TRUE())</f>
        <v>0.3</v>
      </c>
      <c r="O125" s="42">
        <f t="shared" ref="O125" si="622">+U125*A125</f>
        <v>62893.476923076909</v>
      </c>
      <c r="P125" s="40"/>
      <c r="Q125" s="41" t="str">
        <f>IF(P125&gt;0,ROUND(((Y125*A125)/(1-(P125*(1+Variables!$B$10)))),1),"")</f>
        <v/>
      </c>
      <c r="U125" s="27">
        <f t="shared" ref="U125" si="623">+IF(((Y125*G125)-W125-X125)&lt;V125,V125,((Y125*G125)-W125-X125))</f>
        <v>172.31089567966276</v>
      </c>
      <c r="V125" s="27">
        <f>VLOOKUP((J125/A125),Variables!$A$3:$C$8,3,TRUE())</f>
        <v>81.632653061224488</v>
      </c>
      <c r="W125" s="27">
        <f t="shared" ref="W125" si="624">+(J125+K125)/A125</f>
        <v>373.34027397260274</v>
      </c>
      <c r="X125" s="24">
        <f>+Z125/A125*Variables!$B$10</f>
        <v>28.718482613277132</v>
      </c>
      <c r="Y125" s="28">
        <f>+(W125/(1-(N125+Variables!$B$10)))/G125</f>
        <v>8.2052807466506099</v>
      </c>
      <c r="Z125" s="5">
        <f t="shared" ref="Z125" si="625">+Y125*G125*A125</f>
        <v>209644.92307692306</v>
      </c>
      <c r="AM125" s="18"/>
      <c r="AN125" s="18"/>
      <c r="AO125" s="18"/>
      <c r="AP125" s="18"/>
      <c r="AQ125" s="18"/>
    </row>
    <row r="126" spans="1:43" ht="15" customHeight="1" x14ac:dyDescent="0.3">
      <c r="A126" s="43">
        <v>365</v>
      </c>
      <c r="B126" s="88">
        <v>45225</v>
      </c>
      <c r="C126" s="3" t="s">
        <v>286</v>
      </c>
      <c r="D126" s="106" t="s">
        <v>292</v>
      </c>
      <c r="E126" s="76" t="s">
        <v>290</v>
      </c>
      <c r="F126" s="57" t="s">
        <v>293</v>
      </c>
      <c r="G126" s="3">
        <v>300</v>
      </c>
      <c r="H126" s="35">
        <f>6.5*368.5+100+2.43*368.5+70+2509.05</f>
        <v>5969.7550000000001</v>
      </c>
      <c r="I126" s="36"/>
      <c r="J126" s="19">
        <f t="shared" si="605"/>
        <v>1790926.5</v>
      </c>
      <c r="K126" s="39">
        <f>6000+5000+2500</f>
        <v>13500</v>
      </c>
      <c r="L126" s="7">
        <f t="shared" si="606"/>
        <v>8019.7</v>
      </c>
      <c r="M126" s="5">
        <f t="shared" si="607"/>
        <v>2405910</v>
      </c>
      <c r="N126" s="8">
        <f>VLOOKUP((J126/A126),Variables!$A$3:$C$8,2,TRUE())</f>
        <v>0.2</v>
      </c>
      <c r="O126" s="42">
        <f t="shared" si="608"/>
        <v>481180.4</v>
      </c>
      <c r="P126" s="40"/>
      <c r="Q126" s="41" t="str">
        <f>IF(P126&gt;0,ROUND(((Y126*A126)/(1-(P126*(1+Variables!$B$10)))),1),"")</f>
        <v/>
      </c>
      <c r="U126" s="27">
        <f t="shared" si="609"/>
        <v>1318.3024657534247</v>
      </c>
      <c r="V126" s="27">
        <f>VLOOKUP((J126/A126),Variables!$A$3:$C$8,3,TRUE())</f>
        <v>898</v>
      </c>
      <c r="W126" s="27">
        <f t="shared" si="610"/>
        <v>4943.6342465753423</v>
      </c>
      <c r="X126" s="24">
        <f>+Z126/A126*Variables!$B$10</f>
        <v>329.57561643835618</v>
      </c>
      <c r="Y126" s="28">
        <f>+(W126/(1-(N126+Variables!$B$10)))/G126</f>
        <v>21.971707762557077</v>
      </c>
      <c r="Z126" s="5">
        <f t="shared" si="611"/>
        <v>2405902</v>
      </c>
      <c r="AM126" s="18"/>
      <c r="AN126" s="18"/>
      <c r="AO126" s="18"/>
      <c r="AP126" s="18"/>
      <c r="AQ126" s="18"/>
    </row>
    <row r="127" spans="1:43" ht="15" customHeight="1" x14ac:dyDescent="0.3">
      <c r="A127" s="43">
        <v>365</v>
      </c>
      <c r="B127" s="88">
        <v>45225</v>
      </c>
      <c r="C127" s="3" t="s">
        <v>286</v>
      </c>
      <c r="D127" s="106" t="s">
        <v>294</v>
      </c>
      <c r="E127" s="76" t="s">
        <v>291</v>
      </c>
      <c r="F127" s="57" t="s">
        <v>295</v>
      </c>
      <c r="G127" s="3">
        <v>300</v>
      </c>
      <c r="H127" s="35">
        <f>6.5*368.5+100+2.43*368.5+70+2509.05+2.12*0.97*368.5+148.31</f>
        <v>6875.8484000000008</v>
      </c>
      <c r="I127" s="36"/>
      <c r="J127" s="19">
        <f t="shared" ref="J127:J128" si="626">(G127*H127)+I127</f>
        <v>2062754.5200000003</v>
      </c>
      <c r="K127" s="39">
        <f>6000+5000+2500+5000</f>
        <v>18500</v>
      </c>
      <c r="L127" s="7">
        <f t="shared" ref="L127:L128" si="627">ROUND(IF((Y127*A127*G127)&gt;(J127+(X127*A127)+K127+(U127*A127)),(Y127*A127),((J127+(X127*A127)+K127+(U127*A127))/G127)),1)</f>
        <v>9009.7999999999993</v>
      </c>
      <c r="M127" s="5">
        <f t="shared" ref="M127:M128" si="628">+L127*G127</f>
        <v>2702940</v>
      </c>
      <c r="N127" s="8">
        <f>VLOOKUP((J127/A127),Variables!$A$3:$C$8,2,TRUE())</f>
        <v>0.18</v>
      </c>
      <c r="O127" s="42">
        <f t="shared" ref="O127:O128" si="629">+U127*A127</f>
        <v>486527.03064935072</v>
      </c>
      <c r="P127" s="40"/>
      <c r="Q127" s="41" t="str">
        <f>IF(P127&gt;0,ROUND(((Y127*A127)/(1-(P127*(1+Variables!$B$10)))),1),"")</f>
        <v/>
      </c>
      <c r="U127" s="27">
        <f t="shared" ref="U127:U128" si="630">+IF(((Y127*G127)-W127-X127)&lt;V127,V127,((Y127*G127)-W127-X127))</f>
        <v>1332.9507689023308</v>
      </c>
      <c r="V127" s="27">
        <f>VLOOKUP((J127/A127),Variables!$A$3:$C$8,3,TRUE())</f>
        <v>1094</v>
      </c>
      <c r="W127" s="27">
        <f t="shared" ref="W127:W128" si="631">+(J127+K127)/A127</f>
        <v>5702.0671780821922</v>
      </c>
      <c r="X127" s="24">
        <f>+Z127/A127*Variables!$B$10</f>
        <v>370.26410247286958</v>
      </c>
      <c r="Y127" s="28">
        <f>+(W127/(1-(N127+Variables!$B$10)))/G127</f>
        <v>24.68427349819131</v>
      </c>
      <c r="Z127" s="5">
        <f t="shared" ref="Z127:Z128" si="632">+Y127*G127*A127</f>
        <v>2702927.9480519481</v>
      </c>
      <c r="AM127" s="18"/>
      <c r="AN127" s="18"/>
      <c r="AO127" s="18"/>
      <c r="AP127" s="18"/>
      <c r="AQ127" s="18"/>
    </row>
    <row r="128" spans="1:43" ht="15" customHeight="1" x14ac:dyDescent="0.3">
      <c r="A128" s="43">
        <v>365</v>
      </c>
      <c r="B128" s="88">
        <v>45225</v>
      </c>
      <c r="C128" s="3" t="s">
        <v>286</v>
      </c>
      <c r="D128" s="106" t="s">
        <v>296</v>
      </c>
      <c r="E128" s="76" t="s">
        <v>297</v>
      </c>
      <c r="F128" s="57" t="s">
        <v>299</v>
      </c>
      <c r="G128" s="3">
        <v>300</v>
      </c>
      <c r="H128" s="35">
        <f>1113.74+2100+2.43*368.5+70</f>
        <v>4179.1949999999997</v>
      </c>
      <c r="I128" s="36"/>
      <c r="J128" s="19">
        <f t="shared" si="626"/>
        <v>1253758.5</v>
      </c>
      <c r="K128" s="39">
        <f>10000+2500</f>
        <v>12500</v>
      </c>
      <c r="L128" s="7">
        <f t="shared" si="627"/>
        <v>5782</v>
      </c>
      <c r="M128" s="5">
        <f t="shared" si="628"/>
        <v>1734600</v>
      </c>
      <c r="N128" s="8">
        <f>VLOOKUP((J128/A128),Variables!$A$3:$C$8,2,TRUE())</f>
        <v>0.22</v>
      </c>
      <c r="O128" s="42">
        <f t="shared" si="629"/>
        <v>381612.15068493132</v>
      </c>
      <c r="P128" s="40"/>
      <c r="Q128" s="41" t="str">
        <f>IF(P128&gt;0,ROUND(((Y128*A128)/(1-(P128*(1+Variables!$B$10)))),1),"")</f>
        <v/>
      </c>
      <c r="U128" s="27">
        <f t="shared" si="630"/>
        <v>1045.5127416025516</v>
      </c>
      <c r="V128" s="27">
        <f>VLOOKUP((J128/A128),Variables!$A$3:$C$8,3,TRUE())</f>
        <v>510</v>
      </c>
      <c r="W128" s="27">
        <f t="shared" si="631"/>
        <v>3469.2013698630135</v>
      </c>
      <c r="X128" s="24">
        <f>+Z128/A128*Variables!$B$10</f>
        <v>237.61653218239817</v>
      </c>
      <c r="Y128" s="28">
        <f>+(W128/(1-(N128+Variables!$B$10)))/G128</f>
        <v>15.841102145493211</v>
      </c>
      <c r="Z128" s="5">
        <f t="shared" si="632"/>
        <v>1734600.6849315066</v>
      </c>
      <c r="AM128" s="18"/>
      <c r="AN128" s="18"/>
      <c r="AO128" s="18"/>
      <c r="AP128" s="18"/>
      <c r="AQ128" s="18"/>
    </row>
    <row r="129" spans="1:43" ht="15" customHeight="1" x14ac:dyDescent="0.3">
      <c r="A129" s="43">
        <v>365</v>
      </c>
      <c r="B129" s="88">
        <v>45225</v>
      </c>
      <c r="C129" s="3" t="s">
        <v>286</v>
      </c>
      <c r="D129" s="106" t="s">
        <v>294</v>
      </c>
      <c r="E129" s="76" t="s">
        <v>298</v>
      </c>
      <c r="F129" s="57" t="s">
        <v>300</v>
      </c>
      <c r="G129" s="3">
        <v>300</v>
      </c>
      <c r="H129" s="35">
        <f>1113.74+2100+2.43*368.5+70+5.43*0.97*368.5</f>
        <v>6120.1213499999994</v>
      </c>
      <c r="I129" s="36"/>
      <c r="J129" s="19">
        <f t="shared" ref="J129" si="633">(G129*H129)+I129</f>
        <v>1836036.4049999998</v>
      </c>
      <c r="K129" s="39">
        <f>10000+2500+5000</f>
        <v>17500</v>
      </c>
      <c r="L129" s="7">
        <f t="shared" ref="L129" si="634">ROUND(IF((Y129*A129*G129)&gt;(J129+(X129*A129)+K129+(U129*A129)),(Y129*A129),((J129+(X129*A129)+K129+(U129*A129))/G129)),1)</f>
        <v>8237.9</v>
      </c>
      <c r="M129" s="5">
        <f t="shared" ref="M129" si="635">+L129*G129</f>
        <v>2471370</v>
      </c>
      <c r="N129" s="8">
        <f>VLOOKUP((J129/A129),Variables!$A$3:$C$8,2,TRUE())</f>
        <v>0.2</v>
      </c>
      <c r="O129" s="42">
        <f t="shared" ref="O129" si="636">+U129*A129</f>
        <v>494276.37466666667</v>
      </c>
      <c r="P129" s="40"/>
      <c r="Q129" s="41" t="str">
        <f>IF(P129&gt;0,ROUND(((Y129*A129)/(1-(P129*(1+Variables!$B$10)))),1),"")</f>
        <v/>
      </c>
      <c r="U129" s="27">
        <f t="shared" ref="U129" si="637">+IF(((Y129*G129)-W129-X129)&lt;V129,V129,((Y129*G129)-W129-X129))</f>
        <v>1354.1818484018265</v>
      </c>
      <c r="V129" s="27">
        <f>VLOOKUP((J129/A129),Variables!$A$3:$C$8,3,TRUE())</f>
        <v>898</v>
      </c>
      <c r="W129" s="27">
        <f t="shared" ref="W129" si="638">+(J129+K129)/A129</f>
        <v>5078.1819315068487</v>
      </c>
      <c r="X129" s="24">
        <f>+Z129/A129*Variables!$B$10</f>
        <v>338.54546210045663</v>
      </c>
      <c r="Y129" s="28">
        <f>+(W129/(1-(N129+Variables!$B$10)))/G129</f>
        <v>22.569697473363775</v>
      </c>
      <c r="Z129" s="5">
        <f t="shared" ref="Z129" si="639">+Y129*G129*A129</f>
        <v>2471381.8733333331</v>
      </c>
      <c r="AM129" s="18"/>
      <c r="AN129" s="18"/>
      <c r="AO129" s="18"/>
      <c r="AP129" s="18"/>
      <c r="AQ129" s="18"/>
    </row>
    <row r="130" spans="1:43" ht="15" customHeight="1" x14ac:dyDescent="0.3">
      <c r="A130" s="43">
        <v>365</v>
      </c>
      <c r="B130" s="88">
        <v>45225</v>
      </c>
      <c r="C130" s="3" t="s">
        <v>301</v>
      </c>
      <c r="D130" s="106" t="s">
        <v>49</v>
      </c>
      <c r="E130" s="76" t="s">
        <v>302</v>
      </c>
      <c r="F130" s="57"/>
      <c r="G130" s="3">
        <v>120</v>
      </c>
      <c r="H130" s="35">
        <f>6849.96+1802.2+3186.81</f>
        <v>11838.97</v>
      </c>
      <c r="I130" s="36"/>
      <c r="J130" s="19">
        <f t="shared" ref="J130" si="640">(G130*H130)+I130</f>
        <v>1420676.4</v>
      </c>
      <c r="K130" s="39">
        <v>10000</v>
      </c>
      <c r="L130" s="7">
        <f t="shared" ref="L130" si="641">ROUND(IF((Y130*A130*G130)&gt;(J130+(X130*A130)+K130+(U130*A130)),(Y130*A130),((J130+(X130*A130)+K130+(U130*A130))/G130)),1)</f>
        <v>16331.9</v>
      </c>
      <c r="M130" s="5">
        <f t="shared" ref="M130" si="642">+L130*G130</f>
        <v>1959828</v>
      </c>
      <c r="N130" s="8">
        <f>VLOOKUP((J130/A130),Variables!$A$3:$C$8,2,TRUE())</f>
        <v>0.22</v>
      </c>
      <c r="O130" s="42">
        <f t="shared" ref="O130" si="643">+U130*A130</f>
        <v>431162.7506849317</v>
      </c>
      <c r="P130" s="40"/>
      <c r="Q130" s="41" t="str">
        <f>IF(P130&gt;0,ROUND(((Y130*A130)/(1-(P130*(1+Variables!$B$10)))),1),"")</f>
        <v/>
      </c>
      <c r="U130" s="27">
        <f t="shared" ref="U130" si="644">+IF(((Y130*G130)-W130-X130)&lt;V130,V130,((Y130*G130)-W130-X130))</f>
        <v>1181.2678100957032</v>
      </c>
      <c r="V130" s="27">
        <f>VLOOKUP((J130/A130),Variables!$A$3:$C$8,3,TRUE())</f>
        <v>510</v>
      </c>
      <c r="W130" s="27">
        <f t="shared" ref="W130" si="645">+(J130+K130)/A130</f>
        <v>3919.6613698630135</v>
      </c>
      <c r="X130" s="24">
        <f>+Z130/A130*Variables!$B$10</f>
        <v>268.46995683993248</v>
      </c>
      <c r="Y130" s="28">
        <f>+(W130/(1-(N130+Variables!$B$10)))/G130</f>
        <v>44.744992806655411</v>
      </c>
      <c r="Z130" s="5">
        <f t="shared" ref="Z130" si="646">+Y130*G130*A130</f>
        <v>1959830.6849315069</v>
      </c>
      <c r="AM130" s="18"/>
      <c r="AN130" s="18"/>
      <c r="AO130" s="18"/>
      <c r="AP130" s="18"/>
      <c r="AQ130" s="18"/>
    </row>
    <row r="131" spans="1:43" ht="15" customHeight="1" x14ac:dyDescent="0.3">
      <c r="A131" s="43">
        <v>365</v>
      </c>
      <c r="B131" s="88">
        <v>45225</v>
      </c>
      <c r="C131" s="3" t="s">
        <v>301</v>
      </c>
      <c r="D131" s="106" t="s">
        <v>49</v>
      </c>
      <c r="E131" s="76" t="s">
        <v>303</v>
      </c>
      <c r="F131" s="57"/>
      <c r="G131" s="3">
        <v>120</v>
      </c>
      <c r="H131" s="35">
        <f>6849.96+1802.2+3186.81+1113.74</f>
        <v>12952.71</v>
      </c>
      <c r="I131" s="36"/>
      <c r="J131" s="19">
        <f t="shared" ref="J131" si="647">(G131*H131)+I131</f>
        <v>1554325.2</v>
      </c>
      <c r="K131" s="39">
        <v>10000</v>
      </c>
      <c r="L131" s="7">
        <f t="shared" ref="L131" si="648">ROUND(IF((Y131*A131*G131)&gt;(J131+(X131*A131)+K131+(U131*A131)),(Y131*A131),((J131+(X131*A131)+K131+(U131*A131))/G131)),1)</f>
        <v>17381.400000000001</v>
      </c>
      <c r="M131" s="5">
        <f t="shared" ref="M131" si="649">+L131*G131</f>
        <v>2085768.0000000002</v>
      </c>
      <c r="N131" s="8">
        <f>VLOOKUP((J131/A131),Variables!$A$3:$C$8,2,TRUE())</f>
        <v>0.2</v>
      </c>
      <c r="O131" s="42">
        <f t="shared" ref="O131" si="650">+U131*A131</f>
        <v>417153.38666666654</v>
      </c>
      <c r="P131" s="40"/>
      <c r="Q131" s="41" t="str">
        <f>IF(P131&gt;0,ROUND(((Y131*A131)/(1-(P131*(1+Variables!$B$10)))),1),"")</f>
        <v/>
      </c>
      <c r="U131" s="27">
        <f t="shared" ref="U131" si="651">+IF(((Y131*G131)-W131-X131)&lt;V131,V131,((Y131*G131)-W131-X131))</f>
        <v>1142.8859908675795</v>
      </c>
      <c r="V131" s="27">
        <f>VLOOKUP((J131/A131),Variables!$A$3:$C$8,3,TRUE())</f>
        <v>898</v>
      </c>
      <c r="W131" s="27">
        <f t="shared" ref="W131" si="652">+(J131+K131)/A131</f>
        <v>4285.8224657534247</v>
      </c>
      <c r="X131" s="24">
        <f>+Z131/A131*Variables!$B$10</f>
        <v>285.72149771689499</v>
      </c>
      <c r="Y131" s="28">
        <f>+(W131/(1-(N131+Variables!$B$10)))/G131</f>
        <v>47.620249619482493</v>
      </c>
      <c r="Z131" s="5">
        <f t="shared" ref="Z131" si="653">+Y131*G131*A131</f>
        <v>2085766.9333333333</v>
      </c>
      <c r="AM131" s="18"/>
      <c r="AN131" s="18"/>
      <c r="AO131" s="18"/>
      <c r="AP131" s="18"/>
      <c r="AQ131" s="18"/>
    </row>
    <row r="132" spans="1:43" ht="15" customHeight="1" x14ac:dyDescent="0.3">
      <c r="A132" s="43">
        <v>365</v>
      </c>
      <c r="B132" s="88">
        <v>45225</v>
      </c>
      <c r="C132" s="3" t="s">
        <v>301</v>
      </c>
      <c r="D132" s="106" t="s">
        <v>304</v>
      </c>
      <c r="E132" s="76" t="s">
        <v>305</v>
      </c>
      <c r="F132" s="57"/>
      <c r="G132" s="3">
        <v>100</v>
      </c>
      <c r="H132" s="35">
        <f>6.5*368.5+110+2350+2990+1645</f>
        <v>9490.25</v>
      </c>
      <c r="I132" s="36"/>
      <c r="J132" s="19">
        <f t="shared" ref="J132" si="654">(G132*H132)+I132</f>
        <v>949025</v>
      </c>
      <c r="K132" s="39">
        <f>6000+5000+6000</f>
        <v>17000</v>
      </c>
      <c r="L132" s="7">
        <f t="shared" ref="L132" si="655">ROUND(IF((Y132*A132*G132)&gt;(J132+(X132*A132)+K132+(U132*A132)),(Y132*A132),((J132+(X132*A132)+K132+(U132*A132))/G132)),1)</f>
        <v>13233.2</v>
      </c>
      <c r="M132" s="5">
        <f t="shared" ref="M132" si="656">+L132*G132</f>
        <v>1323320</v>
      </c>
      <c r="N132" s="8">
        <f>VLOOKUP((J132/A132),Variables!$A$3:$C$8,2,TRUE())</f>
        <v>0.22</v>
      </c>
      <c r="O132" s="42">
        <f t="shared" ref="O132" si="657">+U132*A132</f>
        <v>291130.82191780832</v>
      </c>
      <c r="P132" s="40"/>
      <c r="Q132" s="41" t="str">
        <f>IF(P132&gt;0,ROUND(((Y132*A132)/(1-(P132*(1+Variables!$B$10)))),1),"")</f>
        <v/>
      </c>
      <c r="U132" s="27">
        <f t="shared" ref="U132" si="658">+IF(((Y132*G132)-W132-X132)&lt;V132,V132,((Y132*G132)-W132-X132))</f>
        <v>797.61869018577625</v>
      </c>
      <c r="V132" s="27">
        <f>VLOOKUP((J132/A132),Variables!$A$3:$C$8,3,TRUE())</f>
        <v>510</v>
      </c>
      <c r="W132" s="27">
        <f t="shared" ref="W132" si="659">+(J132+K132)/A132</f>
        <v>2646.6438356164385</v>
      </c>
      <c r="X132" s="24">
        <f>+Z132/A132*Variables!$B$10</f>
        <v>181.27697504222184</v>
      </c>
      <c r="Y132" s="28">
        <f>+(W132/(1-(N132+Variables!$B$10)))/G132</f>
        <v>36.255395008444367</v>
      </c>
      <c r="Z132" s="5">
        <f t="shared" ref="Z132" si="660">+Y132*G132*A132</f>
        <v>1323321.9178082193</v>
      </c>
      <c r="AM132" s="18"/>
      <c r="AN132" s="18"/>
      <c r="AO132" s="18"/>
      <c r="AP132" s="18"/>
      <c r="AQ132" s="18"/>
    </row>
    <row r="133" spans="1:43" ht="15" customHeight="1" x14ac:dyDescent="0.3">
      <c r="A133" s="43">
        <v>365</v>
      </c>
      <c r="B133" s="88">
        <v>45225</v>
      </c>
      <c r="C133" s="3" t="s">
        <v>301</v>
      </c>
      <c r="D133" s="106" t="s">
        <v>45</v>
      </c>
      <c r="E133" s="3" t="s">
        <v>46</v>
      </c>
      <c r="F133" s="57" t="s">
        <v>306</v>
      </c>
      <c r="G133" s="3">
        <v>50</v>
      </c>
      <c r="H133" s="35">
        <v>3250</v>
      </c>
      <c r="I133" s="36"/>
      <c r="J133" s="19">
        <f t="shared" ref="J133" si="661">(G133*H133)+I133</f>
        <v>162500</v>
      </c>
      <c r="K133" s="39">
        <v>2500</v>
      </c>
      <c r="L133" s="7">
        <f t="shared" ref="L133" si="662">ROUND(IF((Y133*A133*G133)&gt;(J133+(X133*A133)+K133+(U133*A133)),(Y133*A133),((J133+(X133*A133)+K133+(U133*A133))/G133)),1)</f>
        <v>4925.3999999999996</v>
      </c>
      <c r="M133" s="5">
        <f t="shared" ref="M133" si="663">+L133*G133</f>
        <v>246269.99999999997</v>
      </c>
      <c r="N133" s="8">
        <f>VLOOKUP((J133/A133),Variables!$A$3:$C$8,2,TRUE())</f>
        <v>0.28000000000000003</v>
      </c>
      <c r="O133" s="42">
        <f t="shared" ref="O133" si="664">+U133*A133</f>
        <v>68955.223880597041</v>
      </c>
      <c r="P133" s="40"/>
      <c r="Q133" s="41" t="str">
        <f>IF(P133&gt;0,ROUND(((Y133*A133)/(1-(P133*(1+Variables!$B$10)))),1),"")</f>
        <v/>
      </c>
      <c r="U133" s="27">
        <f t="shared" ref="U133" si="665">+IF(((Y133*G133)-W133-X133)&lt;V133,V133,((Y133*G133)-W133-X133))</f>
        <v>188.91842159067681</v>
      </c>
      <c r="V133" s="27">
        <f>VLOOKUP((J133/A133),Variables!$A$3:$C$8,3,TRUE())</f>
        <v>122</v>
      </c>
      <c r="W133" s="27">
        <f t="shared" ref="W133" si="666">+(J133+K133)/A133</f>
        <v>452.05479452054794</v>
      </c>
      <c r="X133" s="24">
        <f>+Z133/A133*Variables!$B$10</f>
        <v>33.73543242690657</v>
      </c>
      <c r="Y133" s="28">
        <f>+(W133/(1-(N133+Variables!$B$10)))/G133</f>
        <v>13.494172970762627</v>
      </c>
      <c r="Z133" s="5">
        <f t="shared" ref="Z133" si="667">+Y133*G133*A133</f>
        <v>246268.65671641793</v>
      </c>
      <c r="AM133" s="18"/>
      <c r="AN133" s="18"/>
      <c r="AO133" s="18"/>
      <c r="AP133" s="18"/>
      <c r="AQ133" s="18"/>
    </row>
    <row r="134" spans="1:43" ht="15" customHeight="1" x14ac:dyDescent="0.3">
      <c r="A134" s="43">
        <v>365</v>
      </c>
      <c r="B134" s="88">
        <v>45225</v>
      </c>
      <c r="C134" s="3" t="s">
        <v>301</v>
      </c>
      <c r="D134" s="106" t="s">
        <v>45</v>
      </c>
      <c r="E134" s="3" t="s">
        <v>46</v>
      </c>
      <c r="F134" s="57" t="s">
        <v>306</v>
      </c>
      <c r="G134" s="3">
        <v>50</v>
      </c>
      <c r="H134" s="35">
        <v>2990</v>
      </c>
      <c r="I134" s="36"/>
      <c r="J134" s="19">
        <f t="shared" ref="J134:J135" si="668">(G134*H134)+I134</f>
        <v>149500</v>
      </c>
      <c r="K134" s="39">
        <v>5000</v>
      </c>
      <c r="L134" s="7">
        <f t="shared" ref="L134:L135" si="669">ROUND(IF((Y134*A134*G134)&gt;(J134+(X134*A134)+K134+(U134*A134)),(Y134*A134),((J134+(X134*A134)+K134+(U134*A134))/G134)),1)</f>
        <v>4611.8999999999996</v>
      </c>
      <c r="M134" s="5">
        <f t="shared" ref="M134:M135" si="670">+L134*G134</f>
        <v>230594.99999999997</v>
      </c>
      <c r="N134" s="8">
        <f>VLOOKUP((J134/A134),Variables!$A$3:$C$8,2,TRUE())</f>
        <v>0.28000000000000003</v>
      </c>
      <c r="O134" s="42">
        <f t="shared" ref="O134:O135" si="671">+U134*A134</f>
        <v>64567.164179104497</v>
      </c>
      <c r="P134" s="40"/>
      <c r="Q134" s="41" t="str">
        <f>IF(P134&gt;0,ROUND(((Y134*A134)/(1-(P134*(1+Variables!$B$10)))),1),"")</f>
        <v/>
      </c>
      <c r="U134" s="27">
        <f t="shared" ref="U134:U135" si="672">+IF(((Y134*G134)-W134-X134)&lt;V134,V134,((Y134*G134)-W134-X134))</f>
        <v>176.89634021672464</v>
      </c>
      <c r="V134" s="27">
        <f>VLOOKUP((J134/A134),Variables!$A$3:$C$8,3,TRUE())</f>
        <v>122</v>
      </c>
      <c r="W134" s="27">
        <f t="shared" ref="W134:W135" si="673">+(J134+K134)/A134</f>
        <v>423.28767123287673</v>
      </c>
      <c r="X134" s="24">
        <f>+Z134/A134*Variables!$B$10</f>
        <v>31.588632181557969</v>
      </c>
      <c r="Y134" s="28">
        <f>+(W134/(1-(N134+Variables!$B$10)))/G134</f>
        <v>12.635452872623187</v>
      </c>
      <c r="Z134" s="5">
        <f t="shared" ref="Z134:Z135" si="674">+Y134*G134*A134</f>
        <v>230597.01492537317</v>
      </c>
      <c r="AM134" s="18"/>
      <c r="AN134" s="18"/>
      <c r="AO134" s="18"/>
      <c r="AP134" s="18"/>
      <c r="AQ134" s="18"/>
    </row>
    <row r="135" spans="1:43" ht="15" customHeight="1" x14ac:dyDescent="0.3">
      <c r="A135" s="43">
        <v>365</v>
      </c>
      <c r="B135" s="88">
        <v>45225</v>
      </c>
      <c r="C135" s="3" t="s">
        <v>307</v>
      </c>
      <c r="D135" s="106" t="s">
        <v>304</v>
      </c>
      <c r="E135" s="76" t="s">
        <v>305</v>
      </c>
      <c r="F135" s="57"/>
      <c r="G135" s="3">
        <v>200</v>
      </c>
      <c r="H135" s="35">
        <f>6.5*368.5+95+2100+2990+1645</f>
        <v>9225.25</v>
      </c>
      <c r="I135" s="36"/>
      <c r="J135" s="19">
        <f t="shared" si="668"/>
        <v>1845050</v>
      </c>
      <c r="K135" s="39">
        <f>6000+5000+6000</f>
        <v>17000</v>
      </c>
      <c r="L135" s="7">
        <f t="shared" si="669"/>
        <v>12413.7</v>
      </c>
      <c r="M135" s="5">
        <f t="shared" si="670"/>
        <v>2482740</v>
      </c>
      <c r="N135" s="8">
        <f>VLOOKUP((J135/A135),Variables!$A$3:$C$8,2,TRUE())</f>
        <v>0.2</v>
      </c>
      <c r="O135" s="42">
        <f t="shared" si="671"/>
        <v>496546.66666666634</v>
      </c>
      <c r="P135" s="40"/>
      <c r="Q135" s="41" t="str">
        <f>IF(P135&gt;0,ROUND(((Y135*A135)/(1-(P135*(1+Variables!$B$10)))),1),"")</f>
        <v/>
      </c>
      <c r="U135" s="27">
        <f t="shared" si="672"/>
        <v>1360.4018264840174</v>
      </c>
      <c r="V135" s="27">
        <f>VLOOKUP((J135/A135),Variables!$A$3:$C$8,3,TRUE())</f>
        <v>898</v>
      </c>
      <c r="W135" s="27">
        <f t="shared" si="673"/>
        <v>5101.5068493150684</v>
      </c>
      <c r="X135" s="24">
        <f>+Z135/A135*Variables!$B$10</f>
        <v>340.10045662100453</v>
      </c>
      <c r="Y135" s="28">
        <f>+(W135/(1-(N135+Variables!$B$10)))/G135</f>
        <v>34.010045662100453</v>
      </c>
      <c r="Z135" s="5">
        <f t="shared" si="674"/>
        <v>2482733.333333333</v>
      </c>
      <c r="AM135" s="18"/>
      <c r="AN135" s="18"/>
      <c r="AO135" s="18"/>
      <c r="AP135" s="18"/>
      <c r="AQ135" s="18"/>
    </row>
    <row r="136" spans="1:43" ht="15" customHeight="1" x14ac:dyDescent="0.3">
      <c r="A136" s="43">
        <v>365</v>
      </c>
      <c r="B136" s="88">
        <v>45226</v>
      </c>
      <c r="C136" s="3" t="s">
        <v>145</v>
      </c>
      <c r="D136" s="106"/>
      <c r="E136" s="76" t="s">
        <v>318</v>
      </c>
      <c r="F136" s="106"/>
      <c r="G136" s="107">
        <v>1000</v>
      </c>
      <c r="H136" s="35">
        <v>11641.469000000001</v>
      </c>
      <c r="I136" s="36">
        <v>110000</v>
      </c>
      <c r="J136" s="19">
        <f t="shared" ref="J136" si="675">(G136*H136)+I136</f>
        <v>11751469.000000002</v>
      </c>
      <c r="K136" s="39">
        <v>2280293.7999999998</v>
      </c>
      <c r="L136" s="7">
        <f t="shared" ref="L136" si="676">ROUND(IF((Y136*A136*G136)&gt;(J136+(X136*A136)+K136+(U136*A136)),(Y136*A136),((J136+(X136*A136)+K136+(U136*A136))/G136)),1)</f>
        <v>18223.099999999999</v>
      </c>
      <c r="M136" s="5">
        <f t="shared" ref="M136" si="677">+L136*G136</f>
        <v>18223100</v>
      </c>
      <c r="N136" s="8">
        <f>VLOOKUP((J136/A136),Variables!$A$3:$C$8,2,TRUE())</f>
        <v>0.18</v>
      </c>
      <c r="O136" s="42">
        <f t="shared" ref="O136" si="678">+U136*A136</f>
        <v>3280152.3428571434</v>
      </c>
      <c r="P136" s="40"/>
      <c r="Q136" s="41" t="str">
        <f>IF(P136&gt;0,ROUND(((Y136*A136)/(1-(P136*(1+Variables!$B$10)))),1),"")</f>
        <v/>
      </c>
      <c r="U136" s="27">
        <f t="shared" ref="U136" si="679">+IF(((Y136*G136)-W136-X136)&lt;V136,V136,((Y136*G136)-W136-X136))</f>
        <v>8986.7187475538176</v>
      </c>
      <c r="V136" s="27">
        <f>VLOOKUP((J136/A136),Variables!$A$3:$C$8,3,TRUE())</f>
        <v>1094</v>
      </c>
      <c r="W136" s="27">
        <f t="shared" ref="W136" si="680">+(J136+K136)/A136</f>
        <v>38443.185753424659</v>
      </c>
      <c r="X136" s="24">
        <f>+Z136/A136*Variables!$B$10</f>
        <v>2496.3107632093943</v>
      </c>
      <c r="Y136" s="28">
        <f>+(W136/(1-(N136+Variables!$B$10)))/G136</f>
        <v>49.926215264187874</v>
      </c>
      <c r="Z136" s="5">
        <f t="shared" ref="Z136" si="681">+Y136*G136*A136</f>
        <v>18223068.571428575</v>
      </c>
      <c r="AM136" s="18"/>
      <c r="AN136" s="18"/>
      <c r="AO136" s="18"/>
      <c r="AP136" s="18"/>
      <c r="AQ136" s="18"/>
    </row>
    <row r="137" spans="1:43" ht="15" customHeight="1" x14ac:dyDescent="0.3">
      <c r="A137" s="43">
        <v>365</v>
      </c>
      <c r="B137" s="88">
        <v>45226</v>
      </c>
      <c r="C137" s="3" t="s">
        <v>145</v>
      </c>
      <c r="D137" s="106"/>
      <c r="E137" s="76" t="s">
        <v>363</v>
      </c>
      <c r="F137" s="106"/>
      <c r="G137" s="107">
        <v>1000</v>
      </c>
      <c r="H137" s="35">
        <v>10655.049000000001</v>
      </c>
      <c r="I137" s="36">
        <v>110000</v>
      </c>
      <c r="J137" s="19">
        <f t="shared" ref="J137" si="682">(G137*H137)+I137</f>
        <v>10765049</v>
      </c>
      <c r="K137" s="39">
        <v>2083009.8</v>
      </c>
      <c r="L137" s="7">
        <f t="shared" ref="L137" si="683">ROUND(IF((Y137*A137*G137)&gt;(J137+(X137*A137)+K137+(U137*A137)),(Y137*A137),((J137+(X137*A137)+K137+(U137*A137))/G137)),1)</f>
        <v>16685.8</v>
      </c>
      <c r="M137" s="5">
        <f t="shared" ref="M137" si="684">+L137*G137</f>
        <v>16685800</v>
      </c>
      <c r="N137" s="8">
        <f>VLOOKUP((J137/A137),Variables!$A$3:$C$8,2,TRUE())</f>
        <v>0.18</v>
      </c>
      <c r="O137" s="42">
        <f t="shared" ref="O137" si="685">+U137*A137</f>
        <v>3003442.3168831165</v>
      </c>
      <c r="P137" s="40"/>
      <c r="Q137" s="41" t="str">
        <f>IF(P137&gt;0,ROUND(((Y137*A137)/(1-(P137*(1+Variables!$B$10)))),1),"")</f>
        <v/>
      </c>
      <c r="U137" s="27">
        <f t="shared" ref="U137" si="686">+IF(((Y137*G137)-W137-X137)&lt;V137,V137,((Y137*G137)-W137-X137))</f>
        <v>8228.6090873510038</v>
      </c>
      <c r="V137" s="27">
        <f>VLOOKUP((J137/A137),Variables!$A$3:$C$8,3,TRUE())</f>
        <v>1094</v>
      </c>
      <c r="W137" s="27">
        <f t="shared" ref="W137" si="687">+(J137+K137)/A137</f>
        <v>35200.161095890413</v>
      </c>
      <c r="X137" s="24">
        <f>+Z137/A137*Variables!$B$10</f>
        <v>2285.7247464863904</v>
      </c>
      <c r="Y137" s="28">
        <f>+(W137/(1-(N137+Variables!$B$10)))/G137</f>
        <v>45.714494929727806</v>
      </c>
      <c r="Z137" s="5">
        <f t="shared" ref="Z137" si="688">+Y137*G137*A137</f>
        <v>16685790.649350649</v>
      </c>
      <c r="AM137" s="18"/>
      <c r="AN137" s="18"/>
      <c r="AO137" s="18"/>
      <c r="AP137" s="18"/>
      <c r="AQ137" s="18"/>
    </row>
    <row r="138" spans="1:43" ht="15" customHeight="1" x14ac:dyDescent="0.3">
      <c r="A138" s="43">
        <v>365</v>
      </c>
      <c r="B138" s="88">
        <v>45226</v>
      </c>
      <c r="C138" s="3" t="s">
        <v>145</v>
      </c>
      <c r="D138" s="106"/>
      <c r="E138" s="76" t="s">
        <v>329</v>
      </c>
      <c r="F138" s="106"/>
      <c r="G138" s="107">
        <v>1000</v>
      </c>
      <c r="H138" s="35">
        <v>19375.7</v>
      </c>
      <c r="I138" s="35">
        <v>110000</v>
      </c>
      <c r="J138" s="19">
        <f t="shared" ref="J138" si="689">(G138*H138)+I138</f>
        <v>19485700</v>
      </c>
      <c r="K138" s="39">
        <v>3827140</v>
      </c>
      <c r="L138" s="7">
        <f t="shared" ref="L138" si="690">ROUND(IF((Y138*A138*G138)&gt;(J138+(X138*A138)+K138+(U138*A138)),(Y138*A138),((J138+(X138*A138)+K138+(U138*A138))/G138)),1)</f>
        <v>30276.400000000001</v>
      </c>
      <c r="M138" s="5">
        <f t="shared" ref="M138" si="691">+L138*G138</f>
        <v>30276400</v>
      </c>
      <c r="N138" s="8">
        <f>VLOOKUP((J138/A138),Variables!$A$3:$C$8,2,TRUE())</f>
        <v>0.18</v>
      </c>
      <c r="O138" s="42">
        <f t="shared" ref="O138" si="692">+U138*A138</f>
        <v>5449754.8051948044</v>
      </c>
      <c r="P138" s="40"/>
      <c r="Q138" s="41" t="str">
        <f>IF(P138&gt;0,ROUND(((Y138*A138)/(1-(P138*(1+Variables!$B$10)))),1),"")</f>
        <v/>
      </c>
      <c r="U138" s="27">
        <f t="shared" ref="U138" si="693">+IF(((Y138*G138)-W138-X138)&lt;V138,V138,((Y138*G138)-W138-X138))</f>
        <v>14930.835082725491</v>
      </c>
      <c r="V138" s="27">
        <f>VLOOKUP((J138/A138),Variables!$A$3:$C$8,3,TRUE())</f>
        <v>1094</v>
      </c>
      <c r="W138" s="27">
        <f t="shared" ref="W138" si="694">+(J138+K138)/A138</f>
        <v>63870.794520547948</v>
      </c>
      <c r="X138" s="24">
        <f>+Z138/A138*Variables!$B$10</f>
        <v>4147.4541896459705</v>
      </c>
      <c r="Y138" s="28">
        <f>+(W138/(1-(N138+Variables!$B$10)))/G138</f>
        <v>82.94908379291941</v>
      </c>
      <c r="Z138" s="5">
        <f t="shared" ref="Z138" si="695">+Y138*G138*A138</f>
        <v>30276415.584415585</v>
      </c>
      <c r="AM138" s="18"/>
      <c r="AN138" s="18"/>
      <c r="AO138" s="18"/>
      <c r="AP138" s="18"/>
      <c r="AQ138" s="18"/>
    </row>
    <row r="139" spans="1:43" ht="15" customHeight="1" x14ac:dyDescent="0.3">
      <c r="A139" s="43">
        <v>365</v>
      </c>
      <c r="B139" s="88">
        <v>45226</v>
      </c>
      <c r="C139" s="3" t="s">
        <v>145</v>
      </c>
      <c r="D139" s="106"/>
      <c r="E139" s="76" t="s">
        <v>326</v>
      </c>
      <c r="F139" s="106"/>
      <c r="G139" s="107">
        <v>500</v>
      </c>
      <c r="H139" s="35">
        <v>1400</v>
      </c>
      <c r="I139" s="35">
        <v>20000</v>
      </c>
      <c r="J139" s="19">
        <f t="shared" ref="J139" si="696">(G139*H139)+I139</f>
        <v>720000</v>
      </c>
      <c r="K139" s="39">
        <v>109000</v>
      </c>
      <c r="L139" s="7">
        <f t="shared" ref="L139" si="697">ROUND(IF((Y139*A139*G139)&gt;(J139+(X139*A139)+K139+(U139*A139)),(Y139*A139),((J139+(X139*A139)+K139+(U139*A139))/G139)),1)</f>
        <v>2368.6</v>
      </c>
      <c r="M139" s="5">
        <f t="shared" ref="M139" si="698">+L139*G139</f>
        <v>1184300</v>
      </c>
      <c r="N139" s="8">
        <f>VLOOKUP((J139/A139),Variables!$A$3:$C$8,2,TRUE())</f>
        <v>0.25</v>
      </c>
      <c r="O139" s="42">
        <f t="shared" ref="O139" si="699">+U139*A139</f>
        <v>296071.42857142864</v>
      </c>
      <c r="P139" s="40"/>
      <c r="Q139" s="41" t="str">
        <f>IF(P139&gt;0,ROUND(((Y139*A139)/(1-(P139*(1+Variables!$B$10)))),1),"")</f>
        <v/>
      </c>
      <c r="U139" s="27">
        <f t="shared" ref="U139" si="700">+IF(((Y139*G139)-W139-X139)&lt;V139,V139,((Y139*G139)-W139-X139))</f>
        <v>811.15459882583195</v>
      </c>
      <c r="V139" s="27">
        <f>VLOOKUP((J139/A139),Variables!$A$3:$C$8,3,TRUE())</f>
        <v>400</v>
      </c>
      <c r="W139" s="27">
        <f t="shared" ref="W139" si="701">+(J139+K139)/A139</f>
        <v>2271.2328767123286</v>
      </c>
      <c r="X139" s="24">
        <f>+Z139/A139*Variables!$B$10</f>
        <v>162.23091976516636</v>
      </c>
      <c r="Y139" s="28">
        <f>+(W139/(1-(N139+Variables!$B$10)))/G139</f>
        <v>6.4892367906066539</v>
      </c>
      <c r="Z139" s="5">
        <f t="shared" ref="Z139" si="702">+Y139*G139*A139</f>
        <v>1184285.7142857143</v>
      </c>
      <c r="AM139" s="18"/>
      <c r="AN139" s="18"/>
      <c r="AO139" s="18"/>
      <c r="AP139" s="18"/>
      <c r="AQ139" s="18"/>
    </row>
    <row r="140" spans="1:43" ht="15" customHeight="1" x14ac:dyDescent="0.3">
      <c r="A140" s="43">
        <v>365</v>
      </c>
      <c r="B140" s="88">
        <v>45226</v>
      </c>
      <c r="C140" s="3" t="s">
        <v>145</v>
      </c>
      <c r="D140" s="106"/>
      <c r="E140" s="76" t="s">
        <v>364</v>
      </c>
      <c r="F140" s="106"/>
      <c r="G140" s="107">
        <v>1000</v>
      </c>
      <c r="H140" s="35">
        <v>15775.694000000001</v>
      </c>
      <c r="I140" s="35">
        <v>110000</v>
      </c>
      <c r="J140" s="19">
        <f t="shared" ref="J140" si="703">(G140*H140)+I140</f>
        <v>15885694.000000002</v>
      </c>
      <c r="K140" s="35">
        <v>2367854.1000000006</v>
      </c>
      <c r="L140" s="7">
        <f t="shared" ref="L140" si="704">ROUND(IF((Y140*A140*G140)&gt;(J140+(X140*A140)+K140+(U140*A140)),(Y140*A140),((J140+(X140*A140)+K140+(U140*A140))/G140)),1)</f>
        <v>23705.9</v>
      </c>
      <c r="M140" s="5">
        <f t="shared" ref="M140" si="705">+L140*G140</f>
        <v>23705900</v>
      </c>
      <c r="N140" s="8">
        <f>VLOOKUP((J140/A140),Variables!$A$3:$C$8,2,TRUE())</f>
        <v>0.18</v>
      </c>
      <c r="O140" s="42">
        <f t="shared" ref="O140" si="706">+U140*A140</f>
        <v>4267063.1922077918</v>
      </c>
      <c r="P140" s="40"/>
      <c r="Q140" s="41" t="str">
        <f>IF(P140&gt;0,ROUND(((Y140*A140)/(1-(P140*(1+Variables!$B$10)))),1),"")</f>
        <v/>
      </c>
      <c r="U140" s="27">
        <f t="shared" ref="U140" si="707">+IF(((Y140*G140)-W140-X140)&lt;V140,V140,((Y140*G140)-W140-X140))</f>
        <v>11690.584088240525</v>
      </c>
      <c r="V140" s="27">
        <f>VLOOKUP((J140/A140),Variables!$A$3:$C$8,3,TRUE())</f>
        <v>1094</v>
      </c>
      <c r="W140" s="27">
        <f t="shared" ref="W140" si="708">+(J140+K140)/A140</f>
        <v>50009.720821917814</v>
      </c>
      <c r="X140" s="24">
        <f>+Z140/A140*Variables!$B$10</f>
        <v>3247.3844689557018</v>
      </c>
      <c r="Y140" s="28">
        <f>+(W140/(1-(N140+Variables!$B$10)))/G140</f>
        <v>64.947689379114038</v>
      </c>
      <c r="Z140" s="5">
        <f t="shared" ref="Z140" si="709">+Y140*G140*A140</f>
        <v>23705906.623376623</v>
      </c>
      <c r="AM140" s="18"/>
      <c r="AN140" s="18"/>
      <c r="AO140" s="18"/>
      <c r="AP140" s="18"/>
      <c r="AQ140" s="18"/>
    </row>
    <row r="141" spans="1:43" ht="15" customHeight="1" x14ac:dyDescent="0.3">
      <c r="A141" s="43">
        <v>365</v>
      </c>
      <c r="B141" s="88">
        <v>45226</v>
      </c>
      <c r="C141" s="3" t="s">
        <v>145</v>
      </c>
      <c r="D141" s="106"/>
      <c r="E141" s="76" t="s">
        <v>346</v>
      </c>
      <c r="F141" s="106"/>
      <c r="G141" s="107">
        <v>1000</v>
      </c>
      <c r="H141" s="35">
        <v>33034.561999999998</v>
      </c>
      <c r="I141" s="35">
        <v>110000</v>
      </c>
      <c r="J141" s="19">
        <f t="shared" ref="J141" si="710">(G141*H141)+I141</f>
        <v>33144561.999999996</v>
      </c>
      <c r="K141" s="35">
        <v>3299456.1999999997</v>
      </c>
      <c r="L141" s="7">
        <f t="shared" ref="L141" si="711">ROUND(IF((Y141*A141*G141)&gt;(J141+(X141*A141)+K141+(U141*A141)),(Y141*A141),((J141+(X141*A141)+K141+(U141*A141))/G141)),1)</f>
        <v>47329.9</v>
      </c>
      <c r="M141" s="5">
        <f t="shared" ref="M141" si="712">+L141*G141</f>
        <v>47329900</v>
      </c>
      <c r="N141" s="8">
        <f>VLOOKUP((J141/A141),Variables!$A$3:$C$8,2,TRUE())</f>
        <v>0.18</v>
      </c>
      <c r="O141" s="42">
        <f t="shared" ref="O141" si="713">+U141*A141</f>
        <v>8519380.8779220711</v>
      </c>
      <c r="P141" s="40"/>
      <c r="Q141" s="41" t="str">
        <f>IF(P141&gt;0,ROUND(((Y141*A141)/(1-(P141*(1+Variables!$B$10)))),1),"")</f>
        <v/>
      </c>
      <c r="U141" s="27">
        <f t="shared" ref="U141" si="714">+IF(((Y141*G141)-W141-X141)&lt;V141,V141,((Y141*G141)-W141-X141))</f>
        <v>23340.769528553621</v>
      </c>
      <c r="V141" s="27">
        <f>VLOOKUP((J141/A141),Variables!$A$3:$C$8,3,TRUE())</f>
        <v>1094</v>
      </c>
      <c r="W141" s="27">
        <f t="shared" ref="W141" si="715">+(J141+K141)/A141</f>
        <v>99846.625205479446</v>
      </c>
      <c r="X141" s="24">
        <f>+Z141/A141*Variables!$B$10</f>
        <v>6483.5470912648989</v>
      </c>
      <c r="Y141" s="28">
        <f>+(W141/(1-(N141+Variables!$B$10)))/G141</f>
        <v>129.67094182529797</v>
      </c>
      <c r="Z141" s="5">
        <f t="shared" ref="Z141" si="716">+Y141*G141*A141</f>
        <v>47329893.766233757</v>
      </c>
      <c r="AM141" s="18"/>
      <c r="AN141" s="18"/>
      <c r="AO141" s="18"/>
      <c r="AP141" s="18"/>
      <c r="AQ141" s="18"/>
    </row>
    <row r="142" spans="1:43" ht="15" customHeight="1" x14ac:dyDescent="0.3">
      <c r="A142" s="43">
        <v>365</v>
      </c>
      <c r="B142" s="88">
        <v>45226</v>
      </c>
      <c r="C142" s="3" t="s">
        <v>145</v>
      </c>
      <c r="D142" s="106"/>
      <c r="E142" s="76" t="s">
        <v>346</v>
      </c>
      <c r="F142" s="106"/>
      <c r="G142" s="107">
        <v>1000</v>
      </c>
      <c r="H142" s="35">
        <v>11163</v>
      </c>
      <c r="I142" s="35">
        <v>110000</v>
      </c>
      <c r="J142" s="19">
        <f t="shared" ref="J142" si="717">(G142*H142)+I142</f>
        <v>11273000</v>
      </c>
      <c r="K142" s="35">
        <v>1112300</v>
      </c>
      <c r="L142" s="7">
        <f t="shared" ref="L142" si="718">ROUND(IF((Y142*A142*G142)&gt;(J142+(X142*A142)+K142+(U142*A142)),(Y142*A142),((J142+(X142*A142)+K142+(U142*A142))/G142)),1)</f>
        <v>16084.8</v>
      </c>
      <c r="M142" s="5">
        <f t="shared" ref="M142" si="719">+L142*G142</f>
        <v>16084800</v>
      </c>
      <c r="N142" s="8">
        <f>VLOOKUP((J142/A142),Variables!$A$3:$C$8,2,TRUE())</f>
        <v>0.18</v>
      </c>
      <c r="O142" s="42">
        <f t="shared" ref="O142" si="720">+U142*A142</f>
        <v>2895264.9350649333</v>
      </c>
      <c r="P142" s="40"/>
      <c r="Q142" s="41" t="str">
        <f>IF(P142&gt;0,ROUND(((Y142*A142)/(1-(P142*(1+Variables!$B$10)))),1),"")</f>
        <v/>
      </c>
      <c r="U142" s="27">
        <f t="shared" ref="U142" si="721">+IF(((Y142*G142)-W142-X142)&lt;V142,V142,((Y142*G142)-W142-X142))</f>
        <v>7932.2326988080367</v>
      </c>
      <c r="V142" s="27">
        <f>VLOOKUP((J142/A142),Variables!$A$3:$C$8,3,TRUE())</f>
        <v>1094</v>
      </c>
      <c r="W142" s="27">
        <f t="shared" ref="W142" si="722">+(J142+K142)/A142</f>
        <v>33932.32876712329</v>
      </c>
      <c r="X142" s="24">
        <f>+Z142/A142*Variables!$B$10</f>
        <v>2203.3979718911228</v>
      </c>
      <c r="Y142" s="28">
        <f>+(W142/(1-(N142+Variables!$B$10)))/G142</f>
        <v>44.067959437822452</v>
      </c>
      <c r="Z142" s="5">
        <f t="shared" ref="Z142" si="723">+Y142*G142*A142</f>
        <v>16084805.194805194</v>
      </c>
      <c r="AM142" s="18"/>
      <c r="AN142" s="18"/>
      <c r="AO142" s="18"/>
      <c r="AP142" s="18"/>
      <c r="AQ142" s="18"/>
    </row>
    <row r="143" spans="1:43" ht="15" customHeight="1" x14ac:dyDescent="0.3">
      <c r="A143" s="43">
        <v>365</v>
      </c>
      <c r="B143" s="88">
        <v>45226</v>
      </c>
      <c r="C143" s="3" t="s">
        <v>145</v>
      </c>
      <c r="D143" s="106"/>
      <c r="E143" s="76" t="s">
        <v>350</v>
      </c>
      <c r="F143" s="106"/>
      <c r="G143" s="107">
        <v>1000</v>
      </c>
      <c r="H143" s="35">
        <v>12631</v>
      </c>
      <c r="I143" s="35">
        <v>110000</v>
      </c>
      <c r="J143" s="19">
        <f t="shared" ref="J143" si="724">(G143*H143)+I143</f>
        <v>12741000</v>
      </c>
      <c r="K143" s="35">
        <v>1268100</v>
      </c>
      <c r="L143" s="7">
        <f t="shared" ref="L143" si="725">ROUND(IF((Y143*A143*G143)&gt;(J143+(X143*A143)+K143+(U143*A143)),(Y143*A143),((J143+(X143*A143)+K143+(U143*A143))/G143)),1)</f>
        <v>18193.599999999999</v>
      </c>
      <c r="M143" s="5">
        <f t="shared" ref="M143" si="726">+L143*G143</f>
        <v>18193600</v>
      </c>
      <c r="N143" s="8">
        <f>VLOOKUP((J143/A143),Variables!$A$3:$C$8,2,TRUE())</f>
        <v>0.18</v>
      </c>
      <c r="O143" s="42">
        <f t="shared" ref="O143" si="727">+U143*A143</f>
        <v>3274854.5454545459</v>
      </c>
      <c r="P143" s="40"/>
      <c r="Q143" s="41" t="str">
        <f>IF(P143&gt;0,ROUND(((Y143*A143)/(1-(P143*(1+Variables!$B$10)))),1),"")</f>
        <v/>
      </c>
      <c r="U143" s="27">
        <f t="shared" ref="U143" si="728">+IF(((Y143*G143)-W143-X143)&lt;V143,V143,((Y143*G143)-W143-X143))</f>
        <v>8972.204234122044</v>
      </c>
      <c r="V143" s="27">
        <f>VLOOKUP((J143/A143),Variables!$A$3:$C$8,3,TRUE())</f>
        <v>1094</v>
      </c>
      <c r="W143" s="27">
        <f t="shared" ref="W143" si="729">+(J143+K143)/A143</f>
        <v>38381.095890410958</v>
      </c>
      <c r="X143" s="24">
        <f>+Z143/A143*Variables!$B$10</f>
        <v>2492.2789539227897</v>
      </c>
      <c r="Y143" s="28">
        <f>+(W143/(1-(N143+Variables!$B$10)))/G143</f>
        <v>49.845579078455792</v>
      </c>
      <c r="Z143" s="5">
        <f t="shared" ref="Z143" si="730">+Y143*G143*A143</f>
        <v>18193636.363636363</v>
      </c>
      <c r="AM143" s="18"/>
      <c r="AN143" s="18"/>
      <c r="AO143" s="18"/>
      <c r="AP143" s="18"/>
      <c r="AQ143" s="18"/>
    </row>
    <row r="144" spans="1:43" ht="15" customHeight="1" x14ac:dyDescent="0.3">
      <c r="A144" s="43">
        <v>365</v>
      </c>
      <c r="B144" s="88">
        <v>45226</v>
      </c>
      <c r="C144" s="3" t="s">
        <v>145</v>
      </c>
      <c r="D144" s="106"/>
      <c r="E144" s="76" t="s">
        <v>355</v>
      </c>
      <c r="F144" s="106"/>
      <c r="G144" s="107">
        <v>2000</v>
      </c>
      <c r="H144" s="35">
        <v>680.46</v>
      </c>
      <c r="I144" s="35">
        <v>20000</v>
      </c>
      <c r="J144" s="19">
        <f t="shared" ref="J144" si="731">(G144*H144)+I144</f>
        <v>1380920</v>
      </c>
      <c r="K144" s="35">
        <v>159138</v>
      </c>
      <c r="L144" s="7">
        <f t="shared" ref="L144" si="732">ROUND(IF((Y144*A144*G144)&gt;(J144+(X144*A144)+K144+(U144*A144)),(Y144*A144),((J144+(X144*A144)+K144+(U144*A144))/G144)),1)</f>
        <v>1054.8</v>
      </c>
      <c r="M144" s="5">
        <f t="shared" ref="M144" si="733">+L144*G144</f>
        <v>2109600</v>
      </c>
      <c r="N144" s="8">
        <f>VLOOKUP((J144/A144),Variables!$A$3:$C$8,2,TRUE())</f>
        <v>0.22</v>
      </c>
      <c r="O144" s="42">
        <f t="shared" ref="O144" si="734">+U144*A144</f>
        <v>464127.06849315064</v>
      </c>
      <c r="P144" s="40"/>
      <c r="Q144" s="41" t="str">
        <f>IF(P144&gt;0,ROUND(((Y144*A144)/(1-(P144*(1+Variables!$B$10)))),1),"")</f>
        <v/>
      </c>
      <c r="U144" s="27">
        <f t="shared" ref="U144" si="735">+IF(((Y144*G144)-W144-X144)&lt;V144,V144,((Y144*G144)-W144-X144))</f>
        <v>1271.5810095702757</v>
      </c>
      <c r="V144" s="27">
        <f>VLOOKUP((J144/A144),Variables!$A$3:$C$8,3,TRUE())</f>
        <v>510</v>
      </c>
      <c r="W144" s="27">
        <f t="shared" ref="W144" si="736">+(J144+K144)/A144</f>
        <v>4219.3369863013695</v>
      </c>
      <c r="X144" s="24">
        <f>+Z144/A144*Variables!$B$10</f>
        <v>288.99568399324443</v>
      </c>
      <c r="Y144" s="28">
        <f>+(W144/(1-(N144+Variables!$B$10)))/G144</f>
        <v>2.8899568399324447</v>
      </c>
      <c r="Z144" s="5">
        <f t="shared" ref="Z144" si="737">+Y144*G144*A144</f>
        <v>2109668.4931506845</v>
      </c>
      <c r="AM144" s="18"/>
      <c r="AN144" s="18"/>
      <c r="AO144" s="18"/>
      <c r="AP144" s="18"/>
      <c r="AQ144" s="18"/>
    </row>
    <row r="145" spans="1:43" ht="15" customHeight="1" x14ac:dyDescent="0.3">
      <c r="A145" s="43">
        <v>365</v>
      </c>
      <c r="B145" s="88">
        <v>45226</v>
      </c>
      <c r="C145" s="3" t="s">
        <v>145</v>
      </c>
      <c r="D145" s="106"/>
      <c r="E145" s="127" t="s">
        <v>343</v>
      </c>
      <c r="F145" s="123"/>
      <c r="G145" s="124">
        <v>1000</v>
      </c>
      <c r="H145" s="125">
        <v>2700</v>
      </c>
      <c r="I145" s="125">
        <v>110000</v>
      </c>
      <c r="J145" s="19">
        <f t="shared" ref="J145" si="738">(G145*H145)+I145</f>
        <v>2810000</v>
      </c>
      <c r="K145" s="35">
        <v>159138</v>
      </c>
      <c r="L145" s="7">
        <f t="shared" ref="L145" si="739">ROUND(IF((Y145*A145*G145)&gt;(J145+(X145*A145)+K145+(U145*A145)),(Y145*A145),((J145+(X145*A145)+K145+(U145*A145))/G145)),1)</f>
        <v>3856</v>
      </c>
      <c r="M145" s="5">
        <f t="shared" ref="M145" si="740">+L145*G145</f>
        <v>3856000</v>
      </c>
      <c r="N145" s="8">
        <f>VLOOKUP((J145/A145),Variables!$A$3:$C$8,2,TRUE())</f>
        <v>0.18</v>
      </c>
      <c r="O145" s="42">
        <f t="shared" ref="O145" si="741">+U145*A145</f>
        <v>694084.20779220748</v>
      </c>
      <c r="P145" s="40"/>
      <c r="Q145" s="41" t="str">
        <f>IF(P145&gt;0,ROUND(((Y145*A145)/(1-(P145*(1+Variables!$B$10)))),1),"")</f>
        <v/>
      </c>
      <c r="U145" s="27">
        <f t="shared" ref="U145" si="742">+IF(((Y145*G145)-W145-X145)&lt;V145,V145,((Y145*G145)-W145-X145))</f>
        <v>1901.6005692937192</v>
      </c>
      <c r="V145" s="27">
        <f>VLOOKUP((J145/A145),Variables!$A$3:$C$8,3,TRUE())</f>
        <v>1094</v>
      </c>
      <c r="W145" s="27">
        <f t="shared" ref="W145" si="743">+(J145+K145)/A145</f>
        <v>8134.6246575342466</v>
      </c>
      <c r="X145" s="24">
        <f>+Z145/A145*Variables!$B$10</f>
        <v>528.22238035936664</v>
      </c>
      <c r="Y145" s="28">
        <f>+(W145/(1-(N145+Variables!$B$10)))/G145</f>
        <v>10.564447607187333</v>
      </c>
      <c r="Z145" s="5">
        <f t="shared" ref="Z145" si="744">+Y145*G145*A145</f>
        <v>3856023.3766233763</v>
      </c>
      <c r="AM145" s="18"/>
      <c r="AN145" s="18"/>
      <c r="AO145" s="18"/>
      <c r="AP145" s="18"/>
      <c r="AQ145" s="18"/>
    </row>
    <row r="146" spans="1:43" ht="15" customHeight="1" x14ac:dyDescent="0.3">
      <c r="A146" s="43">
        <v>365</v>
      </c>
      <c r="B146" s="88">
        <v>45226</v>
      </c>
      <c r="C146" s="3" t="s">
        <v>145</v>
      </c>
      <c r="D146" s="106"/>
      <c r="E146" s="127" t="s">
        <v>367</v>
      </c>
      <c r="F146" s="123"/>
      <c r="G146" s="124">
        <v>750</v>
      </c>
      <c r="H146" s="125">
        <v>12710</v>
      </c>
      <c r="I146" s="125">
        <v>110000</v>
      </c>
      <c r="J146" s="19">
        <f t="shared" ref="J146" si="745">(G146*H146)+I146</f>
        <v>9642500</v>
      </c>
      <c r="K146" s="35">
        <v>1413000</v>
      </c>
      <c r="L146" s="7">
        <f t="shared" ref="L146" si="746">ROUND(IF((Y146*A146*G146)&gt;(J146+(X146*A146)+K146+(U146*A146)),(Y146*A146),((J146+(X146*A146)+K146+(U146*A146))/G146)),1)</f>
        <v>19143.7</v>
      </c>
      <c r="M146" s="5">
        <f t="shared" ref="M146" si="747">+L146*G146</f>
        <v>14357775</v>
      </c>
      <c r="N146" s="8">
        <f>VLOOKUP((J146/A146),Variables!$A$3:$C$8,2,TRUE())</f>
        <v>0.18</v>
      </c>
      <c r="O146" s="42">
        <f t="shared" ref="O146" si="748">+U146*A146</f>
        <v>2584402.5974025978</v>
      </c>
      <c r="P146" s="40"/>
      <c r="Q146" s="41" t="str">
        <f>IF(P146&gt;0,ROUND(((Y146*A146)/(1-(P146*(1+Variables!$B$10)))),1),"")</f>
        <v/>
      </c>
      <c r="U146" s="27">
        <f t="shared" ref="U146" si="749">+IF(((Y146*G146)-W146-X146)&lt;V146,V146,((Y146*G146)-W146-X146))</f>
        <v>7080.5550613769801</v>
      </c>
      <c r="V146" s="27">
        <f>VLOOKUP((J146/A146),Variables!$A$3:$C$8,3,TRUE())</f>
        <v>1094</v>
      </c>
      <c r="W146" s="27">
        <f t="shared" ref="W146" si="750">+(J146+K146)/A146</f>
        <v>30289.04109589041</v>
      </c>
      <c r="X146" s="24">
        <f>+Z146/A146*Variables!$B$10</f>
        <v>1966.8208503824944</v>
      </c>
      <c r="Y146" s="28">
        <f>+(W146/(1-(N146+Variables!$B$10)))/G146</f>
        <v>52.448556010199844</v>
      </c>
      <c r="Z146" s="5">
        <f t="shared" ref="Z146" si="751">+Y146*G146*A146</f>
        <v>14357792.207792208</v>
      </c>
      <c r="AM146" s="18"/>
      <c r="AN146" s="18"/>
      <c r="AO146" s="18"/>
      <c r="AP146" s="18"/>
      <c r="AQ146" s="18"/>
    </row>
    <row r="147" spans="1:43" ht="15" customHeight="1" x14ac:dyDescent="0.3">
      <c r="A147" s="43">
        <v>365</v>
      </c>
      <c r="B147" s="88">
        <v>45226</v>
      </c>
      <c r="C147" s="3" t="s">
        <v>145</v>
      </c>
      <c r="D147" s="106"/>
      <c r="E147" s="127" t="s">
        <v>368</v>
      </c>
      <c r="F147" s="123"/>
      <c r="G147" s="124">
        <v>1000</v>
      </c>
      <c r="H147" s="125">
        <v>2527</v>
      </c>
      <c r="I147" s="125">
        <v>20000</v>
      </c>
      <c r="J147" s="19">
        <f t="shared" ref="J147" si="752">(G147*H147)+I147</f>
        <v>2547000</v>
      </c>
      <c r="K147" s="35">
        <v>356550</v>
      </c>
      <c r="L147" s="7">
        <f t="shared" ref="L147" si="753">ROUND(IF((Y147*A147*G147)&gt;(J147+(X147*A147)+K147+(U147*A147)),(Y147*A147),((J147+(X147*A147)+K147+(U147*A147))/G147)),1)</f>
        <v>3770.8</v>
      </c>
      <c r="M147" s="5">
        <f t="shared" ref="M147" si="754">+L147*G147</f>
        <v>3770800</v>
      </c>
      <c r="N147" s="8">
        <f>VLOOKUP((J147/A147),Variables!$A$3:$C$8,2,TRUE())</f>
        <v>0.18</v>
      </c>
      <c r="O147" s="42">
        <f t="shared" ref="O147" si="755">+U147*A147</f>
        <v>678751.9480519481</v>
      </c>
      <c r="P147" s="40"/>
      <c r="Q147" s="41" t="str">
        <f>IF(P147&gt;0,ROUND(((Y147*A147)/(1-(P147*(1+Variables!$B$10)))),1),"")</f>
        <v/>
      </c>
      <c r="U147" s="27">
        <f t="shared" ref="U147" si="756">+IF(((Y147*G147)-W147-X147)&lt;V147,V147,((Y147*G147)-W147-X147))</f>
        <v>1859.5943782245154</v>
      </c>
      <c r="V147" s="27">
        <f>VLOOKUP((J147/A147),Variables!$A$3:$C$8,3,TRUE())</f>
        <v>1094</v>
      </c>
      <c r="W147" s="27">
        <f t="shared" ref="W147" si="757">+(J147+K147)/A147</f>
        <v>7954.9315068493152</v>
      </c>
      <c r="X147" s="24">
        <f>+Z147/A147*Variables!$B$10</f>
        <v>516.55399395125426</v>
      </c>
      <c r="Y147" s="28">
        <f>+(W147/(1-(N147+Variables!$B$10)))/G147</f>
        <v>10.331079879025085</v>
      </c>
      <c r="Z147" s="5">
        <f t="shared" ref="Z147" si="758">+Y147*G147*A147</f>
        <v>3770844.1558441557</v>
      </c>
      <c r="AM147" s="18"/>
      <c r="AN147" s="18"/>
      <c r="AO147" s="18"/>
      <c r="AP147" s="18"/>
      <c r="AQ147" s="18"/>
    </row>
    <row r="148" spans="1:43" ht="15" customHeight="1" x14ac:dyDescent="0.3">
      <c r="A148" s="43">
        <v>365</v>
      </c>
      <c r="B148" s="88">
        <v>45226</v>
      </c>
      <c r="C148" s="3" t="s">
        <v>145</v>
      </c>
      <c r="D148" s="106"/>
      <c r="E148" s="127" t="s">
        <v>369</v>
      </c>
      <c r="F148" s="123"/>
      <c r="G148" s="124">
        <v>1000</v>
      </c>
      <c r="H148" s="125">
        <v>11480</v>
      </c>
      <c r="I148" s="125">
        <v>110000</v>
      </c>
      <c r="J148" s="19">
        <f t="shared" ref="J148" si="759">(G148*H148)+I148</f>
        <v>11590000</v>
      </c>
      <c r="K148" s="35">
        <v>1699500</v>
      </c>
      <c r="L148" s="7">
        <f t="shared" ref="L148" si="760">ROUND(IF((Y148*A148*G148)&gt;(J148+(X148*A148)+K148+(U148*A148)),(Y148*A148),((J148+(X148*A148)+K148+(U148*A148))/G148)),1)</f>
        <v>17259.099999999999</v>
      </c>
      <c r="M148" s="5">
        <f t="shared" ref="M148" si="761">+L148*G148</f>
        <v>17259100</v>
      </c>
      <c r="N148" s="8">
        <f>VLOOKUP((J148/A148),Variables!$A$3:$C$8,2,TRUE())</f>
        <v>0.18</v>
      </c>
      <c r="O148" s="42">
        <f t="shared" ref="O148" si="762">+U148*A148</f>
        <v>3106636.3636363619</v>
      </c>
      <c r="P148" s="40"/>
      <c r="Q148" s="41" t="str">
        <f>IF(P148&gt;0,ROUND(((Y148*A148)/(1-(P148*(1+Variables!$B$10)))),1),"")</f>
        <v/>
      </c>
      <c r="U148" s="27">
        <f t="shared" ref="U148" si="763">+IF(((Y148*G148)-W148-X148)&lt;V148,V148,((Y148*G148)-W148-X148))</f>
        <v>8511.3325031133209</v>
      </c>
      <c r="V148" s="27">
        <f>VLOOKUP((J148/A148),Variables!$A$3:$C$8,3,TRUE())</f>
        <v>1094</v>
      </c>
      <c r="W148" s="27">
        <f t="shared" ref="W148" si="764">+(J148+K148)/A148</f>
        <v>36409.589041095889</v>
      </c>
      <c r="X148" s="24">
        <f>+Z148/A148*Variables!$B$10</f>
        <v>2364.2590286425902</v>
      </c>
      <c r="Y148" s="28">
        <f>+(W148/(1-(N148+Variables!$B$10)))/G148</f>
        <v>47.2851805728518</v>
      </c>
      <c r="Z148" s="5">
        <f t="shared" ref="Z148" si="765">+Y148*G148*A148</f>
        <v>17259090.909090906</v>
      </c>
      <c r="AM148" s="18"/>
      <c r="AN148" s="18"/>
      <c r="AO148" s="18"/>
      <c r="AP148" s="18"/>
      <c r="AQ148" s="18"/>
    </row>
    <row r="149" spans="1:43" ht="15" customHeight="1" x14ac:dyDescent="0.3">
      <c r="A149" s="43">
        <v>365</v>
      </c>
      <c r="B149" s="88">
        <v>45226</v>
      </c>
      <c r="C149" s="3" t="s">
        <v>145</v>
      </c>
      <c r="D149" s="106"/>
      <c r="E149" s="127" t="s">
        <v>371</v>
      </c>
      <c r="F149" s="123"/>
      <c r="G149" s="124">
        <v>500</v>
      </c>
      <c r="H149" s="125">
        <v>648</v>
      </c>
      <c r="I149" s="125">
        <v>20000</v>
      </c>
      <c r="J149" s="19">
        <f t="shared" ref="J149" si="766">(G149*H149)+I149</f>
        <v>344000</v>
      </c>
      <c r="K149" s="35">
        <v>59300</v>
      </c>
      <c r="L149" s="7">
        <f t="shared" ref="L149" si="767">ROUND(IF((Y149*A149*G149)&gt;(J149+(X149*A149)+K149+(U149*A149)),(Y149*A149),((J149+(X149*A149)+K149+(U149*A149))/G149)),1)</f>
        <v>1203.9000000000001</v>
      </c>
      <c r="M149" s="5">
        <f t="shared" ref="M149" si="768">+L149*G149</f>
        <v>601950</v>
      </c>
      <c r="N149" s="8">
        <f>VLOOKUP((J149/A149),Variables!$A$3:$C$8,2,TRUE())</f>
        <v>0.28000000000000003</v>
      </c>
      <c r="O149" s="42">
        <f t="shared" ref="O149" si="769">+U149*A149</f>
        <v>168543.28358208961</v>
      </c>
      <c r="P149" s="40"/>
      <c r="Q149" s="41" t="str">
        <f>IF(P149&gt;0,ROUND(((Y149*A149)/(1-(P149*(1+Variables!$B$10)))),1),"")</f>
        <v/>
      </c>
      <c r="U149" s="27">
        <f t="shared" ref="U149" si="770">+IF(((Y149*G149)-W149-X149)&lt;V149,V149,((Y149*G149)-W149-X149))</f>
        <v>461.76242077284826</v>
      </c>
      <c r="V149" s="27">
        <f>VLOOKUP((J149/A149),Variables!$A$3:$C$8,3,TRUE())</f>
        <v>122</v>
      </c>
      <c r="W149" s="27">
        <f t="shared" ref="W149" si="771">+(J149+K149)/A149</f>
        <v>1104.9315068493152</v>
      </c>
      <c r="X149" s="24">
        <f>+Z149/A149*Variables!$B$10</f>
        <v>82.457575138008593</v>
      </c>
      <c r="Y149" s="28">
        <f>+(W149/(1-(N149+Variables!$B$10)))/G149</f>
        <v>3.2983030055203439</v>
      </c>
      <c r="Z149" s="5">
        <f t="shared" ref="Z149" si="772">+Y149*G149*A149</f>
        <v>601940.29850746272</v>
      </c>
      <c r="AM149" s="18"/>
      <c r="AN149" s="18"/>
      <c r="AO149" s="18"/>
      <c r="AP149" s="18"/>
      <c r="AQ149" s="18"/>
    </row>
    <row r="150" spans="1:43" ht="15" customHeight="1" x14ac:dyDescent="0.3">
      <c r="A150" s="43">
        <v>365</v>
      </c>
      <c r="B150" s="88">
        <v>45226</v>
      </c>
      <c r="C150" s="3" t="s">
        <v>145</v>
      </c>
      <c r="D150" s="106"/>
      <c r="E150" s="127" t="s">
        <v>372</v>
      </c>
      <c r="F150" s="123"/>
      <c r="G150" s="124">
        <v>500</v>
      </c>
      <c r="H150" s="125">
        <v>966</v>
      </c>
      <c r="I150" s="125">
        <v>20000</v>
      </c>
      <c r="J150" s="19">
        <f t="shared" ref="J150:J152" si="773">(G150*H150)+I150</f>
        <v>503000</v>
      </c>
      <c r="K150" s="35">
        <v>91100</v>
      </c>
      <c r="L150" s="7">
        <f t="shared" ref="L150:L152" si="774">ROUND(IF((Y150*A150*G150)&gt;(J150+(X150*A150)+K150+(U150*A150)),(Y150*A150),((J150+(X150*A150)+K150+(U150*A150))/G150)),1)</f>
        <v>1773.4</v>
      </c>
      <c r="M150" s="5">
        <f t="shared" ref="M150:M152" si="775">+L150*G150</f>
        <v>886700</v>
      </c>
      <c r="N150" s="8">
        <f>VLOOKUP((J150/A150),Variables!$A$3:$C$8,2,TRUE())</f>
        <v>0.28000000000000003</v>
      </c>
      <c r="O150" s="42">
        <f t="shared" ref="O150:O152" si="776">+U150*A150</f>
        <v>248280.59701492553</v>
      </c>
      <c r="P150" s="40"/>
      <c r="Q150" s="41" t="str">
        <f>IF(P150&gt;0,ROUND(((Y150*A150)/(1-(P150*(1+Variables!$B$10)))),1),"")</f>
        <v/>
      </c>
      <c r="U150" s="27">
        <f t="shared" ref="U150:U152" si="777">+IF(((Y150*G150)-W150-X150)&lt;V150,V150,((Y150*G150)-W150-X150))</f>
        <v>680.22081373952199</v>
      </c>
      <c r="V150" s="27">
        <f>VLOOKUP((J150/A150),Variables!$A$3:$C$8,3,TRUE())</f>
        <v>122</v>
      </c>
      <c r="W150" s="27">
        <f t="shared" ref="W150:W152" si="778">+(J150+K150)/A150</f>
        <v>1627.6712328767123</v>
      </c>
      <c r="X150" s="24">
        <f>+Z150/A150*Variables!$B$10</f>
        <v>121.46800245348602</v>
      </c>
      <c r="Y150" s="28">
        <f>+(W150/(1-(N150+Variables!$B$10)))/G150</f>
        <v>4.8587200981394405</v>
      </c>
      <c r="Z150" s="5">
        <f t="shared" ref="Z150:Z152" si="779">+Y150*G150*A150</f>
        <v>886716.41791044793</v>
      </c>
      <c r="AM150" s="18"/>
      <c r="AN150" s="18"/>
      <c r="AO150" s="18"/>
      <c r="AP150" s="18"/>
      <c r="AQ150" s="18"/>
    </row>
    <row r="151" spans="1:43" ht="15" customHeight="1" x14ac:dyDescent="0.3">
      <c r="A151" s="43">
        <v>365</v>
      </c>
      <c r="B151" s="88">
        <v>45226</v>
      </c>
      <c r="C151" s="3" t="s">
        <v>286</v>
      </c>
      <c r="D151" s="106" t="s">
        <v>296</v>
      </c>
      <c r="E151" s="76" t="s">
        <v>373</v>
      </c>
      <c r="F151" s="57" t="s">
        <v>299</v>
      </c>
      <c r="G151" s="3">
        <v>300</v>
      </c>
      <c r="H151" s="35">
        <f>1113.74+2100+170.41</f>
        <v>3384.1499999999996</v>
      </c>
      <c r="I151" s="36"/>
      <c r="J151" s="19">
        <f t="shared" si="773"/>
        <v>1015244.9999999999</v>
      </c>
      <c r="K151" s="39">
        <f>10000+2500</f>
        <v>12500</v>
      </c>
      <c r="L151" s="7">
        <f t="shared" si="774"/>
        <v>4692.8999999999996</v>
      </c>
      <c r="M151" s="5">
        <f t="shared" si="775"/>
        <v>1407870</v>
      </c>
      <c r="N151" s="8">
        <f>VLOOKUP((J151/A151),Variables!$A$3:$C$8,2,TRUE())</f>
        <v>0.22</v>
      </c>
      <c r="O151" s="42">
        <f t="shared" si="776"/>
        <v>309731.36986301362</v>
      </c>
      <c r="P151" s="40"/>
      <c r="Q151" s="41" t="str">
        <f>IF(P151&gt;0,ROUND(((Y151*A151)/(1-(P151*(1+Variables!$B$10)))),1),"")</f>
        <v/>
      </c>
      <c r="U151" s="27">
        <f t="shared" si="777"/>
        <v>848.57909551510579</v>
      </c>
      <c r="V151" s="27">
        <f>VLOOKUP((J151/A151),Variables!$A$3:$C$8,3,TRUE())</f>
        <v>510</v>
      </c>
      <c r="W151" s="27">
        <f t="shared" si="778"/>
        <v>2815.739726027397</v>
      </c>
      <c r="X151" s="24">
        <f>+Z151/A151*Variables!$B$10</f>
        <v>192.85888534434227</v>
      </c>
      <c r="Y151" s="28">
        <f>+(W151/(1-(N151+Variables!$B$10)))/G151</f>
        <v>12.85725902295615</v>
      </c>
      <c r="Z151" s="5">
        <f t="shared" si="779"/>
        <v>1407869.8630136985</v>
      </c>
      <c r="AM151" s="18"/>
      <c r="AN151" s="18"/>
      <c r="AO151" s="18"/>
      <c r="AP151" s="18"/>
      <c r="AQ151" s="18"/>
    </row>
    <row r="152" spans="1:43" ht="15" customHeight="1" x14ac:dyDescent="0.3">
      <c r="A152" s="43">
        <v>365</v>
      </c>
      <c r="B152" s="88">
        <v>45226</v>
      </c>
      <c r="C152" s="3" t="s">
        <v>286</v>
      </c>
      <c r="D152" s="106" t="s">
        <v>294</v>
      </c>
      <c r="E152" s="76" t="s">
        <v>374</v>
      </c>
      <c r="F152" s="57" t="s">
        <v>300</v>
      </c>
      <c r="G152" s="3">
        <v>300</v>
      </c>
      <c r="H152" s="35">
        <f>1113.74+2100+170.41+5.43*0.97*368.5</f>
        <v>5325.0763499999994</v>
      </c>
      <c r="I152" s="36"/>
      <c r="J152" s="19">
        <f t="shared" si="773"/>
        <v>1597522.9049999998</v>
      </c>
      <c r="K152" s="39">
        <f>10000+2500+5000</f>
        <v>17500</v>
      </c>
      <c r="L152" s="7">
        <f t="shared" si="774"/>
        <v>7177.9</v>
      </c>
      <c r="M152" s="5">
        <f t="shared" si="775"/>
        <v>2153370</v>
      </c>
      <c r="N152" s="8">
        <f>VLOOKUP((J152/A152),Variables!$A$3:$C$8,2,TRUE())</f>
        <v>0.2</v>
      </c>
      <c r="O152" s="42">
        <f t="shared" si="776"/>
        <v>430672.7746666671</v>
      </c>
      <c r="P152" s="40"/>
      <c r="Q152" s="41" t="str">
        <f>IF(P152&gt;0,ROUND(((Y152*A152)/(1-(P152*(1+Variables!$B$10)))),1),"")</f>
        <v/>
      </c>
      <c r="U152" s="27">
        <f t="shared" si="777"/>
        <v>1179.9254100456633</v>
      </c>
      <c r="V152" s="27">
        <f>VLOOKUP((J152/A152),Variables!$A$3:$C$8,3,TRUE())</f>
        <v>898</v>
      </c>
      <c r="W152" s="27">
        <f t="shared" si="778"/>
        <v>4424.7202876712327</v>
      </c>
      <c r="X152" s="24">
        <f>+Z152/A152*Variables!$B$10</f>
        <v>294.98135251141559</v>
      </c>
      <c r="Y152" s="28">
        <f>+(W152/(1-(N152+Variables!$B$10)))/G152</f>
        <v>19.665423500761037</v>
      </c>
      <c r="Z152" s="5">
        <f t="shared" si="779"/>
        <v>2153363.8733333335</v>
      </c>
      <c r="AM152" s="18"/>
      <c r="AN152" s="18"/>
      <c r="AO152" s="18"/>
      <c r="AP152" s="18"/>
      <c r="AQ152" s="18"/>
    </row>
    <row r="153" spans="1:43" ht="15" customHeight="1" x14ac:dyDescent="0.3">
      <c r="A153" s="43">
        <v>365</v>
      </c>
      <c r="B153" s="88">
        <v>45229</v>
      </c>
      <c r="C153" s="3" t="s">
        <v>68</v>
      </c>
      <c r="D153" s="106" t="s">
        <v>376</v>
      </c>
      <c r="E153" s="3" t="s">
        <v>377</v>
      </c>
      <c r="F153" s="57" t="s">
        <v>67</v>
      </c>
      <c r="G153" s="3">
        <v>100</v>
      </c>
      <c r="H153" s="35">
        <f>8.15*368.5+445</f>
        <v>3448.2750000000001</v>
      </c>
      <c r="I153" s="36">
        <v>10200</v>
      </c>
      <c r="J153" s="19">
        <f t="shared" ref="J153" si="780">(G153*H153)+I153</f>
        <v>355027.5</v>
      </c>
      <c r="K153" s="39">
        <f>+J153*0.1+2500+2500+5000</f>
        <v>45502.75</v>
      </c>
      <c r="L153" s="7">
        <f t="shared" ref="L153" si="781">ROUND(IF((Y153*A153*G153)&gt;(J153+(X153*A153)+K153+(U153*A153)),(Y153*A153),((J153+(X153*A153)+K153+(U153*A153))/G153)),1)</f>
        <v>5978.1</v>
      </c>
      <c r="M153" s="5">
        <f t="shared" ref="M153" si="782">+L153*G153</f>
        <v>597810</v>
      </c>
      <c r="N153" s="8">
        <f>VLOOKUP((J153/A153),Variables!$A$3:$C$8,2,TRUE())</f>
        <v>0.28000000000000003</v>
      </c>
      <c r="O153" s="42">
        <f t="shared" ref="O153" si="783">+U153*A153</f>
        <v>167385.77611940305</v>
      </c>
      <c r="P153" s="40"/>
      <c r="Q153" s="41" t="str">
        <f>IF(P153&gt;0,ROUND(((Y153*A153)/(1-(P153*(1+Variables!$B$10)))),1),"")</f>
        <v/>
      </c>
      <c r="U153" s="27">
        <f t="shared" ref="U153" si="784">+IF(((Y153*G153)-W153-X153)&lt;V153,V153,((Y153*G153)-W153-X153))</f>
        <v>458.59116745041933</v>
      </c>
      <c r="V153" s="27">
        <f>VLOOKUP((J153/A153),Variables!$A$3:$C$8,3,TRUE())</f>
        <v>122</v>
      </c>
      <c r="W153" s="27">
        <f t="shared" ref="W153" si="785">+(J153+K153)/A153</f>
        <v>1097.3431506849315</v>
      </c>
      <c r="X153" s="24">
        <f>+Z153/A153*Variables!$B$10</f>
        <v>81.891279901860571</v>
      </c>
      <c r="Y153" s="28">
        <f>+(W153/(1-(N153+Variables!$B$10)))/G153</f>
        <v>16.378255980372113</v>
      </c>
      <c r="Z153" s="5">
        <f t="shared" ref="Z153" si="786">+Y153*G153*A153</f>
        <v>597806.34328358213</v>
      </c>
      <c r="AM153" s="18"/>
      <c r="AN153" s="18"/>
      <c r="AO153" s="18"/>
      <c r="AP153" s="18"/>
      <c r="AQ153" s="18"/>
    </row>
    <row r="154" spans="1:43" ht="15" customHeight="1" x14ac:dyDescent="0.3">
      <c r="A154" s="43">
        <v>365</v>
      </c>
      <c r="B154" s="88">
        <v>45229</v>
      </c>
      <c r="C154" s="3" t="s">
        <v>68</v>
      </c>
      <c r="D154" s="106" t="s">
        <v>376</v>
      </c>
      <c r="E154" s="3" t="s">
        <v>377</v>
      </c>
      <c r="F154" s="57" t="s">
        <v>67</v>
      </c>
      <c r="G154" s="3">
        <v>150</v>
      </c>
      <c r="H154" s="35">
        <f>8.15*368.5+445</f>
        <v>3448.2750000000001</v>
      </c>
      <c r="I154" s="36">
        <v>10200</v>
      </c>
      <c r="J154" s="19">
        <f t="shared" ref="J154" si="787">(G154*H154)+I154</f>
        <v>527441.25</v>
      </c>
      <c r="K154" s="39">
        <f>+J154*0.1+2500+2500+5000</f>
        <v>62744.125</v>
      </c>
      <c r="L154" s="7">
        <f t="shared" ref="L154" si="788">ROUND(IF((Y154*A154*G154)&gt;(J154+(X154*A154)+K154+(U154*A154)),(Y154*A154),((J154+(X154*A154)+K154+(U154*A154))/G154)),1)</f>
        <v>5620.8</v>
      </c>
      <c r="M154" s="5">
        <f t="shared" ref="M154" si="789">+L154*G154</f>
        <v>843120</v>
      </c>
      <c r="N154" s="8">
        <f>VLOOKUP((J154/A154),Variables!$A$3:$C$8,2,TRUE())</f>
        <v>0.25</v>
      </c>
      <c r="O154" s="42">
        <f t="shared" ref="O154" si="790">+U154*A154</f>
        <v>210780.49107142858</v>
      </c>
      <c r="P154" s="40"/>
      <c r="Q154" s="41" t="str">
        <f>IF(P154&gt;0,ROUND(((Y154*A154)/(1-(P154*(1+Variables!$B$10)))),1),"")</f>
        <v/>
      </c>
      <c r="U154" s="27">
        <f t="shared" ref="U154" si="791">+IF(((Y154*G154)-W154-X154)&lt;V154,V154,((Y154*G154)-W154-X154))</f>
        <v>577.48079745596874</v>
      </c>
      <c r="V154" s="27">
        <f>VLOOKUP((J154/A154),Variables!$A$3:$C$8,3,TRUE())</f>
        <v>400</v>
      </c>
      <c r="W154" s="27">
        <f t="shared" ref="W154" si="792">+(J154+K154)/A154</f>
        <v>1616.9462328767124</v>
      </c>
      <c r="X154" s="24">
        <f>+Z154/A154*Variables!$B$10</f>
        <v>115.49615949119375</v>
      </c>
      <c r="Y154" s="28">
        <f>+(W154/(1-(N154+Variables!$B$10)))/G154</f>
        <v>15.399487932159166</v>
      </c>
      <c r="Z154" s="5">
        <f t="shared" ref="Z154" si="793">+Y154*G154*A154</f>
        <v>843121.96428571432</v>
      </c>
      <c r="AM154" s="18"/>
      <c r="AN154" s="18"/>
      <c r="AO154" s="18"/>
      <c r="AP154" s="18"/>
      <c r="AQ154" s="18"/>
    </row>
    <row r="155" spans="1:43" ht="15" customHeight="1" x14ac:dyDescent="0.3">
      <c r="A155" s="43">
        <v>365</v>
      </c>
      <c r="B155" s="88">
        <v>45229</v>
      </c>
      <c r="C155" s="3" t="s">
        <v>68</v>
      </c>
      <c r="D155" s="106" t="s">
        <v>376</v>
      </c>
      <c r="E155" s="3" t="s">
        <v>377</v>
      </c>
      <c r="F155" s="57" t="s">
        <v>67</v>
      </c>
      <c r="G155" s="3">
        <v>200</v>
      </c>
      <c r="H155" s="35">
        <f>8.15*368.5+445</f>
        <v>3448.2750000000001</v>
      </c>
      <c r="I155" s="36">
        <v>10200</v>
      </c>
      <c r="J155" s="19">
        <f t="shared" ref="J155:J157" si="794">(G155*H155)+I155</f>
        <v>699855</v>
      </c>
      <c r="K155" s="39">
        <f>+J155*0.1+2500+2500+5000</f>
        <v>79985.5</v>
      </c>
      <c r="L155" s="7">
        <f t="shared" ref="L155:L157" si="795">ROUND(IF((Y155*A155*G155)&gt;(J155+(X155*A155)+K155+(U155*A155)),(Y155*A155),((J155+(X155*A155)+K155+(U155*A155))/G155)),1)</f>
        <v>5570.3</v>
      </c>
      <c r="M155" s="5">
        <f t="shared" ref="M155:M157" si="796">+L155*G155</f>
        <v>1114060</v>
      </c>
      <c r="N155" s="8">
        <f>VLOOKUP((J155/A155),Variables!$A$3:$C$8,2,TRUE())</f>
        <v>0.25</v>
      </c>
      <c r="O155" s="42">
        <f t="shared" ref="O155:O157" si="797">+U155*A155</f>
        <v>278514.46428571444</v>
      </c>
      <c r="P155" s="40"/>
      <c r="Q155" s="41" t="str">
        <f>IF(P155&gt;0,ROUND(((Y155*A155)/(1-(P155*(1+Variables!$B$10)))),1),"")</f>
        <v/>
      </c>
      <c r="U155" s="27">
        <f t="shared" ref="U155:U157" si="798">+IF(((Y155*G155)-W155-X155)&lt;V155,V155,((Y155*G155)-W155-X155))</f>
        <v>763.05332681017649</v>
      </c>
      <c r="V155" s="27">
        <f>VLOOKUP((J155/A155),Variables!$A$3:$C$8,3,TRUE())</f>
        <v>400</v>
      </c>
      <c r="W155" s="27">
        <f t="shared" ref="W155:W157" si="799">+(J155+K155)/A155</f>
        <v>2136.5493150684933</v>
      </c>
      <c r="X155" s="24">
        <f>+Z155/A155*Variables!$B$10</f>
        <v>152.61066536203526</v>
      </c>
      <c r="Y155" s="28">
        <f>+(W155/(1-(N155+Variables!$B$10)))/G155</f>
        <v>15.261066536203526</v>
      </c>
      <c r="Z155" s="5">
        <f t="shared" ref="Z155:Z157" si="800">+Y155*G155*A155</f>
        <v>1114057.8571428573</v>
      </c>
      <c r="AM155" s="18"/>
      <c r="AN155" s="18"/>
      <c r="AO155" s="18"/>
      <c r="AP155" s="18"/>
      <c r="AQ155" s="18"/>
    </row>
    <row r="156" spans="1:43" ht="15" customHeight="1" x14ac:dyDescent="0.3">
      <c r="A156" s="43">
        <v>365</v>
      </c>
      <c r="B156" s="88">
        <v>45229</v>
      </c>
      <c r="C156" s="3" t="s">
        <v>68</v>
      </c>
      <c r="D156" s="106" t="s">
        <v>379</v>
      </c>
      <c r="E156" s="3" t="s">
        <v>378</v>
      </c>
      <c r="F156" s="57" t="s">
        <v>380</v>
      </c>
      <c r="G156" s="3">
        <v>100</v>
      </c>
      <c r="H156" s="35">
        <f>8.54*368.5+445+1.54*368.5</f>
        <v>4159.4799999999996</v>
      </c>
      <c r="I156" s="36">
        <v>10000</v>
      </c>
      <c r="J156" s="19">
        <f t="shared" si="794"/>
        <v>425947.99999999994</v>
      </c>
      <c r="K156" s="39">
        <f t="shared" ref="K156:K161" si="801">+J156*0.1+2500+2500+2500+2500+5000</f>
        <v>57594.799999999996</v>
      </c>
      <c r="L156" s="7">
        <f t="shared" si="795"/>
        <v>7217.1</v>
      </c>
      <c r="M156" s="5">
        <f t="shared" si="796"/>
        <v>721710</v>
      </c>
      <c r="N156" s="8">
        <f>VLOOKUP((J156/A156),Variables!$A$3:$C$8,2,TRUE())</f>
        <v>0.28000000000000003</v>
      </c>
      <c r="O156" s="42">
        <f t="shared" si="797"/>
        <v>202077.58805970161</v>
      </c>
      <c r="P156" s="40"/>
      <c r="Q156" s="41" t="str">
        <f>IF(P156&gt;0,ROUND(((Y156*A156)/(1-(P156*(1+Variables!$B$10)))),1),"")</f>
        <v/>
      </c>
      <c r="U156" s="27">
        <f t="shared" si="798"/>
        <v>553.63722756082632</v>
      </c>
      <c r="V156" s="27">
        <f>VLOOKUP((J156/A156),Variables!$A$3:$C$8,3,TRUE())</f>
        <v>122</v>
      </c>
      <c r="W156" s="27">
        <f t="shared" si="799"/>
        <v>1324.7747945205479</v>
      </c>
      <c r="X156" s="24">
        <f>+Z156/A156*Variables!$B$10</f>
        <v>98.863790635861804</v>
      </c>
      <c r="Y156" s="28">
        <f>+(W156/(1-(N156+Variables!$B$10)))/G156</f>
        <v>19.772758127172359</v>
      </c>
      <c r="Z156" s="5">
        <f t="shared" si="800"/>
        <v>721705.67164179112</v>
      </c>
      <c r="AM156" s="18"/>
      <c r="AN156" s="18"/>
      <c r="AO156" s="18"/>
      <c r="AP156" s="18"/>
      <c r="AQ156" s="18"/>
    </row>
    <row r="157" spans="1:43" ht="15" customHeight="1" x14ac:dyDescent="0.3">
      <c r="A157" s="43">
        <v>365</v>
      </c>
      <c r="B157" s="88">
        <v>45229</v>
      </c>
      <c r="C157" s="3" t="s">
        <v>68</v>
      </c>
      <c r="D157" s="106" t="s">
        <v>379</v>
      </c>
      <c r="E157" s="3" t="s">
        <v>378</v>
      </c>
      <c r="F157" s="57" t="s">
        <v>380</v>
      </c>
      <c r="G157" s="3">
        <v>150</v>
      </c>
      <c r="H157" s="35">
        <f>8.54*368.5+445+1.54*368.5</f>
        <v>4159.4799999999996</v>
      </c>
      <c r="I157" s="36">
        <v>10000</v>
      </c>
      <c r="J157" s="19">
        <f t="shared" si="794"/>
        <v>633921.99999999988</v>
      </c>
      <c r="K157" s="39">
        <f t="shared" si="801"/>
        <v>78392.199999999983</v>
      </c>
      <c r="L157" s="7">
        <f t="shared" si="795"/>
        <v>6783.9</v>
      </c>
      <c r="M157" s="5">
        <f t="shared" si="796"/>
        <v>1017585</v>
      </c>
      <c r="N157" s="8">
        <f>VLOOKUP((J157/A157),Variables!$A$3:$C$8,2,TRUE())</f>
        <v>0.25</v>
      </c>
      <c r="O157" s="42">
        <f t="shared" si="797"/>
        <v>254397.92857142852</v>
      </c>
      <c r="P157" s="40"/>
      <c r="Q157" s="41" t="str">
        <f>IF(P157&gt;0,ROUND(((Y157*A157)/(1-(P157*(1+Variables!$B$10)))),1),"")</f>
        <v/>
      </c>
      <c r="U157" s="27">
        <f t="shared" si="798"/>
        <v>696.9806262230918</v>
      </c>
      <c r="V157" s="27">
        <f>VLOOKUP((J157/A157),Variables!$A$3:$C$8,3,TRUE())</f>
        <v>400</v>
      </c>
      <c r="W157" s="27">
        <f t="shared" si="799"/>
        <v>1951.5457534246571</v>
      </c>
      <c r="X157" s="24">
        <f>+Z157/A157*Variables!$B$10</f>
        <v>139.39612524461836</v>
      </c>
      <c r="Y157" s="28">
        <f>+(W157/(1-(N157+Variables!$B$10)))/G157</f>
        <v>18.58615003261578</v>
      </c>
      <c r="Z157" s="5">
        <f t="shared" si="800"/>
        <v>1017591.7142857141</v>
      </c>
      <c r="AM157" s="18"/>
      <c r="AN157" s="18"/>
      <c r="AO157" s="18"/>
      <c r="AP157" s="18"/>
      <c r="AQ157" s="18"/>
    </row>
    <row r="158" spans="1:43" ht="15" customHeight="1" x14ac:dyDescent="0.3">
      <c r="A158" s="43">
        <v>365</v>
      </c>
      <c r="B158" s="88">
        <v>45229</v>
      </c>
      <c r="C158" s="3" t="s">
        <v>68</v>
      </c>
      <c r="D158" s="106" t="s">
        <v>379</v>
      </c>
      <c r="E158" s="3" t="s">
        <v>378</v>
      </c>
      <c r="F158" s="57" t="s">
        <v>380</v>
      </c>
      <c r="G158" s="3">
        <v>200</v>
      </c>
      <c r="H158" s="35">
        <f>8.54*368.5+445+1.54*368.5</f>
        <v>4159.4799999999996</v>
      </c>
      <c r="I158" s="36">
        <v>10000</v>
      </c>
      <c r="J158" s="19">
        <f t="shared" ref="J158:J160" si="802">(G158*H158)+I158</f>
        <v>841895.99999999988</v>
      </c>
      <c r="K158" s="39">
        <f t="shared" si="801"/>
        <v>99189.599999999991</v>
      </c>
      <c r="L158" s="7">
        <f t="shared" ref="L158:L160" si="803">ROUND(IF((Y158*A158*G158)&gt;(J158+(X158*A158)+K158+(U158*A158)),(Y158*A158),((J158+(X158*A158)+K158+(U158*A158))/G158)),1)</f>
        <v>6445.8</v>
      </c>
      <c r="M158" s="5">
        <f t="shared" ref="M158:M160" si="804">+L158*G158</f>
        <v>1289160</v>
      </c>
      <c r="N158" s="8">
        <f>VLOOKUP((J158/A158),Variables!$A$3:$C$8,2,TRUE())</f>
        <v>0.22</v>
      </c>
      <c r="O158" s="42">
        <f t="shared" ref="O158:O160" si="805">+U158*A158</f>
        <v>283614.83835616428</v>
      </c>
      <c r="P158" s="40"/>
      <c r="Q158" s="41" t="str">
        <f>IF(P158&gt;0,ROUND(((Y158*A158)/(1-(P158*(1+Variables!$B$10)))),1),"")</f>
        <v/>
      </c>
      <c r="U158" s="27">
        <f t="shared" ref="U158:U160" si="806">+IF(((Y158*G158)-W158-X158)&lt;V158,V158,((Y158*G158)-W158-X158))</f>
        <v>777.02695440045011</v>
      </c>
      <c r="V158" s="27">
        <f>VLOOKUP((J158/A158),Variables!$A$3:$C$8,3,TRUE())</f>
        <v>510</v>
      </c>
      <c r="W158" s="27">
        <f t="shared" ref="W158:W160" si="807">+(J158+K158)/A158</f>
        <v>2578.3167123287667</v>
      </c>
      <c r="X158" s="24">
        <f>+Z158/A158*Variables!$B$10</f>
        <v>176.59703509101143</v>
      </c>
      <c r="Y158" s="28">
        <f>+(W158/(1-(N158+Variables!$B$10)))/G158</f>
        <v>17.659703509101142</v>
      </c>
      <c r="Z158" s="5">
        <f t="shared" ref="Z158:Z160" si="808">+Y158*G158*A158</f>
        <v>1289158.3561643832</v>
      </c>
      <c r="AM158" s="18"/>
      <c r="AN158" s="18"/>
      <c r="AO158" s="18"/>
      <c r="AP158" s="18"/>
      <c r="AQ158" s="18"/>
    </row>
    <row r="159" spans="1:43" ht="15" customHeight="1" x14ac:dyDescent="0.3">
      <c r="A159" s="43">
        <v>365</v>
      </c>
      <c r="B159" s="88">
        <v>45229</v>
      </c>
      <c r="C159" s="3" t="s">
        <v>68</v>
      </c>
      <c r="D159" s="106" t="s">
        <v>379</v>
      </c>
      <c r="E159" s="3" t="s">
        <v>381</v>
      </c>
      <c r="F159" s="57" t="s">
        <v>380</v>
      </c>
      <c r="G159" s="3">
        <v>100</v>
      </c>
      <c r="H159" s="35">
        <f>7.97*368.5+445+1.26*368.5</f>
        <v>3846.2549999999997</v>
      </c>
      <c r="I159" s="36">
        <v>10000</v>
      </c>
      <c r="J159" s="19">
        <f t="shared" si="802"/>
        <v>394625.49999999994</v>
      </c>
      <c r="K159" s="39">
        <f t="shared" si="801"/>
        <v>54462.549999999996</v>
      </c>
      <c r="L159" s="7">
        <f t="shared" si="803"/>
        <v>6702.8</v>
      </c>
      <c r="M159" s="5">
        <f t="shared" si="804"/>
        <v>670280</v>
      </c>
      <c r="N159" s="8">
        <f>VLOOKUP((J159/A159),Variables!$A$3:$C$8,2,TRUE())</f>
        <v>0.28000000000000003</v>
      </c>
      <c r="O159" s="42">
        <f t="shared" si="805"/>
        <v>187678.58805970149</v>
      </c>
      <c r="P159" s="40"/>
      <c r="Q159" s="41" t="str">
        <f>IF(P159&gt;0,ROUND(((Y159*A159)/(1-(P159*(1+Variables!$B$10)))),1),"")</f>
        <v/>
      </c>
      <c r="U159" s="27">
        <f t="shared" si="806"/>
        <v>514.18791249233288</v>
      </c>
      <c r="V159" s="27">
        <f>VLOOKUP((J159/A159),Variables!$A$3:$C$8,3,TRUE())</f>
        <v>122</v>
      </c>
      <c r="W159" s="27">
        <f t="shared" si="807"/>
        <v>1230.378219178082</v>
      </c>
      <c r="X159" s="24">
        <f>+Z159/A159*Variables!$B$10</f>
        <v>91.819270087916578</v>
      </c>
      <c r="Y159" s="28">
        <f>+(W159/(1-(N159+Variables!$B$10)))/G159</f>
        <v>18.363854017583314</v>
      </c>
      <c r="Z159" s="5">
        <f t="shared" si="808"/>
        <v>670280.67164179101</v>
      </c>
      <c r="AM159" s="18"/>
      <c r="AN159" s="18"/>
      <c r="AO159" s="18"/>
      <c r="AP159" s="18"/>
      <c r="AQ159" s="18"/>
    </row>
    <row r="160" spans="1:43" ht="15" customHeight="1" x14ac:dyDescent="0.3">
      <c r="A160" s="43">
        <v>365</v>
      </c>
      <c r="B160" s="88">
        <v>45229</v>
      </c>
      <c r="C160" s="3" t="s">
        <v>68</v>
      </c>
      <c r="D160" s="106" t="s">
        <v>379</v>
      </c>
      <c r="E160" s="3" t="s">
        <v>381</v>
      </c>
      <c r="F160" s="57" t="s">
        <v>380</v>
      </c>
      <c r="G160" s="3">
        <v>150</v>
      </c>
      <c r="H160" s="35">
        <f>7.97*368.5+445+1.26*368.5</f>
        <v>3846.2549999999997</v>
      </c>
      <c r="I160" s="36">
        <v>10000</v>
      </c>
      <c r="J160" s="19">
        <f t="shared" si="802"/>
        <v>586938.25</v>
      </c>
      <c r="K160" s="39">
        <f t="shared" si="801"/>
        <v>73693.825000000012</v>
      </c>
      <c r="L160" s="7">
        <f t="shared" si="803"/>
        <v>6291.7</v>
      </c>
      <c r="M160" s="5">
        <f t="shared" si="804"/>
        <v>943755</v>
      </c>
      <c r="N160" s="8">
        <f>VLOOKUP((J160/A160),Variables!$A$3:$C$8,2,TRUE())</f>
        <v>0.25</v>
      </c>
      <c r="O160" s="42">
        <f t="shared" si="805"/>
        <v>235940.02678571426</v>
      </c>
      <c r="P160" s="40"/>
      <c r="Q160" s="41" t="str">
        <f>IF(P160&gt;0,ROUND(((Y160*A160)/(1-(P160*(1+Variables!$B$10)))),1),"")</f>
        <v/>
      </c>
      <c r="U160" s="27">
        <f t="shared" si="806"/>
        <v>646.41103228962811</v>
      </c>
      <c r="V160" s="27">
        <f>VLOOKUP((J160/A160),Variables!$A$3:$C$8,3,TRUE())</f>
        <v>400</v>
      </c>
      <c r="W160" s="27">
        <f t="shared" si="807"/>
        <v>1809.9508904109587</v>
      </c>
      <c r="X160" s="24">
        <f>+Z160/A160*Variables!$B$10</f>
        <v>129.28220645792564</v>
      </c>
      <c r="Y160" s="28">
        <f>+(W160/(1-(N160+Variables!$B$10)))/G160</f>
        <v>17.237627527723415</v>
      </c>
      <c r="Z160" s="5">
        <f t="shared" si="808"/>
        <v>943760.10714285704</v>
      </c>
      <c r="AM160" s="18"/>
      <c r="AN160" s="18"/>
      <c r="AO160" s="18"/>
      <c r="AP160" s="18"/>
      <c r="AQ160" s="18"/>
    </row>
    <row r="161" spans="1:43" ht="15" customHeight="1" x14ac:dyDescent="0.3">
      <c r="A161" s="43">
        <v>365</v>
      </c>
      <c r="B161" s="88">
        <v>45229</v>
      </c>
      <c r="C161" s="3" t="s">
        <v>68</v>
      </c>
      <c r="D161" s="106" t="s">
        <v>379</v>
      </c>
      <c r="E161" s="3" t="s">
        <v>381</v>
      </c>
      <c r="F161" s="57" t="s">
        <v>380</v>
      </c>
      <c r="G161" s="3">
        <v>200</v>
      </c>
      <c r="H161" s="35">
        <f>7.97*368.5+445+1.26*368.5</f>
        <v>3846.2549999999997</v>
      </c>
      <c r="I161" s="36">
        <v>10000</v>
      </c>
      <c r="J161" s="19">
        <f t="shared" ref="J161:J163" si="809">(G161*H161)+I161</f>
        <v>779250.99999999988</v>
      </c>
      <c r="K161" s="39">
        <f t="shared" si="801"/>
        <v>92925.099999999991</v>
      </c>
      <c r="L161" s="7">
        <f t="shared" ref="L161:L163" si="810">ROUND(IF((Y161*A161*G161)&gt;(J161+(X161*A161)+K161+(U161*A161)),(Y161*A161),((J161+(X161*A161)+K161+(U161*A161))/G161)),1)</f>
        <v>5973.8</v>
      </c>
      <c r="M161" s="5">
        <f t="shared" ref="M161:M163" si="811">+L161*G161</f>
        <v>1194760</v>
      </c>
      <c r="N161" s="8">
        <f>VLOOKUP((J161/A161),Variables!$A$3:$C$8,2,TRUE())</f>
        <v>0.22</v>
      </c>
      <c r="O161" s="42">
        <f t="shared" ref="O161:O163" si="812">+U161*A161</f>
        <v>262847.59178082191</v>
      </c>
      <c r="P161" s="40"/>
      <c r="Q161" s="41" t="str">
        <f>IF(P161&gt;0,ROUND(((Y161*A161)/(1-(P161*(1+Variables!$B$10)))),1),"")</f>
        <v/>
      </c>
      <c r="U161" s="27">
        <f t="shared" ref="U161:U163" si="813">+IF(((Y161*G161)-W161-X161)&lt;V161,V161,((Y161*G161)-W161-X161))</f>
        <v>720.13038844060804</v>
      </c>
      <c r="V161" s="27">
        <f>VLOOKUP((J161/A161),Variables!$A$3:$C$8,3,TRUE())</f>
        <v>510</v>
      </c>
      <c r="W161" s="27">
        <f t="shared" ref="W161:W163" si="814">+(J161+K161)/A161</f>
        <v>2389.5235616438354</v>
      </c>
      <c r="X161" s="24">
        <f>+Z161/A161*Variables!$B$10</f>
        <v>163.66599737286546</v>
      </c>
      <c r="Y161" s="28">
        <f>+(W161/(1-(N161+Variables!$B$10)))/G161</f>
        <v>16.366599737286545</v>
      </c>
      <c r="Z161" s="5">
        <f t="shared" ref="Z161:Z163" si="815">+Y161*G161*A161</f>
        <v>1194761.7808219178</v>
      </c>
      <c r="AM161" s="18"/>
      <c r="AN161" s="18"/>
      <c r="AO161" s="18"/>
      <c r="AP161" s="18"/>
      <c r="AQ161" s="18"/>
    </row>
    <row r="162" spans="1:43" ht="15" customHeight="1" x14ac:dyDescent="0.3">
      <c r="A162" s="43">
        <v>365</v>
      </c>
      <c r="B162" s="88">
        <v>45229</v>
      </c>
      <c r="C162" s="3" t="s">
        <v>68</v>
      </c>
      <c r="D162" s="106" t="s">
        <v>382</v>
      </c>
      <c r="E162" s="3" t="s">
        <v>383</v>
      </c>
      <c r="F162" s="57" t="s">
        <v>380</v>
      </c>
      <c r="G162" s="3">
        <v>100</v>
      </c>
      <c r="H162" s="35">
        <f>2350+7.23*368.5+65.25</f>
        <v>5079.5050000000001</v>
      </c>
      <c r="I162" s="36"/>
      <c r="J162" s="19">
        <f t="shared" si="809"/>
        <v>507950.5</v>
      </c>
      <c r="K162" s="39">
        <f>+J162*0.1+2500+2500+5000</f>
        <v>60795.05</v>
      </c>
      <c r="L162" s="7">
        <f t="shared" si="810"/>
        <v>8488.7000000000007</v>
      </c>
      <c r="M162" s="5">
        <f t="shared" si="811"/>
        <v>848870.00000000012</v>
      </c>
      <c r="N162" s="8">
        <f>VLOOKUP((J162/A162),Variables!$A$3:$C$8,2,TRUE())</f>
        <v>0.28000000000000003</v>
      </c>
      <c r="O162" s="42">
        <f t="shared" si="812"/>
        <v>237684.70746268664</v>
      </c>
      <c r="P162" s="40"/>
      <c r="Q162" s="41" t="str">
        <f>IF(P162&gt;0,ROUND(((Y162*A162)/(1-(P162*(1+Variables!$B$10)))),1),"")</f>
        <v/>
      </c>
      <c r="U162" s="27">
        <f t="shared" si="813"/>
        <v>651.19097934982642</v>
      </c>
      <c r="V162" s="27">
        <f>VLOOKUP((J162/A162),Variables!$A$3:$C$8,3,TRUE())</f>
        <v>122</v>
      </c>
      <c r="W162" s="27">
        <f t="shared" si="814"/>
        <v>1558.2069863013701</v>
      </c>
      <c r="X162" s="24">
        <f>+Z162/A162*Variables!$B$10</f>
        <v>116.28410345532615</v>
      </c>
      <c r="Y162" s="28">
        <f>+(W162/(1-(N162+Variables!$B$10)))/G162</f>
        <v>23.256820691065226</v>
      </c>
      <c r="Z162" s="5">
        <f t="shared" si="815"/>
        <v>848873.95522388082</v>
      </c>
      <c r="AM162" s="18"/>
      <c r="AN162" s="18"/>
      <c r="AO162" s="18"/>
      <c r="AP162" s="18"/>
      <c r="AQ162" s="18"/>
    </row>
    <row r="163" spans="1:43" ht="15" customHeight="1" x14ac:dyDescent="0.3">
      <c r="A163" s="43">
        <v>365</v>
      </c>
      <c r="B163" s="88">
        <v>45229</v>
      </c>
      <c r="C163" s="3" t="s">
        <v>68</v>
      </c>
      <c r="D163" s="106" t="s">
        <v>382</v>
      </c>
      <c r="E163" s="3" t="s">
        <v>383</v>
      </c>
      <c r="F163" s="57" t="s">
        <v>380</v>
      </c>
      <c r="G163" s="3">
        <v>150</v>
      </c>
      <c r="H163" s="35">
        <f>2350+7.23*368.5+59.6</f>
        <v>5073.8550000000005</v>
      </c>
      <c r="I163" s="36"/>
      <c r="J163" s="19">
        <f t="shared" si="809"/>
        <v>761078.25000000012</v>
      </c>
      <c r="K163" s="39">
        <f>+J163*0.1+2500+2500+5000</f>
        <v>86107.825000000012</v>
      </c>
      <c r="L163" s="7">
        <f t="shared" si="810"/>
        <v>7736.9</v>
      </c>
      <c r="M163" s="5">
        <f t="shared" si="811"/>
        <v>1160535</v>
      </c>
      <c r="N163" s="8">
        <f>VLOOKUP((J163/A163),Variables!$A$3:$C$8,2,TRUE())</f>
        <v>0.22</v>
      </c>
      <c r="O163" s="42">
        <f t="shared" si="812"/>
        <v>255316.35136986314</v>
      </c>
      <c r="P163" s="40"/>
      <c r="Q163" s="41" t="str">
        <f>IF(P163&gt;0,ROUND(((Y163*A163)/(1-(P163*(1+Variables!$B$10)))),1),"")</f>
        <v/>
      </c>
      <c r="U163" s="27">
        <f t="shared" si="813"/>
        <v>699.49685306811818</v>
      </c>
      <c r="V163" s="27">
        <f>VLOOKUP((J163/A163),Variables!$A$3:$C$8,3,TRUE())</f>
        <v>510</v>
      </c>
      <c r="W163" s="27">
        <f t="shared" si="814"/>
        <v>2321.0577397260281</v>
      </c>
      <c r="X163" s="24">
        <f>+Z163/A163*Variables!$B$10</f>
        <v>158.97655751548143</v>
      </c>
      <c r="Y163" s="28">
        <f>+(W163/(1-(N163+Variables!$B$10)))/G163</f>
        <v>21.196874335397517</v>
      </c>
      <c r="Z163" s="5">
        <f t="shared" si="815"/>
        <v>1160528.8698630142</v>
      </c>
      <c r="AM163" s="18"/>
      <c r="AN163" s="18"/>
      <c r="AO163" s="18"/>
      <c r="AP163" s="18"/>
      <c r="AQ163" s="18"/>
    </row>
    <row r="164" spans="1:43" ht="15" customHeight="1" x14ac:dyDescent="0.3">
      <c r="A164" s="43">
        <v>365</v>
      </c>
      <c r="B164" s="88">
        <v>45229</v>
      </c>
      <c r="C164" s="3" t="s">
        <v>68</v>
      </c>
      <c r="D164" s="106" t="s">
        <v>382</v>
      </c>
      <c r="E164" s="3" t="s">
        <v>383</v>
      </c>
      <c r="F164" s="57" t="s">
        <v>380</v>
      </c>
      <c r="G164" s="3">
        <v>200</v>
      </c>
      <c r="H164" s="35">
        <f>2100+7.23*368.5+56.78</f>
        <v>4821.0349999999999</v>
      </c>
      <c r="I164" s="36"/>
      <c r="J164" s="19">
        <f t="shared" ref="J164:J166" si="816">(G164*H164)+I164</f>
        <v>964207</v>
      </c>
      <c r="K164" s="39">
        <f>+J164*0.1+2500+2500+5000</f>
        <v>106420.70000000001</v>
      </c>
      <c r="L164" s="7">
        <f t="shared" ref="L164:L166" si="817">ROUND(IF((Y164*A164*G164)&gt;(J164+(X164*A164)+K164+(U164*A164)),(Y164*A164),((J164+(X164*A164)+K164+(U164*A164))/G164)),1)</f>
        <v>7333.1</v>
      </c>
      <c r="M164" s="5">
        <f t="shared" ref="M164:M166" si="818">+L164*G164</f>
        <v>1466620</v>
      </c>
      <c r="N164" s="8">
        <f>VLOOKUP((J164/A164),Variables!$A$3:$C$8,2,TRUE())</f>
        <v>0.22</v>
      </c>
      <c r="O164" s="42">
        <f t="shared" ref="O164:O166" si="819">+U164*A164</f>
        <v>322654.92328767135</v>
      </c>
      <c r="P164" s="40"/>
      <c r="Q164" s="41" t="str">
        <f>IF(P164&gt;0,ROUND(((Y164*A164)/(1-(P164*(1+Variables!$B$10)))),1),"")</f>
        <v/>
      </c>
      <c r="U164" s="27">
        <f t="shared" ref="U164:U166" si="820">+IF(((Y164*G164)-W164-X164)&lt;V164,V164,((Y164*G164)-W164-X164))</f>
        <v>883.98609119909963</v>
      </c>
      <c r="V164" s="27">
        <f>VLOOKUP((J164/A164),Variables!$A$3:$C$8,3,TRUE())</f>
        <v>510</v>
      </c>
      <c r="W164" s="27">
        <f t="shared" ref="W164:W166" si="821">+(J164+K164)/A164</f>
        <v>2933.2265753424658</v>
      </c>
      <c r="X164" s="24">
        <f>+Z164/A164*Variables!$B$10</f>
        <v>200.90592981797715</v>
      </c>
      <c r="Y164" s="28">
        <f>+(W164/(1-(N164+Variables!$B$10)))/G164</f>
        <v>20.090592981797712</v>
      </c>
      <c r="Z164" s="5">
        <f t="shared" ref="Z164:Z166" si="822">+Y164*G164*A164</f>
        <v>1466613.2876712331</v>
      </c>
      <c r="AM164" s="18"/>
      <c r="AN164" s="18"/>
      <c r="AO164" s="18"/>
      <c r="AP164" s="18"/>
      <c r="AQ164" s="18"/>
    </row>
    <row r="165" spans="1:43" ht="15" customHeight="1" x14ac:dyDescent="0.3">
      <c r="A165" s="43">
        <v>365</v>
      </c>
      <c r="B165" s="88">
        <v>45230</v>
      </c>
      <c r="C165" s="3" t="s">
        <v>286</v>
      </c>
      <c r="D165" s="106" t="s">
        <v>296</v>
      </c>
      <c r="E165" s="76" t="s">
        <v>385</v>
      </c>
      <c r="F165" s="57" t="s">
        <v>299</v>
      </c>
      <c r="G165" s="3">
        <v>300</v>
      </c>
      <c r="H165" s="35">
        <f>1113.74+2100</f>
        <v>3213.74</v>
      </c>
      <c r="I165" s="36"/>
      <c r="J165" s="19">
        <f t="shared" si="816"/>
        <v>964121.99999999988</v>
      </c>
      <c r="K165" s="39">
        <f>10000+2500</f>
        <v>12500</v>
      </c>
      <c r="L165" s="7">
        <f t="shared" si="817"/>
        <v>4459.5</v>
      </c>
      <c r="M165" s="5">
        <f t="shared" si="818"/>
        <v>1337850</v>
      </c>
      <c r="N165" s="8">
        <f>VLOOKUP((J165/A165),Variables!$A$3:$C$8,2,TRUE())</f>
        <v>0.22</v>
      </c>
      <c r="O165" s="42">
        <f t="shared" si="819"/>
        <v>294324.43835616444</v>
      </c>
      <c r="P165" s="40"/>
      <c r="Q165" s="41" t="str">
        <f>IF(P165&gt;0,ROUND(((Y165*A165)/(1-(P165*(1+Variables!$B$10)))),1),"")</f>
        <v/>
      </c>
      <c r="U165" s="27">
        <f t="shared" si="820"/>
        <v>806.36832426346416</v>
      </c>
      <c r="V165" s="27">
        <f>VLOOKUP((J165/A165),Variables!$A$3:$C$8,3,TRUE())</f>
        <v>510</v>
      </c>
      <c r="W165" s="27">
        <f t="shared" si="821"/>
        <v>2675.6767123287668</v>
      </c>
      <c r="X165" s="24">
        <f>+Z165/A165*Variables!$B$10</f>
        <v>183.26552824169639</v>
      </c>
      <c r="Y165" s="28">
        <f>+(W165/(1-(N165+Variables!$B$10)))/G165</f>
        <v>12.217701882779759</v>
      </c>
      <c r="Z165" s="5">
        <f t="shared" si="822"/>
        <v>1337838.3561643835</v>
      </c>
      <c r="AM165" s="18"/>
      <c r="AN165" s="18"/>
      <c r="AO165" s="18"/>
      <c r="AP165" s="18"/>
      <c r="AQ165" s="18"/>
    </row>
    <row r="166" spans="1:43" ht="15" customHeight="1" x14ac:dyDescent="0.3">
      <c r="A166" s="43">
        <v>365</v>
      </c>
      <c r="B166" s="88">
        <v>45230</v>
      </c>
      <c r="C166" s="3" t="s">
        <v>286</v>
      </c>
      <c r="D166" s="106" t="s">
        <v>294</v>
      </c>
      <c r="E166" s="76" t="s">
        <v>386</v>
      </c>
      <c r="F166" s="57" t="s">
        <v>300</v>
      </c>
      <c r="G166" s="3">
        <v>300</v>
      </c>
      <c r="H166" s="35">
        <f>1113.74+2100+5.43*0.97*368.5</f>
        <v>5154.6663499999995</v>
      </c>
      <c r="I166" s="36"/>
      <c r="J166" s="19">
        <f t="shared" si="816"/>
        <v>1546399.9049999998</v>
      </c>
      <c r="K166" s="39">
        <f>10000+2500+5000</f>
        <v>17500</v>
      </c>
      <c r="L166" s="7">
        <f t="shared" si="817"/>
        <v>6950.7</v>
      </c>
      <c r="M166" s="5">
        <f t="shared" si="818"/>
        <v>2085210</v>
      </c>
      <c r="N166" s="8">
        <f>VLOOKUP((J166/A166),Variables!$A$3:$C$8,2,TRUE())</f>
        <v>0.2</v>
      </c>
      <c r="O166" s="42">
        <f t="shared" si="819"/>
        <v>417039.97466666671</v>
      </c>
      <c r="P166" s="40"/>
      <c r="Q166" s="41" t="str">
        <f>IF(P166&gt;0,ROUND(((Y166*A166)/(1-(P166*(1+Variables!$B$10)))),1),"")</f>
        <v/>
      </c>
      <c r="U166" s="27">
        <f t="shared" si="820"/>
        <v>1142.5752730593608</v>
      </c>
      <c r="V166" s="27">
        <f>VLOOKUP((J166/A166),Variables!$A$3:$C$8,3,TRUE())</f>
        <v>898</v>
      </c>
      <c r="W166" s="27">
        <f t="shared" si="821"/>
        <v>4284.6572739726025</v>
      </c>
      <c r="X166" s="24">
        <f>+Z166/A166*Variables!$B$10</f>
        <v>285.64381826484021</v>
      </c>
      <c r="Y166" s="28">
        <f>+(W166/(1-(N166+Variables!$B$10)))/G166</f>
        <v>19.042921217656012</v>
      </c>
      <c r="Z166" s="5">
        <f t="shared" si="822"/>
        <v>2085199.8733333333</v>
      </c>
      <c r="AM166" s="18"/>
      <c r="AN166" s="18"/>
      <c r="AO166" s="18"/>
      <c r="AP166" s="18"/>
      <c r="AQ166" s="18"/>
    </row>
    <row r="167" spans="1:43" ht="15" customHeight="1" x14ac:dyDescent="0.3">
      <c r="A167" s="43">
        <v>365</v>
      </c>
      <c r="B167" s="88">
        <v>45230</v>
      </c>
      <c r="C167" s="3" t="s">
        <v>387</v>
      </c>
      <c r="D167" s="106" t="s">
        <v>389</v>
      </c>
      <c r="E167" s="76" t="s">
        <v>388</v>
      </c>
      <c r="F167" s="57"/>
      <c r="G167" s="3">
        <v>26</v>
      </c>
      <c r="H167" s="35">
        <f>16000+320+7.97*368.5+5000+1.54*368.5</f>
        <v>24824.435000000001</v>
      </c>
      <c r="I167" s="36">
        <f>14000+15000+10000</f>
        <v>39000</v>
      </c>
      <c r="J167" s="19">
        <f t="shared" ref="J167" si="823">(G167*H167)+I167</f>
        <v>684435.31</v>
      </c>
      <c r="K167" s="39">
        <f>5000+5000+2500+2500+2500+2500</f>
        <v>20000</v>
      </c>
      <c r="L167" s="7">
        <f t="shared" ref="L167" si="824">ROUND(IF((Y167*A167*G167)&gt;(J167+(X167*A167)+K167+(U167*A167)),(Y167*A167),((J167+(X167*A167)+K167+(U167*A167))/G167)),1)</f>
        <v>38705.199999999997</v>
      </c>
      <c r="M167" s="5">
        <f t="shared" ref="M167" si="825">+L167*G167</f>
        <v>1006335.2</v>
      </c>
      <c r="N167" s="8">
        <f>VLOOKUP((J167/A167),Variables!$A$3:$C$8,2,TRUE())</f>
        <v>0.25</v>
      </c>
      <c r="O167" s="42">
        <f t="shared" ref="O167" si="826">+U167*A167</f>
        <v>251584.03928571436</v>
      </c>
      <c r="P167" s="40"/>
      <c r="Q167" s="41" t="str">
        <f>IF(P167&gt;0,ROUND(((Y167*A167)/(1-(P167*(1+Variables!$B$10)))),1),"")</f>
        <v/>
      </c>
      <c r="U167" s="27">
        <f t="shared" ref="U167" si="827">+IF(((Y167*G167)-W167-X167)&lt;V167,V167,((Y167*G167)-W167-X167))</f>
        <v>689.27134050880647</v>
      </c>
      <c r="V167" s="27">
        <f>VLOOKUP((J167/A167),Variables!$A$3:$C$8,3,TRUE())</f>
        <v>400</v>
      </c>
      <c r="W167" s="27">
        <f t="shared" ref="W167" si="828">+(J167+K167)/A167</f>
        <v>1929.9597534246577</v>
      </c>
      <c r="X167" s="24">
        <f>+Z167/A167*Variables!$B$10</f>
        <v>137.85426810176128</v>
      </c>
      <c r="Y167" s="28">
        <f>+(W167/(1-(N167+Variables!$B$10)))/G167</f>
        <v>106.04174469366252</v>
      </c>
      <c r="Z167" s="5">
        <f t="shared" ref="Z167" si="829">+Y167*G167*A167</f>
        <v>1006336.1571428573</v>
      </c>
      <c r="AM167" s="18"/>
      <c r="AN167" s="18"/>
      <c r="AO167" s="18"/>
      <c r="AP167" s="18"/>
      <c r="AQ167" s="18"/>
    </row>
    <row r="168" spans="1:43" ht="15" customHeight="1" x14ac:dyDescent="0.3">
      <c r="A168" s="43">
        <v>365</v>
      </c>
      <c r="B168" s="88">
        <v>45230</v>
      </c>
      <c r="C168" s="3" t="s">
        <v>387</v>
      </c>
      <c r="D168" s="106" t="s">
        <v>391</v>
      </c>
      <c r="E168" s="76" t="s">
        <v>390</v>
      </c>
      <c r="F168" s="57"/>
      <c r="G168" s="3">
        <v>30</v>
      </c>
      <c r="H168" s="35">
        <f>8000+320+7.97*368.5+5.43*368.5+1.54*368.5</f>
        <v>13825.39</v>
      </c>
      <c r="I168" s="36">
        <f>14000+10000</f>
        <v>24000</v>
      </c>
      <c r="J168" s="19">
        <f t="shared" ref="J168" si="830">(G168*H168)+I168</f>
        <v>438761.69999999995</v>
      </c>
      <c r="K168" s="39">
        <f>5000+5000+2500+2500+2500+2500</f>
        <v>20000</v>
      </c>
      <c r="L168" s="7">
        <f t="shared" ref="L168" si="831">ROUND(IF((Y168*A168*G168)&gt;(J168+(X168*A168)+K168+(U168*A168)),(Y168*A168),((J168+(X168*A168)+K168+(U168*A168))/G168)),1)</f>
        <v>22824</v>
      </c>
      <c r="M168" s="5">
        <f t="shared" ref="M168" si="832">+L168*G168</f>
        <v>684720</v>
      </c>
      <c r="N168" s="8">
        <f>VLOOKUP((J168/A168),Variables!$A$3:$C$8,2,TRUE())</f>
        <v>0.28000000000000003</v>
      </c>
      <c r="O168" s="42">
        <f t="shared" ref="O168" si="833">+U168*A168</f>
        <v>191721.30746268659</v>
      </c>
      <c r="P168" s="40"/>
      <c r="Q168" s="41" t="str">
        <f>IF(P168&gt;0,ROUND(((Y168*A168)/(1-(P168*(1+Variables!$B$10)))),1),"")</f>
        <v/>
      </c>
      <c r="U168" s="27">
        <f t="shared" ref="U168" si="834">+IF(((Y168*G168)-W168-X168)&lt;V168,V168,((Y168*G168)-W168-X168))</f>
        <v>525.26385606215501</v>
      </c>
      <c r="V168" s="27">
        <f>VLOOKUP((J168/A168),Variables!$A$3:$C$8,3,TRUE())</f>
        <v>122</v>
      </c>
      <c r="W168" s="27">
        <f t="shared" ref="W168" si="835">+(J168+K168)/A168</f>
        <v>1256.8813698630136</v>
      </c>
      <c r="X168" s="24">
        <f>+Z168/A168*Variables!$B$10</f>
        <v>93.79711715395625</v>
      </c>
      <c r="Y168" s="28">
        <f>+(W168/(1-(N168+Variables!$B$10)))/G168</f>
        <v>62.531411435970831</v>
      </c>
      <c r="Z168" s="5">
        <f t="shared" ref="Z168" si="836">+Y168*G168*A168</f>
        <v>684718.95522388059</v>
      </c>
      <c r="AM168" s="18"/>
      <c r="AN168" s="18"/>
      <c r="AO168" s="18"/>
      <c r="AP168" s="18"/>
      <c r="AQ168" s="18"/>
    </row>
    <row r="169" spans="1:43" ht="15" customHeight="1" x14ac:dyDescent="0.3">
      <c r="A169" s="43">
        <v>365</v>
      </c>
      <c r="B169" s="88">
        <v>45230</v>
      </c>
      <c r="C169" s="3" t="s">
        <v>387</v>
      </c>
      <c r="D169" s="106" t="s">
        <v>391</v>
      </c>
      <c r="E169" s="76" t="s">
        <v>392</v>
      </c>
      <c r="F169" s="57"/>
      <c r="G169" s="3">
        <v>30</v>
      </c>
      <c r="H169" s="35">
        <f>8000+320+7.97*368.5+2.12*368.5+290.29+1.26*368.5</f>
        <v>12792.764999999999</v>
      </c>
      <c r="I169" s="36">
        <f>14000+10000</f>
        <v>24000</v>
      </c>
      <c r="J169" s="19">
        <f t="shared" ref="J169:J170" si="837">(G169*H169)+I169</f>
        <v>407782.94999999995</v>
      </c>
      <c r="K169" s="39">
        <f>5000+5000+2500+2500+2500+2500</f>
        <v>20000</v>
      </c>
      <c r="L169" s="7">
        <f t="shared" ref="L169:L170" si="838">ROUND(IF((Y169*A169*G169)&gt;(J169+(X169*A169)+K169+(U169*A169)),(Y169*A169),((J169+(X169*A169)+K169+(U169*A169))/G169)),1)</f>
        <v>21282.7</v>
      </c>
      <c r="M169" s="5">
        <f t="shared" ref="M169:M170" si="839">+L169*G169</f>
        <v>638481</v>
      </c>
      <c r="N169" s="8">
        <f>VLOOKUP((J169/A169),Variables!$A$3:$C$8,2,TRUE())</f>
        <v>0.28000000000000003</v>
      </c>
      <c r="O169" s="42">
        <f t="shared" ref="O169:O170" si="840">+U169*A169</f>
        <v>178774.96417910451</v>
      </c>
      <c r="P169" s="40"/>
      <c r="Q169" s="41" t="str">
        <f>IF(P169&gt;0,ROUND(((Y169*A169)/(1-(P169*(1+Variables!$B$10)))),1),"")</f>
        <v/>
      </c>
      <c r="U169" s="27">
        <f t="shared" ref="U169:U170" si="841">+IF(((Y169*G169)-W169-X169)&lt;V169,V169,((Y169*G169)-W169-X169))</f>
        <v>489.79442240850551</v>
      </c>
      <c r="V169" s="27">
        <f>VLOOKUP((J169/A169),Variables!$A$3:$C$8,3,TRUE())</f>
        <v>122</v>
      </c>
      <c r="W169" s="27">
        <f t="shared" ref="W169:W170" si="842">+(J169+K169)/A169</f>
        <v>1172.0080821917807</v>
      </c>
      <c r="X169" s="24">
        <f>+Z169/A169*Variables!$B$10</f>
        <v>87.463289715804535</v>
      </c>
      <c r="Y169" s="28">
        <f>+(W169/(1-(N169+Variables!$B$10)))/G169</f>
        <v>58.308859810536354</v>
      </c>
      <c r="Z169" s="5">
        <f t="shared" ref="Z169:Z170" si="843">+Y169*G169*A169</f>
        <v>638482.01492537314</v>
      </c>
      <c r="AM169" s="18"/>
      <c r="AN169" s="18"/>
      <c r="AO169" s="18"/>
      <c r="AP169" s="18"/>
      <c r="AQ169" s="18"/>
    </row>
    <row r="170" spans="1:43" ht="15" customHeight="1" x14ac:dyDescent="0.3">
      <c r="A170" s="43">
        <v>365</v>
      </c>
      <c r="B170" s="88">
        <v>45230</v>
      </c>
      <c r="C170" s="3" t="s">
        <v>393</v>
      </c>
      <c r="D170" s="106" t="s">
        <v>49</v>
      </c>
      <c r="E170" s="3" t="s">
        <v>394</v>
      </c>
      <c r="F170" s="57" t="s">
        <v>47</v>
      </c>
      <c r="G170" s="3">
        <v>2500</v>
      </c>
      <c r="H170" s="35">
        <v>3002.64</v>
      </c>
      <c r="I170" s="36"/>
      <c r="J170" s="19">
        <f t="shared" si="837"/>
        <v>7506600</v>
      </c>
      <c r="K170" s="39">
        <f t="shared" ref="K170:K177" si="844">10000+2500+2500+J170*0.5*0.1</f>
        <v>390330</v>
      </c>
      <c r="L170" s="7">
        <f t="shared" si="838"/>
        <v>4102.3</v>
      </c>
      <c r="M170" s="5">
        <f t="shared" si="839"/>
        <v>10255750</v>
      </c>
      <c r="N170" s="8">
        <f>VLOOKUP((J170/A170),Variables!$A$3:$C$8,2,TRUE())</f>
        <v>0.18</v>
      </c>
      <c r="O170" s="42">
        <f t="shared" si="840"/>
        <v>1846035.5844155841</v>
      </c>
      <c r="P170" s="40"/>
      <c r="Q170" s="41" t="str">
        <f>IF(P170&gt;0,ROUND(((Y170*A170)/(1-(P170*(1+Variables!$B$10)))),1),"")</f>
        <v/>
      </c>
      <c r="U170" s="27">
        <f t="shared" si="841"/>
        <v>5057.6317381248882</v>
      </c>
      <c r="V170" s="27">
        <f>VLOOKUP((J170/A170),Variables!$A$3:$C$8,3,TRUE())</f>
        <v>1094</v>
      </c>
      <c r="W170" s="27">
        <f t="shared" si="842"/>
        <v>21635.424657534248</v>
      </c>
      <c r="X170" s="24">
        <f>+Z170/A170*Variables!$B$10</f>
        <v>1404.8977050346914</v>
      </c>
      <c r="Y170" s="28">
        <f>+(W170/(1-(N170+Variables!$B$10)))/G170</f>
        <v>11.239181640277531</v>
      </c>
      <c r="Z170" s="5">
        <f t="shared" si="843"/>
        <v>10255753.246753247</v>
      </c>
      <c r="AM170" s="18"/>
      <c r="AN170" s="18"/>
      <c r="AO170" s="18"/>
      <c r="AP170" s="18"/>
      <c r="AQ170" s="18"/>
    </row>
    <row r="171" spans="1:43" ht="15" customHeight="1" x14ac:dyDescent="0.3">
      <c r="A171" s="43">
        <v>365</v>
      </c>
      <c r="B171" s="88">
        <v>45230</v>
      </c>
      <c r="C171" s="3" t="s">
        <v>393</v>
      </c>
      <c r="D171" s="106" t="s">
        <v>49</v>
      </c>
      <c r="E171" s="3" t="s">
        <v>356</v>
      </c>
      <c r="F171" s="57" t="s">
        <v>47</v>
      </c>
      <c r="G171" s="3">
        <v>2500</v>
      </c>
      <c r="H171" s="35">
        <v>3091.11</v>
      </c>
      <c r="I171" s="36"/>
      <c r="J171" s="19">
        <f t="shared" ref="J171" si="845">(G171*H171)+I171</f>
        <v>7727775</v>
      </c>
      <c r="K171" s="39">
        <f t="shared" si="844"/>
        <v>401388.75</v>
      </c>
      <c r="L171" s="7">
        <f t="shared" ref="L171" si="846">ROUND(IF((Y171*A171*G171)&gt;(J171+(X171*A171)+K171+(U171*A171)),(Y171*A171),((J171+(X171*A171)+K171+(U171*A171))/G171)),1)</f>
        <v>4222.8999999999996</v>
      </c>
      <c r="M171" s="5">
        <f t="shared" ref="M171" si="847">+L171*G171</f>
        <v>10557250</v>
      </c>
      <c r="N171" s="8">
        <f>VLOOKUP((J171/A171),Variables!$A$3:$C$8,2,TRUE())</f>
        <v>0.18</v>
      </c>
      <c r="O171" s="42">
        <f t="shared" ref="O171" si="848">+U171*A171</f>
        <v>1900323.9935064937</v>
      </c>
      <c r="P171" s="40"/>
      <c r="Q171" s="41" t="str">
        <f>IF(P171&gt;0,ROUND(((Y171*A171)/(1-(P171*(1+Variables!$B$10)))),1),"")</f>
        <v/>
      </c>
      <c r="U171" s="27">
        <f t="shared" ref="U171" si="849">+IF(((Y171*G171)-W171-X171)&lt;V171,V171,((Y171*G171)-W171-X171))</f>
        <v>5206.3671054972428</v>
      </c>
      <c r="V171" s="27">
        <f>VLOOKUP((J171/A171),Variables!$A$3:$C$8,3,TRUE())</f>
        <v>1094</v>
      </c>
      <c r="W171" s="27">
        <f t="shared" ref="W171" si="850">+(J171+K171)/A171</f>
        <v>22271.681506849316</v>
      </c>
      <c r="X171" s="24">
        <f>+Z171/A171*Variables!$B$10</f>
        <v>1446.2130848603456</v>
      </c>
      <c r="Y171" s="28">
        <f>+(W171/(1-(N171+Variables!$B$10)))/G171</f>
        <v>11.569704678882761</v>
      </c>
      <c r="Z171" s="5">
        <f t="shared" ref="Z171" si="851">+Y171*G171*A171</f>
        <v>10557355.519480521</v>
      </c>
      <c r="AM171" s="18"/>
      <c r="AN171" s="18"/>
      <c r="AO171" s="18"/>
      <c r="AP171" s="18"/>
      <c r="AQ171" s="18"/>
    </row>
    <row r="172" spans="1:43" ht="15" customHeight="1" x14ac:dyDescent="0.3">
      <c r="A172" s="43">
        <v>365</v>
      </c>
      <c r="B172" s="88">
        <v>45230</v>
      </c>
      <c r="C172" s="3" t="s">
        <v>393</v>
      </c>
      <c r="D172" s="106" t="s">
        <v>49</v>
      </c>
      <c r="E172" s="3" t="s">
        <v>395</v>
      </c>
      <c r="F172" s="57" t="s">
        <v>47</v>
      </c>
      <c r="G172" s="3">
        <v>2500</v>
      </c>
      <c r="H172" s="35">
        <v>3002.64</v>
      </c>
      <c r="I172" s="36"/>
      <c r="J172" s="19">
        <f t="shared" ref="J172" si="852">(G172*H172)+I172</f>
        <v>7506600</v>
      </c>
      <c r="K172" s="39">
        <f t="shared" si="844"/>
        <v>390330</v>
      </c>
      <c r="L172" s="7">
        <f t="shared" ref="L172" si="853">ROUND(IF((Y172*A172*G172)&gt;(J172+(X172*A172)+K172+(U172*A172)),(Y172*A172),((J172+(X172*A172)+K172+(U172*A172))/G172)),1)</f>
        <v>4102.3</v>
      </c>
      <c r="M172" s="5">
        <f t="shared" ref="M172" si="854">+L172*G172</f>
        <v>10255750</v>
      </c>
      <c r="N172" s="8">
        <f>VLOOKUP((J172/A172),Variables!$A$3:$C$8,2,TRUE())</f>
        <v>0.18</v>
      </c>
      <c r="O172" s="42">
        <f t="shared" ref="O172" si="855">+U172*A172</f>
        <v>1846035.5844155841</v>
      </c>
      <c r="P172" s="40"/>
      <c r="Q172" s="41" t="str">
        <f>IF(P172&gt;0,ROUND(((Y172*A172)/(1-(P172*(1+Variables!$B$10)))),1),"")</f>
        <v/>
      </c>
      <c r="U172" s="27">
        <f t="shared" ref="U172" si="856">+IF(((Y172*G172)-W172-X172)&lt;V172,V172,((Y172*G172)-W172-X172))</f>
        <v>5057.6317381248882</v>
      </c>
      <c r="V172" s="27">
        <f>VLOOKUP((J172/A172),Variables!$A$3:$C$8,3,TRUE())</f>
        <v>1094</v>
      </c>
      <c r="W172" s="27">
        <f t="shared" ref="W172" si="857">+(J172+K172)/A172</f>
        <v>21635.424657534248</v>
      </c>
      <c r="X172" s="24">
        <f>+Z172/A172*Variables!$B$10</f>
        <v>1404.8977050346914</v>
      </c>
      <c r="Y172" s="28">
        <f>+(W172/(1-(N172+Variables!$B$10)))/G172</f>
        <v>11.239181640277531</v>
      </c>
      <c r="Z172" s="5">
        <f t="shared" ref="Z172" si="858">+Y172*G172*A172</f>
        <v>10255753.246753247</v>
      </c>
      <c r="AM172" s="18"/>
      <c r="AN172" s="18"/>
      <c r="AO172" s="18"/>
      <c r="AP172" s="18"/>
      <c r="AQ172" s="18"/>
    </row>
    <row r="173" spans="1:43" ht="15" customHeight="1" x14ac:dyDescent="0.3">
      <c r="A173" s="43">
        <v>365</v>
      </c>
      <c r="B173" s="88">
        <v>45230</v>
      </c>
      <c r="C173" s="3" t="s">
        <v>393</v>
      </c>
      <c r="D173" s="106" t="s">
        <v>49</v>
      </c>
      <c r="E173" s="3" t="s">
        <v>396</v>
      </c>
      <c r="F173" s="57" t="s">
        <v>47</v>
      </c>
      <c r="G173" s="3">
        <v>2500</v>
      </c>
      <c r="H173" s="35">
        <v>3002.64</v>
      </c>
      <c r="I173" s="36"/>
      <c r="J173" s="19">
        <f t="shared" ref="J173" si="859">(G173*H173)+I173</f>
        <v>7506600</v>
      </c>
      <c r="K173" s="39">
        <f t="shared" si="844"/>
        <v>390330</v>
      </c>
      <c r="L173" s="7">
        <f t="shared" ref="L173" si="860">ROUND(IF((Y173*A173*G173)&gt;(J173+(X173*A173)+K173+(U173*A173)),(Y173*A173),((J173+(X173*A173)+K173+(U173*A173))/G173)),1)</f>
        <v>4102.3</v>
      </c>
      <c r="M173" s="5">
        <f t="shared" ref="M173" si="861">+L173*G173</f>
        <v>10255750</v>
      </c>
      <c r="N173" s="8">
        <f>VLOOKUP((J173/A173),Variables!$A$3:$C$8,2,TRUE())</f>
        <v>0.18</v>
      </c>
      <c r="O173" s="42">
        <f t="shared" ref="O173" si="862">+U173*A173</f>
        <v>1846035.5844155841</v>
      </c>
      <c r="P173" s="40"/>
      <c r="Q173" s="41" t="str">
        <f>IF(P173&gt;0,ROUND(((Y173*A173)/(1-(P173*(1+Variables!$B$10)))),1),"")</f>
        <v/>
      </c>
      <c r="U173" s="27">
        <f t="shared" ref="U173" si="863">+IF(((Y173*G173)-W173-X173)&lt;V173,V173,((Y173*G173)-W173-X173))</f>
        <v>5057.6317381248882</v>
      </c>
      <c r="V173" s="27">
        <f>VLOOKUP((J173/A173),Variables!$A$3:$C$8,3,TRUE())</f>
        <v>1094</v>
      </c>
      <c r="W173" s="27">
        <f t="shared" ref="W173" si="864">+(J173+K173)/A173</f>
        <v>21635.424657534248</v>
      </c>
      <c r="X173" s="24">
        <f>+Z173/A173*Variables!$B$10</f>
        <v>1404.8977050346914</v>
      </c>
      <c r="Y173" s="28">
        <f>+(W173/(1-(N173+Variables!$B$10)))/G173</f>
        <v>11.239181640277531</v>
      </c>
      <c r="Z173" s="5">
        <f t="shared" ref="Z173" si="865">+Y173*G173*A173</f>
        <v>10255753.246753247</v>
      </c>
      <c r="AM173" s="18"/>
      <c r="AN173" s="18"/>
      <c r="AO173" s="18"/>
      <c r="AP173" s="18"/>
      <c r="AQ173" s="18"/>
    </row>
    <row r="174" spans="1:43" ht="15" customHeight="1" x14ac:dyDescent="0.3">
      <c r="A174" s="43">
        <v>365</v>
      </c>
      <c r="B174" s="88">
        <v>45230</v>
      </c>
      <c r="C174" s="3" t="s">
        <v>393</v>
      </c>
      <c r="D174" s="106" t="s">
        <v>49</v>
      </c>
      <c r="E174" s="3" t="s">
        <v>397</v>
      </c>
      <c r="F174" s="57" t="s">
        <v>47</v>
      </c>
      <c r="G174" s="3">
        <v>2500</v>
      </c>
      <c r="H174" s="35">
        <v>2742.03</v>
      </c>
      <c r="I174" s="36"/>
      <c r="J174" s="19">
        <f t="shared" ref="J174" si="866">(G174*H174)+I174</f>
        <v>6855075.0000000009</v>
      </c>
      <c r="K174" s="39">
        <f t="shared" si="844"/>
        <v>357753.75000000006</v>
      </c>
      <c r="L174" s="7">
        <f t="shared" ref="L174" si="867">ROUND(IF((Y174*A174*G174)&gt;(J174+(X174*A174)+K174+(U174*A174)),(Y174*A174),((J174+(X174*A174)+K174+(U174*A174))/G174)),1)</f>
        <v>3746.9</v>
      </c>
      <c r="M174" s="5">
        <f t="shared" ref="M174" si="868">+L174*G174</f>
        <v>9367250</v>
      </c>
      <c r="N174" s="8">
        <f>VLOOKUP((J174/A174),Variables!$A$3:$C$8,2,TRUE())</f>
        <v>0.18</v>
      </c>
      <c r="O174" s="42">
        <f t="shared" ref="O174" si="869">+U174*A174</f>
        <v>1686115.8116883116</v>
      </c>
      <c r="P174" s="40"/>
      <c r="Q174" s="41" t="str">
        <f>IF(P174&gt;0,ROUND(((Y174*A174)/(1-(P174*(1+Variables!$B$10)))),1),"")</f>
        <v/>
      </c>
      <c r="U174" s="27">
        <f t="shared" ref="U174" si="870">+IF(((Y174*G174)-W174-X174)&lt;V174,V174,((Y174*G174)-W174-X174))</f>
        <v>4619.4953744885252</v>
      </c>
      <c r="V174" s="27">
        <f>VLOOKUP((J174/A174),Variables!$A$3:$C$8,3,TRUE())</f>
        <v>1094</v>
      </c>
      <c r="W174" s="27">
        <f t="shared" ref="W174" si="871">+(J174+K174)/A174</f>
        <v>19761.174657534248</v>
      </c>
      <c r="X174" s="24">
        <f>+Z174/A174*Variables!$B$10</f>
        <v>1283.1931595801461</v>
      </c>
      <c r="Y174" s="28">
        <f>+(W174/(1-(N174+Variables!$B$10)))/G174</f>
        <v>10.265545276641168</v>
      </c>
      <c r="Z174" s="5">
        <f t="shared" ref="Z174" si="872">+Y174*G174*A174</f>
        <v>9367310.0649350658</v>
      </c>
      <c r="AM174" s="18"/>
      <c r="AN174" s="18"/>
      <c r="AO174" s="18"/>
      <c r="AP174" s="18"/>
      <c r="AQ174" s="18"/>
    </row>
    <row r="175" spans="1:43" ht="15" customHeight="1" x14ac:dyDescent="0.3">
      <c r="A175" s="43">
        <v>365</v>
      </c>
      <c r="B175" s="88">
        <v>45230</v>
      </c>
      <c r="C175" s="3" t="s">
        <v>393</v>
      </c>
      <c r="D175" s="106" t="s">
        <v>49</v>
      </c>
      <c r="E175" s="3" t="s">
        <v>398</v>
      </c>
      <c r="F175" s="57" t="s">
        <v>34</v>
      </c>
      <c r="G175" s="3">
        <v>2500</v>
      </c>
      <c r="H175" s="35">
        <v>2019.35</v>
      </c>
      <c r="I175" s="36"/>
      <c r="J175" s="19">
        <f t="shared" ref="J175" si="873">(G175*H175)+I175</f>
        <v>5048375</v>
      </c>
      <c r="K175" s="39">
        <f t="shared" si="844"/>
        <v>267418.75</v>
      </c>
      <c r="L175" s="7">
        <f t="shared" ref="L175" si="874">ROUND(IF((Y175*A175*G175)&gt;(J175+(X175*A175)+K175+(U175*A175)),(Y175*A175),((J175+(X175*A175)+K175+(U175*A175))/G175)),1)</f>
        <v>2761.5</v>
      </c>
      <c r="M175" s="5">
        <f t="shared" ref="M175" si="875">+L175*G175</f>
        <v>6903750</v>
      </c>
      <c r="N175" s="8">
        <f>VLOOKUP((J175/A175),Variables!$A$3:$C$8,2,TRUE())</f>
        <v>0.18</v>
      </c>
      <c r="O175" s="42">
        <f t="shared" ref="O175" si="876">+U175*A175</f>
        <v>1242653.0844155836</v>
      </c>
      <c r="P175" s="40"/>
      <c r="Q175" s="41" t="str">
        <f>IF(P175&gt;0,ROUND(((Y175*A175)/(1-(P175*(1+Variables!$B$10)))),1),"")</f>
        <v/>
      </c>
      <c r="U175" s="27">
        <f t="shared" ref="U175" si="877">+IF(((Y175*G175)-W175-X175)&lt;V175,V175,((Y175*G175)-W175-X175))</f>
        <v>3404.5289983988596</v>
      </c>
      <c r="V175" s="27">
        <f>VLOOKUP((J175/A175),Variables!$A$3:$C$8,3,TRUE())</f>
        <v>1094</v>
      </c>
      <c r="W175" s="27">
        <f t="shared" ref="W175" si="878">+(J175+K175)/A175</f>
        <v>14563.818493150686</v>
      </c>
      <c r="X175" s="24">
        <f>+Z175/A175*Variables!$B$10</f>
        <v>945.70249955523923</v>
      </c>
      <c r="Y175" s="28">
        <f>+(W175/(1-(N175+Variables!$B$10)))/G175</f>
        <v>7.5656199964419137</v>
      </c>
      <c r="Z175" s="5">
        <f t="shared" ref="Z175" si="879">+Y175*G175*A175</f>
        <v>6903628.2467532465</v>
      </c>
      <c r="AM175" s="18"/>
      <c r="AN175" s="18"/>
      <c r="AO175" s="18"/>
      <c r="AP175" s="18"/>
      <c r="AQ175" s="18"/>
    </row>
    <row r="176" spans="1:43" ht="15" customHeight="1" x14ac:dyDescent="0.3">
      <c r="A176" s="43">
        <v>365</v>
      </c>
      <c r="B176" s="88">
        <v>45230</v>
      </c>
      <c r="C176" s="3" t="s">
        <v>393</v>
      </c>
      <c r="D176" s="106" t="s">
        <v>49</v>
      </c>
      <c r="E176" s="3" t="s">
        <v>399</v>
      </c>
      <c r="F176" s="57" t="s">
        <v>34</v>
      </c>
      <c r="G176" s="3">
        <v>2500</v>
      </c>
      <c r="H176" s="35">
        <v>2247.98</v>
      </c>
      <c r="I176" s="36"/>
      <c r="J176" s="19">
        <f t="shared" ref="J176" si="880">(G176*H176)+I176</f>
        <v>5619950</v>
      </c>
      <c r="K176" s="39">
        <f t="shared" si="844"/>
        <v>295997.5</v>
      </c>
      <c r="L176" s="7">
        <f t="shared" ref="L176" si="881">ROUND(IF((Y176*A176*G176)&gt;(J176+(X176*A176)+K176+(U176*A176)),(Y176*A176),((J176+(X176*A176)+K176+(U176*A176))/G176)),1)</f>
        <v>3073.2</v>
      </c>
      <c r="M176" s="5">
        <f t="shared" ref="M176" si="882">+L176*G176</f>
        <v>7683000</v>
      </c>
      <c r="N176" s="8">
        <f>VLOOKUP((J176/A176),Variables!$A$3:$C$8,2,TRUE())</f>
        <v>0.18</v>
      </c>
      <c r="O176" s="42">
        <f t="shared" ref="O176" si="883">+U176*A176</f>
        <v>1382948.7662337658</v>
      </c>
      <c r="P176" s="40"/>
      <c r="Q176" s="41" t="str">
        <f>IF(P176&gt;0,ROUND(((Y176*A176)/(1-(P176*(1+Variables!$B$10)))),1),"")</f>
        <v/>
      </c>
      <c r="U176" s="27">
        <f t="shared" ref="U176" si="884">+IF(((Y176*G176)-W176-X176)&lt;V176,V176,((Y176*G176)-W176-X176))</f>
        <v>3788.9007294075773</v>
      </c>
      <c r="V176" s="27">
        <f>VLOOKUP((J176/A176),Variables!$A$3:$C$8,3,TRUE())</f>
        <v>1094</v>
      </c>
      <c r="W176" s="27">
        <f t="shared" ref="W176" si="885">+(J176+K176)/A176</f>
        <v>16208.075342465754</v>
      </c>
      <c r="X176" s="24">
        <f>+Z176/A176*Variables!$B$10</f>
        <v>1052.4724248354385</v>
      </c>
      <c r="Y176" s="28">
        <f>+(W176/(1-(N176+Variables!$B$10)))/G176</f>
        <v>8.4197793986835077</v>
      </c>
      <c r="Z176" s="5">
        <f t="shared" ref="Z176" si="886">+Y176*G176*A176</f>
        <v>7683048.7012987006</v>
      </c>
      <c r="AM176" s="18"/>
      <c r="AN176" s="18"/>
      <c r="AO176" s="18"/>
      <c r="AP176" s="18"/>
      <c r="AQ176" s="18"/>
    </row>
    <row r="177" spans="1:43" ht="15" customHeight="1" x14ac:dyDescent="0.3">
      <c r="A177" s="43">
        <v>365</v>
      </c>
      <c r="B177" s="88">
        <v>45230</v>
      </c>
      <c r="C177" s="3" t="s">
        <v>393</v>
      </c>
      <c r="D177" s="106" t="s">
        <v>49</v>
      </c>
      <c r="E177" s="3" t="s">
        <v>400</v>
      </c>
      <c r="F177" s="57" t="s">
        <v>34</v>
      </c>
      <c r="G177" s="3">
        <v>2500</v>
      </c>
      <c r="H177" s="35">
        <v>3878.81</v>
      </c>
      <c r="I177" s="36"/>
      <c r="J177" s="19">
        <f t="shared" ref="J177" si="887">(G177*H177)+I177</f>
        <v>9697025</v>
      </c>
      <c r="K177" s="39">
        <f t="shared" si="844"/>
        <v>499851.25</v>
      </c>
      <c r="L177" s="7">
        <f t="shared" ref="L177" si="888">ROUND(IF((Y177*A177*G177)&gt;(J177+(X177*A177)+K177+(U177*A177)),(Y177*A177),((J177+(X177*A177)+K177+(U177*A177))/G177)),1)</f>
        <v>5297.1</v>
      </c>
      <c r="M177" s="5">
        <f t="shared" ref="M177" si="889">+L177*G177</f>
        <v>13242750</v>
      </c>
      <c r="N177" s="8">
        <f>VLOOKUP((J177/A177),Variables!$A$3:$C$8,2,TRUE())</f>
        <v>0.18</v>
      </c>
      <c r="O177" s="42">
        <f t="shared" ref="O177" si="890">+U177*A177</f>
        <v>2383685.3571428573</v>
      </c>
      <c r="P177" s="40"/>
      <c r="Q177" s="41" t="str">
        <f>IF(P177&gt;0,ROUND(((Y177*A177)/(1-(P177*(1+Variables!$B$10)))),1),"")</f>
        <v/>
      </c>
      <c r="U177" s="27">
        <f t="shared" ref="U177" si="891">+IF(((Y177*G177)-W177-X177)&lt;V177,V177,((Y177*G177)-W177-X177))</f>
        <v>6530.6448140900202</v>
      </c>
      <c r="V177" s="27">
        <f>VLOOKUP((J177/A177),Variables!$A$3:$C$8,3,TRUE())</f>
        <v>1094</v>
      </c>
      <c r="W177" s="27">
        <f t="shared" ref="W177" si="892">+(J177+K177)/A177</f>
        <v>27936.647260273974</v>
      </c>
      <c r="X177" s="24">
        <f>+Z177/A177*Variables!$B$10</f>
        <v>1814.0680039138945</v>
      </c>
      <c r="Y177" s="28">
        <f>+(W177/(1-(N177+Variables!$B$10)))/G177</f>
        <v>14.512544031311155</v>
      </c>
      <c r="Z177" s="5">
        <f t="shared" ref="Z177" si="893">+Y177*G177*A177</f>
        <v>13242696.428571429</v>
      </c>
      <c r="AM177" s="18"/>
      <c r="AN177" s="18"/>
      <c r="AO177" s="18"/>
      <c r="AP177" s="18"/>
      <c r="AQ177" s="18"/>
    </row>
    <row r="178" spans="1:43" ht="15" customHeight="1" x14ac:dyDescent="0.3">
      <c r="A178" s="43">
        <v>365</v>
      </c>
      <c r="B178" s="88">
        <v>45230</v>
      </c>
      <c r="C178" s="3" t="s">
        <v>393</v>
      </c>
      <c r="D178" s="106" t="s">
        <v>49</v>
      </c>
      <c r="E178" s="3" t="s">
        <v>400</v>
      </c>
      <c r="F178" s="57" t="s">
        <v>34</v>
      </c>
      <c r="G178" s="3">
        <v>100</v>
      </c>
      <c r="H178" s="144">
        <v>5000</v>
      </c>
      <c r="I178" s="144">
        <v>2000</v>
      </c>
      <c r="J178" s="19">
        <f t="shared" ref="J178" si="894">(G178*H178)+I178</f>
        <v>502000</v>
      </c>
      <c r="K178" s="39">
        <v>10000</v>
      </c>
      <c r="L178" s="7">
        <f t="shared" ref="L178" si="895">ROUND(IF((Y178*A178*G178)&gt;(J178+(X178*A178)+K178+(U178*A178)),(Y178*A178),((J178+(X178*A178)+K178+(U178*A178))/G178)),1)</f>
        <v>7641.8</v>
      </c>
      <c r="M178" s="5">
        <f t="shared" ref="M178" si="896">+L178*G178</f>
        <v>764180</v>
      </c>
      <c r="N178" s="8">
        <f>VLOOKUP((J178/A178),Variables!$A$3:$C$8,2,TRUE())</f>
        <v>0.28000000000000003</v>
      </c>
      <c r="O178" s="42">
        <f t="shared" ref="O178" si="897">+U178*A178</f>
        <v>213970.14925373133</v>
      </c>
      <c r="P178" s="40"/>
      <c r="Q178" s="41" t="str">
        <f>IF(P178&gt;0,ROUND(((Y178*A178)/(1-(P178*(1+Variables!$B$10)))),1),"")</f>
        <v/>
      </c>
      <c r="U178" s="27">
        <f t="shared" ref="U178" si="898">+IF(((Y178*G178)-W178-X178)&lt;V178,V178,((Y178*G178)-W178-X178))</f>
        <v>586.21958699652419</v>
      </c>
      <c r="V178" s="27">
        <f>VLOOKUP((J178/A178),Variables!$A$3:$C$8,3,TRUE())</f>
        <v>122</v>
      </c>
      <c r="W178" s="27">
        <f t="shared" ref="W178" si="899">+(J178+K178)/A178</f>
        <v>1402.7397260273972</v>
      </c>
      <c r="X178" s="24">
        <f>+Z178/A178*Variables!$B$10</f>
        <v>104.68206910652219</v>
      </c>
      <c r="Y178" s="28">
        <f>+(W178/(1-(N178+Variables!$B$10)))/G178</f>
        <v>20.936413821304438</v>
      </c>
      <c r="Z178" s="5">
        <f t="shared" ref="Z178" si="900">+Y178*G178*A178</f>
        <v>764179.10447761195</v>
      </c>
      <c r="AM178" s="18"/>
      <c r="AN178" s="18"/>
      <c r="AO178" s="18"/>
      <c r="AP178" s="18"/>
      <c r="AQ178" s="18"/>
    </row>
    <row r="179" spans="1:43" ht="15" customHeight="1" x14ac:dyDescent="0.3">
      <c r="A179" s="43">
        <v>365</v>
      </c>
      <c r="B179" s="88">
        <v>45237</v>
      </c>
      <c r="C179" s="3" t="s">
        <v>277</v>
      </c>
      <c r="D179" s="106" t="s">
        <v>49</v>
      </c>
      <c r="E179" s="3" t="s">
        <v>413</v>
      </c>
      <c r="F179" s="57" t="s">
        <v>34</v>
      </c>
      <c r="G179" s="3">
        <v>100</v>
      </c>
      <c r="H179" s="144">
        <v>1442</v>
      </c>
      <c r="I179" s="144"/>
      <c r="J179" s="19">
        <f t="shared" ref="J179" si="901">(G179*H179)+I179</f>
        <v>144200</v>
      </c>
      <c r="K179" s="39">
        <v>12000</v>
      </c>
      <c r="L179" s="7">
        <f t="shared" ref="L179" si="902">ROUND(IF((Y179*A179*G179)&gt;(J179+(X179*A179)+K179+(U179*A179)),(Y179*A179),((J179+(X179*A179)+K179+(U179*A179))/G179)),1)</f>
        <v>2403.1</v>
      </c>
      <c r="M179" s="5">
        <f t="shared" ref="M179" si="903">+L179*G179</f>
        <v>240310</v>
      </c>
      <c r="N179" s="8">
        <f>VLOOKUP((J179/A179),Variables!$A$3:$C$8,2,TRUE())</f>
        <v>0.3</v>
      </c>
      <c r="O179" s="42">
        <f t="shared" ref="O179" si="904">+U179*A179</f>
        <v>72092.307692307688</v>
      </c>
      <c r="P179" s="40"/>
      <c r="Q179" s="41" t="str">
        <f>IF(P179&gt;0,ROUND(((Y179*A179)/(1-(P179*(1+Variables!$B$10)))),1),"")</f>
        <v/>
      </c>
      <c r="U179" s="27">
        <f t="shared" ref="U179" si="905">+IF(((Y179*G179)-W179-X179)&lt;V179,V179,((Y179*G179)-W179-X179))</f>
        <v>197.51317175974708</v>
      </c>
      <c r="V179" s="27">
        <f>VLOOKUP((J179/A179),Variables!$A$3:$C$8,3,TRUE())</f>
        <v>81.632653061224488</v>
      </c>
      <c r="W179" s="27">
        <f t="shared" ref="W179" si="906">+(J179+K179)/A179</f>
        <v>427.94520547945206</v>
      </c>
      <c r="X179" s="24">
        <f>+Z179/A179*Variables!$B$10</f>
        <v>32.918861959957852</v>
      </c>
      <c r="Y179" s="28">
        <f>+(W179/(1-(N179+Variables!$B$10)))/G179</f>
        <v>6.5837723919915696</v>
      </c>
      <c r="Z179" s="5">
        <f t="shared" ref="Z179" si="907">+Y179*G179*A179</f>
        <v>240307.69230769228</v>
      </c>
      <c r="AM179" s="18"/>
      <c r="AN179" s="18"/>
      <c r="AO179" s="18"/>
      <c r="AP179" s="18"/>
      <c r="AQ179" s="18"/>
    </row>
    <row r="180" spans="1:43" ht="15" customHeight="1" x14ac:dyDescent="0.3">
      <c r="A180" s="43">
        <v>365</v>
      </c>
      <c r="B180" s="88">
        <v>45240</v>
      </c>
      <c r="C180" s="3" t="s">
        <v>414</v>
      </c>
      <c r="D180" s="106" t="s">
        <v>415</v>
      </c>
      <c r="E180" s="3" t="s">
        <v>416</v>
      </c>
      <c r="F180" s="57" t="s">
        <v>34</v>
      </c>
      <c r="G180" s="3">
        <v>50</v>
      </c>
      <c r="H180" s="144">
        <f>32.88*368.5+350</f>
        <v>12466.28</v>
      </c>
      <c r="I180" s="144"/>
      <c r="J180" s="19">
        <f t="shared" ref="J180" si="908">(G180*H180)+I180</f>
        <v>623314</v>
      </c>
      <c r="K180" s="39">
        <v>10000</v>
      </c>
      <c r="L180" s="7">
        <f t="shared" ref="L180" si="909">ROUND(IF((Y180*A180*G180)&gt;(J180+(X180*A180)+K180+(U180*A180)),(Y180*A180),((J180+(X180*A180)+K180+(U180*A180))/G180)),1)</f>
        <v>18094.7</v>
      </c>
      <c r="M180" s="5">
        <f t="shared" ref="M180" si="910">+L180*G180</f>
        <v>904735</v>
      </c>
      <c r="N180" s="8">
        <f>VLOOKUP((J180/A180),Variables!$A$3:$C$8,2,TRUE())</f>
        <v>0.25</v>
      </c>
      <c r="O180" s="42">
        <f t="shared" ref="O180" si="911">+U180*A180</f>
        <v>226183.57142857154</v>
      </c>
      <c r="P180" s="40"/>
      <c r="Q180" s="41" t="str">
        <f>IF(P180&gt;0,ROUND(((Y180*A180)/(1-(P180*(1+Variables!$B$10)))),1),"")</f>
        <v/>
      </c>
      <c r="U180" s="27">
        <f t="shared" ref="U180" si="912">+IF(((Y180*G180)-W180-X180)&lt;V180,V180,((Y180*G180)-W180-X180))</f>
        <v>619.68101761252478</v>
      </c>
      <c r="V180" s="27">
        <f>VLOOKUP((J180/A180),Variables!$A$3:$C$8,3,TRUE())</f>
        <v>400</v>
      </c>
      <c r="W180" s="27">
        <f t="shared" ref="W180" si="913">+(J180+K180)/A180</f>
        <v>1735.1068493150685</v>
      </c>
      <c r="X180" s="24">
        <f>+Z180/A180*Variables!$B$10</f>
        <v>123.93620352250491</v>
      </c>
      <c r="Y180" s="28">
        <f>+(W180/(1-(N180+Variables!$B$10)))/G180</f>
        <v>49.574481409001962</v>
      </c>
      <c r="Z180" s="5">
        <f t="shared" ref="Z180" si="914">+Y180*G180*A180</f>
        <v>904734.2857142858</v>
      </c>
      <c r="AM180" s="18"/>
      <c r="AN180" s="18"/>
      <c r="AO180" s="18"/>
      <c r="AP180" s="18"/>
      <c r="AQ180" s="18"/>
    </row>
    <row r="181" spans="1:43" ht="15" customHeight="1" x14ac:dyDescent="0.3">
      <c r="A181" s="43">
        <v>365</v>
      </c>
      <c r="B181" s="88">
        <v>45240</v>
      </c>
      <c r="C181" s="3" t="s">
        <v>414</v>
      </c>
      <c r="D181" s="106" t="s">
        <v>415</v>
      </c>
      <c r="E181" s="3" t="s">
        <v>416</v>
      </c>
      <c r="F181" s="57" t="s">
        <v>34</v>
      </c>
      <c r="G181" s="3">
        <v>1</v>
      </c>
      <c r="H181" s="144">
        <v>31287.68</v>
      </c>
      <c r="I181" s="144"/>
      <c r="J181" s="19">
        <f t="shared" ref="J181" si="915">(G181*H181)+I181</f>
        <v>31287.68</v>
      </c>
      <c r="K181" s="39">
        <v>5000</v>
      </c>
      <c r="L181" s="7">
        <f t="shared" ref="L181" si="916">ROUND(IF((Y181*A181*G181)&gt;(J181+(X181*A181)+K181+(U181*A181)),(Y181*A181),((J181+(X181*A181)+K181+(U181*A181))/G181)),1)</f>
        <v>68875</v>
      </c>
      <c r="M181" s="5">
        <f t="shared" ref="M181" si="917">+L181*G181</f>
        <v>68875</v>
      </c>
      <c r="N181" s="8">
        <f>VLOOKUP((J181/A181),Variables!$A$3:$C$8,2,TRUE())</f>
        <v>0.3</v>
      </c>
      <c r="O181" s="42">
        <f t="shared" ref="O181" si="918">+U181*A181</f>
        <v>29795.918367346938</v>
      </c>
      <c r="P181" s="40"/>
      <c r="Q181" s="41" t="str">
        <f>IF(P181&gt;0,ROUND(((Y181*A181)/(1-(P181*(1+Variables!$B$10)))),1),"")</f>
        <v/>
      </c>
      <c r="U181" s="27">
        <f t="shared" ref="U181" si="919">+IF(((Y181*G181)-W181-X181)&lt;V181,V181,((Y181*G181)-W181-X181))</f>
        <v>81.632653061224488</v>
      </c>
      <c r="V181" s="27">
        <f>VLOOKUP((J181/A181),Variables!$A$3:$C$8,3,TRUE())</f>
        <v>81.632653061224488</v>
      </c>
      <c r="W181" s="27">
        <f t="shared" ref="W181" si="920">+(J181+K181)/A181</f>
        <v>99.418301369863016</v>
      </c>
      <c r="X181" s="24">
        <f>+Z181/A181*Variables!$B$10</f>
        <v>7.6475616438356173</v>
      </c>
      <c r="Y181" s="28">
        <f>+(W181/(1-(N181+Variables!$B$10)))/G181</f>
        <v>152.95123287671234</v>
      </c>
      <c r="Z181" s="5">
        <f t="shared" ref="Z181" si="921">+Y181*G181*A181</f>
        <v>55827.200000000004</v>
      </c>
      <c r="AM181" s="18"/>
      <c r="AN181" s="18"/>
      <c r="AO181" s="18"/>
      <c r="AP181" s="18"/>
      <c r="AQ181" s="18"/>
    </row>
    <row r="182" spans="1:43" ht="15" customHeight="1" x14ac:dyDescent="0.3">
      <c r="A182" s="43">
        <v>372</v>
      </c>
      <c r="B182" s="88">
        <v>45253</v>
      </c>
      <c r="C182" s="3" t="s">
        <v>110</v>
      </c>
      <c r="D182" s="106" t="s">
        <v>417</v>
      </c>
      <c r="E182" s="3" t="s">
        <v>418</v>
      </c>
      <c r="F182" s="57" t="s">
        <v>71</v>
      </c>
      <c r="G182" s="3">
        <v>200</v>
      </c>
      <c r="H182" s="144">
        <f>2500+440</f>
        <v>2940</v>
      </c>
      <c r="I182" s="144"/>
      <c r="J182" s="19">
        <f t="shared" ref="J182" si="922">(G182*H182)+I182</f>
        <v>588000</v>
      </c>
      <c r="K182" s="39">
        <f>4000+4000+J182*0.05</f>
        <v>37400</v>
      </c>
      <c r="L182" s="7">
        <f t="shared" ref="L182" si="923">ROUND(IF((Y182*A182*G182)&gt;(J182+(X182*A182)+K182+(U182*A182)),(Y182*A182),((J182+(X182*A182)+K182+(U182*A182))/G182)),1)</f>
        <v>4467.1000000000004</v>
      </c>
      <c r="M182" s="5">
        <f t="shared" ref="M182" si="924">+L182*G182</f>
        <v>893420.00000000012</v>
      </c>
      <c r="N182" s="8">
        <f>VLOOKUP((J182/A182),Variables!$A$3:$C$8,2,TRUE())</f>
        <v>0.25</v>
      </c>
      <c r="O182" s="42">
        <f t="shared" ref="O182" si="925">+U182*A182</f>
        <v>223357.14285714293</v>
      </c>
      <c r="P182" s="40"/>
      <c r="Q182" s="41" t="str">
        <f>IF(P182&gt;0,ROUND(((Y182*A182)/(1-(P182*(1+Variables!$B$10)))),1),"")</f>
        <v/>
      </c>
      <c r="U182" s="27">
        <f t="shared" ref="U182" si="926">+IF(((Y182*G182)-W182-X182)&lt;V182,V182,((Y182*G182)-W182-X182))</f>
        <v>600.42242703533043</v>
      </c>
      <c r="V182" s="27">
        <f>VLOOKUP((J182/A182),Variables!$A$3:$C$8,3,TRUE())</f>
        <v>400</v>
      </c>
      <c r="W182" s="27">
        <f t="shared" ref="W182" si="927">+(J182+K182)/A182</f>
        <v>1681.1827956989248</v>
      </c>
      <c r="X182" s="24">
        <f>+Z182/A182*Variables!$B$10</f>
        <v>120.08448540706607</v>
      </c>
      <c r="Y182" s="28">
        <f>+(W182/(1-(N182+Variables!$B$10)))/G182</f>
        <v>12.008448540706606</v>
      </c>
      <c r="Z182" s="5">
        <f t="shared" ref="Z182" si="928">+Y182*G182*A182</f>
        <v>893428.57142857148</v>
      </c>
      <c r="AM182" s="18"/>
      <c r="AN182" s="18"/>
      <c r="AO182" s="18"/>
      <c r="AP182" s="18"/>
      <c r="AQ182" s="18"/>
    </row>
    <row r="183" spans="1:43" ht="15" customHeight="1" x14ac:dyDescent="0.3">
      <c r="A183" s="43">
        <v>830</v>
      </c>
      <c r="B183" s="88"/>
      <c r="C183" s="3"/>
      <c r="D183" s="106"/>
      <c r="E183" s="3"/>
      <c r="F183" s="57"/>
      <c r="G183" s="3"/>
      <c r="H183" s="144"/>
      <c r="I183" s="144"/>
      <c r="J183" s="19">
        <f t="shared" ref="J183" si="929">(G183*H183)+I183</f>
        <v>0</v>
      </c>
      <c r="K183" s="39"/>
      <c r="L183" s="7" t="e">
        <f t="shared" ref="L183" si="930">ROUND(IF((Y183*A183*G183)&gt;(J183+(X183*A183)+K183+(U183*A183)),(Y183*A183),((J183+(X183*A183)+K183+(U183*A183))/G183)),1)</f>
        <v>#DIV/0!</v>
      </c>
      <c r="M183" s="5" t="e">
        <f t="shared" ref="M183" si="931">+L183*G183</f>
        <v>#DIV/0!</v>
      </c>
      <c r="N183" s="8">
        <f>VLOOKUP((J183/A183),Variables!$A$3:$C$8,2,TRUE())</f>
        <v>0.3</v>
      </c>
      <c r="O183" s="42" t="e">
        <f t="shared" ref="O183" si="932">+U183*A183</f>
        <v>#DIV/0!</v>
      </c>
      <c r="P183" s="40"/>
      <c r="Q183" s="41" t="str">
        <f>IF(P183&gt;0,ROUND(((Y183*A183)/(1-(P183*(1+Variables!$B$10)))),1),"")</f>
        <v/>
      </c>
      <c r="U183" s="27" t="e">
        <f t="shared" ref="U183" si="933">+IF(((Y183*G183)-W183-X183)&lt;V183,V183,((Y183*G183)-W183-X183))</f>
        <v>#DIV/0!</v>
      </c>
      <c r="V183" s="27">
        <f>VLOOKUP((J183/A183),Variables!$A$3:$C$8,3,TRUE())</f>
        <v>81.632653061224488</v>
      </c>
      <c r="W183" s="27">
        <f t="shared" ref="W183" si="934">+(J183+K183)/A183</f>
        <v>0</v>
      </c>
      <c r="X183" s="24" t="e">
        <f>+Z183/A183*Variables!$B$10</f>
        <v>#DIV/0!</v>
      </c>
      <c r="Y183" s="28" t="e">
        <f>+(W183/(1-(N183+Variables!$B$10)))/G183</f>
        <v>#DIV/0!</v>
      </c>
      <c r="Z183" s="5" t="e">
        <f t="shared" ref="Z183" si="935">+Y183*G183*A183</f>
        <v>#DIV/0!</v>
      </c>
      <c r="AM183" s="18"/>
      <c r="AN183" s="18"/>
      <c r="AO183" s="18"/>
      <c r="AP183" s="18"/>
      <c r="AQ183" s="18"/>
    </row>
    <row r="184" spans="1:43" ht="15" customHeight="1" x14ac:dyDescent="0.3">
      <c r="A184" s="43">
        <f>A183</f>
        <v>830</v>
      </c>
      <c r="B184" s="88"/>
      <c r="C184" s="3"/>
      <c r="D184" s="106"/>
      <c r="E184" s="3"/>
      <c r="F184" s="57"/>
      <c r="G184" s="3"/>
      <c r="H184" s="144"/>
      <c r="I184" s="144"/>
      <c r="J184" s="19">
        <f t="shared" ref="J184" si="936">(G184*H184)+I184</f>
        <v>0</v>
      </c>
      <c r="K184" s="39"/>
      <c r="L184" s="7" t="e">
        <f t="shared" ref="L184" si="937">ROUND(IF((Y184*A184*G184)&gt;(J184+(X184*A184)+K184+(U184*A184)),(Y184*A184),((J184+(X184*A184)+K184+(U184*A184))/G184)),1)</f>
        <v>#DIV/0!</v>
      </c>
      <c r="M184" s="5" t="e">
        <f t="shared" ref="M184" si="938">+L184*G184</f>
        <v>#DIV/0!</v>
      </c>
      <c r="N184" s="8">
        <f>VLOOKUP((J184/A184),Variables!$A$3:$C$8,2,TRUE())</f>
        <v>0.3</v>
      </c>
      <c r="O184" s="42" t="e">
        <f t="shared" ref="O184" si="939">+U184*A184</f>
        <v>#DIV/0!</v>
      </c>
      <c r="P184" s="40"/>
      <c r="Q184" s="41" t="str">
        <f>IF(P184&gt;0,ROUND(((Y184*A184)/(1-(P184*(1+Variables!$B$10)))),1),"")</f>
        <v/>
      </c>
      <c r="U184" s="27" t="e">
        <f t="shared" ref="U184" si="940">+IF(((Y184*G184)-W184-X184)&lt;V184,V184,((Y184*G184)-W184-X184))</f>
        <v>#DIV/0!</v>
      </c>
      <c r="V184" s="27">
        <f>VLOOKUP((J184/A184),Variables!$A$3:$C$8,3,TRUE())</f>
        <v>81.632653061224488</v>
      </c>
      <c r="W184" s="27">
        <f t="shared" ref="W184" si="941">+(J184+K184)/A184</f>
        <v>0</v>
      </c>
      <c r="X184" s="24" t="e">
        <f>+Z184/A184*Variables!$B$10</f>
        <v>#DIV/0!</v>
      </c>
      <c r="Y184" s="28" t="e">
        <f>+(W184/(1-(N184+Variables!$B$10)))/G184</f>
        <v>#DIV/0!</v>
      </c>
      <c r="Z184" s="5" t="e">
        <f t="shared" ref="Z184" si="942">+Y184*G184*A184</f>
        <v>#DIV/0!</v>
      </c>
      <c r="AM184" s="18"/>
      <c r="AN184" s="18"/>
      <c r="AO184" s="18"/>
      <c r="AP184" s="18"/>
      <c r="AQ184" s="18"/>
    </row>
    <row r="185" spans="1:43" ht="15" customHeight="1" x14ac:dyDescent="0.3">
      <c r="B185" s="30"/>
      <c r="C185" s="31"/>
      <c r="D185" s="32"/>
      <c r="E185" s="32"/>
      <c r="F185" s="33"/>
      <c r="G185" s="34"/>
      <c r="H185" s="80"/>
      <c r="I185" s="36"/>
      <c r="J185" s="19"/>
      <c r="K185" s="38"/>
      <c r="L185" s="7"/>
      <c r="M185" s="5"/>
      <c r="N185" s="8"/>
      <c r="O185" s="42"/>
      <c r="P185" s="40"/>
      <c r="Q185" s="41"/>
      <c r="U185" s="27"/>
      <c r="V185" s="27"/>
      <c r="W185" s="27"/>
      <c r="X185" s="24"/>
      <c r="Y185" s="28"/>
      <c r="Z185" s="5"/>
      <c r="AM185" s="18"/>
      <c r="AN185" s="18"/>
      <c r="AO185" s="18"/>
      <c r="AP185" s="18"/>
      <c r="AQ185" s="18"/>
    </row>
    <row r="186" spans="1:43" ht="15" customHeight="1" x14ac:dyDescent="0.3">
      <c r="B186" s="30"/>
      <c r="C186" s="31"/>
      <c r="D186" s="32"/>
      <c r="E186" s="32"/>
      <c r="F186" s="33"/>
      <c r="G186" s="34"/>
      <c r="H186" s="80"/>
      <c r="I186" s="36"/>
      <c r="J186" s="19"/>
      <c r="K186" s="38"/>
      <c r="L186" s="7"/>
      <c r="M186" s="5"/>
      <c r="N186" s="8"/>
      <c r="O186" s="42"/>
      <c r="P186" s="40"/>
      <c r="Q186" s="41"/>
      <c r="U186" s="27"/>
      <c r="V186" s="27"/>
      <c r="W186" s="27"/>
      <c r="X186" s="24"/>
      <c r="Y186" s="28"/>
      <c r="Z186" s="5"/>
      <c r="AM186" s="18"/>
      <c r="AN186" s="18"/>
      <c r="AO186" s="18"/>
      <c r="AP186" s="18"/>
      <c r="AQ186" s="18"/>
    </row>
    <row r="187" spans="1:43" ht="15" customHeight="1" x14ac:dyDescent="0.3">
      <c r="B187" s="142" t="s">
        <v>401</v>
      </c>
      <c r="C187"/>
      <c r="D187" s="3"/>
      <c r="E187" s="3"/>
      <c r="F187" s="33"/>
      <c r="G187" s="34"/>
      <c r="H187" s="80"/>
      <c r="I187" s="36"/>
      <c r="J187" s="19"/>
      <c r="K187" s="38"/>
      <c r="L187" s="7"/>
      <c r="M187" s="5"/>
      <c r="N187" s="8"/>
      <c r="O187" s="42"/>
      <c r="P187" s="40"/>
      <c r="Q187" s="41"/>
      <c r="U187" s="27"/>
      <c r="V187" s="27"/>
      <c r="W187" s="27"/>
      <c r="X187" s="24"/>
      <c r="Y187" s="28"/>
      <c r="Z187" s="5"/>
      <c r="AM187" s="18"/>
      <c r="AN187" s="18"/>
      <c r="AO187" s="18"/>
      <c r="AP187" s="18"/>
      <c r="AQ187" s="18"/>
    </row>
    <row r="188" spans="1:43" ht="15" customHeight="1" x14ac:dyDescent="0.3">
      <c r="B188" s="142" t="s">
        <v>403</v>
      </c>
      <c r="C188"/>
      <c r="D188" s="3"/>
      <c r="E188" s="3"/>
      <c r="F188" s="33"/>
      <c r="G188" s="34"/>
      <c r="H188" s="80"/>
      <c r="I188" s="36"/>
      <c r="J188" s="19"/>
      <c r="K188" s="38"/>
      <c r="L188" s="7"/>
      <c r="M188" s="5"/>
      <c r="N188" s="8"/>
      <c r="O188" s="42"/>
      <c r="P188" s="40"/>
      <c r="Q188" s="41"/>
      <c r="U188" s="27"/>
      <c r="V188" s="27"/>
      <c r="W188" s="27"/>
      <c r="X188" s="24"/>
      <c r="Y188" s="28"/>
      <c r="Z188" s="5"/>
      <c r="AM188" s="18"/>
      <c r="AN188" s="18"/>
      <c r="AO188" s="18"/>
      <c r="AP188" s="18"/>
      <c r="AQ188" s="18"/>
    </row>
    <row r="189" spans="1:43" ht="15" customHeight="1" x14ac:dyDescent="0.3">
      <c r="B189" s="143" t="s">
        <v>404</v>
      </c>
      <c r="C189" s="3"/>
      <c r="D189"/>
      <c r="E189" s="11">
        <v>10000</v>
      </c>
      <c r="F189" s="3"/>
      <c r="G189" s="34"/>
      <c r="H189" s="80"/>
      <c r="I189" s="36"/>
      <c r="J189" s="19"/>
      <c r="K189" s="38"/>
      <c r="L189" s="7"/>
      <c r="M189" s="5"/>
      <c r="N189" s="8"/>
      <c r="O189" s="42"/>
      <c r="P189" s="40"/>
      <c r="Q189" s="41"/>
      <c r="U189" s="27"/>
      <c r="V189" s="27"/>
      <c r="W189" s="27"/>
      <c r="X189" s="24"/>
      <c r="Y189" s="28"/>
      <c r="Z189" s="5"/>
      <c r="AM189" s="18"/>
      <c r="AN189" s="18"/>
      <c r="AO189" s="18"/>
      <c r="AP189" s="18"/>
      <c r="AQ189" s="18"/>
    </row>
    <row r="190" spans="1:43" ht="15" customHeight="1" x14ac:dyDescent="0.3">
      <c r="B190" s="143" t="s">
        <v>405</v>
      </c>
      <c r="C190"/>
      <c r="D190"/>
      <c r="E190" s="11">
        <v>12000</v>
      </c>
      <c r="F190" s="3"/>
      <c r="G190" s="34"/>
      <c r="H190" s="80"/>
      <c r="I190" s="36"/>
      <c r="J190" s="19"/>
      <c r="K190" s="38"/>
      <c r="L190" s="7"/>
      <c r="M190" s="5"/>
      <c r="N190" s="8"/>
      <c r="O190" s="42"/>
      <c r="P190" s="40"/>
      <c r="Q190" s="41"/>
      <c r="U190" s="27"/>
      <c r="V190" s="27"/>
      <c r="W190" s="27"/>
      <c r="X190" s="24"/>
      <c r="Y190" s="28"/>
      <c r="Z190" s="5"/>
      <c r="AM190" s="18"/>
      <c r="AN190" s="18"/>
      <c r="AO190" s="18"/>
      <c r="AP190" s="18"/>
      <c r="AQ190" s="18"/>
    </row>
    <row r="191" spans="1:43" ht="15" customHeight="1" x14ac:dyDescent="0.3">
      <c r="B191" s="143" t="s">
        <v>406</v>
      </c>
      <c r="C191" s="3"/>
      <c r="D191"/>
      <c r="E191" s="11">
        <v>15000</v>
      </c>
      <c r="F191" s="10" t="s">
        <v>411</v>
      </c>
      <c r="G191" s="34"/>
      <c r="H191" s="80"/>
      <c r="I191" s="36"/>
      <c r="J191" s="19"/>
      <c r="K191" s="38"/>
      <c r="L191" s="7"/>
      <c r="M191" s="5"/>
      <c r="N191" s="8"/>
      <c r="O191" s="42"/>
      <c r="P191" s="40"/>
      <c r="Q191" s="41"/>
      <c r="U191" s="27"/>
      <c r="V191" s="27"/>
      <c r="W191" s="27"/>
      <c r="X191" s="24"/>
      <c r="Y191" s="28"/>
      <c r="Z191" s="5"/>
      <c r="AM191" s="18"/>
      <c r="AN191" s="18"/>
      <c r="AO191" s="18"/>
      <c r="AP191" s="18"/>
      <c r="AQ191" s="18"/>
    </row>
    <row r="192" spans="1:43" ht="15" customHeight="1" x14ac:dyDescent="0.3">
      <c r="B192" s="143" t="s">
        <v>407</v>
      </c>
      <c r="C192"/>
      <c r="D192"/>
      <c r="E192" s="11">
        <v>18000</v>
      </c>
      <c r="F192" s="10"/>
      <c r="G192" s="34"/>
      <c r="H192" s="80"/>
      <c r="I192" s="36"/>
      <c r="J192" s="19"/>
      <c r="K192" s="38"/>
      <c r="L192" s="7"/>
      <c r="M192" s="5"/>
      <c r="N192" s="8"/>
      <c r="O192" s="42"/>
      <c r="P192" s="40"/>
      <c r="Q192" s="41"/>
      <c r="U192" s="27"/>
      <c r="V192" s="27"/>
      <c r="W192" s="27"/>
      <c r="X192" s="24"/>
      <c r="Y192" s="28"/>
      <c r="Z192" s="5"/>
      <c r="AM192" s="18"/>
      <c r="AN192" s="18"/>
      <c r="AO192" s="18"/>
      <c r="AP192" s="18"/>
      <c r="AQ192" s="18"/>
    </row>
    <row r="193" spans="2:43" ht="15" customHeight="1" x14ac:dyDescent="0.3">
      <c r="B193" s="143" t="s">
        <v>408</v>
      </c>
      <c r="C193"/>
      <c r="D193"/>
      <c r="E193" s="11">
        <v>24000</v>
      </c>
      <c r="F193" s="3"/>
      <c r="G193" s="34"/>
      <c r="H193" s="80"/>
      <c r="I193" s="36"/>
      <c r="J193" s="19"/>
      <c r="K193" s="38"/>
      <c r="L193" s="7"/>
      <c r="M193" s="5"/>
      <c r="N193" s="8"/>
      <c r="O193" s="42"/>
      <c r="P193" s="40"/>
      <c r="Q193" s="41"/>
      <c r="U193" s="27"/>
      <c r="V193" s="27"/>
      <c r="W193" s="27"/>
      <c r="X193" s="24"/>
      <c r="Y193" s="28"/>
      <c r="Z193" s="5"/>
      <c r="AM193" s="18"/>
      <c r="AN193" s="18"/>
      <c r="AO193" s="18"/>
      <c r="AP193" s="18"/>
      <c r="AQ193" s="18"/>
    </row>
    <row r="194" spans="2:43" ht="15" customHeight="1" x14ac:dyDescent="0.3">
      <c r="B194" s="143" t="s">
        <v>409</v>
      </c>
      <c r="C194"/>
      <c r="D194"/>
      <c r="E194" s="11">
        <v>30000</v>
      </c>
      <c r="F194"/>
      <c r="G194" s="34"/>
      <c r="H194" s="80"/>
      <c r="I194" s="36"/>
      <c r="J194" s="19"/>
      <c r="K194" s="38"/>
      <c r="L194" s="7"/>
      <c r="M194" s="5"/>
      <c r="N194" s="8"/>
      <c r="O194" s="42"/>
      <c r="P194" s="40"/>
      <c r="Q194" s="41"/>
      <c r="U194" s="27"/>
      <c r="V194" s="27"/>
      <c r="W194" s="27"/>
      <c r="X194" s="24"/>
      <c r="Y194" s="28"/>
      <c r="Z194" s="5"/>
      <c r="AM194" s="18"/>
      <c r="AN194" s="18"/>
      <c r="AO194" s="18"/>
      <c r="AP194" s="18"/>
      <c r="AQ194" s="18"/>
    </row>
    <row r="195" spans="2:43" ht="15" customHeight="1" x14ac:dyDescent="0.3">
      <c r="B195" s="142" t="s">
        <v>410</v>
      </c>
      <c r="C195"/>
      <c r="D195" s="3"/>
      <c r="E195" s="3"/>
      <c r="F195" s="10"/>
      <c r="G195" s="34"/>
      <c r="H195" s="80"/>
      <c r="I195" s="36"/>
      <c r="J195" s="19"/>
      <c r="K195" s="38"/>
      <c r="L195" s="7"/>
      <c r="M195" s="5"/>
      <c r="N195" s="8"/>
      <c r="O195" s="42"/>
      <c r="P195" s="40"/>
      <c r="Q195" s="41"/>
      <c r="U195" s="27"/>
      <c r="V195" s="27"/>
      <c r="W195" s="27"/>
      <c r="X195" s="24"/>
      <c r="Y195" s="28"/>
      <c r="Z195" s="5"/>
      <c r="AM195" s="18"/>
      <c r="AN195" s="18"/>
      <c r="AO195" s="18"/>
      <c r="AP195" s="18"/>
      <c r="AQ195" s="18"/>
    </row>
    <row r="196" spans="2:43" ht="15" customHeight="1" x14ac:dyDescent="0.3">
      <c r="B196" s="143" t="s">
        <v>404</v>
      </c>
      <c r="C196" s="3"/>
      <c r="D196"/>
      <c r="E196" s="11">
        <v>2000</v>
      </c>
      <c r="F196" s="10"/>
      <c r="G196" s="34"/>
      <c r="H196" s="80"/>
      <c r="I196" s="36"/>
      <c r="J196" s="19"/>
      <c r="K196" s="38"/>
      <c r="L196" s="7"/>
      <c r="M196" s="5"/>
      <c r="N196" s="8"/>
      <c r="O196" s="42"/>
      <c r="P196" s="40"/>
      <c r="Q196" s="41"/>
      <c r="U196" s="27"/>
      <c r="V196" s="27"/>
      <c r="W196" s="27"/>
      <c r="X196" s="24"/>
      <c r="Y196" s="28"/>
      <c r="Z196" s="5"/>
      <c r="AM196" s="18"/>
      <c r="AN196" s="18"/>
      <c r="AO196" s="18"/>
      <c r="AP196" s="18"/>
      <c r="AQ196" s="18"/>
    </row>
    <row r="197" spans="2:43" ht="14.25" customHeight="1" x14ac:dyDescent="0.3">
      <c r="B197" s="143" t="s">
        <v>405</v>
      </c>
      <c r="C197" s="3"/>
      <c r="D197"/>
      <c r="E197" s="11">
        <v>3500</v>
      </c>
      <c r="F197"/>
      <c r="J197" s="5"/>
      <c r="K197" s="39"/>
      <c r="L197" s="12"/>
      <c r="M197" s="5"/>
      <c r="N197" s="13"/>
      <c r="P197" s="40"/>
      <c r="U197" s="6"/>
      <c r="V197" s="6"/>
      <c r="Y197" s="14"/>
      <c r="Z197" s="5"/>
    </row>
    <row r="198" spans="2:43" ht="15" customHeight="1" x14ac:dyDescent="0.3">
      <c r="B198" s="143" t="s">
        <v>406</v>
      </c>
      <c r="C198" s="3"/>
      <c r="D198"/>
      <c r="E198" s="11">
        <v>3500</v>
      </c>
      <c r="F198" s="10" t="s">
        <v>412</v>
      </c>
      <c r="G198" s="34"/>
      <c r="H198" s="80"/>
      <c r="I198" s="36"/>
      <c r="J198" s="19"/>
      <c r="K198" s="38"/>
      <c r="L198" s="7"/>
      <c r="M198" s="5"/>
      <c r="N198" s="8"/>
      <c r="O198" s="42"/>
      <c r="P198" s="40"/>
      <c r="Q198" s="41"/>
      <c r="U198" s="27"/>
      <c r="V198" s="27"/>
      <c r="W198" s="27"/>
      <c r="X198" s="24"/>
      <c r="Y198" s="28"/>
      <c r="Z198" s="5"/>
      <c r="AM198" s="18"/>
      <c r="AN198" s="18"/>
      <c r="AO198" s="18"/>
      <c r="AP198" s="18"/>
      <c r="AQ198" s="18"/>
    </row>
    <row r="199" spans="2:43" ht="15" customHeight="1" x14ac:dyDescent="0.3">
      <c r="B199" s="143" t="s">
        <v>407</v>
      </c>
      <c r="C199"/>
      <c r="D199"/>
      <c r="E199" s="11">
        <v>4000</v>
      </c>
      <c r="F199" s="3"/>
      <c r="G199" s="34"/>
      <c r="H199" s="80"/>
      <c r="I199" s="36"/>
      <c r="J199" s="19"/>
      <c r="K199" s="38"/>
      <c r="L199" s="7"/>
      <c r="M199" s="5"/>
      <c r="N199" s="8"/>
      <c r="O199" s="42"/>
      <c r="P199" s="40"/>
      <c r="Q199" s="41"/>
      <c r="U199" s="27"/>
      <c r="V199" s="27"/>
      <c r="W199" s="27"/>
      <c r="X199" s="24"/>
      <c r="Y199" s="28"/>
      <c r="Z199" s="5"/>
      <c r="AM199" s="18"/>
      <c r="AN199" s="18"/>
      <c r="AO199" s="18"/>
      <c r="AP199" s="18"/>
      <c r="AQ199" s="18"/>
    </row>
    <row r="200" spans="2:43" ht="15" customHeight="1" x14ac:dyDescent="0.3">
      <c r="B200" s="143" t="s">
        <v>408</v>
      </c>
      <c r="C200"/>
      <c r="D200"/>
      <c r="E200" s="11">
        <v>5000</v>
      </c>
      <c r="F200" s="3"/>
      <c r="G200" s="34"/>
      <c r="H200" s="80"/>
      <c r="I200" s="36"/>
      <c r="J200" s="19"/>
      <c r="K200" s="38"/>
      <c r="L200" s="7"/>
      <c r="M200" s="5"/>
      <c r="N200" s="8"/>
      <c r="O200" s="42"/>
      <c r="P200" s="40"/>
      <c r="Q200" s="41"/>
      <c r="U200" s="27"/>
      <c r="V200" s="27"/>
      <c r="W200" s="27"/>
      <c r="X200" s="24"/>
      <c r="Y200" s="28"/>
      <c r="Z200" s="5"/>
      <c r="AM200" s="18"/>
      <c r="AN200" s="18"/>
      <c r="AO200" s="18"/>
      <c r="AP200" s="18"/>
      <c r="AQ200" s="18"/>
    </row>
    <row r="201" spans="2:43" ht="15" customHeight="1" x14ac:dyDescent="0.3">
      <c r="B201" s="143" t="s">
        <v>409</v>
      </c>
      <c r="C201"/>
      <c r="D201"/>
      <c r="E201" s="11">
        <v>6000</v>
      </c>
      <c r="F201" s="3"/>
      <c r="G201" s="34"/>
      <c r="H201" s="80"/>
      <c r="I201" s="36"/>
      <c r="J201" s="19"/>
      <c r="K201" s="38"/>
      <c r="L201" s="7"/>
      <c r="M201" s="5"/>
      <c r="N201" s="8"/>
      <c r="O201" s="42"/>
      <c r="P201" s="40"/>
      <c r="Q201" s="41"/>
      <c r="U201" s="27"/>
      <c r="V201" s="27"/>
      <c r="W201" s="27"/>
      <c r="X201" s="24"/>
      <c r="Y201" s="28"/>
      <c r="Z201" s="5"/>
      <c r="AM201" s="18"/>
      <c r="AN201" s="18"/>
      <c r="AO201" s="18"/>
      <c r="AP201" s="18"/>
      <c r="AQ201" s="18"/>
    </row>
    <row r="202" spans="2:43" ht="14.25" customHeight="1" x14ac:dyDescent="0.3">
      <c r="B202" s="143"/>
      <c r="C202" s="3"/>
      <c r="D202" s="11"/>
      <c r="E202" s="10"/>
      <c r="J202" s="5"/>
      <c r="K202" s="39"/>
      <c r="L202" s="12"/>
      <c r="M202" s="5"/>
      <c r="N202" s="13"/>
      <c r="P202" s="40"/>
      <c r="U202" s="6"/>
      <c r="V202" s="6"/>
      <c r="Y202" s="14"/>
      <c r="Z202" s="5"/>
    </row>
    <row r="203" spans="2:43" ht="14.25" customHeight="1" x14ac:dyDescent="0.3">
      <c r="B203" s="142" t="s">
        <v>402</v>
      </c>
      <c r="C203"/>
      <c r="D203"/>
      <c r="E203"/>
      <c r="J203" s="5"/>
      <c r="K203" s="39"/>
      <c r="L203" s="12"/>
      <c r="M203" s="5"/>
      <c r="N203" s="13"/>
      <c r="P203" s="40"/>
      <c r="U203" s="6"/>
      <c r="V203" s="6"/>
      <c r="Y203" s="14"/>
      <c r="Z203" s="5"/>
    </row>
    <row r="204" spans="2:43" ht="14.25" customHeight="1" x14ac:dyDescent="0.3">
      <c r="J204" s="5"/>
      <c r="K204" s="39"/>
      <c r="L204" s="12"/>
      <c r="M204" s="5"/>
      <c r="N204" s="13"/>
      <c r="P204" s="40"/>
      <c r="U204" s="6"/>
      <c r="V204" s="6"/>
      <c r="Y204" s="14"/>
      <c r="Z204" s="5"/>
    </row>
    <row r="205" spans="2:43" ht="14.25" customHeight="1" x14ac:dyDescent="0.3">
      <c r="J205" s="5"/>
      <c r="K205" s="39"/>
      <c r="L205" s="12"/>
      <c r="M205" s="5"/>
      <c r="N205" s="13"/>
      <c r="P205" s="40"/>
      <c r="U205" s="6"/>
      <c r="V205" s="6"/>
      <c r="Y205" s="14"/>
      <c r="Z205" s="5"/>
    </row>
    <row r="206" spans="2:43" ht="14.25" customHeight="1" x14ac:dyDescent="0.3">
      <c r="J206" s="5"/>
      <c r="K206" s="39"/>
      <c r="L206" s="12"/>
      <c r="M206" s="5"/>
      <c r="N206" s="13"/>
      <c r="P206" s="40"/>
      <c r="U206" s="6"/>
      <c r="V206" s="6"/>
      <c r="Y206" s="14"/>
      <c r="Z206" s="5"/>
    </row>
    <row r="207" spans="2:43" ht="14.25" customHeight="1" x14ac:dyDescent="0.3">
      <c r="J207" s="5"/>
      <c r="K207" s="39"/>
      <c r="L207" s="12"/>
      <c r="M207" s="5"/>
      <c r="N207" s="13"/>
      <c r="P207" s="40"/>
      <c r="U207" s="6"/>
      <c r="V207" s="6"/>
      <c r="Y207" s="14"/>
      <c r="Z207" s="5"/>
    </row>
    <row r="208" spans="2:43" ht="14.25" customHeight="1" x14ac:dyDescent="0.3">
      <c r="J208" s="5"/>
      <c r="K208" s="39"/>
      <c r="L208" s="12"/>
      <c r="M208" s="5"/>
      <c r="N208" s="13"/>
      <c r="P208" s="40"/>
      <c r="U208" s="6"/>
      <c r="V208" s="6"/>
      <c r="Y208" s="14"/>
      <c r="Z208" s="5"/>
    </row>
    <row r="209" spans="10:26" ht="14.25" customHeight="1" x14ac:dyDescent="0.3">
      <c r="J209" s="5"/>
      <c r="K209" s="39"/>
      <c r="L209" s="12"/>
      <c r="M209" s="5"/>
      <c r="N209" s="13"/>
      <c r="P209" s="40"/>
      <c r="U209" s="6"/>
      <c r="V209" s="6"/>
      <c r="Y209" s="14"/>
      <c r="Z209" s="5"/>
    </row>
    <row r="210" spans="10:26" ht="14.25" customHeight="1" x14ac:dyDescent="0.3">
      <c r="J210" s="5"/>
      <c r="K210" s="39"/>
      <c r="L210" s="12"/>
      <c r="M210" s="5"/>
      <c r="N210" s="13"/>
      <c r="P210" s="40"/>
      <c r="U210" s="6"/>
      <c r="V210" s="6"/>
      <c r="Y210" s="14"/>
      <c r="Z210" s="5"/>
    </row>
    <row r="211" spans="10:26" ht="14.25" customHeight="1" x14ac:dyDescent="0.3">
      <c r="J211" s="5"/>
      <c r="K211" s="39"/>
      <c r="L211" s="12"/>
      <c r="M211" s="5"/>
      <c r="N211" s="13"/>
      <c r="P211" s="40"/>
      <c r="U211" s="6"/>
      <c r="V211" s="6"/>
      <c r="Y211" s="14"/>
      <c r="Z211" s="5"/>
    </row>
    <row r="212" spans="10:26" ht="14.25" customHeight="1" x14ac:dyDescent="0.3">
      <c r="J212" s="5"/>
      <c r="K212" s="39"/>
      <c r="L212" s="12"/>
      <c r="M212" s="5"/>
      <c r="N212" s="13"/>
      <c r="P212" s="40"/>
      <c r="U212" s="6"/>
      <c r="V212" s="6"/>
      <c r="Y212" s="14"/>
      <c r="Z212" s="5"/>
    </row>
    <row r="213" spans="10:26" ht="14.25" customHeight="1" x14ac:dyDescent="0.3">
      <c r="J213" s="5"/>
      <c r="K213" s="39"/>
      <c r="L213" s="12"/>
      <c r="M213" s="5"/>
      <c r="N213" s="13"/>
      <c r="P213" s="40"/>
      <c r="U213" s="6"/>
      <c r="V213" s="6"/>
      <c r="Y213" s="14"/>
      <c r="Z213" s="5"/>
    </row>
    <row r="214" spans="10:26" ht="14.25" customHeight="1" x14ac:dyDescent="0.3">
      <c r="J214" s="5"/>
      <c r="K214" s="39"/>
      <c r="L214" s="12"/>
      <c r="M214" s="5"/>
      <c r="N214" s="13"/>
      <c r="P214" s="40"/>
      <c r="U214" s="6"/>
      <c r="V214" s="6"/>
      <c r="Y214" s="14"/>
      <c r="Z214" s="5"/>
    </row>
    <row r="215" spans="10:26" ht="14.25" customHeight="1" x14ac:dyDescent="0.3">
      <c r="J215" s="5"/>
      <c r="K215" s="39"/>
      <c r="L215" s="12"/>
      <c r="M215" s="5"/>
      <c r="N215" s="13"/>
      <c r="P215" s="40"/>
      <c r="U215" s="6"/>
      <c r="V215" s="6"/>
      <c r="Y215" s="14"/>
      <c r="Z215" s="5"/>
    </row>
    <row r="216" spans="10:26" ht="14.25" customHeight="1" x14ac:dyDescent="0.3">
      <c r="J216" s="5"/>
      <c r="K216" s="39"/>
      <c r="L216" s="12"/>
      <c r="M216" s="5"/>
      <c r="N216" s="13"/>
      <c r="P216" s="40"/>
      <c r="U216" s="6"/>
      <c r="V216" s="6"/>
      <c r="Y216" s="14"/>
      <c r="Z216" s="5"/>
    </row>
    <row r="217" spans="10:26" ht="14.25" customHeight="1" x14ac:dyDescent="0.3">
      <c r="J217" s="5"/>
      <c r="K217" s="39"/>
      <c r="L217" s="12"/>
      <c r="M217" s="5"/>
      <c r="N217" s="13"/>
      <c r="P217" s="40"/>
      <c r="U217" s="6"/>
      <c r="V217" s="6"/>
      <c r="Y217" s="14"/>
      <c r="Z217" s="5"/>
    </row>
    <row r="218" spans="10:26" ht="14.25" customHeight="1" x14ac:dyDescent="0.3">
      <c r="J218" s="5"/>
      <c r="K218" s="39"/>
      <c r="L218" s="12"/>
      <c r="M218" s="5"/>
      <c r="N218" s="13"/>
      <c r="P218" s="40"/>
      <c r="U218" s="6"/>
      <c r="V218" s="6"/>
      <c r="Y218" s="14"/>
      <c r="Z218" s="5"/>
    </row>
    <row r="219" spans="10:26" ht="14.25" customHeight="1" x14ac:dyDescent="0.3">
      <c r="J219" s="5"/>
      <c r="K219" s="39"/>
      <c r="L219" s="12"/>
      <c r="M219" s="5"/>
      <c r="N219" s="13"/>
      <c r="P219" s="40"/>
      <c r="U219" s="6"/>
      <c r="V219" s="6"/>
      <c r="Y219" s="14"/>
      <c r="Z219" s="5"/>
    </row>
    <row r="220" spans="10:26" ht="14.25" customHeight="1" x14ac:dyDescent="0.3">
      <c r="J220" s="5"/>
      <c r="K220" s="39"/>
      <c r="L220" s="12"/>
      <c r="M220" s="5"/>
      <c r="N220" s="13"/>
      <c r="P220" s="40"/>
      <c r="U220" s="6"/>
      <c r="V220" s="6"/>
      <c r="Y220" s="14"/>
      <c r="Z220" s="5"/>
    </row>
    <row r="221" spans="10:26" ht="14.25" customHeight="1" x14ac:dyDescent="0.3">
      <c r="J221" s="5"/>
      <c r="K221" s="39"/>
      <c r="L221" s="12"/>
      <c r="M221" s="5"/>
      <c r="N221" s="13"/>
      <c r="P221" s="40"/>
      <c r="U221" s="6"/>
      <c r="V221" s="6"/>
      <c r="Y221" s="14"/>
      <c r="Z221" s="5"/>
    </row>
    <row r="222" spans="10:26" ht="14.25" customHeight="1" x14ac:dyDescent="0.3">
      <c r="J222" s="5"/>
      <c r="K222" s="39"/>
      <c r="L222" s="12"/>
      <c r="M222" s="5"/>
      <c r="N222" s="13"/>
      <c r="P222" s="40"/>
      <c r="U222" s="6"/>
      <c r="V222" s="6"/>
      <c r="Y222" s="14"/>
      <c r="Z222" s="5"/>
    </row>
    <row r="223" spans="10:26" ht="14.25" customHeight="1" x14ac:dyDescent="0.3">
      <c r="J223" s="5"/>
      <c r="K223" s="39"/>
      <c r="L223" s="12"/>
      <c r="M223" s="5"/>
      <c r="N223" s="13"/>
      <c r="P223" s="40"/>
      <c r="U223" s="6"/>
      <c r="V223" s="6"/>
      <c r="Y223" s="14"/>
      <c r="Z223" s="5"/>
    </row>
    <row r="224" spans="10:26" ht="14.25" customHeight="1" x14ac:dyDescent="0.3">
      <c r="J224" s="5"/>
      <c r="K224" s="39"/>
      <c r="L224" s="12"/>
      <c r="M224" s="5"/>
      <c r="N224" s="13"/>
      <c r="P224" s="40"/>
      <c r="U224" s="6"/>
      <c r="V224" s="6"/>
      <c r="Y224" s="14"/>
      <c r="Z224" s="5"/>
    </row>
    <row r="225" spans="10:26" ht="14.25" customHeight="1" x14ac:dyDescent="0.3">
      <c r="J225" s="5"/>
      <c r="K225" s="39"/>
      <c r="L225" s="12"/>
      <c r="M225" s="5"/>
      <c r="N225" s="13"/>
      <c r="P225" s="40"/>
      <c r="U225" s="6"/>
      <c r="V225" s="6"/>
      <c r="Y225" s="14"/>
      <c r="Z225" s="5"/>
    </row>
    <row r="226" spans="10:26" ht="14.25" customHeight="1" x14ac:dyDescent="0.3">
      <c r="J226" s="5"/>
      <c r="K226" s="39"/>
      <c r="L226" s="12"/>
      <c r="M226" s="5"/>
      <c r="N226" s="13"/>
      <c r="P226" s="40"/>
      <c r="U226" s="6"/>
      <c r="V226" s="6"/>
      <c r="Y226" s="14"/>
      <c r="Z226" s="5"/>
    </row>
    <row r="227" spans="10:26" ht="14.25" customHeight="1" x14ac:dyDescent="0.3">
      <c r="J227" s="5"/>
      <c r="K227" s="39"/>
      <c r="L227" s="12"/>
      <c r="M227" s="5"/>
      <c r="N227" s="13"/>
      <c r="P227" s="40"/>
      <c r="U227" s="6"/>
      <c r="V227" s="6"/>
      <c r="Y227" s="14"/>
      <c r="Z227" s="5"/>
    </row>
    <row r="228" spans="10:26" ht="14.25" customHeight="1" x14ac:dyDescent="0.3">
      <c r="J228" s="5"/>
      <c r="K228" s="39"/>
      <c r="L228" s="12"/>
      <c r="M228" s="5"/>
      <c r="N228" s="13"/>
      <c r="P228" s="40"/>
      <c r="U228" s="6"/>
      <c r="V228" s="6"/>
      <c r="Y228" s="14"/>
      <c r="Z228" s="5"/>
    </row>
    <row r="229" spans="10:26" ht="14.25" customHeight="1" x14ac:dyDescent="0.3">
      <c r="J229" s="5"/>
      <c r="K229" s="39"/>
      <c r="L229" s="12"/>
      <c r="M229" s="5"/>
      <c r="N229" s="13"/>
      <c r="P229" s="40"/>
      <c r="U229" s="6"/>
      <c r="V229" s="6"/>
      <c r="Y229" s="14"/>
      <c r="Z229" s="5"/>
    </row>
    <row r="230" spans="10:26" ht="14.25" customHeight="1" x14ac:dyDescent="0.3">
      <c r="J230" s="5"/>
      <c r="K230" s="39"/>
      <c r="L230" s="12"/>
      <c r="M230" s="5"/>
      <c r="N230" s="13"/>
      <c r="P230" s="40"/>
      <c r="U230" s="6"/>
      <c r="V230" s="6"/>
      <c r="Y230" s="14"/>
      <c r="Z230" s="5"/>
    </row>
    <row r="231" spans="10:26" ht="14.25" customHeight="1" x14ac:dyDescent="0.3">
      <c r="J231" s="5"/>
      <c r="K231" s="39"/>
      <c r="L231" s="12"/>
      <c r="M231" s="5"/>
      <c r="N231" s="13"/>
      <c r="P231" s="40"/>
      <c r="U231" s="6"/>
      <c r="V231" s="6"/>
      <c r="Y231" s="14"/>
      <c r="Z231" s="5"/>
    </row>
    <row r="232" spans="10:26" ht="14.25" customHeight="1" x14ac:dyDescent="0.3">
      <c r="J232" s="5"/>
      <c r="K232" s="39"/>
      <c r="L232" s="12"/>
      <c r="M232" s="5"/>
      <c r="N232" s="13"/>
      <c r="P232" s="40"/>
      <c r="U232" s="6"/>
      <c r="V232" s="6"/>
      <c r="Y232" s="14"/>
      <c r="Z232" s="5"/>
    </row>
    <row r="233" spans="10:26" ht="14.25" customHeight="1" x14ac:dyDescent="0.3">
      <c r="J233" s="5"/>
      <c r="K233" s="39"/>
      <c r="L233" s="12"/>
      <c r="M233" s="5"/>
      <c r="N233" s="13"/>
      <c r="P233" s="40"/>
      <c r="U233" s="6"/>
      <c r="V233" s="6"/>
      <c r="Y233" s="14"/>
      <c r="Z233" s="5"/>
    </row>
    <row r="234" spans="10:26" ht="14.25" customHeight="1" x14ac:dyDescent="0.3">
      <c r="J234" s="5"/>
      <c r="K234" s="39"/>
      <c r="L234" s="12"/>
      <c r="M234" s="5"/>
      <c r="N234" s="13"/>
      <c r="P234" s="40"/>
      <c r="U234" s="6"/>
      <c r="V234" s="6"/>
      <c r="Y234" s="14"/>
      <c r="Z234" s="5"/>
    </row>
    <row r="235" spans="10:26" ht="14.25" customHeight="1" x14ac:dyDescent="0.3">
      <c r="J235" s="5"/>
      <c r="K235" s="39"/>
      <c r="L235" s="12"/>
      <c r="M235" s="5"/>
      <c r="N235" s="13"/>
      <c r="P235" s="40"/>
      <c r="U235" s="6"/>
      <c r="V235" s="6"/>
      <c r="Y235" s="14"/>
      <c r="Z235" s="5"/>
    </row>
    <row r="236" spans="10:26" ht="14.25" customHeight="1" x14ac:dyDescent="0.3">
      <c r="J236" s="5"/>
      <c r="K236" s="39"/>
      <c r="L236" s="12"/>
      <c r="M236" s="5"/>
      <c r="N236" s="13"/>
      <c r="P236" s="40"/>
      <c r="U236" s="6"/>
      <c r="V236" s="6"/>
      <c r="Y236" s="14"/>
      <c r="Z236" s="5"/>
    </row>
    <row r="237" spans="10:26" ht="14.25" customHeight="1" x14ac:dyDescent="0.3">
      <c r="J237" s="5"/>
      <c r="K237" s="39"/>
      <c r="L237" s="12"/>
      <c r="M237" s="5"/>
      <c r="N237" s="13"/>
      <c r="P237" s="40"/>
      <c r="U237" s="6"/>
      <c r="V237" s="6"/>
      <c r="Y237" s="14"/>
      <c r="Z237" s="5"/>
    </row>
    <row r="238" spans="10:26" ht="14.25" customHeight="1" x14ac:dyDescent="0.3">
      <c r="J238" s="5"/>
      <c r="K238" s="39"/>
      <c r="L238" s="12"/>
      <c r="M238" s="5"/>
      <c r="N238" s="13"/>
      <c r="P238" s="40"/>
      <c r="U238" s="6"/>
      <c r="V238" s="6"/>
      <c r="Y238" s="14"/>
      <c r="Z238" s="5"/>
    </row>
    <row r="239" spans="10:26" ht="14.25" customHeight="1" x14ac:dyDescent="0.3">
      <c r="J239" s="5"/>
      <c r="K239" s="39"/>
      <c r="L239" s="12"/>
      <c r="M239" s="5"/>
      <c r="N239" s="13"/>
      <c r="P239" s="40"/>
      <c r="U239" s="6"/>
      <c r="V239" s="6"/>
      <c r="Y239" s="14"/>
      <c r="Z239" s="5"/>
    </row>
    <row r="240" spans="10:26" ht="14.25" customHeight="1" x14ac:dyDescent="0.3">
      <c r="J240" s="5"/>
      <c r="K240" s="39"/>
      <c r="L240" s="12"/>
      <c r="M240" s="5"/>
      <c r="N240" s="13"/>
      <c r="P240" s="40"/>
      <c r="U240" s="6"/>
      <c r="V240" s="6"/>
      <c r="Y240" s="14"/>
      <c r="Z240" s="5"/>
    </row>
    <row r="241" spans="10:26" ht="14.25" customHeight="1" x14ac:dyDescent="0.3">
      <c r="J241" s="5"/>
      <c r="K241" s="39"/>
      <c r="L241" s="12"/>
      <c r="M241" s="5"/>
      <c r="N241" s="13"/>
      <c r="P241" s="40"/>
      <c r="U241" s="6"/>
      <c r="V241" s="6"/>
      <c r="Y241" s="14"/>
      <c r="Z241" s="5"/>
    </row>
    <row r="242" spans="10:26" ht="14.25" customHeight="1" x14ac:dyDescent="0.3">
      <c r="J242" s="5"/>
      <c r="K242" s="39"/>
      <c r="L242" s="12"/>
      <c r="M242" s="5"/>
      <c r="N242" s="13"/>
      <c r="P242" s="40"/>
      <c r="U242" s="6"/>
      <c r="V242" s="6"/>
      <c r="Y242" s="14"/>
      <c r="Z242" s="5"/>
    </row>
    <row r="243" spans="10:26" ht="14.25" customHeight="1" x14ac:dyDescent="0.3">
      <c r="J243" s="5"/>
      <c r="K243" s="39"/>
      <c r="L243" s="12"/>
      <c r="M243" s="5"/>
      <c r="N243" s="13"/>
      <c r="P243" s="40"/>
      <c r="U243" s="6"/>
      <c r="V243" s="6"/>
      <c r="Y243" s="14"/>
      <c r="Z243" s="5"/>
    </row>
    <row r="244" spans="10:26" ht="14.25" customHeight="1" x14ac:dyDescent="0.3">
      <c r="J244" s="5"/>
      <c r="K244" s="39"/>
      <c r="L244" s="12"/>
      <c r="M244" s="5"/>
      <c r="N244" s="13"/>
      <c r="P244" s="40"/>
      <c r="U244" s="6"/>
      <c r="V244" s="6"/>
      <c r="Y244" s="14"/>
      <c r="Z244" s="5"/>
    </row>
    <row r="245" spans="10:26" ht="14.25" customHeight="1" x14ac:dyDescent="0.3">
      <c r="J245" s="5"/>
      <c r="K245" s="39"/>
      <c r="L245" s="12"/>
      <c r="M245" s="5"/>
      <c r="N245" s="13"/>
      <c r="P245" s="40"/>
      <c r="U245" s="6"/>
      <c r="V245" s="6"/>
      <c r="Y245" s="14"/>
      <c r="Z245" s="5"/>
    </row>
    <row r="246" spans="10:26" ht="14.25" customHeight="1" x14ac:dyDescent="0.3">
      <c r="J246" s="5"/>
      <c r="K246" s="39"/>
      <c r="L246" s="12"/>
      <c r="M246" s="5"/>
      <c r="N246" s="13"/>
      <c r="P246" s="40"/>
      <c r="U246" s="6"/>
      <c r="V246" s="6"/>
      <c r="Y246" s="14"/>
      <c r="Z246" s="5"/>
    </row>
    <row r="247" spans="10:26" ht="14.25" customHeight="1" x14ac:dyDescent="0.3">
      <c r="J247" s="5"/>
      <c r="K247" s="39"/>
      <c r="L247" s="12"/>
      <c r="M247" s="5"/>
      <c r="N247" s="13"/>
      <c r="P247" s="40"/>
      <c r="U247" s="6"/>
      <c r="V247" s="6"/>
      <c r="Y247" s="14"/>
      <c r="Z247" s="5"/>
    </row>
    <row r="248" spans="10:26" ht="14.25" customHeight="1" x14ac:dyDescent="0.3">
      <c r="J248" s="5"/>
      <c r="K248" s="39"/>
      <c r="L248" s="12"/>
      <c r="M248" s="5"/>
      <c r="N248" s="13"/>
      <c r="P248" s="40"/>
      <c r="U248" s="6"/>
      <c r="V248" s="6"/>
      <c r="Y248" s="14"/>
      <c r="Z248" s="5"/>
    </row>
    <row r="249" spans="10:26" ht="14.25" customHeight="1" x14ac:dyDescent="0.3">
      <c r="J249" s="5"/>
      <c r="K249" s="39"/>
      <c r="L249" s="12"/>
      <c r="M249" s="5"/>
      <c r="N249" s="13"/>
      <c r="P249" s="40"/>
      <c r="U249" s="6"/>
      <c r="V249" s="6"/>
      <c r="Y249" s="14"/>
      <c r="Z249" s="5"/>
    </row>
    <row r="250" spans="10:26" ht="14.25" customHeight="1" x14ac:dyDescent="0.3">
      <c r="J250" s="5"/>
      <c r="K250" s="39"/>
      <c r="L250" s="12"/>
      <c r="M250" s="5"/>
      <c r="N250" s="13"/>
      <c r="P250" s="40"/>
      <c r="U250" s="6"/>
      <c r="V250" s="6"/>
      <c r="Y250" s="14"/>
      <c r="Z250" s="5"/>
    </row>
    <row r="251" spans="10:26" ht="14.25" customHeight="1" x14ac:dyDescent="0.3">
      <c r="J251" s="5"/>
      <c r="K251" s="39"/>
      <c r="L251" s="12"/>
      <c r="M251" s="5"/>
      <c r="N251" s="13"/>
      <c r="P251" s="40"/>
      <c r="U251" s="6"/>
      <c r="V251" s="6"/>
      <c r="Y251" s="14"/>
      <c r="Z251" s="5"/>
    </row>
    <row r="252" spans="10:26" ht="14.25" customHeight="1" x14ac:dyDescent="0.3">
      <c r="J252" s="5"/>
      <c r="K252" s="39"/>
      <c r="L252" s="12"/>
      <c r="M252" s="5"/>
      <c r="N252" s="13"/>
      <c r="P252" s="40"/>
      <c r="U252" s="6"/>
      <c r="V252" s="6"/>
      <c r="Y252" s="14"/>
      <c r="Z252" s="5"/>
    </row>
    <row r="253" spans="10:26" ht="14.25" customHeight="1" x14ac:dyDescent="0.3">
      <c r="J253" s="5"/>
      <c r="K253" s="39"/>
      <c r="L253" s="12"/>
      <c r="M253" s="5"/>
      <c r="N253" s="13"/>
      <c r="P253" s="40"/>
      <c r="U253" s="6"/>
      <c r="V253" s="6"/>
      <c r="Y253" s="14"/>
      <c r="Z253" s="5"/>
    </row>
    <row r="254" spans="10:26" ht="14.25" customHeight="1" x14ac:dyDescent="0.3">
      <c r="J254" s="5"/>
      <c r="K254" s="39"/>
      <c r="L254" s="12"/>
      <c r="M254" s="5"/>
      <c r="N254" s="13"/>
      <c r="P254" s="40"/>
      <c r="U254" s="6"/>
      <c r="V254" s="6"/>
      <c r="Y254" s="14"/>
      <c r="Z254" s="5"/>
    </row>
    <row r="255" spans="10:26" ht="14.25" customHeight="1" x14ac:dyDescent="0.3">
      <c r="J255" s="5"/>
      <c r="K255" s="39"/>
      <c r="L255" s="12"/>
      <c r="M255" s="5"/>
      <c r="N255" s="13"/>
      <c r="P255" s="40"/>
      <c r="U255" s="6"/>
      <c r="V255" s="6"/>
      <c r="Y255" s="14"/>
      <c r="Z255" s="5"/>
    </row>
    <row r="256" spans="10:26" ht="14.25" customHeight="1" x14ac:dyDescent="0.3">
      <c r="J256" s="5"/>
      <c r="K256" s="39"/>
      <c r="L256" s="12"/>
      <c r="M256" s="5"/>
      <c r="N256" s="13"/>
      <c r="P256" s="40"/>
      <c r="U256" s="6"/>
      <c r="V256" s="6"/>
      <c r="Y256" s="14"/>
      <c r="Z256" s="5"/>
    </row>
    <row r="257" spans="10:26" ht="14.25" customHeight="1" x14ac:dyDescent="0.3">
      <c r="J257" s="5"/>
      <c r="K257" s="39"/>
      <c r="L257" s="12"/>
      <c r="M257" s="5"/>
      <c r="N257" s="13"/>
      <c r="P257" s="40"/>
      <c r="U257" s="6"/>
      <c r="V257" s="6"/>
      <c r="Y257" s="14"/>
      <c r="Z257" s="5"/>
    </row>
    <row r="258" spans="10:26" ht="14.25" customHeight="1" x14ac:dyDescent="0.3">
      <c r="J258" s="5"/>
      <c r="K258" s="39"/>
      <c r="L258" s="12"/>
      <c r="M258" s="5"/>
      <c r="N258" s="13"/>
      <c r="P258" s="40"/>
      <c r="U258" s="6"/>
      <c r="V258" s="6"/>
      <c r="Y258" s="14"/>
      <c r="Z258" s="5"/>
    </row>
    <row r="259" spans="10:26" ht="14.25" customHeight="1" x14ac:dyDescent="0.3">
      <c r="J259" s="5"/>
      <c r="K259" s="39"/>
      <c r="L259" s="12"/>
      <c r="M259" s="5"/>
      <c r="N259" s="13"/>
      <c r="P259" s="40"/>
      <c r="U259" s="6"/>
      <c r="V259" s="6"/>
      <c r="Y259" s="14"/>
      <c r="Z259" s="5"/>
    </row>
    <row r="260" spans="10:26" ht="14.25" customHeight="1" x14ac:dyDescent="0.3">
      <c r="J260" s="5"/>
      <c r="K260" s="39"/>
      <c r="L260" s="12"/>
      <c r="M260" s="5"/>
      <c r="N260" s="13"/>
      <c r="P260" s="40"/>
      <c r="U260" s="6"/>
      <c r="V260" s="6"/>
      <c r="Y260" s="14"/>
      <c r="Z260" s="5"/>
    </row>
    <row r="261" spans="10:26" ht="14.25" customHeight="1" x14ac:dyDescent="0.3">
      <c r="J261" s="5"/>
      <c r="K261" s="39"/>
      <c r="L261" s="12"/>
      <c r="M261" s="5"/>
      <c r="N261" s="13"/>
      <c r="P261" s="40"/>
      <c r="U261" s="6"/>
      <c r="V261" s="6"/>
      <c r="Y261" s="14"/>
      <c r="Z261" s="5"/>
    </row>
    <row r="262" spans="10:26" ht="14.25" customHeight="1" x14ac:dyDescent="0.3">
      <c r="J262" s="5"/>
      <c r="K262" s="39"/>
      <c r="L262" s="12"/>
      <c r="M262" s="5"/>
      <c r="N262" s="13"/>
      <c r="P262" s="40"/>
      <c r="U262" s="6"/>
      <c r="V262" s="6"/>
      <c r="Y262" s="14"/>
      <c r="Z262" s="5"/>
    </row>
    <row r="263" spans="10:26" ht="14.25" customHeight="1" x14ac:dyDescent="0.3">
      <c r="J263" s="5"/>
      <c r="K263" s="39"/>
      <c r="L263" s="12"/>
      <c r="M263" s="5"/>
      <c r="N263" s="13"/>
      <c r="P263" s="40"/>
      <c r="U263" s="6"/>
      <c r="V263" s="6"/>
      <c r="Y263" s="14"/>
      <c r="Z263" s="5"/>
    </row>
    <row r="264" spans="10:26" ht="14.25" customHeight="1" x14ac:dyDescent="0.3">
      <c r="J264" s="5"/>
      <c r="K264" s="39"/>
      <c r="L264" s="12"/>
      <c r="M264" s="5"/>
      <c r="N264" s="13"/>
      <c r="P264" s="40"/>
      <c r="U264" s="6"/>
      <c r="V264" s="6"/>
      <c r="Y264" s="14"/>
      <c r="Z264" s="5"/>
    </row>
    <row r="265" spans="10:26" ht="14.25" customHeight="1" x14ac:dyDescent="0.3">
      <c r="J265" s="5"/>
      <c r="K265" s="39"/>
      <c r="L265" s="12"/>
      <c r="M265" s="5"/>
      <c r="N265" s="13"/>
      <c r="P265" s="40"/>
      <c r="U265" s="6"/>
      <c r="V265" s="6"/>
      <c r="Y265" s="14"/>
      <c r="Z265" s="5"/>
    </row>
    <row r="266" spans="10:26" ht="14.25" customHeight="1" x14ac:dyDescent="0.3">
      <c r="J266" s="5"/>
      <c r="K266" s="39"/>
      <c r="L266" s="12"/>
      <c r="M266" s="5"/>
      <c r="N266" s="13"/>
      <c r="P266" s="40"/>
      <c r="U266" s="6"/>
      <c r="V266" s="6"/>
      <c r="Y266" s="14"/>
      <c r="Z266" s="5"/>
    </row>
    <row r="267" spans="10:26" ht="14.25" customHeight="1" x14ac:dyDescent="0.3">
      <c r="J267" s="5"/>
      <c r="K267" s="39"/>
      <c r="L267" s="12"/>
      <c r="M267" s="5"/>
      <c r="N267" s="13"/>
      <c r="P267" s="40"/>
      <c r="U267" s="6"/>
      <c r="V267" s="6"/>
      <c r="Y267" s="14"/>
      <c r="Z267" s="5"/>
    </row>
    <row r="268" spans="10:26" ht="14.25" customHeight="1" x14ac:dyDescent="0.3">
      <c r="J268" s="5"/>
      <c r="K268" s="39"/>
      <c r="L268" s="12"/>
      <c r="M268" s="5"/>
      <c r="N268" s="13"/>
      <c r="P268" s="40"/>
      <c r="U268" s="6"/>
      <c r="V268" s="6"/>
      <c r="Y268" s="14"/>
      <c r="Z268" s="5"/>
    </row>
    <row r="269" spans="10:26" ht="14.25" customHeight="1" x14ac:dyDescent="0.3">
      <c r="J269" s="5"/>
      <c r="K269" s="39"/>
      <c r="L269" s="12"/>
      <c r="M269" s="5"/>
      <c r="N269" s="13"/>
      <c r="P269" s="40"/>
      <c r="U269" s="6"/>
      <c r="V269" s="6"/>
      <c r="Y269" s="14"/>
      <c r="Z269" s="5"/>
    </row>
    <row r="270" spans="10:26" ht="14.25" customHeight="1" x14ac:dyDescent="0.3">
      <c r="J270" s="5"/>
      <c r="K270" s="39"/>
      <c r="L270" s="12"/>
      <c r="M270" s="5"/>
      <c r="N270" s="13"/>
      <c r="P270" s="40"/>
      <c r="U270" s="6"/>
      <c r="V270" s="6"/>
      <c r="Y270" s="14"/>
      <c r="Z270" s="5"/>
    </row>
    <row r="271" spans="10:26" ht="14.25" customHeight="1" x14ac:dyDescent="0.3">
      <c r="J271" s="5"/>
      <c r="K271" s="39"/>
      <c r="L271" s="12"/>
      <c r="M271" s="5"/>
      <c r="N271" s="13"/>
      <c r="P271" s="40"/>
      <c r="U271" s="6"/>
      <c r="V271" s="6"/>
      <c r="Y271" s="14"/>
      <c r="Z271" s="5"/>
    </row>
    <row r="272" spans="10:26" ht="14.25" customHeight="1" x14ac:dyDescent="0.3">
      <c r="J272" s="5"/>
      <c r="K272" s="39"/>
      <c r="L272" s="12"/>
      <c r="M272" s="5"/>
      <c r="N272" s="13"/>
      <c r="P272" s="40"/>
      <c r="U272" s="6"/>
      <c r="V272" s="6"/>
      <c r="Y272" s="14"/>
      <c r="Z272" s="5"/>
    </row>
    <row r="273" spans="10:26" ht="14.25" customHeight="1" x14ac:dyDescent="0.3">
      <c r="J273" s="5"/>
      <c r="K273" s="39"/>
      <c r="L273" s="12"/>
      <c r="M273" s="5"/>
      <c r="N273" s="13"/>
      <c r="P273" s="40"/>
      <c r="U273" s="6"/>
      <c r="V273" s="6"/>
      <c r="Y273" s="14"/>
      <c r="Z273" s="5"/>
    </row>
    <row r="274" spans="10:26" ht="14.25" customHeight="1" x14ac:dyDescent="0.3">
      <c r="J274" s="5"/>
      <c r="K274" s="39"/>
      <c r="L274" s="12"/>
      <c r="M274" s="5"/>
      <c r="N274" s="13"/>
      <c r="P274" s="40"/>
      <c r="U274" s="6"/>
      <c r="V274" s="6"/>
      <c r="Y274" s="14"/>
      <c r="Z274" s="5"/>
    </row>
    <row r="275" spans="10:26" ht="14.25" customHeight="1" x14ac:dyDescent="0.3">
      <c r="J275" s="5"/>
      <c r="K275" s="39"/>
      <c r="L275" s="12"/>
      <c r="M275" s="5"/>
      <c r="N275" s="13"/>
      <c r="P275" s="40"/>
      <c r="U275" s="6"/>
      <c r="V275" s="6"/>
      <c r="Y275" s="14"/>
      <c r="Z275" s="5"/>
    </row>
    <row r="276" spans="10:26" ht="14.25" customHeight="1" x14ac:dyDescent="0.3">
      <c r="J276" s="5"/>
      <c r="K276" s="39"/>
      <c r="L276" s="12"/>
      <c r="M276" s="5"/>
      <c r="N276" s="13"/>
      <c r="P276" s="40"/>
      <c r="U276" s="6"/>
      <c r="V276" s="6"/>
      <c r="Y276" s="14"/>
      <c r="Z276" s="5"/>
    </row>
    <row r="277" spans="10:26" ht="14.25" customHeight="1" x14ac:dyDescent="0.3">
      <c r="J277" s="5"/>
      <c r="K277" s="39"/>
      <c r="L277" s="12"/>
      <c r="M277" s="5"/>
      <c r="N277" s="13"/>
      <c r="P277" s="40"/>
      <c r="U277" s="6"/>
      <c r="V277" s="6"/>
      <c r="Y277" s="14"/>
      <c r="Z277" s="5"/>
    </row>
    <row r="278" spans="10:26" ht="14.25" customHeight="1" x14ac:dyDescent="0.3">
      <c r="J278" s="5"/>
      <c r="K278" s="39"/>
      <c r="L278" s="12"/>
      <c r="M278" s="5"/>
      <c r="N278" s="13"/>
      <c r="P278" s="40"/>
      <c r="U278" s="6"/>
      <c r="V278" s="6"/>
      <c r="Y278" s="14"/>
      <c r="Z278" s="5"/>
    </row>
    <row r="279" spans="10:26" ht="14.25" customHeight="1" x14ac:dyDescent="0.3">
      <c r="J279" s="5"/>
      <c r="K279" s="39"/>
      <c r="L279" s="12"/>
      <c r="M279" s="5"/>
      <c r="N279" s="13"/>
      <c r="P279" s="40"/>
      <c r="U279" s="6"/>
      <c r="V279" s="6"/>
      <c r="Y279" s="14"/>
      <c r="Z279" s="5"/>
    </row>
    <row r="280" spans="10:26" ht="14.25" customHeight="1" x14ac:dyDescent="0.3">
      <c r="J280" s="5"/>
      <c r="K280" s="39"/>
      <c r="L280" s="12"/>
      <c r="M280" s="5"/>
      <c r="N280" s="13"/>
      <c r="P280" s="40"/>
      <c r="U280" s="6"/>
      <c r="V280" s="6"/>
      <c r="Y280" s="14"/>
      <c r="Z280" s="5"/>
    </row>
    <row r="281" spans="10:26" ht="14.25" customHeight="1" x14ac:dyDescent="0.3">
      <c r="J281" s="5"/>
      <c r="K281" s="39"/>
      <c r="L281" s="12"/>
      <c r="M281" s="5"/>
      <c r="N281" s="13"/>
      <c r="P281" s="40"/>
      <c r="U281" s="6"/>
      <c r="V281" s="6"/>
      <c r="Y281" s="14"/>
      <c r="Z281" s="5"/>
    </row>
    <row r="282" spans="10:26" ht="14.25" customHeight="1" x14ac:dyDescent="0.3">
      <c r="J282" s="5"/>
      <c r="K282" s="39"/>
      <c r="L282" s="12"/>
      <c r="M282" s="5"/>
      <c r="N282" s="13"/>
      <c r="P282" s="40"/>
      <c r="U282" s="6"/>
      <c r="V282" s="6"/>
      <c r="Y282" s="14"/>
      <c r="Z282" s="5"/>
    </row>
    <row r="283" spans="10:26" ht="14.25" customHeight="1" x14ac:dyDescent="0.3">
      <c r="J283" s="5"/>
      <c r="K283" s="39"/>
      <c r="L283" s="12"/>
      <c r="M283" s="5"/>
      <c r="N283" s="13"/>
      <c r="P283" s="40"/>
      <c r="U283" s="6"/>
      <c r="V283" s="6"/>
      <c r="Y283" s="14"/>
      <c r="Z283" s="5"/>
    </row>
    <row r="284" spans="10:26" ht="14.25" customHeight="1" x14ac:dyDescent="0.3">
      <c r="J284" s="5"/>
      <c r="K284" s="39"/>
      <c r="L284" s="12"/>
      <c r="M284" s="5"/>
      <c r="N284" s="13"/>
      <c r="P284" s="40"/>
      <c r="U284" s="6"/>
      <c r="V284" s="6"/>
      <c r="Y284" s="14"/>
      <c r="Z284" s="5"/>
    </row>
    <row r="285" spans="10:26" ht="14.25" customHeight="1" x14ac:dyDescent="0.3">
      <c r="J285" s="5"/>
      <c r="K285" s="39"/>
      <c r="L285" s="12"/>
      <c r="M285" s="5"/>
      <c r="N285" s="13"/>
      <c r="P285" s="40"/>
      <c r="U285" s="6"/>
      <c r="V285" s="6"/>
      <c r="Y285" s="14"/>
      <c r="Z285" s="5"/>
    </row>
    <row r="286" spans="10:26" ht="14.25" customHeight="1" x14ac:dyDescent="0.3">
      <c r="J286" s="5"/>
      <c r="K286" s="39"/>
      <c r="L286" s="12"/>
      <c r="M286" s="5"/>
      <c r="N286" s="13"/>
      <c r="P286" s="40"/>
      <c r="U286" s="6"/>
      <c r="V286" s="6"/>
      <c r="Y286" s="14"/>
      <c r="Z286" s="5"/>
    </row>
    <row r="287" spans="10:26" ht="14.25" customHeight="1" x14ac:dyDescent="0.3">
      <c r="J287" s="5"/>
      <c r="K287" s="39"/>
      <c r="L287" s="12"/>
      <c r="M287" s="5"/>
      <c r="N287" s="13"/>
      <c r="P287" s="40"/>
      <c r="U287" s="6"/>
      <c r="V287" s="6"/>
      <c r="Y287" s="14"/>
      <c r="Z287" s="5"/>
    </row>
    <row r="288" spans="10:26" ht="14.25" customHeight="1" x14ac:dyDescent="0.3">
      <c r="J288" s="5"/>
      <c r="K288" s="39"/>
      <c r="L288" s="12"/>
      <c r="M288" s="5"/>
      <c r="N288" s="13"/>
      <c r="P288" s="40"/>
      <c r="U288" s="6"/>
      <c r="V288" s="6"/>
      <c r="Y288" s="14"/>
      <c r="Z288" s="5"/>
    </row>
    <row r="289" spans="10:26" ht="14.25" customHeight="1" x14ac:dyDescent="0.3">
      <c r="J289" s="5"/>
      <c r="K289" s="39"/>
      <c r="L289" s="12"/>
      <c r="M289" s="5"/>
      <c r="N289" s="13"/>
      <c r="P289" s="40"/>
      <c r="U289" s="6"/>
      <c r="V289" s="6"/>
      <c r="Y289" s="14"/>
      <c r="Z289" s="5"/>
    </row>
    <row r="290" spans="10:26" ht="14.25" customHeight="1" x14ac:dyDescent="0.3">
      <c r="J290" s="5"/>
      <c r="K290" s="39"/>
      <c r="L290" s="12"/>
      <c r="M290" s="5"/>
      <c r="N290" s="13"/>
      <c r="P290" s="40"/>
      <c r="U290" s="6"/>
      <c r="V290" s="6"/>
      <c r="Y290" s="14"/>
      <c r="Z290" s="5"/>
    </row>
    <row r="291" spans="10:26" ht="14.25" customHeight="1" x14ac:dyDescent="0.3">
      <c r="J291" s="5"/>
      <c r="K291" s="39"/>
      <c r="L291" s="12"/>
      <c r="M291" s="5"/>
      <c r="N291" s="13"/>
      <c r="P291" s="40"/>
      <c r="U291" s="6"/>
      <c r="V291" s="6"/>
      <c r="Y291" s="14"/>
      <c r="Z291" s="5"/>
    </row>
    <row r="292" spans="10:26" ht="14.25" customHeight="1" x14ac:dyDescent="0.3">
      <c r="J292" s="5"/>
      <c r="K292" s="39"/>
      <c r="L292" s="12"/>
      <c r="M292" s="5"/>
      <c r="N292" s="13"/>
      <c r="P292" s="40"/>
      <c r="U292" s="6"/>
      <c r="V292" s="6"/>
      <c r="Y292" s="14"/>
      <c r="Z292" s="5"/>
    </row>
    <row r="293" spans="10:26" ht="14.25" customHeight="1" x14ac:dyDescent="0.3">
      <c r="J293" s="5"/>
      <c r="K293" s="39"/>
      <c r="L293" s="12"/>
      <c r="M293" s="5"/>
      <c r="N293" s="13"/>
      <c r="P293" s="40"/>
      <c r="U293" s="6"/>
      <c r="V293" s="6"/>
      <c r="Y293" s="14"/>
      <c r="Z293" s="5"/>
    </row>
    <row r="294" spans="10:26" ht="14.25" customHeight="1" x14ac:dyDescent="0.3">
      <c r="J294" s="5"/>
      <c r="K294" s="39"/>
      <c r="L294" s="12"/>
      <c r="M294" s="5"/>
      <c r="N294" s="13"/>
      <c r="P294" s="40"/>
      <c r="U294" s="6"/>
      <c r="V294" s="6"/>
      <c r="Y294" s="14"/>
      <c r="Z294" s="5"/>
    </row>
    <row r="295" spans="10:26" ht="14.25" customHeight="1" x14ac:dyDescent="0.3">
      <c r="J295" s="5"/>
      <c r="K295" s="39"/>
      <c r="L295" s="12"/>
      <c r="M295" s="5"/>
      <c r="N295" s="13"/>
      <c r="P295" s="40"/>
      <c r="U295" s="6"/>
      <c r="V295" s="6"/>
      <c r="Y295" s="14"/>
      <c r="Z295" s="5"/>
    </row>
    <row r="296" spans="10:26" ht="14.25" customHeight="1" x14ac:dyDescent="0.3">
      <c r="J296" s="5"/>
      <c r="K296" s="39"/>
      <c r="L296" s="12"/>
      <c r="M296" s="5"/>
      <c r="N296" s="13"/>
      <c r="P296" s="40"/>
      <c r="U296" s="6"/>
      <c r="V296" s="6"/>
      <c r="Y296" s="14"/>
      <c r="Z296" s="5"/>
    </row>
    <row r="297" spans="10:26" ht="14.25" customHeight="1" x14ac:dyDescent="0.3">
      <c r="J297" s="5"/>
      <c r="K297" s="39"/>
      <c r="L297" s="12"/>
      <c r="M297" s="5"/>
      <c r="N297" s="13"/>
      <c r="P297" s="40"/>
      <c r="U297" s="6"/>
      <c r="V297" s="6"/>
      <c r="Y297" s="14"/>
      <c r="Z297" s="5"/>
    </row>
    <row r="298" spans="10:26" ht="14.25" customHeight="1" x14ac:dyDescent="0.3">
      <c r="J298" s="5"/>
      <c r="K298" s="39"/>
      <c r="L298" s="12"/>
      <c r="M298" s="5"/>
      <c r="N298" s="13"/>
      <c r="P298" s="40"/>
      <c r="U298" s="6"/>
      <c r="V298" s="6"/>
      <c r="Y298" s="14"/>
      <c r="Z298" s="5"/>
    </row>
    <row r="299" spans="10:26" ht="14.25" customHeight="1" x14ac:dyDescent="0.3">
      <c r="J299" s="5"/>
      <c r="K299" s="39"/>
      <c r="L299" s="12"/>
      <c r="M299" s="5"/>
      <c r="N299" s="13"/>
      <c r="P299" s="40"/>
      <c r="U299" s="6"/>
      <c r="V299" s="6"/>
      <c r="Y299" s="14"/>
      <c r="Z299" s="5"/>
    </row>
    <row r="300" spans="10:26" ht="14.25" customHeight="1" x14ac:dyDescent="0.3">
      <c r="J300" s="5"/>
      <c r="K300" s="39"/>
      <c r="L300" s="12"/>
      <c r="M300" s="5"/>
      <c r="N300" s="13"/>
      <c r="P300" s="40"/>
      <c r="U300" s="6"/>
      <c r="V300" s="6"/>
      <c r="Y300" s="14"/>
      <c r="Z300" s="5"/>
    </row>
    <row r="301" spans="10:26" ht="14.25" customHeight="1" x14ac:dyDescent="0.3">
      <c r="J301" s="5"/>
      <c r="K301" s="39"/>
      <c r="L301" s="12"/>
      <c r="M301" s="5"/>
      <c r="N301" s="13"/>
      <c r="P301" s="40"/>
      <c r="U301" s="6"/>
      <c r="V301" s="6"/>
      <c r="Y301" s="14"/>
      <c r="Z301" s="5"/>
    </row>
    <row r="302" spans="10:26" ht="14.25" customHeight="1" x14ac:dyDescent="0.3">
      <c r="J302" s="5"/>
      <c r="K302" s="39"/>
      <c r="L302" s="12"/>
      <c r="M302" s="5"/>
      <c r="N302" s="13"/>
      <c r="P302" s="40"/>
      <c r="U302" s="6"/>
      <c r="V302" s="6"/>
      <c r="Y302" s="14"/>
      <c r="Z302" s="5"/>
    </row>
    <row r="303" spans="10:26" ht="14.25" customHeight="1" x14ac:dyDescent="0.3">
      <c r="J303" s="5"/>
      <c r="K303" s="39"/>
      <c r="L303" s="12"/>
      <c r="M303" s="5"/>
      <c r="N303" s="13"/>
      <c r="P303" s="40"/>
      <c r="U303" s="6"/>
      <c r="V303" s="6"/>
      <c r="Y303" s="14"/>
      <c r="Z303" s="5"/>
    </row>
    <row r="304" spans="10:26" ht="14.25" customHeight="1" x14ac:dyDescent="0.3">
      <c r="J304" s="5"/>
      <c r="K304" s="39"/>
      <c r="L304" s="12"/>
      <c r="M304" s="5"/>
      <c r="N304" s="13"/>
      <c r="P304" s="40"/>
      <c r="U304" s="6"/>
      <c r="V304" s="6"/>
      <c r="Y304" s="14"/>
      <c r="Z304" s="5"/>
    </row>
    <row r="305" spans="10:26" ht="14.25" customHeight="1" x14ac:dyDescent="0.3">
      <c r="J305" s="5"/>
      <c r="K305" s="39"/>
      <c r="L305" s="12"/>
      <c r="M305" s="5"/>
      <c r="N305" s="13"/>
      <c r="P305" s="40"/>
      <c r="U305" s="6"/>
      <c r="V305" s="6"/>
      <c r="Y305" s="14"/>
      <c r="Z305" s="5"/>
    </row>
    <row r="306" spans="10:26" ht="14.25" customHeight="1" x14ac:dyDescent="0.3">
      <c r="J306" s="5"/>
      <c r="K306" s="39"/>
      <c r="L306" s="12"/>
      <c r="M306" s="5"/>
      <c r="N306" s="13"/>
      <c r="P306" s="40"/>
      <c r="U306" s="6"/>
      <c r="V306" s="6"/>
      <c r="Y306" s="14"/>
      <c r="Z306" s="5"/>
    </row>
    <row r="307" spans="10:26" ht="14.25" customHeight="1" x14ac:dyDescent="0.3">
      <c r="J307" s="5"/>
      <c r="K307" s="39"/>
      <c r="L307" s="12"/>
      <c r="M307" s="5"/>
      <c r="N307" s="13"/>
      <c r="P307" s="40"/>
      <c r="U307" s="6"/>
      <c r="V307" s="6"/>
      <c r="Y307" s="14"/>
      <c r="Z307" s="5"/>
    </row>
    <row r="308" spans="10:26" ht="14.25" customHeight="1" x14ac:dyDescent="0.3">
      <c r="J308" s="5"/>
      <c r="K308" s="39"/>
      <c r="L308" s="12"/>
      <c r="M308" s="5"/>
      <c r="N308" s="13"/>
      <c r="P308" s="40"/>
      <c r="U308" s="6"/>
      <c r="V308" s="6"/>
      <c r="Y308" s="14"/>
      <c r="Z308" s="5"/>
    </row>
    <row r="309" spans="10:26" ht="14.25" customHeight="1" x14ac:dyDescent="0.3">
      <c r="J309" s="5"/>
      <c r="K309" s="39"/>
      <c r="L309" s="12"/>
      <c r="M309" s="5"/>
      <c r="N309" s="13"/>
      <c r="P309" s="40"/>
      <c r="U309" s="6"/>
      <c r="V309" s="6"/>
      <c r="Y309" s="14"/>
      <c r="Z309" s="5"/>
    </row>
    <row r="310" spans="10:26" ht="14.25" customHeight="1" x14ac:dyDescent="0.3">
      <c r="J310" s="5"/>
      <c r="K310" s="39"/>
      <c r="L310" s="12"/>
      <c r="M310" s="5"/>
      <c r="N310" s="13"/>
      <c r="P310" s="40"/>
      <c r="U310" s="6"/>
      <c r="V310" s="6"/>
      <c r="Y310" s="14"/>
      <c r="Z310" s="5"/>
    </row>
    <row r="311" spans="10:26" ht="14.25" customHeight="1" x14ac:dyDescent="0.3">
      <c r="J311" s="5"/>
      <c r="K311" s="39"/>
      <c r="L311" s="12"/>
      <c r="M311" s="5"/>
      <c r="N311" s="13"/>
      <c r="P311" s="40"/>
      <c r="U311" s="6"/>
      <c r="V311" s="6"/>
      <c r="Y311" s="14"/>
      <c r="Z311" s="5"/>
    </row>
    <row r="312" spans="10:26" ht="14.25" customHeight="1" x14ac:dyDescent="0.3">
      <c r="J312" s="5"/>
      <c r="K312" s="39"/>
      <c r="L312" s="12"/>
      <c r="M312" s="5"/>
      <c r="N312" s="13"/>
      <c r="P312" s="40"/>
      <c r="U312" s="6"/>
      <c r="V312" s="6"/>
      <c r="Y312" s="14"/>
      <c r="Z312" s="5"/>
    </row>
    <row r="313" spans="10:26" ht="14.25" customHeight="1" x14ac:dyDescent="0.3">
      <c r="J313" s="5"/>
      <c r="K313" s="39"/>
      <c r="L313" s="12"/>
      <c r="M313" s="5"/>
      <c r="N313" s="13"/>
      <c r="P313" s="40"/>
      <c r="U313" s="6"/>
      <c r="V313" s="6"/>
      <c r="Y313" s="14"/>
      <c r="Z313" s="5"/>
    </row>
    <row r="314" spans="10:26" ht="14.25" customHeight="1" x14ac:dyDescent="0.3">
      <c r="J314" s="5"/>
      <c r="K314" s="39"/>
      <c r="L314" s="12"/>
      <c r="M314" s="5"/>
      <c r="N314" s="13"/>
      <c r="P314" s="40"/>
      <c r="U314" s="6"/>
      <c r="V314" s="6"/>
      <c r="Y314" s="14"/>
      <c r="Z314" s="5"/>
    </row>
    <row r="315" spans="10:26" ht="14.25" customHeight="1" x14ac:dyDescent="0.3">
      <c r="J315" s="5"/>
      <c r="K315" s="39"/>
      <c r="L315" s="12"/>
      <c r="M315" s="5"/>
      <c r="N315" s="13"/>
      <c r="P315" s="40"/>
      <c r="U315" s="6"/>
      <c r="V315" s="6"/>
      <c r="Y315" s="14"/>
      <c r="Z315" s="5"/>
    </row>
    <row r="316" spans="10:26" ht="14.25" customHeight="1" x14ac:dyDescent="0.3">
      <c r="J316" s="5"/>
      <c r="K316" s="39"/>
      <c r="L316" s="12"/>
      <c r="M316" s="5"/>
      <c r="N316" s="13"/>
      <c r="P316" s="40"/>
      <c r="U316" s="6"/>
      <c r="V316" s="6"/>
      <c r="Y316" s="14"/>
      <c r="Z316" s="5"/>
    </row>
    <row r="317" spans="10:26" ht="14.25" customHeight="1" x14ac:dyDescent="0.3">
      <c r="J317" s="5"/>
      <c r="K317" s="39"/>
      <c r="L317" s="12"/>
      <c r="M317" s="5"/>
      <c r="N317" s="13"/>
      <c r="P317" s="40"/>
      <c r="U317" s="6"/>
      <c r="V317" s="6"/>
      <c r="Y317" s="14"/>
      <c r="Z317" s="5"/>
    </row>
    <row r="318" spans="10:26" ht="14.25" customHeight="1" x14ac:dyDescent="0.3">
      <c r="J318" s="5"/>
      <c r="K318" s="39"/>
      <c r="L318" s="12"/>
      <c r="M318" s="5"/>
      <c r="N318" s="13"/>
      <c r="P318" s="40"/>
      <c r="U318" s="6"/>
      <c r="V318" s="6"/>
      <c r="Y318" s="14"/>
      <c r="Z318" s="5"/>
    </row>
    <row r="319" spans="10:26" ht="14.25" customHeight="1" x14ac:dyDescent="0.3">
      <c r="J319" s="5"/>
      <c r="K319" s="39"/>
      <c r="L319" s="12"/>
      <c r="M319" s="5"/>
      <c r="N319" s="13"/>
      <c r="P319" s="40"/>
      <c r="U319" s="6"/>
      <c r="V319" s="6"/>
      <c r="Y319" s="14"/>
      <c r="Z319" s="5"/>
    </row>
    <row r="320" spans="10:26" ht="14.25" customHeight="1" x14ac:dyDescent="0.3">
      <c r="J320" s="5"/>
      <c r="K320" s="39"/>
      <c r="L320" s="12"/>
      <c r="M320" s="5"/>
      <c r="N320" s="13"/>
      <c r="P320" s="40"/>
      <c r="U320" s="6"/>
      <c r="V320" s="6"/>
      <c r="Y320" s="14"/>
      <c r="Z320" s="5"/>
    </row>
    <row r="321" spans="10:26" ht="14.25" customHeight="1" x14ac:dyDescent="0.3">
      <c r="J321" s="5"/>
      <c r="K321" s="39"/>
      <c r="L321" s="12"/>
      <c r="M321" s="5"/>
      <c r="N321" s="13"/>
      <c r="P321" s="40"/>
      <c r="U321" s="6"/>
      <c r="V321" s="6"/>
      <c r="Y321" s="14"/>
      <c r="Z321" s="5"/>
    </row>
    <row r="322" spans="10:26" ht="14.25" customHeight="1" x14ac:dyDescent="0.3">
      <c r="J322" s="5"/>
      <c r="K322" s="39"/>
      <c r="L322" s="12"/>
      <c r="M322" s="5"/>
      <c r="N322" s="13"/>
      <c r="P322" s="40"/>
      <c r="U322" s="6"/>
      <c r="V322" s="6"/>
      <c r="Y322" s="14"/>
      <c r="Z322" s="5"/>
    </row>
    <row r="323" spans="10:26" ht="14.25" customHeight="1" x14ac:dyDescent="0.3">
      <c r="J323" s="5"/>
      <c r="K323" s="39"/>
      <c r="L323" s="12"/>
      <c r="M323" s="5"/>
      <c r="N323" s="13"/>
      <c r="P323" s="40"/>
      <c r="U323" s="6"/>
      <c r="V323" s="6"/>
      <c r="Y323" s="14"/>
      <c r="Z323" s="5"/>
    </row>
    <row r="324" spans="10:26" ht="14.25" customHeight="1" x14ac:dyDescent="0.3">
      <c r="J324" s="5"/>
      <c r="K324" s="39"/>
      <c r="L324" s="12"/>
      <c r="M324" s="5"/>
      <c r="N324" s="13"/>
      <c r="P324" s="40"/>
      <c r="U324" s="6"/>
      <c r="V324" s="6"/>
      <c r="Y324" s="14"/>
      <c r="Z324" s="5"/>
    </row>
    <row r="325" spans="10:26" ht="14.25" customHeight="1" x14ac:dyDescent="0.3">
      <c r="J325" s="5"/>
      <c r="K325" s="39"/>
      <c r="L325" s="12"/>
      <c r="M325" s="5"/>
      <c r="N325" s="13"/>
      <c r="P325" s="40"/>
      <c r="U325" s="6"/>
      <c r="V325" s="6"/>
      <c r="Y325" s="14"/>
      <c r="Z325" s="5"/>
    </row>
    <row r="326" spans="10:26" ht="14.25" customHeight="1" x14ac:dyDescent="0.3">
      <c r="J326" s="5"/>
      <c r="K326" s="39"/>
      <c r="L326" s="12"/>
      <c r="M326" s="5"/>
      <c r="N326" s="13"/>
      <c r="P326" s="40"/>
      <c r="U326" s="6"/>
      <c r="V326" s="6"/>
      <c r="Y326" s="14"/>
      <c r="Z326" s="5"/>
    </row>
    <row r="327" spans="10:26" ht="14.25" customHeight="1" x14ac:dyDescent="0.3">
      <c r="J327" s="5"/>
      <c r="K327" s="39"/>
      <c r="L327" s="12"/>
      <c r="M327" s="5"/>
      <c r="N327" s="13"/>
      <c r="P327" s="40"/>
      <c r="U327" s="6"/>
      <c r="V327" s="6"/>
      <c r="Y327" s="14"/>
      <c r="Z327" s="5"/>
    </row>
    <row r="328" spans="10:26" ht="14.25" customHeight="1" x14ac:dyDescent="0.3">
      <c r="J328" s="5"/>
      <c r="K328" s="39"/>
      <c r="L328" s="12"/>
      <c r="M328" s="5"/>
      <c r="N328" s="13"/>
      <c r="P328" s="40"/>
      <c r="U328" s="6"/>
      <c r="V328" s="6"/>
      <c r="Y328" s="14"/>
      <c r="Z328" s="5"/>
    </row>
    <row r="329" spans="10:26" ht="14.25" customHeight="1" x14ac:dyDescent="0.3">
      <c r="J329" s="5"/>
      <c r="K329" s="39"/>
      <c r="L329" s="12"/>
      <c r="M329" s="5"/>
      <c r="N329" s="13"/>
      <c r="P329" s="40"/>
      <c r="U329" s="6"/>
      <c r="V329" s="6"/>
      <c r="Y329" s="14"/>
      <c r="Z329" s="5"/>
    </row>
    <row r="330" spans="10:26" ht="14.25" customHeight="1" x14ac:dyDescent="0.3">
      <c r="J330" s="5"/>
      <c r="K330" s="39"/>
      <c r="L330" s="12"/>
      <c r="M330" s="5"/>
      <c r="N330" s="13"/>
      <c r="P330" s="40"/>
      <c r="U330" s="6"/>
      <c r="V330" s="6"/>
      <c r="Y330" s="14"/>
      <c r="Z330" s="5"/>
    </row>
    <row r="331" spans="10:26" ht="14.25" customHeight="1" x14ac:dyDescent="0.3">
      <c r="J331" s="5"/>
      <c r="K331" s="39"/>
      <c r="L331" s="12"/>
      <c r="M331" s="5"/>
      <c r="N331" s="13"/>
      <c r="P331" s="40"/>
      <c r="U331" s="6"/>
      <c r="V331" s="6"/>
      <c r="Y331" s="14"/>
      <c r="Z331" s="5"/>
    </row>
    <row r="332" spans="10:26" ht="14.25" customHeight="1" x14ac:dyDescent="0.3">
      <c r="J332" s="5"/>
      <c r="K332" s="39"/>
      <c r="L332" s="12"/>
      <c r="M332" s="5"/>
      <c r="N332" s="13"/>
      <c r="P332" s="40"/>
      <c r="U332" s="6"/>
      <c r="V332" s="6"/>
      <c r="Y332" s="14"/>
      <c r="Z332" s="5"/>
    </row>
    <row r="333" spans="10:26" ht="14.25" customHeight="1" x14ac:dyDescent="0.3">
      <c r="J333" s="5"/>
      <c r="K333" s="39"/>
      <c r="L333" s="12"/>
      <c r="M333" s="5"/>
      <c r="N333" s="13"/>
      <c r="P333" s="40"/>
      <c r="U333" s="6"/>
      <c r="V333" s="6"/>
      <c r="Y333" s="14"/>
      <c r="Z333" s="5"/>
    </row>
    <row r="334" spans="10:26" ht="14.25" customHeight="1" x14ac:dyDescent="0.3">
      <c r="J334" s="5"/>
      <c r="K334" s="39"/>
      <c r="L334" s="12"/>
      <c r="M334" s="5"/>
      <c r="N334" s="13"/>
      <c r="P334" s="40"/>
      <c r="U334" s="6"/>
      <c r="V334" s="6"/>
      <c r="Y334" s="14"/>
      <c r="Z334" s="5"/>
    </row>
    <row r="335" spans="10:26" ht="14.25" customHeight="1" x14ac:dyDescent="0.3">
      <c r="J335" s="5"/>
      <c r="K335" s="39"/>
      <c r="L335" s="12"/>
      <c r="M335" s="5"/>
      <c r="N335" s="13"/>
      <c r="P335" s="40"/>
      <c r="U335" s="6"/>
      <c r="V335" s="6"/>
      <c r="Y335" s="14"/>
      <c r="Z335" s="5"/>
    </row>
    <row r="336" spans="10:26" ht="14.25" customHeight="1" x14ac:dyDescent="0.3">
      <c r="J336" s="5"/>
      <c r="K336" s="39"/>
      <c r="L336" s="12"/>
      <c r="M336" s="5"/>
      <c r="N336" s="13"/>
      <c r="P336" s="40"/>
      <c r="U336" s="6"/>
      <c r="V336" s="6"/>
      <c r="Y336" s="14"/>
      <c r="Z336" s="5"/>
    </row>
    <row r="337" spans="10:26" ht="14.25" customHeight="1" x14ac:dyDescent="0.3">
      <c r="J337" s="5"/>
      <c r="K337" s="39"/>
      <c r="L337" s="12"/>
      <c r="M337" s="5"/>
      <c r="N337" s="13"/>
      <c r="P337" s="40"/>
      <c r="U337" s="6"/>
      <c r="V337" s="6"/>
      <c r="Y337" s="14"/>
      <c r="Z337" s="5"/>
    </row>
    <row r="338" spans="10:26" ht="14.25" customHeight="1" x14ac:dyDescent="0.3">
      <c r="J338" s="5"/>
      <c r="K338" s="39"/>
      <c r="L338" s="12"/>
      <c r="M338" s="5"/>
      <c r="N338" s="13"/>
      <c r="P338" s="40"/>
      <c r="U338" s="6"/>
      <c r="V338" s="6"/>
      <c r="Y338" s="14"/>
      <c r="Z338" s="5"/>
    </row>
    <row r="339" spans="10:26" ht="14.25" customHeight="1" x14ac:dyDescent="0.3">
      <c r="J339" s="5"/>
      <c r="K339" s="39"/>
      <c r="L339" s="12"/>
      <c r="M339" s="5"/>
      <c r="N339" s="13"/>
      <c r="P339" s="40"/>
      <c r="U339" s="6"/>
      <c r="V339" s="6"/>
      <c r="Y339" s="14"/>
      <c r="Z339" s="5"/>
    </row>
    <row r="340" spans="10:26" ht="14.25" customHeight="1" x14ac:dyDescent="0.3">
      <c r="J340" s="5"/>
      <c r="K340" s="39"/>
      <c r="L340" s="12"/>
      <c r="M340" s="5"/>
      <c r="N340" s="13"/>
      <c r="P340" s="40"/>
      <c r="U340" s="6"/>
      <c r="V340" s="6"/>
      <c r="Y340" s="14"/>
      <c r="Z340" s="5"/>
    </row>
    <row r="341" spans="10:26" ht="14.25" customHeight="1" x14ac:dyDescent="0.3">
      <c r="J341" s="5"/>
      <c r="K341" s="39"/>
      <c r="L341" s="12"/>
      <c r="M341" s="5"/>
      <c r="N341" s="13"/>
      <c r="P341" s="40"/>
      <c r="U341" s="6"/>
      <c r="V341" s="6"/>
      <c r="Y341" s="14"/>
      <c r="Z341" s="5"/>
    </row>
    <row r="342" spans="10:26" ht="14.25" customHeight="1" x14ac:dyDescent="0.3">
      <c r="J342" s="5"/>
      <c r="K342" s="39"/>
      <c r="L342" s="12"/>
      <c r="M342" s="5"/>
      <c r="N342" s="13"/>
      <c r="P342" s="40"/>
      <c r="U342" s="6"/>
      <c r="V342" s="6"/>
      <c r="Y342" s="14"/>
      <c r="Z342" s="5"/>
    </row>
    <row r="343" spans="10:26" ht="14.25" customHeight="1" x14ac:dyDescent="0.3">
      <c r="J343" s="5"/>
      <c r="K343" s="39"/>
      <c r="L343" s="12"/>
      <c r="M343" s="5"/>
      <c r="N343" s="13"/>
      <c r="P343" s="40"/>
      <c r="U343" s="6"/>
      <c r="V343" s="6"/>
      <c r="Y343" s="14"/>
      <c r="Z343" s="5"/>
    </row>
    <row r="344" spans="10:26" ht="14.25" customHeight="1" x14ac:dyDescent="0.3">
      <c r="J344" s="5"/>
      <c r="K344" s="39"/>
      <c r="L344" s="12"/>
      <c r="M344" s="5"/>
      <c r="N344" s="13"/>
      <c r="P344" s="40"/>
      <c r="U344" s="6"/>
      <c r="V344" s="6"/>
      <c r="Y344" s="14"/>
      <c r="Z344" s="5"/>
    </row>
    <row r="345" spans="10:26" ht="14.25" customHeight="1" x14ac:dyDescent="0.3">
      <c r="J345" s="5"/>
      <c r="K345" s="39"/>
      <c r="L345" s="12"/>
      <c r="M345" s="5"/>
      <c r="N345" s="13"/>
      <c r="P345" s="40"/>
      <c r="U345" s="6"/>
      <c r="V345" s="6"/>
      <c r="Y345" s="14"/>
      <c r="Z345" s="5"/>
    </row>
    <row r="346" spans="10:26" ht="14.25" customHeight="1" x14ac:dyDescent="0.3">
      <c r="J346" s="5"/>
      <c r="K346" s="39"/>
      <c r="L346" s="12"/>
      <c r="M346" s="5"/>
      <c r="N346" s="13"/>
      <c r="P346" s="40"/>
      <c r="U346" s="6"/>
      <c r="V346" s="6"/>
      <c r="Y346" s="14"/>
      <c r="Z346" s="5"/>
    </row>
    <row r="347" spans="10:26" ht="14.25" customHeight="1" x14ac:dyDescent="0.3">
      <c r="J347" s="5"/>
      <c r="K347" s="39"/>
      <c r="L347" s="12"/>
      <c r="M347" s="5"/>
      <c r="N347" s="13"/>
      <c r="P347" s="40"/>
      <c r="U347" s="6"/>
      <c r="V347" s="6"/>
      <c r="Y347" s="14"/>
      <c r="Z347" s="5"/>
    </row>
    <row r="348" spans="10:26" ht="14.25" customHeight="1" x14ac:dyDescent="0.3">
      <c r="J348" s="5"/>
      <c r="K348" s="39"/>
      <c r="L348" s="12"/>
      <c r="M348" s="5"/>
      <c r="N348" s="13"/>
      <c r="P348" s="40"/>
      <c r="U348" s="6"/>
      <c r="V348" s="6"/>
      <c r="Y348" s="14"/>
      <c r="Z348" s="5"/>
    </row>
    <row r="349" spans="10:26" ht="14.25" customHeight="1" x14ac:dyDescent="0.3">
      <c r="J349" s="5"/>
      <c r="K349" s="39"/>
      <c r="L349" s="12"/>
      <c r="M349" s="5"/>
      <c r="N349" s="13"/>
      <c r="P349" s="40"/>
      <c r="U349" s="6"/>
      <c r="V349" s="6"/>
      <c r="Y349" s="14"/>
      <c r="Z349" s="5"/>
    </row>
    <row r="350" spans="10:26" ht="14.25" customHeight="1" x14ac:dyDescent="0.3">
      <c r="J350" s="5"/>
      <c r="K350" s="39"/>
      <c r="L350" s="12"/>
      <c r="M350" s="5"/>
      <c r="N350" s="13"/>
      <c r="P350" s="40"/>
      <c r="U350" s="6"/>
      <c r="V350" s="6"/>
      <c r="Y350" s="14"/>
      <c r="Z350" s="5"/>
    </row>
    <row r="351" spans="10:26" ht="14.25" customHeight="1" x14ac:dyDescent="0.3">
      <c r="J351" s="5"/>
      <c r="K351" s="39"/>
      <c r="L351" s="12"/>
      <c r="M351" s="5"/>
      <c r="N351" s="13"/>
      <c r="P351" s="40"/>
      <c r="U351" s="6"/>
      <c r="V351" s="6"/>
      <c r="Y351" s="14"/>
      <c r="Z351" s="5"/>
    </row>
    <row r="352" spans="10:26" ht="14.25" customHeight="1" x14ac:dyDescent="0.3">
      <c r="J352" s="5"/>
      <c r="K352" s="39"/>
      <c r="L352" s="12"/>
      <c r="M352" s="5"/>
      <c r="N352" s="13"/>
      <c r="P352" s="40"/>
      <c r="U352" s="6"/>
      <c r="V352" s="6"/>
      <c r="Y352" s="14"/>
      <c r="Z352" s="5"/>
    </row>
    <row r="353" spans="10:26" ht="14.25" customHeight="1" x14ac:dyDescent="0.3">
      <c r="J353" s="5"/>
      <c r="K353" s="39"/>
      <c r="L353" s="12"/>
      <c r="M353" s="5"/>
      <c r="N353" s="13"/>
      <c r="P353" s="40"/>
      <c r="U353" s="6"/>
      <c r="V353" s="6"/>
      <c r="Y353" s="14"/>
      <c r="Z353" s="5"/>
    </row>
    <row r="354" spans="10:26" ht="14.25" customHeight="1" x14ac:dyDescent="0.3">
      <c r="J354" s="5"/>
      <c r="K354" s="39"/>
      <c r="L354" s="12"/>
      <c r="M354" s="5"/>
      <c r="N354" s="13"/>
      <c r="P354" s="40"/>
      <c r="U354" s="6"/>
      <c r="V354" s="6"/>
      <c r="Y354" s="14"/>
      <c r="Z354" s="5"/>
    </row>
    <row r="355" spans="10:26" ht="14.25" customHeight="1" x14ac:dyDescent="0.3">
      <c r="J355" s="5"/>
      <c r="K355" s="39"/>
      <c r="L355" s="12"/>
      <c r="M355" s="5"/>
      <c r="N355" s="13"/>
      <c r="P355" s="40"/>
      <c r="U355" s="6"/>
      <c r="V355" s="6"/>
      <c r="Y355" s="14"/>
      <c r="Z355" s="5"/>
    </row>
    <row r="356" spans="10:26" ht="14.25" customHeight="1" x14ac:dyDescent="0.3">
      <c r="J356" s="5"/>
      <c r="K356" s="39"/>
      <c r="L356" s="12"/>
      <c r="M356" s="5"/>
      <c r="N356" s="13"/>
      <c r="P356" s="40"/>
      <c r="U356" s="6"/>
      <c r="V356" s="6"/>
      <c r="Y356" s="14"/>
      <c r="Z356" s="5"/>
    </row>
    <row r="357" spans="10:26" ht="14.25" customHeight="1" x14ac:dyDescent="0.3">
      <c r="J357" s="5"/>
      <c r="K357" s="39"/>
      <c r="L357" s="12"/>
      <c r="M357" s="5"/>
      <c r="N357" s="13"/>
      <c r="P357" s="40"/>
      <c r="U357" s="6"/>
      <c r="V357" s="6"/>
      <c r="Y357" s="14"/>
      <c r="Z357" s="5"/>
    </row>
    <row r="358" spans="10:26" ht="14.25" customHeight="1" x14ac:dyDescent="0.3">
      <c r="J358" s="5"/>
      <c r="K358" s="39"/>
      <c r="L358" s="12"/>
      <c r="M358" s="5"/>
      <c r="N358" s="13"/>
      <c r="P358" s="40"/>
      <c r="U358" s="6"/>
      <c r="V358" s="6"/>
      <c r="Y358" s="14"/>
      <c r="Z358" s="5"/>
    </row>
    <row r="359" spans="10:26" ht="14.25" customHeight="1" x14ac:dyDescent="0.3">
      <c r="J359" s="5"/>
      <c r="K359" s="39"/>
      <c r="L359" s="12"/>
      <c r="M359" s="5"/>
      <c r="N359" s="13"/>
      <c r="P359" s="40"/>
      <c r="U359" s="6"/>
      <c r="V359" s="6"/>
      <c r="Y359" s="14"/>
      <c r="Z359" s="5"/>
    </row>
    <row r="360" spans="10:26" ht="14.25" customHeight="1" x14ac:dyDescent="0.3">
      <c r="J360" s="5"/>
      <c r="K360" s="39"/>
      <c r="L360" s="12"/>
      <c r="M360" s="5"/>
      <c r="N360" s="13"/>
      <c r="P360" s="40"/>
      <c r="U360" s="6"/>
      <c r="V360" s="6"/>
      <c r="Y360" s="14"/>
      <c r="Z360" s="5"/>
    </row>
    <row r="361" spans="10:26" ht="14.25" customHeight="1" x14ac:dyDescent="0.3">
      <c r="J361" s="5"/>
      <c r="K361" s="39"/>
      <c r="L361" s="12"/>
      <c r="M361" s="5"/>
      <c r="N361" s="13"/>
      <c r="P361" s="40"/>
      <c r="U361" s="6"/>
      <c r="V361" s="6"/>
      <c r="Y361" s="14"/>
      <c r="Z361" s="5"/>
    </row>
    <row r="362" spans="10:26" ht="14.25" customHeight="1" x14ac:dyDescent="0.3">
      <c r="J362" s="5"/>
      <c r="K362" s="39"/>
      <c r="L362" s="12"/>
      <c r="M362" s="5"/>
      <c r="N362" s="13"/>
      <c r="P362" s="40"/>
      <c r="U362" s="6"/>
      <c r="V362" s="6"/>
      <c r="Y362" s="14"/>
      <c r="Z362" s="5"/>
    </row>
    <row r="363" spans="10:26" ht="14.25" customHeight="1" x14ac:dyDescent="0.3">
      <c r="J363" s="5"/>
      <c r="K363" s="39"/>
      <c r="L363" s="12"/>
      <c r="M363" s="5"/>
      <c r="N363" s="13"/>
      <c r="P363" s="40"/>
      <c r="U363" s="6"/>
      <c r="V363" s="6"/>
      <c r="Y363" s="14"/>
      <c r="Z363" s="5"/>
    </row>
    <row r="364" spans="10:26" ht="14.25" customHeight="1" x14ac:dyDescent="0.3">
      <c r="J364" s="5"/>
      <c r="K364" s="39"/>
      <c r="L364" s="12"/>
      <c r="M364" s="5"/>
      <c r="N364" s="13"/>
      <c r="P364" s="40"/>
      <c r="U364" s="6"/>
      <c r="V364" s="6"/>
      <c r="Y364" s="14"/>
      <c r="Z364" s="5"/>
    </row>
    <row r="365" spans="10:26" ht="14.25" customHeight="1" x14ac:dyDescent="0.3">
      <c r="J365" s="5"/>
      <c r="K365" s="39"/>
      <c r="L365" s="12"/>
      <c r="M365" s="5"/>
      <c r="N365" s="13"/>
      <c r="P365" s="40"/>
      <c r="U365" s="6"/>
      <c r="V365" s="6"/>
      <c r="Y365" s="14"/>
      <c r="Z365" s="5"/>
    </row>
    <row r="366" spans="10:26" ht="14.25" customHeight="1" x14ac:dyDescent="0.3">
      <c r="J366" s="5"/>
      <c r="K366" s="39"/>
      <c r="L366" s="12"/>
      <c r="M366" s="5"/>
      <c r="N366" s="13"/>
      <c r="P366" s="40"/>
      <c r="U366" s="6"/>
      <c r="V366" s="6"/>
      <c r="Y366" s="14"/>
      <c r="Z366" s="5"/>
    </row>
    <row r="367" spans="10:26" ht="14.25" customHeight="1" x14ac:dyDescent="0.3">
      <c r="J367" s="5"/>
      <c r="K367" s="39"/>
      <c r="L367" s="12"/>
      <c r="M367" s="5"/>
      <c r="N367" s="13"/>
      <c r="P367" s="40"/>
      <c r="U367" s="6"/>
      <c r="V367" s="6"/>
      <c r="Y367" s="14"/>
      <c r="Z367" s="5"/>
    </row>
    <row r="368" spans="10:26" ht="14.25" customHeight="1" x14ac:dyDescent="0.3">
      <c r="J368" s="5"/>
      <c r="K368" s="39"/>
      <c r="L368" s="12"/>
      <c r="M368" s="5"/>
      <c r="N368" s="13"/>
      <c r="P368" s="40"/>
      <c r="U368" s="6"/>
      <c r="V368" s="6"/>
      <c r="Y368" s="14"/>
      <c r="Z368" s="5"/>
    </row>
    <row r="369" spans="10:26" ht="14.25" customHeight="1" x14ac:dyDescent="0.3">
      <c r="J369" s="5"/>
      <c r="K369" s="39"/>
      <c r="L369" s="12"/>
      <c r="M369" s="5"/>
      <c r="N369" s="13"/>
      <c r="P369" s="40"/>
      <c r="U369" s="6"/>
      <c r="V369" s="6"/>
      <c r="Y369" s="14"/>
      <c r="Z369" s="5"/>
    </row>
    <row r="370" spans="10:26" ht="14.25" customHeight="1" x14ac:dyDescent="0.3">
      <c r="J370" s="5"/>
      <c r="K370" s="39"/>
      <c r="L370" s="12"/>
      <c r="M370" s="5"/>
      <c r="N370" s="13"/>
      <c r="P370" s="40"/>
      <c r="U370" s="6"/>
      <c r="V370" s="6"/>
      <c r="Y370" s="14"/>
      <c r="Z370" s="5"/>
    </row>
    <row r="371" spans="10:26" ht="14.25" customHeight="1" x14ac:dyDescent="0.3">
      <c r="J371" s="5"/>
      <c r="K371" s="39"/>
      <c r="L371" s="12"/>
      <c r="M371" s="5"/>
      <c r="N371" s="13"/>
      <c r="P371" s="40"/>
      <c r="U371" s="6"/>
      <c r="V371" s="6"/>
      <c r="Y371" s="14"/>
      <c r="Z371" s="5"/>
    </row>
    <row r="372" spans="10:26" ht="14.25" customHeight="1" x14ac:dyDescent="0.3">
      <c r="J372" s="5"/>
      <c r="K372" s="39"/>
      <c r="L372" s="12"/>
      <c r="M372" s="5"/>
      <c r="N372" s="13"/>
      <c r="P372" s="40"/>
      <c r="U372" s="6"/>
      <c r="V372" s="6"/>
      <c r="Y372" s="14"/>
      <c r="Z372" s="5"/>
    </row>
    <row r="373" spans="10:26" ht="14.25" customHeight="1" x14ac:dyDescent="0.3">
      <c r="J373" s="5"/>
      <c r="K373" s="39"/>
      <c r="L373" s="12"/>
      <c r="M373" s="5"/>
      <c r="N373" s="13"/>
      <c r="P373" s="40"/>
      <c r="U373" s="6"/>
      <c r="V373" s="6"/>
      <c r="Y373" s="14"/>
      <c r="Z373" s="5"/>
    </row>
    <row r="374" spans="10:26" ht="14.25" customHeight="1" x14ac:dyDescent="0.3">
      <c r="J374" s="5"/>
      <c r="K374" s="39"/>
      <c r="L374" s="12"/>
      <c r="M374" s="5"/>
      <c r="N374" s="13"/>
      <c r="P374" s="40"/>
      <c r="U374" s="6"/>
      <c r="V374" s="6"/>
      <c r="Y374" s="14"/>
      <c r="Z374" s="5"/>
    </row>
    <row r="375" spans="10:26" ht="14.25" customHeight="1" x14ac:dyDescent="0.3">
      <c r="J375" s="5"/>
      <c r="K375" s="39"/>
      <c r="L375" s="12"/>
      <c r="M375" s="5"/>
      <c r="N375" s="13"/>
      <c r="P375" s="40"/>
      <c r="U375" s="6"/>
      <c r="V375" s="6"/>
      <c r="Y375" s="14"/>
      <c r="Z375" s="5"/>
    </row>
    <row r="376" spans="10:26" ht="14.25" customHeight="1" x14ac:dyDescent="0.3">
      <c r="J376" s="5"/>
      <c r="K376" s="39"/>
      <c r="L376" s="12"/>
      <c r="M376" s="5"/>
      <c r="N376" s="13"/>
      <c r="P376" s="40"/>
      <c r="U376" s="6"/>
      <c r="V376" s="6"/>
      <c r="Y376" s="14"/>
      <c r="Z376" s="5"/>
    </row>
    <row r="377" spans="10:26" ht="14.25" customHeight="1" x14ac:dyDescent="0.3">
      <c r="J377" s="5"/>
      <c r="K377" s="39"/>
      <c r="L377" s="12"/>
      <c r="M377" s="5"/>
      <c r="N377" s="13"/>
      <c r="P377" s="40"/>
      <c r="U377" s="6"/>
      <c r="V377" s="6"/>
      <c r="Y377" s="14"/>
      <c r="Z377" s="5"/>
    </row>
    <row r="378" spans="10:26" ht="14.25" customHeight="1" x14ac:dyDescent="0.3">
      <c r="J378" s="5"/>
      <c r="K378" s="39"/>
      <c r="L378" s="12"/>
      <c r="M378" s="5"/>
      <c r="N378" s="13"/>
      <c r="P378" s="40"/>
      <c r="U378" s="6"/>
      <c r="V378" s="6"/>
      <c r="Y378" s="14"/>
      <c r="Z378" s="5"/>
    </row>
    <row r="379" spans="10:26" ht="14.25" customHeight="1" x14ac:dyDescent="0.3">
      <c r="J379" s="5"/>
      <c r="K379" s="39"/>
      <c r="L379" s="12"/>
      <c r="M379" s="5"/>
      <c r="N379" s="13"/>
      <c r="P379" s="40"/>
      <c r="U379" s="6"/>
      <c r="V379" s="6"/>
      <c r="Y379" s="14"/>
      <c r="Z379" s="5"/>
    </row>
    <row r="380" spans="10:26" ht="14.25" customHeight="1" x14ac:dyDescent="0.3">
      <c r="J380" s="5"/>
      <c r="K380" s="39"/>
      <c r="L380" s="12"/>
      <c r="M380" s="5"/>
      <c r="N380" s="13"/>
      <c r="P380" s="40"/>
      <c r="U380" s="6"/>
      <c r="V380" s="6"/>
      <c r="Y380" s="14"/>
      <c r="Z380" s="5"/>
    </row>
    <row r="381" spans="10:26" ht="14.25" customHeight="1" x14ac:dyDescent="0.3">
      <c r="J381" s="5"/>
      <c r="K381" s="39"/>
      <c r="L381" s="12"/>
      <c r="M381" s="5"/>
      <c r="N381" s="13"/>
      <c r="P381" s="40"/>
      <c r="U381" s="6"/>
      <c r="V381" s="6"/>
      <c r="Y381" s="14"/>
      <c r="Z381" s="5"/>
    </row>
    <row r="382" spans="10:26" ht="14.25" customHeight="1" x14ac:dyDescent="0.3">
      <c r="J382" s="5"/>
      <c r="K382" s="39"/>
      <c r="L382" s="12"/>
      <c r="M382" s="5"/>
      <c r="N382" s="13"/>
      <c r="P382" s="40"/>
      <c r="U382" s="6"/>
      <c r="V382" s="6"/>
      <c r="Y382" s="14"/>
      <c r="Z382" s="5"/>
    </row>
    <row r="383" spans="10:26" ht="14.25" customHeight="1" x14ac:dyDescent="0.3">
      <c r="J383" s="5"/>
      <c r="K383" s="39"/>
      <c r="L383" s="12"/>
      <c r="M383" s="5"/>
      <c r="N383" s="13"/>
      <c r="P383" s="40"/>
      <c r="U383" s="6"/>
      <c r="V383" s="6"/>
      <c r="Y383" s="14"/>
      <c r="Z383" s="5"/>
    </row>
    <row r="384" spans="10:26" ht="14.25" customHeight="1" x14ac:dyDescent="0.3">
      <c r="J384" s="5"/>
      <c r="K384" s="39"/>
      <c r="L384" s="12"/>
      <c r="M384" s="5"/>
      <c r="N384" s="13"/>
      <c r="P384" s="40"/>
      <c r="U384" s="6"/>
      <c r="V384" s="6"/>
      <c r="Y384" s="14"/>
      <c r="Z384" s="5"/>
    </row>
    <row r="385" spans="10:26" ht="14.25" customHeight="1" x14ac:dyDescent="0.3">
      <c r="J385" s="5"/>
      <c r="K385" s="39"/>
      <c r="L385" s="12"/>
      <c r="M385" s="5"/>
      <c r="N385" s="13"/>
      <c r="P385" s="40"/>
      <c r="U385" s="6"/>
      <c r="V385" s="6"/>
      <c r="Y385" s="14"/>
      <c r="Z385" s="5"/>
    </row>
    <row r="386" spans="10:26" ht="14.25" customHeight="1" x14ac:dyDescent="0.3">
      <c r="J386" s="5"/>
      <c r="K386" s="39"/>
      <c r="L386" s="12"/>
      <c r="M386" s="5"/>
      <c r="N386" s="13"/>
      <c r="P386" s="40"/>
      <c r="U386" s="6"/>
      <c r="V386" s="6"/>
      <c r="Y386" s="14"/>
      <c r="Z386" s="5"/>
    </row>
    <row r="387" spans="10:26" ht="14.25" customHeight="1" x14ac:dyDescent="0.3">
      <c r="J387" s="5"/>
      <c r="K387" s="39"/>
      <c r="L387" s="12"/>
      <c r="M387" s="5"/>
      <c r="N387" s="13"/>
      <c r="P387" s="40"/>
      <c r="U387" s="6"/>
      <c r="V387" s="6"/>
      <c r="Y387" s="14"/>
      <c r="Z387" s="5"/>
    </row>
    <row r="388" spans="10:26" ht="14.25" customHeight="1" x14ac:dyDescent="0.3">
      <c r="J388" s="5"/>
      <c r="K388" s="39"/>
      <c r="L388" s="12"/>
      <c r="M388" s="5"/>
      <c r="N388" s="13"/>
      <c r="P388" s="40"/>
      <c r="U388" s="6"/>
      <c r="V388" s="6"/>
      <c r="Y388" s="14"/>
      <c r="Z388" s="5"/>
    </row>
    <row r="389" spans="10:26" ht="14.25" customHeight="1" x14ac:dyDescent="0.3">
      <c r="J389" s="5"/>
      <c r="K389" s="39"/>
      <c r="L389" s="12"/>
      <c r="M389" s="5"/>
      <c r="N389" s="13"/>
      <c r="P389" s="40"/>
      <c r="U389" s="6"/>
      <c r="V389" s="6"/>
      <c r="Y389" s="14"/>
      <c r="Z389" s="5"/>
    </row>
    <row r="390" spans="10:26" ht="14.25" customHeight="1" x14ac:dyDescent="0.3">
      <c r="J390" s="5"/>
      <c r="K390" s="39"/>
      <c r="L390" s="12"/>
      <c r="M390" s="5"/>
      <c r="N390" s="13"/>
      <c r="P390" s="40"/>
      <c r="U390" s="6"/>
      <c r="V390" s="6"/>
      <c r="Y390" s="14"/>
      <c r="Z390" s="5"/>
    </row>
    <row r="391" spans="10:26" ht="14.25" customHeight="1" x14ac:dyDescent="0.3">
      <c r="J391" s="5"/>
      <c r="K391" s="39"/>
      <c r="L391" s="12"/>
      <c r="M391" s="5"/>
      <c r="N391" s="13"/>
      <c r="P391" s="40"/>
      <c r="U391" s="6"/>
      <c r="V391" s="6"/>
      <c r="Y391" s="14"/>
      <c r="Z391" s="5"/>
    </row>
    <row r="392" spans="10:26" ht="14.25" customHeight="1" x14ac:dyDescent="0.3">
      <c r="J392" s="5"/>
      <c r="K392" s="39"/>
      <c r="L392" s="12"/>
      <c r="M392" s="5"/>
      <c r="N392" s="13"/>
      <c r="P392" s="40"/>
      <c r="U392" s="6"/>
      <c r="V392" s="6"/>
      <c r="Y392" s="14"/>
      <c r="Z392" s="5"/>
    </row>
    <row r="393" spans="10:26" ht="14.25" customHeight="1" x14ac:dyDescent="0.3">
      <c r="J393" s="5"/>
      <c r="K393" s="39"/>
      <c r="L393" s="12"/>
      <c r="M393" s="5"/>
      <c r="N393" s="13"/>
      <c r="P393" s="40"/>
      <c r="U393" s="6"/>
      <c r="V393" s="6"/>
      <c r="Y393" s="14"/>
      <c r="Z393" s="5"/>
    </row>
    <row r="394" spans="10:26" ht="14.25" customHeight="1" x14ac:dyDescent="0.3">
      <c r="J394" s="5"/>
      <c r="K394" s="39"/>
      <c r="L394" s="12"/>
      <c r="M394" s="5"/>
      <c r="N394" s="13"/>
      <c r="P394" s="40"/>
      <c r="U394" s="6"/>
      <c r="V394" s="6"/>
      <c r="Y394" s="14"/>
      <c r="Z394" s="5"/>
    </row>
    <row r="395" spans="10:26" ht="14.25" customHeight="1" x14ac:dyDescent="0.3">
      <c r="J395" s="5"/>
      <c r="K395" s="39"/>
      <c r="L395" s="12"/>
      <c r="M395" s="5"/>
      <c r="N395" s="13"/>
      <c r="P395" s="40"/>
      <c r="U395" s="6"/>
      <c r="V395" s="6"/>
      <c r="Y395" s="14"/>
      <c r="Z395" s="5"/>
    </row>
    <row r="396" spans="10:26" ht="14.25" customHeight="1" x14ac:dyDescent="0.3">
      <c r="J396" s="5"/>
      <c r="K396" s="39"/>
      <c r="L396" s="12"/>
      <c r="M396" s="5"/>
      <c r="N396" s="13"/>
      <c r="P396" s="40"/>
      <c r="U396" s="6"/>
      <c r="V396" s="6"/>
      <c r="Y396" s="14"/>
      <c r="Z396" s="5"/>
    </row>
    <row r="397" spans="10:26" ht="14.25" customHeight="1" x14ac:dyDescent="0.3">
      <c r="J397" s="5"/>
      <c r="K397" s="39"/>
      <c r="L397" s="12"/>
      <c r="M397" s="5"/>
      <c r="N397" s="13"/>
      <c r="P397" s="40"/>
      <c r="U397" s="6"/>
      <c r="V397" s="6"/>
      <c r="Y397" s="14"/>
      <c r="Z397" s="5"/>
    </row>
    <row r="398" spans="10:26" ht="14.25" customHeight="1" x14ac:dyDescent="0.3">
      <c r="J398" s="5"/>
      <c r="K398" s="39"/>
      <c r="L398" s="12"/>
      <c r="M398" s="5"/>
      <c r="N398" s="13"/>
      <c r="P398" s="40"/>
      <c r="U398" s="6"/>
      <c r="V398" s="6"/>
      <c r="Y398" s="14"/>
      <c r="Z398" s="5"/>
    </row>
    <row r="399" spans="10:26" ht="14.25" customHeight="1" x14ac:dyDescent="0.3">
      <c r="J399" s="5"/>
      <c r="K399" s="39"/>
      <c r="L399" s="12"/>
      <c r="M399" s="5"/>
      <c r="N399" s="13"/>
      <c r="P399" s="40"/>
      <c r="U399" s="6"/>
      <c r="V399" s="6"/>
      <c r="Y399" s="14"/>
      <c r="Z399" s="5"/>
    </row>
    <row r="400" spans="10:26" ht="14.25" customHeight="1" x14ac:dyDescent="0.3">
      <c r="J400" s="5"/>
      <c r="K400" s="39"/>
      <c r="L400" s="12"/>
      <c r="M400" s="5"/>
      <c r="N400" s="13"/>
      <c r="P400" s="40"/>
      <c r="U400" s="6"/>
      <c r="V400" s="6"/>
      <c r="Y400" s="14"/>
      <c r="Z400" s="5"/>
    </row>
    <row r="401" spans="10:26" ht="14.25" customHeight="1" x14ac:dyDescent="0.3">
      <c r="J401" s="5"/>
      <c r="K401" s="39"/>
      <c r="L401" s="12"/>
      <c r="M401" s="5"/>
      <c r="N401" s="13"/>
      <c r="P401" s="40"/>
      <c r="U401" s="6"/>
      <c r="V401" s="6"/>
      <c r="Y401" s="14"/>
      <c r="Z401" s="5"/>
    </row>
    <row r="402" spans="10:26" ht="14.25" customHeight="1" x14ac:dyDescent="0.3">
      <c r="J402" s="5"/>
      <c r="K402" s="39"/>
      <c r="L402" s="12"/>
      <c r="M402" s="5"/>
      <c r="N402" s="13"/>
      <c r="P402" s="40"/>
      <c r="U402" s="6"/>
      <c r="V402" s="6"/>
      <c r="Y402" s="14"/>
      <c r="Z402" s="5"/>
    </row>
    <row r="403" spans="10:26" ht="14.25" customHeight="1" x14ac:dyDescent="0.3">
      <c r="J403" s="5"/>
      <c r="K403" s="39"/>
      <c r="L403" s="12"/>
      <c r="M403" s="5"/>
      <c r="N403" s="13"/>
      <c r="P403" s="40"/>
      <c r="U403" s="6"/>
      <c r="V403" s="6"/>
      <c r="Y403" s="14"/>
      <c r="Z403" s="5"/>
    </row>
    <row r="404" spans="10:26" ht="14.25" customHeight="1" x14ac:dyDescent="0.3">
      <c r="J404" s="5"/>
      <c r="K404" s="39"/>
      <c r="L404" s="12"/>
      <c r="M404" s="5"/>
      <c r="N404" s="13"/>
      <c r="P404" s="40"/>
      <c r="U404" s="6"/>
      <c r="V404" s="6"/>
      <c r="Y404" s="14"/>
      <c r="Z404" s="5"/>
    </row>
    <row r="405" spans="10:26" ht="14.25" customHeight="1" x14ac:dyDescent="0.3">
      <c r="J405" s="5"/>
      <c r="K405" s="39"/>
      <c r="L405" s="12"/>
      <c r="M405" s="5"/>
      <c r="N405" s="13"/>
      <c r="P405" s="40"/>
      <c r="U405" s="6"/>
      <c r="V405" s="6"/>
      <c r="Y405" s="14"/>
      <c r="Z405" s="5"/>
    </row>
    <row r="406" spans="10:26" ht="14.25" customHeight="1" x14ac:dyDescent="0.3">
      <c r="J406" s="5"/>
      <c r="K406" s="39"/>
      <c r="L406" s="12"/>
      <c r="M406" s="5"/>
      <c r="N406" s="13"/>
      <c r="P406" s="40"/>
      <c r="U406" s="6"/>
      <c r="V406" s="6"/>
      <c r="Y406" s="14"/>
      <c r="Z406" s="5"/>
    </row>
    <row r="407" spans="10:26" ht="14.25" customHeight="1" x14ac:dyDescent="0.3">
      <c r="J407" s="5"/>
      <c r="K407" s="39"/>
      <c r="L407" s="12"/>
      <c r="M407" s="5"/>
      <c r="N407" s="13"/>
      <c r="P407" s="40"/>
      <c r="U407" s="6"/>
      <c r="V407" s="6"/>
      <c r="Y407" s="14"/>
      <c r="Z407" s="5"/>
    </row>
    <row r="408" spans="10:26" ht="14.25" customHeight="1" x14ac:dyDescent="0.3">
      <c r="J408" s="5"/>
      <c r="K408" s="39"/>
      <c r="L408" s="12"/>
      <c r="M408" s="5"/>
      <c r="N408" s="13"/>
      <c r="P408" s="40"/>
      <c r="U408" s="6"/>
      <c r="V408" s="6"/>
      <c r="Y408" s="14"/>
      <c r="Z408" s="5"/>
    </row>
    <row r="409" spans="10:26" ht="14.25" customHeight="1" x14ac:dyDescent="0.3">
      <c r="J409" s="5"/>
      <c r="K409" s="39"/>
      <c r="L409" s="12"/>
      <c r="M409" s="5"/>
      <c r="N409" s="13"/>
      <c r="P409" s="40"/>
      <c r="U409" s="6"/>
      <c r="V409" s="6"/>
      <c r="Y409" s="14"/>
      <c r="Z409" s="5"/>
    </row>
    <row r="410" spans="10:26" ht="14.25" customHeight="1" x14ac:dyDescent="0.3">
      <c r="J410" s="5"/>
      <c r="K410" s="39"/>
      <c r="L410" s="12"/>
      <c r="M410" s="5"/>
      <c r="N410" s="13"/>
      <c r="P410" s="40"/>
      <c r="U410" s="6"/>
      <c r="V410" s="6"/>
      <c r="Y410" s="14"/>
      <c r="Z410" s="5"/>
    </row>
    <row r="411" spans="10:26" ht="14.25" customHeight="1" x14ac:dyDescent="0.3">
      <c r="J411" s="5"/>
      <c r="K411" s="39"/>
      <c r="L411" s="12"/>
      <c r="M411" s="5"/>
      <c r="N411" s="13"/>
      <c r="P411" s="40"/>
      <c r="U411" s="6"/>
      <c r="V411" s="6"/>
      <c r="Y411" s="14"/>
      <c r="Z411" s="5"/>
    </row>
    <row r="412" spans="10:26" ht="14.25" customHeight="1" x14ac:dyDescent="0.3">
      <c r="J412" s="5"/>
      <c r="K412" s="39"/>
      <c r="L412" s="12"/>
      <c r="M412" s="5"/>
      <c r="N412" s="13"/>
      <c r="P412" s="40"/>
      <c r="U412" s="6"/>
      <c r="V412" s="6"/>
      <c r="Y412" s="14"/>
      <c r="Z412" s="5"/>
    </row>
    <row r="413" spans="10:26" ht="14.25" customHeight="1" x14ac:dyDescent="0.3">
      <c r="J413" s="5"/>
      <c r="K413" s="39"/>
      <c r="L413" s="12"/>
      <c r="M413" s="5"/>
      <c r="N413" s="13"/>
      <c r="P413" s="40"/>
      <c r="U413" s="6"/>
      <c r="V413" s="6"/>
      <c r="Y413" s="14"/>
      <c r="Z413" s="5"/>
    </row>
    <row r="414" spans="10:26" ht="14.25" customHeight="1" x14ac:dyDescent="0.3">
      <c r="J414" s="5"/>
      <c r="K414" s="39"/>
      <c r="L414" s="12"/>
      <c r="M414" s="5"/>
      <c r="N414" s="13"/>
      <c r="P414" s="40"/>
      <c r="U414" s="6"/>
      <c r="V414" s="6"/>
      <c r="Y414" s="14"/>
      <c r="Z414" s="5"/>
    </row>
    <row r="415" spans="10:26" ht="14.25" customHeight="1" x14ac:dyDescent="0.3">
      <c r="J415" s="5"/>
      <c r="K415" s="39"/>
      <c r="L415" s="12"/>
      <c r="M415" s="5"/>
      <c r="N415" s="13"/>
      <c r="P415" s="40"/>
      <c r="U415" s="6"/>
      <c r="V415" s="6"/>
      <c r="Y415" s="14"/>
      <c r="Z415" s="5"/>
    </row>
    <row r="416" spans="10:26" ht="14.25" customHeight="1" x14ac:dyDescent="0.3">
      <c r="J416" s="5"/>
      <c r="K416" s="39"/>
      <c r="L416" s="12"/>
      <c r="M416" s="5"/>
      <c r="N416" s="13"/>
      <c r="P416" s="40"/>
      <c r="U416" s="6"/>
      <c r="V416" s="6"/>
      <c r="Y416" s="14"/>
      <c r="Z416" s="5"/>
    </row>
    <row r="417" spans="10:26" ht="14.25" customHeight="1" x14ac:dyDescent="0.3">
      <c r="J417" s="5"/>
      <c r="K417" s="39"/>
      <c r="L417" s="12"/>
      <c r="M417" s="5"/>
      <c r="N417" s="13"/>
      <c r="P417" s="40"/>
      <c r="U417" s="6"/>
      <c r="V417" s="6"/>
      <c r="Y417" s="14"/>
      <c r="Z417" s="5"/>
    </row>
    <row r="418" spans="10:26" ht="14.25" customHeight="1" x14ac:dyDescent="0.3">
      <c r="J418" s="5"/>
      <c r="K418" s="39"/>
      <c r="L418" s="12"/>
      <c r="M418" s="5"/>
      <c r="N418" s="13"/>
      <c r="P418" s="40"/>
      <c r="U418" s="6"/>
      <c r="V418" s="6"/>
      <c r="Y418" s="14"/>
      <c r="Z418" s="5"/>
    </row>
    <row r="419" spans="10:26" ht="14.25" customHeight="1" x14ac:dyDescent="0.3">
      <c r="J419" s="5"/>
      <c r="K419" s="39"/>
      <c r="L419" s="12"/>
      <c r="M419" s="5"/>
      <c r="N419" s="13"/>
      <c r="P419" s="40"/>
      <c r="U419" s="6"/>
      <c r="V419" s="6"/>
      <c r="Y419" s="14"/>
      <c r="Z419" s="5"/>
    </row>
    <row r="420" spans="10:26" ht="14.25" customHeight="1" x14ac:dyDescent="0.3">
      <c r="J420" s="5"/>
      <c r="K420" s="39"/>
      <c r="L420" s="12"/>
      <c r="M420" s="5"/>
      <c r="N420" s="13"/>
      <c r="P420" s="40"/>
      <c r="U420" s="6"/>
      <c r="V420" s="6"/>
      <c r="Y420" s="14"/>
      <c r="Z420" s="5"/>
    </row>
    <row r="421" spans="10:26" ht="14.25" customHeight="1" x14ac:dyDescent="0.3">
      <c r="J421" s="5"/>
      <c r="K421" s="39"/>
      <c r="L421" s="12"/>
      <c r="M421" s="5"/>
      <c r="N421" s="13"/>
      <c r="P421" s="40"/>
      <c r="U421" s="6"/>
      <c r="V421" s="6"/>
      <c r="Y421" s="14"/>
      <c r="Z421" s="5"/>
    </row>
    <row r="422" spans="10:26" ht="14.25" customHeight="1" x14ac:dyDescent="0.3">
      <c r="J422" s="5"/>
      <c r="K422" s="39"/>
      <c r="L422" s="12"/>
      <c r="M422" s="5"/>
      <c r="N422" s="13"/>
      <c r="P422" s="40"/>
      <c r="U422" s="6"/>
      <c r="V422" s="6"/>
      <c r="Y422" s="14"/>
      <c r="Z422" s="5"/>
    </row>
    <row r="423" spans="10:26" ht="14.25" customHeight="1" x14ac:dyDescent="0.3">
      <c r="J423" s="5"/>
      <c r="K423" s="39"/>
      <c r="L423" s="12"/>
      <c r="M423" s="5"/>
      <c r="N423" s="13"/>
      <c r="P423" s="40"/>
      <c r="U423" s="6"/>
      <c r="V423" s="6"/>
      <c r="Y423" s="14"/>
      <c r="Z423" s="5"/>
    </row>
    <row r="424" spans="10:26" ht="14.25" customHeight="1" x14ac:dyDescent="0.3">
      <c r="J424" s="5"/>
      <c r="K424" s="39"/>
      <c r="L424" s="12"/>
      <c r="M424" s="5"/>
      <c r="N424" s="13"/>
      <c r="P424" s="40"/>
      <c r="U424" s="6"/>
      <c r="V424" s="6"/>
      <c r="Y424" s="14"/>
      <c r="Z424" s="5"/>
    </row>
    <row r="425" spans="10:26" ht="14.25" customHeight="1" x14ac:dyDescent="0.3">
      <c r="J425" s="5"/>
      <c r="K425" s="39"/>
      <c r="L425" s="12"/>
      <c r="M425" s="5"/>
      <c r="N425" s="13"/>
      <c r="P425" s="40"/>
      <c r="U425" s="6"/>
      <c r="V425" s="6"/>
      <c r="Y425" s="14"/>
      <c r="Z425" s="5"/>
    </row>
    <row r="426" spans="10:26" ht="14.25" customHeight="1" x14ac:dyDescent="0.3">
      <c r="J426" s="5"/>
      <c r="K426" s="39"/>
      <c r="L426" s="12"/>
      <c r="M426" s="5"/>
      <c r="N426" s="13"/>
      <c r="P426" s="40"/>
      <c r="U426" s="6"/>
      <c r="V426" s="6"/>
      <c r="Y426" s="14"/>
      <c r="Z426" s="5"/>
    </row>
    <row r="427" spans="10:26" ht="14.25" customHeight="1" x14ac:dyDescent="0.3">
      <c r="J427" s="5"/>
      <c r="K427" s="39"/>
      <c r="L427" s="12"/>
      <c r="M427" s="5"/>
      <c r="N427" s="13"/>
      <c r="P427" s="40"/>
      <c r="U427" s="6"/>
      <c r="V427" s="6"/>
      <c r="Y427" s="14"/>
      <c r="Z427" s="5"/>
    </row>
    <row r="428" spans="10:26" ht="14.25" customHeight="1" x14ac:dyDescent="0.3">
      <c r="J428" s="5"/>
      <c r="K428" s="39"/>
      <c r="L428" s="12"/>
      <c r="M428" s="5"/>
      <c r="N428" s="13"/>
      <c r="P428" s="40"/>
      <c r="U428" s="6"/>
      <c r="V428" s="6"/>
      <c r="Y428" s="14"/>
      <c r="Z428" s="5"/>
    </row>
    <row r="429" spans="10:26" ht="14.25" customHeight="1" x14ac:dyDescent="0.3">
      <c r="J429" s="5"/>
      <c r="K429" s="39"/>
      <c r="L429" s="12"/>
      <c r="M429" s="5"/>
      <c r="N429" s="13"/>
      <c r="P429" s="40"/>
      <c r="U429" s="6"/>
      <c r="V429" s="6"/>
      <c r="Y429" s="14"/>
      <c r="Z429" s="5"/>
    </row>
    <row r="430" spans="10:26" ht="14.25" customHeight="1" x14ac:dyDescent="0.3">
      <c r="J430" s="5"/>
      <c r="K430" s="39"/>
      <c r="L430" s="12"/>
      <c r="M430" s="5"/>
      <c r="N430" s="13"/>
      <c r="P430" s="40"/>
      <c r="U430" s="6"/>
      <c r="V430" s="6"/>
      <c r="Y430" s="14"/>
      <c r="Z430" s="5"/>
    </row>
    <row r="431" spans="10:26" ht="14.25" customHeight="1" x14ac:dyDescent="0.3">
      <c r="J431" s="5"/>
      <c r="K431" s="39"/>
      <c r="L431" s="12"/>
      <c r="M431" s="5"/>
      <c r="N431" s="13"/>
      <c r="P431" s="40"/>
      <c r="U431" s="6"/>
      <c r="V431" s="6"/>
      <c r="Y431" s="14"/>
      <c r="Z431" s="5"/>
    </row>
    <row r="432" spans="10:26" ht="14.25" customHeight="1" x14ac:dyDescent="0.3">
      <c r="J432" s="5"/>
      <c r="K432" s="39"/>
      <c r="L432" s="12"/>
      <c r="M432" s="5"/>
      <c r="N432" s="13"/>
      <c r="P432" s="40"/>
      <c r="U432" s="6"/>
      <c r="V432" s="6"/>
      <c r="Y432" s="14"/>
      <c r="Z432" s="5"/>
    </row>
    <row r="433" spans="10:26" ht="14.25" customHeight="1" x14ac:dyDescent="0.3">
      <c r="J433" s="5"/>
      <c r="K433" s="39"/>
      <c r="L433" s="12"/>
      <c r="M433" s="5"/>
      <c r="N433" s="13"/>
      <c r="P433" s="40"/>
      <c r="U433" s="6"/>
      <c r="V433" s="6"/>
      <c r="Y433" s="14"/>
      <c r="Z433" s="5"/>
    </row>
    <row r="434" spans="10:26" ht="14.25" customHeight="1" x14ac:dyDescent="0.3">
      <c r="J434" s="5"/>
      <c r="K434" s="39"/>
      <c r="L434" s="12"/>
      <c r="M434" s="5"/>
      <c r="N434" s="13"/>
      <c r="P434" s="40"/>
      <c r="U434" s="6"/>
      <c r="V434" s="6"/>
      <c r="Y434" s="14"/>
      <c r="Z434" s="5"/>
    </row>
    <row r="435" spans="10:26" ht="14.25" customHeight="1" x14ac:dyDescent="0.3">
      <c r="J435" s="5"/>
      <c r="K435" s="39"/>
      <c r="L435" s="12"/>
      <c r="M435" s="5"/>
      <c r="N435" s="13"/>
      <c r="P435" s="40"/>
      <c r="U435" s="6"/>
      <c r="V435" s="6"/>
      <c r="Y435" s="14"/>
      <c r="Z435" s="5"/>
    </row>
    <row r="436" spans="10:26" ht="14.25" customHeight="1" x14ac:dyDescent="0.3">
      <c r="J436" s="5"/>
      <c r="K436" s="39"/>
      <c r="L436" s="12"/>
      <c r="M436" s="5"/>
      <c r="N436" s="13"/>
      <c r="P436" s="40"/>
      <c r="U436" s="6"/>
      <c r="V436" s="6"/>
      <c r="Y436" s="14"/>
      <c r="Z436" s="5"/>
    </row>
    <row r="437" spans="10:26" ht="14.25" customHeight="1" x14ac:dyDescent="0.3">
      <c r="J437" s="5"/>
      <c r="K437" s="39"/>
      <c r="L437" s="12"/>
      <c r="M437" s="5"/>
      <c r="N437" s="13"/>
      <c r="P437" s="40"/>
      <c r="U437" s="6"/>
      <c r="V437" s="6"/>
      <c r="Y437" s="14"/>
      <c r="Z437" s="5"/>
    </row>
    <row r="438" spans="10:26" ht="14.25" customHeight="1" x14ac:dyDescent="0.3">
      <c r="J438" s="5"/>
      <c r="K438" s="39"/>
      <c r="L438" s="12"/>
      <c r="M438" s="5"/>
      <c r="N438" s="13"/>
      <c r="P438" s="40"/>
      <c r="U438" s="6"/>
      <c r="V438" s="6"/>
      <c r="Y438" s="14"/>
      <c r="Z438" s="5"/>
    </row>
    <row r="439" spans="10:26" ht="14.25" customHeight="1" x14ac:dyDescent="0.3">
      <c r="J439" s="5"/>
      <c r="K439" s="39"/>
      <c r="L439" s="12"/>
      <c r="M439" s="5"/>
      <c r="N439" s="13"/>
      <c r="P439" s="40"/>
      <c r="U439" s="6"/>
      <c r="V439" s="6"/>
      <c r="Y439" s="14"/>
      <c r="Z439" s="5"/>
    </row>
    <row r="440" spans="10:26" ht="14.25" customHeight="1" x14ac:dyDescent="0.3">
      <c r="J440" s="5"/>
      <c r="K440" s="39"/>
      <c r="L440" s="12"/>
      <c r="M440" s="5"/>
      <c r="N440" s="13"/>
      <c r="P440" s="40"/>
      <c r="U440" s="6"/>
      <c r="V440" s="6"/>
      <c r="Y440" s="14"/>
      <c r="Z440" s="5"/>
    </row>
    <row r="441" spans="10:26" ht="14.25" customHeight="1" x14ac:dyDescent="0.3">
      <c r="J441" s="5"/>
      <c r="K441" s="39"/>
      <c r="L441" s="12"/>
      <c r="M441" s="5"/>
      <c r="N441" s="13"/>
      <c r="P441" s="40"/>
      <c r="U441" s="6"/>
      <c r="V441" s="6"/>
      <c r="Y441" s="14"/>
      <c r="Z441" s="5"/>
    </row>
    <row r="442" spans="10:26" ht="14.25" customHeight="1" x14ac:dyDescent="0.3">
      <c r="J442" s="5"/>
      <c r="K442" s="39"/>
      <c r="L442" s="12"/>
      <c r="M442" s="5"/>
      <c r="N442" s="13"/>
      <c r="P442" s="40"/>
      <c r="U442" s="6"/>
      <c r="V442" s="6"/>
      <c r="Y442" s="14"/>
      <c r="Z442" s="5"/>
    </row>
    <row r="443" spans="10:26" ht="14.25" customHeight="1" x14ac:dyDescent="0.3">
      <c r="J443" s="5"/>
      <c r="K443" s="39"/>
      <c r="L443" s="12"/>
      <c r="M443" s="5"/>
      <c r="N443" s="13"/>
      <c r="P443" s="40"/>
      <c r="U443" s="6"/>
      <c r="V443" s="6"/>
      <c r="Y443" s="14"/>
      <c r="Z443" s="5"/>
    </row>
    <row r="444" spans="10:26" ht="14.25" customHeight="1" x14ac:dyDescent="0.3">
      <c r="J444" s="5"/>
      <c r="K444" s="39"/>
      <c r="L444" s="12"/>
      <c r="M444" s="5"/>
      <c r="N444" s="13"/>
      <c r="P444" s="40"/>
      <c r="U444" s="6"/>
      <c r="V444" s="6"/>
      <c r="Y444" s="14"/>
      <c r="Z444" s="5"/>
    </row>
    <row r="445" spans="10:26" ht="14.25" customHeight="1" x14ac:dyDescent="0.3">
      <c r="J445" s="5"/>
      <c r="K445" s="39"/>
      <c r="L445" s="12"/>
      <c r="M445" s="5"/>
      <c r="N445" s="13"/>
      <c r="P445" s="40"/>
      <c r="U445" s="6"/>
      <c r="V445" s="6"/>
      <c r="Y445" s="14"/>
      <c r="Z445" s="5"/>
    </row>
    <row r="446" spans="10:26" ht="14.25" customHeight="1" x14ac:dyDescent="0.3">
      <c r="J446" s="5"/>
      <c r="K446" s="39"/>
      <c r="L446" s="12"/>
      <c r="M446" s="5"/>
      <c r="N446" s="13"/>
      <c r="P446" s="40"/>
      <c r="U446" s="6"/>
      <c r="V446" s="6"/>
      <c r="Y446" s="14"/>
      <c r="Z446" s="5"/>
    </row>
    <row r="447" spans="10:26" ht="14.25" customHeight="1" x14ac:dyDescent="0.3">
      <c r="J447" s="5"/>
      <c r="K447" s="39"/>
      <c r="L447" s="12"/>
      <c r="M447" s="5"/>
      <c r="N447" s="13"/>
      <c r="P447" s="40"/>
      <c r="U447" s="6"/>
      <c r="V447" s="6"/>
      <c r="Y447" s="14"/>
      <c r="Z447" s="5"/>
    </row>
    <row r="448" spans="10:26" ht="14.25" customHeight="1" x14ac:dyDescent="0.3">
      <c r="J448" s="5"/>
      <c r="K448" s="39"/>
      <c r="L448" s="12"/>
      <c r="M448" s="5"/>
      <c r="N448" s="13"/>
      <c r="P448" s="40"/>
      <c r="U448" s="6"/>
      <c r="V448" s="6"/>
      <c r="Y448" s="14"/>
      <c r="Z448" s="5"/>
    </row>
    <row r="449" spans="10:26" ht="14.25" customHeight="1" x14ac:dyDescent="0.3">
      <c r="J449" s="5"/>
      <c r="K449" s="39"/>
      <c r="L449" s="12"/>
      <c r="M449" s="5"/>
      <c r="N449" s="13"/>
      <c r="P449" s="40"/>
      <c r="U449" s="6"/>
      <c r="V449" s="6"/>
      <c r="Y449" s="14"/>
      <c r="Z449" s="5"/>
    </row>
    <row r="450" spans="10:26" ht="14.25" customHeight="1" x14ac:dyDescent="0.3">
      <c r="J450" s="5"/>
      <c r="K450" s="39"/>
      <c r="L450" s="12"/>
      <c r="M450" s="5"/>
      <c r="N450" s="13"/>
      <c r="P450" s="40"/>
      <c r="U450" s="6"/>
      <c r="V450" s="6"/>
      <c r="Y450" s="14"/>
      <c r="Z450" s="5"/>
    </row>
    <row r="451" spans="10:26" ht="14.25" customHeight="1" x14ac:dyDescent="0.3">
      <c r="J451" s="5"/>
      <c r="K451" s="39"/>
      <c r="L451" s="12"/>
      <c r="M451" s="5"/>
      <c r="N451" s="13"/>
      <c r="P451" s="40"/>
      <c r="U451" s="6"/>
      <c r="V451" s="6"/>
      <c r="Y451" s="14"/>
      <c r="Z451" s="5"/>
    </row>
    <row r="452" spans="10:26" ht="14.25" customHeight="1" x14ac:dyDescent="0.3">
      <c r="J452" s="5"/>
      <c r="K452" s="39"/>
      <c r="L452" s="12"/>
      <c r="M452" s="5"/>
      <c r="N452" s="13"/>
      <c r="P452" s="40"/>
      <c r="U452" s="6"/>
      <c r="V452" s="6"/>
      <c r="Y452" s="14"/>
      <c r="Z452" s="5"/>
    </row>
    <row r="453" spans="10:26" ht="14.25" customHeight="1" x14ac:dyDescent="0.3">
      <c r="J453" s="5"/>
      <c r="K453" s="39"/>
      <c r="L453" s="12"/>
      <c r="M453" s="5"/>
      <c r="N453" s="13"/>
      <c r="P453" s="40"/>
      <c r="U453" s="6"/>
      <c r="V453" s="6"/>
      <c r="Y453" s="14"/>
      <c r="Z453" s="5"/>
    </row>
    <row r="454" spans="10:26" ht="14.25" customHeight="1" x14ac:dyDescent="0.3">
      <c r="J454" s="5"/>
      <c r="K454" s="39"/>
      <c r="L454" s="12"/>
      <c r="M454" s="5"/>
      <c r="N454" s="13"/>
      <c r="P454" s="40"/>
      <c r="U454" s="6"/>
      <c r="V454" s="6"/>
      <c r="Y454" s="14"/>
      <c r="Z454" s="5"/>
    </row>
    <row r="455" spans="10:26" ht="14.25" customHeight="1" x14ac:dyDescent="0.3">
      <c r="J455" s="5"/>
      <c r="K455" s="39"/>
      <c r="L455" s="12"/>
      <c r="M455" s="5"/>
      <c r="N455" s="13"/>
      <c r="P455" s="40"/>
      <c r="U455" s="6"/>
      <c r="V455" s="6"/>
      <c r="Y455" s="14"/>
      <c r="Z455" s="5"/>
    </row>
    <row r="456" spans="10:26" ht="14.25" customHeight="1" x14ac:dyDescent="0.3">
      <c r="J456" s="5"/>
      <c r="K456" s="39"/>
      <c r="L456" s="12"/>
      <c r="M456" s="5"/>
      <c r="N456" s="13"/>
      <c r="P456" s="40"/>
      <c r="U456" s="6"/>
      <c r="V456" s="6"/>
      <c r="Y456" s="14"/>
      <c r="Z456" s="5"/>
    </row>
    <row r="457" spans="10:26" ht="14.25" customHeight="1" x14ac:dyDescent="0.3">
      <c r="J457" s="5"/>
      <c r="K457" s="39"/>
      <c r="L457" s="12"/>
      <c r="M457" s="5"/>
      <c r="N457" s="13"/>
      <c r="P457" s="40"/>
      <c r="U457" s="6"/>
      <c r="V457" s="6"/>
      <c r="Y457" s="14"/>
      <c r="Z457" s="5"/>
    </row>
    <row r="458" spans="10:26" ht="14.25" customHeight="1" x14ac:dyDescent="0.3">
      <c r="J458" s="5"/>
      <c r="K458" s="39"/>
      <c r="L458" s="12"/>
      <c r="M458" s="5"/>
      <c r="N458" s="13"/>
      <c r="P458" s="40"/>
      <c r="U458" s="6"/>
      <c r="V458" s="6"/>
      <c r="Y458" s="14"/>
      <c r="Z458" s="5"/>
    </row>
    <row r="459" spans="10:26" ht="14.25" customHeight="1" x14ac:dyDescent="0.3">
      <c r="J459" s="5"/>
      <c r="K459" s="39"/>
      <c r="L459" s="12"/>
      <c r="M459" s="5"/>
      <c r="N459" s="13"/>
      <c r="P459" s="40"/>
      <c r="U459" s="6"/>
      <c r="V459" s="6"/>
      <c r="Y459" s="14"/>
      <c r="Z459" s="5"/>
    </row>
    <row r="460" spans="10:26" ht="14.25" customHeight="1" x14ac:dyDescent="0.3">
      <c r="J460" s="5"/>
      <c r="K460" s="39"/>
      <c r="L460" s="12"/>
      <c r="M460" s="5"/>
      <c r="N460" s="13"/>
      <c r="P460" s="40"/>
      <c r="U460" s="6"/>
      <c r="V460" s="6"/>
      <c r="Y460" s="14"/>
      <c r="Z460" s="5"/>
    </row>
    <row r="461" spans="10:26" ht="14.25" customHeight="1" x14ac:dyDescent="0.3">
      <c r="J461" s="5"/>
      <c r="K461" s="39"/>
      <c r="L461" s="12"/>
      <c r="M461" s="5"/>
      <c r="N461" s="13"/>
      <c r="P461" s="40"/>
      <c r="U461" s="6"/>
      <c r="V461" s="6"/>
      <c r="Y461" s="14"/>
      <c r="Z461" s="5"/>
    </row>
    <row r="462" spans="10:26" ht="14.25" customHeight="1" x14ac:dyDescent="0.3">
      <c r="J462" s="5"/>
      <c r="K462" s="39"/>
      <c r="L462" s="12"/>
      <c r="M462" s="5"/>
      <c r="N462" s="13"/>
      <c r="P462" s="40"/>
      <c r="U462" s="6"/>
      <c r="V462" s="6"/>
      <c r="Y462" s="14"/>
      <c r="Z462" s="5"/>
    </row>
    <row r="463" spans="10:26" ht="14.25" customHeight="1" x14ac:dyDescent="0.3">
      <c r="J463" s="5"/>
      <c r="K463" s="39"/>
      <c r="L463" s="12"/>
      <c r="M463" s="5"/>
      <c r="N463" s="13"/>
      <c r="P463" s="40"/>
      <c r="U463" s="6"/>
      <c r="V463" s="6"/>
      <c r="Y463" s="14"/>
      <c r="Z463" s="5"/>
    </row>
    <row r="464" spans="10:26" ht="14.25" customHeight="1" x14ac:dyDescent="0.3">
      <c r="J464" s="5"/>
      <c r="K464" s="39"/>
      <c r="L464" s="12"/>
      <c r="M464" s="5"/>
      <c r="N464" s="13"/>
      <c r="P464" s="40"/>
      <c r="U464" s="6"/>
      <c r="V464" s="6"/>
      <c r="Y464" s="14"/>
      <c r="Z464" s="5"/>
    </row>
    <row r="465" spans="10:26" ht="14.25" customHeight="1" x14ac:dyDescent="0.3">
      <c r="J465" s="5"/>
      <c r="K465" s="39"/>
      <c r="L465" s="12"/>
      <c r="M465" s="5"/>
      <c r="N465" s="13"/>
      <c r="P465" s="40"/>
      <c r="U465" s="6"/>
      <c r="V465" s="6"/>
      <c r="Y465" s="14"/>
      <c r="Z465" s="5"/>
    </row>
    <row r="466" spans="10:26" ht="14.25" customHeight="1" x14ac:dyDescent="0.3">
      <c r="J466" s="5"/>
      <c r="K466" s="39"/>
      <c r="L466" s="12"/>
      <c r="M466" s="5"/>
      <c r="N466" s="13"/>
      <c r="P466" s="40"/>
      <c r="U466" s="6"/>
      <c r="V466" s="6"/>
      <c r="Y466" s="14"/>
      <c r="Z466" s="5"/>
    </row>
    <row r="467" spans="10:26" ht="14.25" customHeight="1" x14ac:dyDescent="0.3">
      <c r="J467" s="5"/>
      <c r="K467" s="39"/>
      <c r="L467" s="12"/>
      <c r="M467" s="5"/>
      <c r="N467" s="13"/>
      <c r="P467" s="40"/>
      <c r="U467" s="6"/>
      <c r="V467" s="6"/>
      <c r="Y467" s="14"/>
      <c r="Z467" s="5"/>
    </row>
    <row r="468" spans="10:26" ht="14.25" customHeight="1" x14ac:dyDescent="0.3">
      <c r="J468" s="5"/>
      <c r="K468" s="39"/>
      <c r="L468" s="12"/>
      <c r="M468" s="5"/>
      <c r="N468" s="13"/>
      <c r="P468" s="40"/>
      <c r="U468" s="6"/>
      <c r="V468" s="6"/>
      <c r="Y468" s="14"/>
      <c r="Z468" s="5"/>
    </row>
    <row r="469" spans="10:26" ht="14.25" customHeight="1" x14ac:dyDescent="0.3">
      <c r="J469" s="5"/>
      <c r="K469" s="39"/>
      <c r="L469" s="12"/>
      <c r="M469" s="5"/>
      <c r="N469" s="13"/>
      <c r="P469" s="40"/>
      <c r="U469" s="6"/>
      <c r="V469" s="6"/>
      <c r="Y469" s="14"/>
      <c r="Z469" s="5"/>
    </row>
    <row r="470" spans="10:26" ht="14.25" customHeight="1" x14ac:dyDescent="0.3">
      <c r="J470" s="5"/>
      <c r="K470" s="39"/>
      <c r="L470" s="12"/>
      <c r="M470" s="5"/>
      <c r="N470" s="13"/>
      <c r="P470" s="40"/>
      <c r="U470" s="6"/>
      <c r="V470" s="6"/>
      <c r="Y470" s="14"/>
      <c r="Z470" s="5"/>
    </row>
    <row r="471" spans="10:26" ht="14.25" customHeight="1" x14ac:dyDescent="0.3">
      <c r="J471" s="5"/>
      <c r="K471" s="39"/>
      <c r="L471" s="12"/>
      <c r="M471" s="5"/>
      <c r="N471" s="13"/>
      <c r="P471" s="40"/>
      <c r="U471" s="6"/>
      <c r="V471" s="6"/>
      <c r="Y471" s="14"/>
      <c r="Z471" s="5"/>
    </row>
    <row r="472" spans="10:26" ht="14.25" customHeight="1" x14ac:dyDescent="0.3">
      <c r="J472" s="5"/>
      <c r="K472" s="39"/>
      <c r="L472" s="12"/>
      <c r="M472" s="5"/>
      <c r="N472" s="13"/>
      <c r="P472" s="40"/>
      <c r="U472" s="6"/>
      <c r="V472" s="6"/>
      <c r="Y472" s="14"/>
      <c r="Z472" s="5"/>
    </row>
    <row r="473" spans="10:26" ht="14.25" customHeight="1" x14ac:dyDescent="0.3">
      <c r="J473" s="5"/>
      <c r="K473" s="39"/>
      <c r="L473" s="12"/>
      <c r="M473" s="5"/>
      <c r="N473" s="13"/>
      <c r="P473" s="40"/>
      <c r="U473" s="6"/>
      <c r="V473" s="6"/>
      <c r="Y473" s="14"/>
      <c r="Z473" s="5"/>
    </row>
    <row r="474" spans="10:26" ht="14.25" customHeight="1" x14ac:dyDescent="0.3">
      <c r="J474" s="5"/>
      <c r="K474" s="39"/>
      <c r="L474" s="12"/>
      <c r="M474" s="5"/>
      <c r="N474" s="13"/>
      <c r="P474" s="40"/>
      <c r="U474" s="6"/>
      <c r="V474" s="6"/>
      <c r="Y474" s="14"/>
      <c r="Z474" s="5"/>
    </row>
    <row r="475" spans="10:26" ht="14.25" customHeight="1" x14ac:dyDescent="0.3">
      <c r="J475" s="5"/>
      <c r="K475" s="39"/>
      <c r="L475" s="12"/>
      <c r="M475" s="5"/>
      <c r="N475" s="13"/>
      <c r="P475" s="40"/>
      <c r="U475" s="6"/>
      <c r="V475" s="6"/>
      <c r="Y475" s="14"/>
      <c r="Z475" s="5"/>
    </row>
    <row r="476" spans="10:26" ht="14.25" customHeight="1" x14ac:dyDescent="0.3">
      <c r="J476" s="5"/>
      <c r="K476" s="39"/>
      <c r="L476" s="12"/>
      <c r="M476" s="5"/>
      <c r="N476" s="13"/>
      <c r="P476" s="40"/>
      <c r="U476" s="6"/>
      <c r="V476" s="6"/>
      <c r="Y476" s="14"/>
      <c r="Z476" s="5"/>
    </row>
    <row r="477" spans="10:26" ht="14.25" customHeight="1" x14ac:dyDescent="0.3">
      <c r="J477" s="5"/>
      <c r="K477" s="39"/>
      <c r="L477" s="12"/>
      <c r="M477" s="5"/>
      <c r="N477" s="13"/>
      <c r="P477" s="40"/>
      <c r="U477" s="6"/>
      <c r="V477" s="6"/>
      <c r="Y477" s="14"/>
      <c r="Z477" s="5"/>
    </row>
    <row r="478" spans="10:26" ht="14.25" customHeight="1" x14ac:dyDescent="0.3">
      <c r="J478" s="5"/>
      <c r="K478" s="39"/>
      <c r="L478" s="12"/>
      <c r="M478" s="5"/>
      <c r="N478" s="13"/>
      <c r="P478" s="40"/>
      <c r="U478" s="6"/>
      <c r="V478" s="6"/>
      <c r="Y478" s="14"/>
      <c r="Z478" s="5"/>
    </row>
    <row r="479" spans="10:26" ht="14.25" customHeight="1" x14ac:dyDescent="0.3">
      <c r="J479" s="5"/>
      <c r="K479" s="39"/>
      <c r="L479" s="12"/>
      <c r="M479" s="5"/>
      <c r="N479" s="13"/>
      <c r="P479" s="40"/>
      <c r="U479" s="6"/>
      <c r="V479" s="6"/>
      <c r="Y479" s="14"/>
      <c r="Z479" s="5"/>
    </row>
    <row r="480" spans="10:26" ht="14.25" customHeight="1" x14ac:dyDescent="0.3">
      <c r="J480" s="5"/>
      <c r="K480" s="39"/>
      <c r="L480" s="12"/>
      <c r="M480" s="5"/>
      <c r="N480" s="13"/>
      <c r="P480" s="40"/>
      <c r="U480" s="6"/>
      <c r="V480" s="6"/>
      <c r="Y480" s="14"/>
      <c r="Z480" s="5"/>
    </row>
    <row r="481" spans="10:26" ht="14.25" customHeight="1" x14ac:dyDescent="0.3">
      <c r="J481" s="5"/>
      <c r="K481" s="39"/>
      <c r="L481" s="12"/>
      <c r="M481" s="5"/>
      <c r="N481" s="13"/>
      <c r="P481" s="40"/>
      <c r="U481" s="6"/>
      <c r="V481" s="6"/>
      <c r="Y481" s="14"/>
      <c r="Z481" s="5"/>
    </row>
    <row r="482" spans="10:26" ht="14.25" customHeight="1" x14ac:dyDescent="0.3">
      <c r="J482" s="5"/>
      <c r="K482" s="39"/>
      <c r="L482" s="12"/>
      <c r="M482" s="5"/>
      <c r="N482" s="13"/>
      <c r="P482" s="40"/>
      <c r="U482" s="6"/>
      <c r="V482" s="6"/>
      <c r="Y482" s="14"/>
      <c r="Z482" s="5"/>
    </row>
    <row r="483" spans="10:26" ht="14.25" customHeight="1" x14ac:dyDescent="0.3">
      <c r="J483" s="5"/>
      <c r="K483" s="39"/>
      <c r="L483" s="12"/>
      <c r="M483" s="5"/>
      <c r="N483" s="13"/>
      <c r="P483" s="40"/>
      <c r="U483" s="6"/>
      <c r="V483" s="6"/>
      <c r="Y483" s="14"/>
      <c r="Z483" s="5"/>
    </row>
    <row r="484" spans="10:26" ht="14.25" customHeight="1" x14ac:dyDescent="0.3">
      <c r="J484" s="5"/>
      <c r="K484" s="39"/>
      <c r="L484" s="12"/>
      <c r="M484" s="5"/>
      <c r="N484" s="13"/>
      <c r="P484" s="40"/>
      <c r="U484" s="6"/>
      <c r="V484" s="6"/>
      <c r="Y484" s="14"/>
      <c r="Z484" s="5"/>
    </row>
    <row r="485" spans="10:26" ht="14.25" customHeight="1" x14ac:dyDescent="0.3">
      <c r="J485" s="5"/>
      <c r="K485" s="39"/>
      <c r="L485" s="12"/>
      <c r="M485" s="5"/>
      <c r="N485" s="13"/>
      <c r="P485" s="40"/>
      <c r="U485" s="6"/>
      <c r="V485" s="6"/>
      <c r="Y485" s="14"/>
      <c r="Z485" s="5"/>
    </row>
    <row r="486" spans="10:26" ht="14.25" customHeight="1" x14ac:dyDescent="0.3">
      <c r="J486" s="5"/>
      <c r="K486" s="39"/>
      <c r="L486" s="12"/>
      <c r="M486" s="5"/>
      <c r="N486" s="13"/>
      <c r="P486" s="40"/>
      <c r="U486" s="6"/>
      <c r="V486" s="6"/>
      <c r="Y486" s="14"/>
      <c r="Z486" s="5"/>
    </row>
    <row r="487" spans="10:26" ht="14.25" customHeight="1" x14ac:dyDescent="0.3">
      <c r="J487" s="5"/>
      <c r="K487" s="39"/>
      <c r="L487" s="12"/>
      <c r="M487" s="5"/>
      <c r="N487" s="13"/>
      <c r="P487" s="40"/>
      <c r="U487" s="6"/>
      <c r="V487" s="6"/>
      <c r="Y487" s="14"/>
      <c r="Z487" s="5"/>
    </row>
    <row r="488" spans="10:26" ht="14.25" customHeight="1" x14ac:dyDescent="0.3">
      <c r="J488" s="5"/>
      <c r="K488" s="39"/>
      <c r="L488" s="12"/>
      <c r="M488" s="5"/>
      <c r="N488" s="13"/>
      <c r="P488" s="40"/>
      <c r="U488" s="6"/>
      <c r="V488" s="6"/>
      <c r="Y488" s="14"/>
      <c r="Z488" s="5"/>
    </row>
    <row r="489" spans="10:26" ht="14.25" customHeight="1" x14ac:dyDescent="0.3">
      <c r="J489" s="5"/>
      <c r="K489" s="39"/>
      <c r="L489" s="12"/>
      <c r="M489" s="5"/>
      <c r="N489" s="13"/>
      <c r="P489" s="40"/>
      <c r="U489" s="6"/>
      <c r="V489" s="6"/>
      <c r="Y489" s="14"/>
      <c r="Z489" s="5"/>
    </row>
    <row r="490" spans="10:26" ht="14.25" customHeight="1" x14ac:dyDescent="0.3">
      <c r="J490" s="5"/>
      <c r="K490" s="39"/>
      <c r="L490" s="12"/>
      <c r="M490" s="5"/>
      <c r="N490" s="13"/>
      <c r="P490" s="40"/>
      <c r="U490" s="6"/>
      <c r="V490" s="6"/>
      <c r="Y490" s="14"/>
      <c r="Z490" s="5"/>
    </row>
    <row r="491" spans="10:26" ht="14.25" customHeight="1" x14ac:dyDescent="0.3">
      <c r="J491" s="5"/>
      <c r="K491" s="39"/>
      <c r="L491" s="12"/>
      <c r="M491" s="5"/>
      <c r="N491" s="13"/>
      <c r="P491" s="40"/>
      <c r="U491" s="6"/>
      <c r="V491" s="6"/>
      <c r="Y491" s="14"/>
      <c r="Z491" s="5"/>
    </row>
    <row r="492" spans="10:26" ht="14.25" customHeight="1" x14ac:dyDescent="0.3">
      <c r="J492" s="5"/>
      <c r="K492" s="39"/>
      <c r="L492" s="12"/>
      <c r="M492" s="5"/>
      <c r="N492" s="13"/>
      <c r="P492" s="40"/>
      <c r="U492" s="6"/>
      <c r="V492" s="6"/>
      <c r="Y492" s="14"/>
      <c r="Z492" s="5"/>
    </row>
    <row r="493" spans="10:26" ht="14.25" customHeight="1" x14ac:dyDescent="0.3">
      <c r="J493" s="5"/>
      <c r="K493" s="39"/>
      <c r="L493" s="12"/>
      <c r="M493" s="5"/>
      <c r="N493" s="13"/>
      <c r="P493" s="40"/>
      <c r="U493" s="6"/>
      <c r="V493" s="6"/>
      <c r="Y493" s="14"/>
      <c r="Z493" s="5"/>
    </row>
    <row r="494" spans="10:26" ht="14.25" customHeight="1" x14ac:dyDescent="0.3">
      <c r="J494" s="5"/>
      <c r="K494" s="39"/>
      <c r="L494" s="12"/>
      <c r="M494" s="5"/>
      <c r="N494" s="13"/>
      <c r="P494" s="40"/>
      <c r="U494" s="6"/>
      <c r="V494" s="6"/>
      <c r="Y494" s="14"/>
      <c r="Z494" s="5"/>
    </row>
    <row r="495" spans="10:26" ht="14.25" customHeight="1" x14ac:dyDescent="0.3">
      <c r="J495" s="5"/>
      <c r="K495" s="39"/>
      <c r="L495" s="12"/>
      <c r="M495" s="5"/>
      <c r="N495" s="13"/>
      <c r="P495" s="40"/>
      <c r="U495" s="6"/>
      <c r="V495" s="6"/>
      <c r="Y495" s="14"/>
      <c r="Z495" s="5"/>
    </row>
    <row r="496" spans="10:26" ht="14.25" customHeight="1" x14ac:dyDescent="0.3">
      <c r="J496" s="5"/>
      <c r="K496" s="39"/>
      <c r="L496" s="12"/>
      <c r="M496" s="5"/>
      <c r="N496" s="13"/>
      <c r="P496" s="40"/>
      <c r="U496" s="6"/>
      <c r="V496" s="6"/>
      <c r="Y496" s="14"/>
      <c r="Z496" s="5"/>
    </row>
    <row r="497" spans="10:26" ht="14.25" customHeight="1" x14ac:dyDescent="0.3">
      <c r="J497" s="5"/>
      <c r="K497" s="39"/>
      <c r="L497" s="12"/>
      <c r="M497" s="5"/>
      <c r="N497" s="13"/>
      <c r="P497" s="40"/>
      <c r="U497" s="6"/>
      <c r="V497" s="6"/>
      <c r="Y497" s="14"/>
      <c r="Z497" s="5"/>
    </row>
    <row r="498" spans="10:26" ht="14.25" customHeight="1" x14ac:dyDescent="0.3">
      <c r="J498" s="5"/>
      <c r="K498" s="39"/>
      <c r="L498" s="12"/>
      <c r="M498" s="5"/>
      <c r="N498" s="13"/>
      <c r="P498" s="40"/>
      <c r="U498" s="6"/>
      <c r="V498" s="6"/>
      <c r="Y498" s="14"/>
      <c r="Z498" s="5"/>
    </row>
    <row r="499" spans="10:26" ht="14.25" customHeight="1" x14ac:dyDescent="0.3">
      <c r="J499" s="5"/>
      <c r="K499" s="39"/>
      <c r="L499" s="12"/>
      <c r="M499" s="5"/>
      <c r="N499" s="13"/>
      <c r="P499" s="40"/>
      <c r="U499" s="6"/>
      <c r="V499" s="6"/>
      <c r="Y499" s="14"/>
      <c r="Z499" s="5"/>
    </row>
    <row r="500" spans="10:26" ht="14.25" customHeight="1" x14ac:dyDescent="0.3">
      <c r="J500" s="5"/>
      <c r="K500" s="39"/>
      <c r="L500" s="12"/>
      <c r="M500" s="5"/>
      <c r="N500" s="13"/>
      <c r="P500" s="40"/>
      <c r="U500" s="6"/>
      <c r="V500" s="6"/>
      <c r="Y500" s="14"/>
      <c r="Z500" s="5"/>
    </row>
    <row r="501" spans="10:26" ht="14.25" customHeight="1" x14ac:dyDescent="0.3">
      <c r="J501" s="5"/>
      <c r="K501" s="39"/>
      <c r="L501" s="12"/>
      <c r="M501" s="5"/>
      <c r="N501" s="13"/>
      <c r="P501" s="40"/>
      <c r="U501" s="6"/>
      <c r="V501" s="6"/>
      <c r="Y501" s="14"/>
      <c r="Z501" s="5"/>
    </row>
    <row r="502" spans="10:26" ht="14.25" customHeight="1" x14ac:dyDescent="0.3">
      <c r="J502" s="5"/>
      <c r="K502" s="39"/>
      <c r="L502" s="12"/>
      <c r="M502" s="5"/>
      <c r="N502" s="13"/>
      <c r="P502" s="40"/>
      <c r="U502" s="6"/>
      <c r="V502" s="6"/>
      <c r="Y502" s="14"/>
      <c r="Z502" s="5"/>
    </row>
    <row r="503" spans="10:26" ht="14.25" customHeight="1" x14ac:dyDescent="0.3">
      <c r="J503" s="5"/>
      <c r="K503" s="39"/>
      <c r="L503" s="12"/>
      <c r="M503" s="5"/>
      <c r="N503" s="13"/>
      <c r="P503" s="40"/>
      <c r="U503" s="6"/>
      <c r="V503" s="6"/>
      <c r="Y503" s="14"/>
      <c r="Z503" s="5"/>
    </row>
    <row r="504" spans="10:26" ht="14.25" customHeight="1" x14ac:dyDescent="0.3">
      <c r="J504" s="5"/>
      <c r="K504" s="39"/>
      <c r="L504" s="12"/>
      <c r="M504" s="5"/>
      <c r="N504" s="13"/>
      <c r="P504" s="40"/>
      <c r="U504" s="6"/>
      <c r="V504" s="6"/>
      <c r="Y504" s="14"/>
      <c r="Z504" s="5"/>
    </row>
    <row r="505" spans="10:26" ht="14.25" customHeight="1" x14ac:dyDescent="0.3">
      <c r="J505" s="5"/>
      <c r="K505" s="39"/>
      <c r="L505" s="12"/>
      <c r="M505" s="5"/>
      <c r="N505" s="13"/>
      <c r="P505" s="40"/>
      <c r="U505" s="6"/>
      <c r="V505" s="6"/>
      <c r="Y505" s="14"/>
      <c r="Z505" s="5"/>
    </row>
    <row r="506" spans="10:26" ht="14.25" customHeight="1" x14ac:dyDescent="0.3">
      <c r="J506" s="5"/>
      <c r="K506" s="39"/>
      <c r="L506" s="12"/>
      <c r="M506" s="5"/>
      <c r="N506" s="13"/>
      <c r="P506" s="40"/>
      <c r="U506" s="6"/>
      <c r="V506" s="6"/>
      <c r="Y506" s="14"/>
      <c r="Z506" s="5"/>
    </row>
    <row r="507" spans="10:26" ht="14.25" customHeight="1" x14ac:dyDescent="0.3">
      <c r="J507" s="5"/>
      <c r="K507" s="39"/>
      <c r="L507" s="12"/>
      <c r="M507" s="5"/>
      <c r="N507" s="13"/>
      <c r="P507" s="40"/>
      <c r="U507" s="6"/>
      <c r="V507" s="6"/>
      <c r="Y507" s="14"/>
      <c r="Z507" s="5"/>
    </row>
    <row r="508" spans="10:26" ht="14.25" customHeight="1" x14ac:dyDescent="0.3">
      <c r="J508" s="5"/>
      <c r="K508" s="39"/>
      <c r="L508" s="12"/>
      <c r="M508" s="5"/>
      <c r="N508" s="13"/>
      <c r="P508" s="40"/>
      <c r="U508" s="6"/>
      <c r="V508" s="6"/>
      <c r="Y508" s="14"/>
      <c r="Z508" s="5"/>
    </row>
    <row r="509" spans="10:26" ht="14.25" customHeight="1" x14ac:dyDescent="0.3">
      <c r="J509" s="5"/>
      <c r="K509" s="39"/>
      <c r="L509" s="12"/>
      <c r="M509" s="5"/>
      <c r="N509" s="13"/>
      <c r="P509" s="40"/>
      <c r="U509" s="6"/>
      <c r="V509" s="6"/>
      <c r="Y509" s="14"/>
      <c r="Z509" s="5"/>
    </row>
    <row r="510" spans="10:26" ht="14.25" customHeight="1" x14ac:dyDescent="0.3">
      <c r="J510" s="5"/>
      <c r="K510" s="39"/>
      <c r="L510" s="12"/>
      <c r="M510" s="5"/>
      <c r="N510" s="13"/>
      <c r="P510" s="40"/>
      <c r="U510" s="6"/>
      <c r="V510" s="6"/>
      <c r="Y510" s="14"/>
      <c r="Z510" s="5"/>
    </row>
    <row r="511" spans="10:26" ht="14.25" customHeight="1" x14ac:dyDescent="0.3">
      <c r="J511" s="5"/>
      <c r="K511" s="39"/>
      <c r="L511" s="12"/>
      <c r="M511" s="5"/>
      <c r="N511" s="13"/>
      <c r="P511" s="40"/>
      <c r="U511" s="6"/>
      <c r="V511" s="6"/>
      <c r="Y511" s="14"/>
      <c r="Z511" s="5"/>
    </row>
    <row r="512" spans="10:26" ht="14.25" customHeight="1" x14ac:dyDescent="0.3">
      <c r="J512" s="5"/>
      <c r="K512" s="39"/>
      <c r="L512" s="12"/>
      <c r="M512" s="5"/>
      <c r="N512" s="13"/>
      <c r="P512" s="40"/>
      <c r="U512" s="6"/>
      <c r="V512" s="6"/>
      <c r="Y512" s="14"/>
      <c r="Z512" s="5"/>
    </row>
    <row r="513" spans="10:26" ht="14.25" customHeight="1" x14ac:dyDescent="0.3">
      <c r="J513" s="5"/>
      <c r="K513" s="39"/>
      <c r="L513" s="12"/>
      <c r="M513" s="5"/>
      <c r="N513" s="13"/>
      <c r="P513" s="40"/>
      <c r="U513" s="6"/>
      <c r="V513" s="6"/>
      <c r="Y513" s="14"/>
      <c r="Z513" s="5"/>
    </row>
    <row r="514" spans="10:26" ht="14.25" customHeight="1" x14ac:dyDescent="0.3">
      <c r="J514" s="5"/>
      <c r="K514" s="39"/>
      <c r="L514" s="12"/>
      <c r="M514" s="5"/>
      <c r="N514" s="13"/>
      <c r="P514" s="40"/>
      <c r="U514" s="6"/>
      <c r="V514" s="6"/>
      <c r="Y514" s="14"/>
      <c r="Z514" s="5"/>
    </row>
    <row r="515" spans="10:26" ht="14.25" customHeight="1" x14ac:dyDescent="0.3">
      <c r="J515" s="5"/>
      <c r="K515" s="39"/>
      <c r="L515" s="12"/>
      <c r="M515" s="5"/>
      <c r="N515" s="13"/>
      <c r="P515" s="40"/>
      <c r="U515" s="6"/>
      <c r="V515" s="6"/>
      <c r="Y515" s="14"/>
      <c r="Z515" s="5"/>
    </row>
    <row r="516" spans="10:26" ht="14.25" customHeight="1" x14ac:dyDescent="0.3">
      <c r="J516" s="5"/>
      <c r="K516" s="39"/>
      <c r="L516" s="12"/>
      <c r="M516" s="5"/>
      <c r="N516" s="13"/>
      <c r="P516" s="40"/>
      <c r="U516" s="6"/>
      <c r="V516" s="6"/>
      <c r="Y516" s="14"/>
      <c r="Z516" s="5"/>
    </row>
    <row r="517" spans="10:26" ht="14.25" customHeight="1" x14ac:dyDescent="0.3">
      <c r="J517" s="5"/>
      <c r="K517" s="39"/>
      <c r="L517" s="12"/>
      <c r="M517" s="5"/>
      <c r="N517" s="13"/>
      <c r="P517" s="40"/>
      <c r="U517" s="6"/>
      <c r="V517" s="6"/>
      <c r="Y517" s="14"/>
      <c r="Z517" s="5"/>
    </row>
    <row r="518" spans="10:26" ht="14.25" customHeight="1" x14ac:dyDescent="0.3">
      <c r="J518" s="5"/>
      <c r="K518" s="39"/>
      <c r="L518" s="12"/>
      <c r="M518" s="5"/>
      <c r="N518" s="13"/>
      <c r="P518" s="40"/>
      <c r="U518" s="6"/>
      <c r="V518" s="6"/>
      <c r="Y518" s="14"/>
      <c r="Z518" s="5"/>
    </row>
    <row r="519" spans="10:26" ht="14.25" customHeight="1" x14ac:dyDescent="0.3">
      <c r="J519" s="5"/>
      <c r="K519" s="39"/>
      <c r="L519" s="12"/>
      <c r="M519" s="5"/>
      <c r="N519" s="13"/>
      <c r="P519" s="40"/>
      <c r="U519" s="6"/>
      <c r="V519" s="6"/>
      <c r="Y519" s="14"/>
      <c r="Z519" s="5"/>
    </row>
    <row r="520" spans="10:26" ht="14.25" customHeight="1" x14ac:dyDescent="0.3">
      <c r="J520" s="5"/>
      <c r="K520" s="39"/>
      <c r="L520" s="12"/>
      <c r="M520" s="5"/>
      <c r="N520" s="13"/>
      <c r="P520" s="40"/>
      <c r="U520" s="6"/>
      <c r="V520" s="6"/>
      <c r="Y520" s="14"/>
      <c r="Z520" s="5"/>
    </row>
    <row r="521" spans="10:26" ht="14.25" customHeight="1" x14ac:dyDescent="0.3">
      <c r="J521" s="5"/>
      <c r="K521" s="39"/>
      <c r="L521" s="12"/>
      <c r="M521" s="5"/>
      <c r="N521" s="13"/>
      <c r="P521" s="40"/>
      <c r="U521" s="6"/>
      <c r="V521" s="6"/>
      <c r="Y521" s="14"/>
      <c r="Z521" s="5"/>
    </row>
    <row r="522" spans="10:26" ht="14.25" customHeight="1" x14ac:dyDescent="0.3">
      <c r="J522" s="5"/>
      <c r="K522" s="39"/>
      <c r="L522" s="12"/>
      <c r="M522" s="5"/>
      <c r="N522" s="13"/>
      <c r="P522" s="40"/>
      <c r="U522" s="6"/>
      <c r="V522" s="6"/>
      <c r="Y522" s="14"/>
      <c r="Z522" s="5"/>
    </row>
    <row r="523" spans="10:26" ht="14.25" customHeight="1" x14ac:dyDescent="0.3">
      <c r="J523" s="5"/>
      <c r="K523" s="39"/>
      <c r="L523" s="12"/>
      <c r="M523" s="5"/>
      <c r="N523" s="13"/>
      <c r="P523" s="40"/>
      <c r="U523" s="6"/>
      <c r="V523" s="6"/>
      <c r="Y523" s="14"/>
      <c r="Z523" s="5"/>
    </row>
    <row r="524" spans="10:26" ht="14.25" customHeight="1" x14ac:dyDescent="0.3">
      <c r="J524" s="5"/>
      <c r="K524" s="39"/>
      <c r="L524" s="12"/>
      <c r="M524" s="5"/>
      <c r="N524" s="13"/>
      <c r="P524" s="40"/>
      <c r="U524" s="6"/>
      <c r="V524" s="6"/>
      <c r="Y524" s="14"/>
      <c r="Z524" s="5"/>
    </row>
    <row r="525" spans="10:26" ht="14.25" customHeight="1" x14ac:dyDescent="0.3">
      <c r="J525" s="5"/>
      <c r="K525" s="39"/>
      <c r="L525" s="12"/>
      <c r="M525" s="5"/>
      <c r="N525" s="13"/>
      <c r="P525" s="40"/>
      <c r="U525" s="6"/>
      <c r="V525" s="6"/>
      <c r="Y525" s="14"/>
      <c r="Z525" s="5"/>
    </row>
    <row r="526" spans="10:26" ht="14.25" customHeight="1" x14ac:dyDescent="0.3">
      <c r="J526" s="5"/>
      <c r="K526" s="39"/>
      <c r="L526" s="12"/>
      <c r="M526" s="5"/>
      <c r="N526" s="13"/>
      <c r="P526" s="40"/>
      <c r="U526" s="6"/>
      <c r="V526" s="6"/>
      <c r="Y526" s="14"/>
      <c r="Z526" s="5"/>
    </row>
    <row r="527" spans="10:26" ht="14.25" customHeight="1" x14ac:dyDescent="0.3">
      <c r="J527" s="5"/>
      <c r="K527" s="39"/>
      <c r="L527" s="12"/>
      <c r="M527" s="5"/>
      <c r="N527" s="13"/>
      <c r="P527" s="40"/>
      <c r="U527" s="6"/>
      <c r="V527" s="6"/>
      <c r="Y527" s="14"/>
      <c r="Z527" s="5"/>
    </row>
    <row r="528" spans="10:26" ht="14.25" customHeight="1" x14ac:dyDescent="0.3">
      <c r="J528" s="5"/>
      <c r="K528" s="39"/>
      <c r="L528" s="12"/>
      <c r="M528" s="5"/>
      <c r="N528" s="13"/>
      <c r="P528" s="40"/>
      <c r="U528" s="6"/>
      <c r="V528" s="6"/>
      <c r="Y528" s="14"/>
      <c r="Z528" s="5"/>
    </row>
    <row r="529" spans="10:26" ht="14.25" customHeight="1" x14ac:dyDescent="0.3">
      <c r="J529" s="5"/>
      <c r="K529" s="39"/>
      <c r="L529" s="12"/>
      <c r="M529" s="5"/>
      <c r="N529" s="13"/>
      <c r="P529" s="40"/>
      <c r="U529" s="6"/>
      <c r="V529" s="6"/>
      <c r="Y529" s="14"/>
      <c r="Z529" s="5"/>
    </row>
    <row r="530" spans="10:26" ht="14.25" customHeight="1" x14ac:dyDescent="0.3">
      <c r="J530" s="5"/>
      <c r="K530" s="39"/>
      <c r="L530" s="12"/>
      <c r="M530" s="5"/>
      <c r="N530" s="13"/>
      <c r="P530" s="40"/>
      <c r="U530" s="6"/>
      <c r="V530" s="6"/>
      <c r="Y530" s="14"/>
      <c r="Z530" s="5"/>
    </row>
    <row r="531" spans="10:26" ht="14.25" customHeight="1" x14ac:dyDescent="0.3">
      <c r="J531" s="5"/>
      <c r="K531" s="39"/>
      <c r="L531" s="12"/>
      <c r="M531" s="5"/>
      <c r="N531" s="13"/>
      <c r="P531" s="40"/>
      <c r="U531" s="6"/>
      <c r="V531" s="6"/>
      <c r="Y531" s="14"/>
      <c r="Z531" s="5"/>
    </row>
    <row r="532" spans="10:26" ht="14.25" customHeight="1" x14ac:dyDescent="0.3">
      <c r="J532" s="5"/>
      <c r="K532" s="39"/>
      <c r="L532" s="12"/>
      <c r="M532" s="5"/>
      <c r="N532" s="13"/>
      <c r="P532" s="40"/>
      <c r="U532" s="6"/>
      <c r="V532" s="6"/>
      <c r="Y532" s="14"/>
      <c r="Z532" s="5"/>
    </row>
    <row r="533" spans="10:26" ht="14.25" customHeight="1" x14ac:dyDescent="0.3">
      <c r="J533" s="5"/>
      <c r="K533" s="39"/>
      <c r="L533" s="12"/>
      <c r="M533" s="5"/>
      <c r="N533" s="13"/>
      <c r="P533" s="40"/>
      <c r="U533" s="6"/>
      <c r="V533" s="6"/>
      <c r="Y533" s="14"/>
      <c r="Z533" s="5"/>
    </row>
    <row r="534" spans="10:26" ht="14.25" customHeight="1" x14ac:dyDescent="0.3">
      <c r="J534" s="5"/>
      <c r="K534" s="39"/>
      <c r="L534" s="12"/>
      <c r="M534" s="5"/>
      <c r="N534" s="13"/>
      <c r="P534" s="40"/>
      <c r="U534" s="6"/>
      <c r="V534" s="6"/>
      <c r="Y534" s="14"/>
      <c r="Z534" s="5"/>
    </row>
    <row r="535" spans="10:26" ht="14.25" customHeight="1" x14ac:dyDescent="0.3">
      <c r="J535" s="5"/>
      <c r="K535" s="39"/>
      <c r="L535" s="12"/>
      <c r="M535" s="5"/>
      <c r="N535" s="13"/>
      <c r="P535" s="40"/>
      <c r="U535" s="6"/>
      <c r="V535" s="6"/>
      <c r="Y535" s="14"/>
      <c r="Z535" s="5"/>
    </row>
    <row r="536" spans="10:26" ht="14.25" customHeight="1" x14ac:dyDescent="0.3">
      <c r="J536" s="5"/>
      <c r="K536" s="39"/>
      <c r="L536" s="12"/>
      <c r="M536" s="5"/>
      <c r="N536" s="13"/>
      <c r="P536" s="40"/>
      <c r="U536" s="6"/>
      <c r="V536" s="6"/>
      <c r="Y536" s="14"/>
      <c r="Z536" s="5"/>
    </row>
    <row r="537" spans="10:26" ht="14.25" customHeight="1" x14ac:dyDescent="0.3">
      <c r="J537" s="5"/>
      <c r="K537" s="39"/>
      <c r="L537" s="12"/>
      <c r="M537" s="5"/>
      <c r="N537" s="13"/>
      <c r="P537" s="40"/>
      <c r="U537" s="6"/>
      <c r="V537" s="6"/>
      <c r="Y537" s="14"/>
      <c r="Z537" s="5"/>
    </row>
    <row r="538" spans="10:26" ht="14.25" customHeight="1" x14ac:dyDescent="0.3">
      <c r="J538" s="5"/>
      <c r="K538" s="39"/>
      <c r="L538" s="12"/>
      <c r="M538" s="5"/>
      <c r="N538" s="13"/>
      <c r="P538" s="40"/>
      <c r="U538" s="6"/>
      <c r="V538" s="6"/>
      <c r="Y538" s="14"/>
      <c r="Z538" s="5"/>
    </row>
    <row r="539" spans="10:26" ht="14.25" customHeight="1" x14ac:dyDescent="0.3">
      <c r="J539" s="5"/>
      <c r="K539" s="39"/>
      <c r="L539" s="12"/>
      <c r="M539" s="5"/>
      <c r="N539" s="13"/>
      <c r="P539" s="40"/>
      <c r="U539" s="6"/>
      <c r="V539" s="6"/>
      <c r="Y539" s="14"/>
      <c r="Z539" s="5"/>
    </row>
    <row r="540" spans="10:26" ht="14.25" customHeight="1" x14ac:dyDescent="0.3">
      <c r="J540" s="5"/>
      <c r="K540" s="39"/>
      <c r="L540" s="12"/>
      <c r="M540" s="5"/>
      <c r="N540" s="13"/>
      <c r="P540" s="40"/>
      <c r="U540" s="6"/>
      <c r="V540" s="6"/>
      <c r="Y540" s="14"/>
      <c r="Z540" s="5"/>
    </row>
    <row r="541" spans="10:26" ht="14.25" customHeight="1" x14ac:dyDescent="0.3">
      <c r="J541" s="5"/>
      <c r="K541" s="39"/>
      <c r="L541" s="12"/>
      <c r="M541" s="5"/>
      <c r="N541" s="13"/>
      <c r="P541" s="40"/>
      <c r="U541" s="6"/>
      <c r="V541" s="6"/>
      <c r="Y541" s="14"/>
      <c r="Z541" s="5"/>
    </row>
    <row r="542" spans="10:26" ht="14.25" customHeight="1" x14ac:dyDescent="0.3">
      <c r="J542" s="5"/>
      <c r="K542" s="39"/>
      <c r="L542" s="12"/>
      <c r="M542" s="5"/>
      <c r="N542" s="13"/>
      <c r="P542" s="40"/>
      <c r="U542" s="6"/>
      <c r="V542" s="6"/>
      <c r="Y542" s="14"/>
      <c r="Z542" s="5"/>
    </row>
    <row r="543" spans="10:26" ht="14.25" customHeight="1" x14ac:dyDescent="0.3">
      <c r="J543" s="5"/>
      <c r="K543" s="39"/>
      <c r="L543" s="12"/>
      <c r="M543" s="5"/>
      <c r="N543" s="13"/>
      <c r="P543" s="40"/>
      <c r="U543" s="6"/>
      <c r="V543" s="6"/>
      <c r="Y543" s="14"/>
      <c r="Z543" s="5"/>
    </row>
    <row r="544" spans="10:26" ht="14.25" customHeight="1" x14ac:dyDescent="0.3">
      <c r="J544" s="5"/>
      <c r="K544" s="39"/>
      <c r="L544" s="12"/>
      <c r="M544" s="5"/>
      <c r="N544" s="13"/>
      <c r="P544" s="40"/>
      <c r="U544" s="6"/>
      <c r="V544" s="6"/>
      <c r="Y544" s="14"/>
      <c r="Z544" s="5"/>
    </row>
    <row r="545" spans="10:26" ht="14.25" customHeight="1" x14ac:dyDescent="0.3">
      <c r="J545" s="5"/>
      <c r="K545" s="39"/>
      <c r="L545" s="12"/>
      <c r="M545" s="5"/>
      <c r="N545" s="13"/>
      <c r="P545" s="40"/>
      <c r="U545" s="6"/>
      <c r="V545" s="6"/>
      <c r="Y545" s="14"/>
      <c r="Z545" s="5"/>
    </row>
    <row r="546" spans="10:26" ht="14.25" customHeight="1" x14ac:dyDescent="0.3">
      <c r="J546" s="5"/>
      <c r="K546" s="39"/>
      <c r="L546" s="12"/>
      <c r="M546" s="5"/>
      <c r="N546" s="13"/>
      <c r="P546" s="40"/>
      <c r="U546" s="6"/>
      <c r="V546" s="6"/>
      <c r="Y546" s="14"/>
      <c r="Z546" s="5"/>
    </row>
    <row r="547" spans="10:26" ht="14.25" customHeight="1" x14ac:dyDescent="0.3">
      <c r="J547" s="5"/>
      <c r="K547" s="39"/>
      <c r="L547" s="12"/>
      <c r="M547" s="5"/>
      <c r="N547" s="13"/>
      <c r="P547" s="40"/>
      <c r="U547" s="6"/>
      <c r="V547" s="6"/>
      <c r="Y547" s="14"/>
      <c r="Z547" s="5"/>
    </row>
    <row r="548" spans="10:26" ht="14.25" customHeight="1" x14ac:dyDescent="0.3">
      <c r="J548" s="5"/>
      <c r="K548" s="39"/>
      <c r="L548" s="12"/>
      <c r="M548" s="5"/>
      <c r="N548" s="13"/>
      <c r="P548" s="40"/>
      <c r="U548" s="6"/>
      <c r="V548" s="6"/>
      <c r="Y548" s="14"/>
      <c r="Z548" s="5"/>
    </row>
    <row r="549" spans="10:26" ht="14.25" customHeight="1" x14ac:dyDescent="0.3">
      <c r="J549" s="5"/>
      <c r="K549" s="39"/>
      <c r="L549" s="12"/>
      <c r="M549" s="5"/>
      <c r="N549" s="13"/>
      <c r="P549" s="40"/>
      <c r="U549" s="6"/>
      <c r="V549" s="6"/>
      <c r="Y549" s="14"/>
      <c r="Z549" s="5"/>
    </row>
    <row r="550" spans="10:26" ht="14.25" customHeight="1" x14ac:dyDescent="0.3">
      <c r="J550" s="5"/>
      <c r="K550" s="39"/>
      <c r="L550" s="12"/>
      <c r="M550" s="5"/>
      <c r="N550" s="13"/>
      <c r="P550" s="40"/>
      <c r="U550" s="6"/>
      <c r="V550" s="6"/>
      <c r="Y550" s="14"/>
      <c r="Z550" s="5"/>
    </row>
    <row r="551" spans="10:26" ht="14.25" customHeight="1" x14ac:dyDescent="0.3">
      <c r="J551" s="5"/>
      <c r="K551" s="39"/>
      <c r="L551" s="12"/>
      <c r="M551" s="5"/>
      <c r="N551" s="13"/>
      <c r="P551" s="40"/>
      <c r="U551" s="6"/>
      <c r="V551" s="6"/>
      <c r="Y551" s="14"/>
      <c r="Z551" s="5"/>
    </row>
    <row r="552" spans="10:26" ht="14.25" customHeight="1" x14ac:dyDescent="0.3">
      <c r="J552" s="5"/>
      <c r="K552" s="39"/>
      <c r="L552" s="12"/>
      <c r="M552" s="5"/>
      <c r="N552" s="13"/>
      <c r="P552" s="40"/>
      <c r="U552" s="6"/>
      <c r="V552" s="6"/>
      <c r="Y552" s="14"/>
      <c r="Z552" s="5"/>
    </row>
    <row r="553" spans="10:26" ht="14.25" customHeight="1" x14ac:dyDescent="0.3">
      <c r="J553" s="5"/>
      <c r="K553" s="39"/>
      <c r="L553" s="12"/>
      <c r="M553" s="5"/>
      <c r="N553" s="13"/>
      <c r="P553" s="40"/>
      <c r="U553" s="6"/>
      <c r="V553" s="6"/>
      <c r="Y553" s="14"/>
      <c r="Z553" s="5"/>
    </row>
    <row r="554" spans="10:26" ht="14.25" customHeight="1" x14ac:dyDescent="0.3">
      <c r="J554" s="5"/>
      <c r="K554" s="39"/>
      <c r="L554" s="12"/>
      <c r="M554" s="5"/>
      <c r="N554" s="13"/>
      <c r="P554" s="40"/>
      <c r="U554" s="6"/>
      <c r="V554" s="6"/>
      <c r="Y554" s="14"/>
      <c r="Z554" s="5"/>
    </row>
    <row r="555" spans="10:26" ht="14.25" customHeight="1" x14ac:dyDescent="0.3">
      <c r="J555" s="5"/>
      <c r="K555" s="39"/>
      <c r="L555" s="12"/>
      <c r="M555" s="5"/>
      <c r="N555" s="13"/>
      <c r="P555" s="40"/>
      <c r="U555" s="6"/>
      <c r="V555" s="6"/>
      <c r="Y555" s="14"/>
      <c r="Z555" s="5"/>
    </row>
    <row r="556" spans="10:26" ht="14.25" customHeight="1" x14ac:dyDescent="0.3">
      <c r="J556" s="5"/>
      <c r="K556" s="39"/>
      <c r="L556" s="12"/>
      <c r="M556" s="5"/>
      <c r="N556" s="13"/>
      <c r="P556" s="40"/>
      <c r="U556" s="6"/>
      <c r="V556" s="6"/>
      <c r="Y556" s="14"/>
      <c r="Z556" s="5"/>
    </row>
    <row r="557" spans="10:26" ht="14.25" customHeight="1" x14ac:dyDescent="0.3">
      <c r="J557" s="5"/>
      <c r="K557" s="39"/>
      <c r="L557" s="12"/>
      <c r="M557" s="5"/>
      <c r="N557" s="13"/>
      <c r="P557" s="40"/>
      <c r="U557" s="6"/>
      <c r="V557" s="6"/>
      <c r="Y557" s="14"/>
      <c r="Z557" s="5"/>
    </row>
    <row r="558" spans="10:26" ht="14.25" customHeight="1" x14ac:dyDescent="0.3">
      <c r="J558" s="5"/>
      <c r="K558" s="39"/>
      <c r="L558" s="12"/>
      <c r="M558" s="5"/>
      <c r="N558" s="13"/>
      <c r="P558" s="40"/>
      <c r="U558" s="6"/>
      <c r="V558" s="6"/>
      <c r="Y558" s="14"/>
      <c r="Z558" s="5"/>
    </row>
    <row r="559" spans="10:26" ht="14.25" customHeight="1" x14ac:dyDescent="0.3">
      <c r="J559" s="5"/>
      <c r="K559" s="39"/>
      <c r="L559" s="12"/>
      <c r="M559" s="5"/>
      <c r="N559" s="13"/>
      <c r="P559" s="40"/>
      <c r="U559" s="6"/>
      <c r="V559" s="6"/>
      <c r="Y559" s="14"/>
      <c r="Z559" s="5"/>
    </row>
    <row r="560" spans="10:26" ht="14.25" customHeight="1" x14ac:dyDescent="0.3">
      <c r="J560" s="5"/>
      <c r="K560" s="39"/>
      <c r="L560" s="12"/>
      <c r="M560" s="5"/>
      <c r="N560" s="13"/>
      <c r="P560" s="40"/>
      <c r="U560" s="6"/>
      <c r="V560" s="6"/>
      <c r="Y560" s="14"/>
      <c r="Z560" s="5"/>
    </row>
    <row r="561" spans="10:26" ht="14.25" customHeight="1" x14ac:dyDescent="0.3">
      <c r="J561" s="5"/>
      <c r="K561" s="39"/>
      <c r="L561" s="12"/>
      <c r="M561" s="5"/>
      <c r="N561" s="13"/>
      <c r="P561" s="40"/>
      <c r="U561" s="6"/>
      <c r="V561" s="6"/>
      <c r="Y561" s="14"/>
      <c r="Z561" s="5"/>
    </row>
    <row r="562" spans="10:26" ht="14.25" customHeight="1" x14ac:dyDescent="0.3">
      <c r="J562" s="5"/>
      <c r="K562" s="39"/>
      <c r="L562" s="12"/>
      <c r="M562" s="5"/>
      <c r="N562" s="13"/>
      <c r="P562" s="40"/>
      <c r="U562" s="6"/>
      <c r="V562" s="6"/>
      <c r="Y562" s="14"/>
      <c r="Z562" s="5"/>
    </row>
    <row r="563" spans="10:26" ht="14.25" customHeight="1" x14ac:dyDescent="0.3">
      <c r="J563" s="5"/>
      <c r="K563" s="39"/>
      <c r="L563" s="12"/>
      <c r="M563" s="5"/>
      <c r="N563" s="13"/>
      <c r="P563" s="40"/>
      <c r="U563" s="6"/>
      <c r="V563" s="6"/>
      <c r="Y563" s="14"/>
      <c r="Z563" s="5"/>
    </row>
    <row r="564" spans="10:26" ht="14.25" customHeight="1" x14ac:dyDescent="0.3">
      <c r="J564" s="5"/>
      <c r="K564" s="39"/>
      <c r="L564" s="12"/>
      <c r="M564" s="5"/>
      <c r="N564" s="13"/>
      <c r="P564" s="40"/>
      <c r="U564" s="6"/>
      <c r="V564" s="6"/>
      <c r="Y564" s="14"/>
      <c r="Z564" s="5"/>
    </row>
    <row r="565" spans="10:26" ht="14.25" customHeight="1" x14ac:dyDescent="0.3">
      <c r="J565" s="5"/>
      <c r="K565" s="39"/>
      <c r="L565" s="12"/>
      <c r="M565" s="5"/>
      <c r="N565" s="13"/>
      <c r="P565" s="40"/>
      <c r="U565" s="6"/>
      <c r="V565" s="6"/>
      <c r="Y565" s="14"/>
      <c r="Z565" s="5"/>
    </row>
    <row r="566" spans="10:26" ht="14.25" customHeight="1" x14ac:dyDescent="0.3">
      <c r="J566" s="5"/>
      <c r="K566" s="39"/>
      <c r="L566" s="12"/>
      <c r="M566" s="5"/>
      <c r="N566" s="13"/>
      <c r="P566" s="40"/>
      <c r="U566" s="6"/>
      <c r="V566" s="6"/>
      <c r="Y566" s="14"/>
      <c r="Z566" s="5"/>
    </row>
    <row r="567" spans="10:26" ht="14.25" customHeight="1" x14ac:dyDescent="0.3">
      <c r="J567" s="5"/>
      <c r="K567" s="39"/>
      <c r="L567" s="12"/>
      <c r="M567" s="5"/>
      <c r="N567" s="13"/>
      <c r="P567" s="40"/>
      <c r="U567" s="6"/>
      <c r="V567" s="6"/>
      <c r="Y567" s="14"/>
      <c r="Z567" s="5"/>
    </row>
    <row r="568" spans="10:26" ht="14.25" customHeight="1" x14ac:dyDescent="0.3">
      <c r="J568" s="5"/>
      <c r="K568" s="39"/>
      <c r="L568" s="12"/>
      <c r="M568" s="5"/>
      <c r="N568" s="13"/>
      <c r="P568" s="40"/>
      <c r="U568" s="6"/>
      <c r="V568" s="6"/>
      <c r="Y568" s="14"/>
      <c r="Z568" s="5"/>
    </row>
    <row r="569" spans="10:26" ht="14.25" customHeight="1" x14ac:dyDescent="0.3">
      <c r="J569" s="5"/>
      <c r="K569" s="39"/>
      <c r="L569" s="12"/>
      <c r="M569" s="5"/>
      <c r="N569" s="13"/>
      <c r="P569" s="40"/>
      <c r="U569" s="6"/>
      <c r="V569" s="6"/>
      <c r="Y569" s="14"/>
      <c r="Z569" s="5"/>
    </row>
    <row r="570" spans="10:26" ht="14.25" customHeight="1" x14ac:dyDescent="0.3">
      <c r="J570" s="5"/>
      <c r="K570" s="39"/>
      <c r="L570" s="12"/>
      <c r="M570" s="5"/>
      <c r="N570" s="13"/>
      <c r="P570" s="40"/>
      <c r="U570" s="6"/>
      <c r="V570" s="6"/>
      <c r="Y570" s="14"/>
      <c r="Z570" s="5"/>
    </row>
    <row r="571" spans="10:26" ht="14.25" customHeight="1" x14ac:dyDescent="0.3">
      <c r="J571" s="5"/>
      <c r="K571" s="39"/>
      <c r="L571" s="12"/>
      <c r="M571" s="5"/>
      <c r="N571" s="13"/>
      <c r="P571" s="40"/>
      <c r="U571" s="6"/>
      <c r="V571" s="6"/>
      <c r="Y571" s="14"/>
      <c r="Z571" s="5"/>
    </row>
    <row r="572" spans="10:26" ht="14.25" customHeight="1" x14ac:dyDescent="0.3">
      <c r="J572" s="5"/>
      <c r="K572" s="39"/>
      <c r="L572" s="12"/>
      <c r="M572" s="5"/>
      <c r="N572" s="13"/>
      <c r="P572" s="40"/>
      <c r="U572" s="6"/>
      <c r="V572" s="6"/>
      <c r="Y572" s="14"/>
      <c r="Z572" s="5"/>
    </row>
    <row r="573" spans="10:26" ht="14.25" customHeight="1" x14ac:dyDescent="0.3">
      <c r="J573" s="5"/>
      <c r="K573" s="39"/>
      <c r="L573" s="12"/>
      <c r="M573" s="5"/>
      <c r="N573" s="13"/>
      <c r="P573" s="40"/>
      <c r="U573" s="6"/>
      <c r="V573" s="6"/>
      <c r="Y573" s="14"/>
      <c r="Z573" s="5"/>
    </row>
    <row r="574" spans="10:26" ht="14.25" customHeight="1" x14ac:dyDescent="0.3">
      <c r="J574" s="5"/>
      <c r="K574" s="39"/>
      <c r="L574" s="12"/>
      <c r="M574" s="5"/>
      <c r="N574" s="13"/>
      <c r="P574" s="40"/>
      <c r="U574" s="6"/>
      <c r="V574" s="6"/>
      <c r="Y574" s="14"/>
      <c r="Z574" s="5"/>
    </row>
    <row r="575" spans="10:26" ht="14.25" customHeight="1" x14ac:dyDescent="0.3">
      <c r="J575" s="5"/>
      <c r="K575" s="39"/>
      <c r="L575" s="12"/>
      <c r="M575" s="5"/>
      <c r="N575" s="13"/>
      <c r="P575" s="40"/>
      <c r="U575" s="6"/>
      <c r="V575" s="6"/>
      <c r="Y575" s="14"/>
      <c r="Z575" s="5"/>
    </row>
    <row r="576" spans="10:26" ht="14.25" customHeight="1" x14ac:dyDescent="0.3">
      <c r="J576" s="5"/>
      <c r="K576" s="39"/>
      <c r="L576" s="12"/>
      <c r="M576" s="5"/>
      <c r="N576" s="13"/>
      <c r="P576" s="40"/>
      <c r="U576" s="6"/>
      <c r="V576" s="6"/>
      <c r="Y576" s="14"/>
      <c r="Z576" s="5"/>
    </row>
    <row r="577" spans="10:26" ht="14.25" customHeight="1" x14ac:dyDescent="0.3">
      <c r="J577" s="5"/>
      <c r="K577" s="39"/>
      <c r="L577" s="12"/>
      <c r="M577" s="5"/>
      <c r="N577" s="13"/>
      <c r="P577" s="40"/>
      <c r="U577" s="6"/>
      <c r="V577" s="6"/>
      <c r="Y577" s="14"/>
      <c r="Z577" s="5"/>
    </row>
    <row r="578" spans="10:26" ht="14.25" customHeight="1" x14ac:dyDescent="0.3">
      <c r="J578" s="5"/>
      <c r="K578" s="39"/>
      <c r="L578" s="12"/>
      <c r="M578" s="5"/>
      <c r="N578" s="13"/>
      <c r="P578" s="40"/>
      <c r="U578" s="6"/>
      <c r="V578" s="6"/>
      <c r="Y578" s="14"/>
      <c r="Z578" s="5"/>
    </row>
    <row r="579" spans="10:26" ht="14.25" customHeight="1" x14ac:dyDescent="0.3">
      <c r="J579" s="5"/>
      <c r="K579" s="39"/>
      <c r="L579" s="12"/>
      <c r="M579" s="5"/>
      <c r="N579" s="13"/>
      <c r="P579" s="40"/>
      <c r="U579" s="6"/>
      <c r="V579" s="6"/>
      <c r="Y579" s="14"/>
      <c r="Z579" s="5"/>
    </row>
    <row r="580" spans="10:26" ht="14.25" customHeight="1" x14ac:dyDescent="0.3">
      <c r="J580" s="5"/>
      <c r="K580" s="39"/>
      <c r="L580" s="12"/>
      <c r="M580" s="5"/>
      <c r="N580" s="13"/>
      <c r="P580" s="40"/>
      <c r="U580" s="6"/>
      <c r="V580" s="6"/>
      <c r="Y580" s="14"/>
      <c r="Z580" s="5"/>
    </row>
    <row r="581" spans="10:26" ht="14.25" customHeight="1" x14ac:dyDescent="0.3">
      <c r="J581" s="5"/>
      <c r="K581" s="39"/>
      <c r="L581" s="12"/>
      <c r="M581" s="5"/>
      <c r="N581" s="13"/>
      <c r="P581" s="40"/>
      <c r="U581" s="6"/>
      <c r="V581" s="6"/>
      <c r="Y581" s="14"/>
      <c r="Z581" s="5"/>
    </row>
    <row r="582" spans="10:26" ht="14.25" customHeight="1" x14ac:dyDescent="0.3">
      <c r="J582" s="5"/>
      <c r="K582" s="39"/>
      <c r="L582" s="12"/>
      <c r="M582" s="5"/>
      <c r="N582" s="13"/>
      <c r="P582" s="40"/>
      <c r="U582" s="6"/>
      <c r="V582" s="6"/>
      <c r="Y582" s="14"/>
      <c r="Z582" s="5"/>
    </row>
    <row r="583" spans="10:26" ht="14.25" customHeight="1" x14ac:dyDescent="0.3">
      <c r="J583" s="5"/>
      <c r="K583" s="39"/>
      <c r="L583" s="12"/>
      <c r="M583" s="5"/>
      <c r="N583" s="13"/>
      <c r="P583" s="40"/>
      <c r="U583" s="6"/>
      <c r="V583" s="6"/>
      <c r="Y583" s="14"/>
      <c r="Z583" s="5"/>
    </row>
    <row r="584" spans="10:26" ht="14.25" customHeight="1" x14ac:dyDescent="0.3">
      <c r="J584" s="5"/>
      <c r="K584" s="39"/>
      <c r="L584" s="12"/>
      <c r="M584" s="5"/>
      <c r="N584" s="13"/>
      <c r="P584" s="40"/>
      <c r="U584" s="6"/>
      <c r="V584" s="6"/>
      <c r="Y584" s="14"/>
      <c r="Z584" s="5"/>
    </row>
    <row r="585" spans="10:26" ht="14.25" customHeight="1" x14ac:dyDescent="0.3">
      <c r="J585" s="5"/>
      <c r="K585" s="39"/>
      <c r="L585" s="12"/>
      <c r="M585" s="5"/>
      <c r="N585" s="13"/>
      <c r="P585" s="40"/>
      <c r="U585" s="6"/>
      <c r="V585" s="6"/>
      <c r="Y585" s="14"/>
      <c r="Z585" s="5"/>
    </row>
    <row r="586" spans="10:26" ht="14.25" customHeight="1" x14ac:dyDescent="0.3">
      <c r="J586" s="5"/>
      <c r="K586" s="39"/>
      <c r="L586" s="12"/>
      <c r="M586" s="5"/>
      <c r="N586" s="13"/>
      <c r="P586" s="40"/>
      <c r="U586" s="6"/>
      <c r="V586" s="6"/>
      <c r="Y586" s="14"/>
      <c r="Z586" s="5"/>
    </row>
    <row r="587" spans="10:26" ht="14.25" customHeight="1" x14ac:dyDescent="0.3">
      <c r="J587" s="5"/>
      <c r="K587" s="39"/>
      <c r="L587" s="12"/>
      <c r="M587" s="5"/>
      <c r="N587" s="13"/>
      <c r="P587" s="40"/>
      <c r="U587" s="6"/>
      <c r="V587" s="6"/>
      <c r="Y587" s="14"/>
      <c r="Z587" s="5"/>
    </row>
    <row r="588" spans="10:26" ht="14.25" customHeight="1" x14ac:dyDescent="0.3">
      <c r="J588" s="5"/>
      <c r="K588" s="39"/>
      <c r="L588" s="12"/>
      <c r="M588" s="5"/>
      <c r="N588" s="13"/>
      <c r="P588" s="40"/>
      <c r="U588" s="6"/>
      <c r="V588" s="6"/>
      <c r="Y588" s="14"/>
      <c r="Z588" s="5"/>
    </row>
    <row r="589" spans="10:26" ht="14.25" customHeight="1" x14ac:dyDescent="0.3">
      <c r="J589" s="5"/>
      <c r="K589" s="39"/>
      <c r="L589" s="12"/>
      <c r="M589" s="5"/>
      <c r="N589" s="13"/>
      <c r="P589" s="40"/>
      <c r="U589" s="6"/>
      <c r="V589" s="6"/>
      <c r="Y589" s="14"/>
      <c r="Z589" s="5"/>
    </row>
    <row r="590" spans="10:26" ht="14.25" customHeight="1" x14ac:dyDescent="0.3">
      <c r="J590" s="5"/>
      <c r="K590" s="39"/>
      <c r="L590" s="12"/>
      <c r="M590" s="5"/>
      <c r="N590" s="13"/>
      <c r="P590" s="40"/>
      <c r="U590" s="6"/>
      <c r="V590" s="6"/>
      <c r="Y590" s="14"/>
      <c r="Z590" s="5"/>
    </row>
    <row r="591" spans="10:26" ht="14.25" customHeight="1" x14ac:dyDescent="0.3">
      <c r="J591" s="5"/>
      <c r="K591" s="39"/>
      <c r="L591" s="12"/>
      <c r="M591" s="5"/>
      <c r="N591" s="13"/>
      <c r="P591" s="40"/>
      <c r="U591" s="6"/>
      <c r="V591" s="6"/>
      <c r="Y591" s="14"/>
      <c r="Z591" s="5"/>
    </row>
    <row r="592" spans="10:26" ht="14.25" customHeight="1" x14ac:dyDescent="0.3">
      <c r="J592" s="5"/>
      <c r="K592" s="39"/>
      <c r="L592" s="12"/>
      <c r="M592" s="5"/>
      <c r="N592" s="13"/>
      <c r="P592" s="40"/>
      <c r="U592" s="6"/>
      <c r="V592" s="6"/>
      <c r="Y592" s="14"/>
      <c r="Z592" s="5"/>
    </row>
    <row r="593" spans="10:26" ht="14.25" customHeight="1" x14ac:dyDescent="0.3">
      <c r="J593" s="5"/>
      <c r="K593" s="39"/>
      <c r="L593" s="12"/>
      <c r="M593" s="5"/>
      <c r="N593" s="13"/>
      <c r="P593" s="40"/>
      <c r="U593" s="6"/>
      <c r="V593" s="6"/>
      <c r="Y593" s="14"/>
      <c r="Z593" s="5"/>
    </row>
    <row r="594" spans="10:26" ht="14.25" customHeight="1" x14ac:dyDescent="0.3">
      <c r="J594" s="5"/>
      <c r="K594" s="39"/>
      <c r="L594" s="12"/>
      <c r="M594" s="5"/>
      <c r="N594" s="13"/>
      <c r="P594" s="40"/>
      <c r="U594" s="6"/>
      <c r="V594" s="6"/>
      <c r="Y594" s="14"/>
      <c r="Z594" s="5"/>
    </row>
    <row r="595" spans="10:26" ht="14.25" customHeight="1" x14ac:dyDescent="0.3">
      <c r="J595" s="5"/>
      <c r="K595" s="39"/>
      <c r="L595" s="12"/>
      <c r="M595" s="5"/>
      <c r="N595" s="13"/>
      <c r="P595" s="40"/>
      <c r="U595" s="6"/>
      <c r="V595" s="6"/>
      <c r="Y595" s="14"/>
      <c r="Z595" s="5"/>
    </row>
    <row r="596" spans="10:26" ht="14.25" customHeight="1" x14ac:dyDescent="0.3">
      <c r="J596" s="5"/>
      <c r="K596" s="39"/>
      <c r="L596" s="12"/>
      <c r="M596" s="5"/>
      <c r="N596" s="13"/>
      <c r="P596" s="40"/>
      <c r="U596" s="6"/>
      <c r="V596" s="6"/>
      <c r="Y596" s="14"/>
      <c r="Z596" s="5"/>
    </row>
    <row r="597" spans="10:26" ht="14.25" customHeight="1" x14ac:dyDescent="0.3">
      <c r="J597" s="5"/>
      <c r="K597" s="39"/>
      <c r="L597" s="12"/>
      <c r="M597" s="5"/>
      <c r="N597" s="13"/>
      <c r="P597" s="40"/>
      <c r="U597" s="6"/>
      <c r="V597" s="6"/>
      <c r="Y597" s="14"/>
      <c r="Z597" s="5"/>
    </row>
    <row r="598" spans="10:26" ht="14.25" customHeight="1" x14ac:dyDescent="0.3">
      <c r="J598" s="5"/>
      <c r="K598" s="39"/>
      <c r="L598" s="12"/>
      <c r="M598" s="5"/>
      <c r="N598" s="13"/>
      <c r="P598" s="40"/>
      <c r="U598" s="6"/>
      <c r="V598" s="6"/>
      <c r="Y598" s="14"/>
      <c r="Z598" s="5"/>
    </row>
    <row r="599" spans="10:26" ht="14.25" customHeight="1" x14ac:dyDescent="0.3">
      <c r="J599" s="5"/>
      <c r="K599" s="39"/>
      <c r="L599" s="12"/>
      <c r="M599" s="5"/>
      <c r="N599" s="13"/>
      <c r="P599" s="40"/>
      <c r="U599" s="6"/>
      <c r="V599" s="6"/>
      <c r="Y599" s="14"/>
      <c r="Z599" s="5"/>
    </row>
    <row r="600" spans="10:26" ht="14.25" customHeight="1" x14ac:dyDescent="0.3">
      <c r="J600" s="5"/>
      <c r="K600" s="39"/>
      <c r="L600" s="12"/>
      <c r="M600" s="5"/>
      <c r="N600" s="13"/>
      <c r="P600" s="40"/>
      <c r="U600" s="6"/>
      <c r="V600" s="6"/>
      <c r="Y600" s="14"/>
      <c r="Z600" s="5"/>
    </row>
    <row r="601" spans="10:26" ht="14.25" customHeight="1" x14ac:dyDescent="0.3">
      <c r="J601" s="5"/>
      <c r="K601" s="39"/>
      <c r="L601" s="12"/>
      <c r="M601" s="5"/>
      <c r="N601" s="13"/>
      <c r="P601" s="40"/>
      <c r="U601" s="6"/>
      <c r="V601" s="6"/>
      <c r="Y601" s="14"/>
      <c r="Z601" s="5"/>
    </row>
    <row r="602" spans="10:26" ht="14.25" customHeight="1" x14ac:dyDescent="0.3">
      <c r="J602" s="5"/>
      <c r="K602" s="39"/>
      <c r="L602" s="12"/>
      <c r="M602" s="5"/>
      <c r="N602" s="13"/>
      <c r="P602" s="40"/>
      <c r="U602" s="6"/>
      <c r="V602" s="6"/>
      <c r="Y602" s="14"/>
      <c r="Z602" s="5"/>
    </row>
    <row r="603" spans="10:26" ht="14.25" customHeight="1" x14ac:dyDescent="0.3">
      <c r="J603" s="5"/>
      <c r="K603" s="39"/>
      <c r="L603" s="12"/>
      <c r="M603" s="5"/>
      <c r="N603" s="13"/>
      <c r="P603" s="40"/>
      <c r="U603" s="6"/>
      <c r="V603" s="6"/>
      <c r="Y603" s="14"/>
      <c r="Z603" s="5"/>
    </row>
    <row r="604" spans="10:26" ht="14.25" customHeight="1" x14ac:dyDescent="0.3">
      <c r="J604" s="5"/>
      <c r="K604" s="39"/>
      <c r="L604" s="12"/>
      <c r="M604" s="5"/>
      <c r="N604" s="13"/>
      <c r="P604" s="40"/>
      <c r="U604" s="6"/>
      <c r="V604" s="6"/>
      <c r="Y604" s="14"/>
      <c r="Z604" s="5"/>
    </row>
    <row r="605" spans="10:26" ht="14.25" customHeight="1" x14ac:dyDescent="0.3">
      <c r="J605" s="5"/>
      <c r="K605" s="39"/>
      <c r="L605" s="12"/>
      <c r="M605" s="5"/>
      <c r="N605" s="13"/>
      <c r="P605" s="40"/>
      <c r="U605" s="6"/>
      <c r="V605" s="6"/>
      <c r="Y605" s="14"/>
      <c r="Z605" s="5"/>
    </row>
    <row r="606" spans="10:26" ht="14.25" customHeight="1" x14ac:dyDescent="0.3">
      <c r="J606" s="5"/>
      <c r="K606" s="39"/>
      <c r="L606" s="12"/>
      <c r="M606" s="5"/>
      <c r="N606" s="13"/>
      <c r="P606" s="40"/>
      <c r="U606" s="6"/>
      <c r="V606" s="6"/>
      <c r="Y606" s="14"/>
      <c r="Z606" s="5"/>
    </row>
    <row r="607" spans="10:26" ht="14.25" customHeight="1" x14ac:dyDescent="0.3">
      <c r="J607" s="5"/>
      <c r="K607" s="39"/>
      <c r="L607" s="12"/>
      <c r="M607" s="5"/>
      <c r="N607" s="13"/>
      <c r="P607" s="40"/>
      <c r="U607" s="6"/>
      <c r="V607" s="6"/>
      <c r="Y607" s="14"/>
      <c r="Z607" s="5"/>
    </row>
    <row r="608" spans="10:26" ht="14.25" customHeight="1" x14ac:dyDescent="0.3">
      <c r="J608" s="5"/>
      <c r="K608" s="39"/>
      <c r="L608" s="12"/>
      <c r="M608" s="5"/>
      <c r="N608" s="13"/>
      <c r="P608" s="40"/>
      <c r="U608" s="6"/>
      <c r="V608" s="6"/>
      <c r="Y608" s="14"/>
      <c r="Z608" s="5"/>
    </row>
    <row r="609" spans="10:26" ht="14.25" customHeight="1" x14ac:dyDescent="0.3">
      <c r="J609" s="5"/>
      <c r="K609" s="39"/>
      <c r="L609" s="12"/>
      <c r="M609" s="5"/>
      <c r="N609" s="13"/>
      <c r="P609" s="40"/>
      <c r="U609" s="6"/>
      <c r="V609" s="6"/>
      <c r="Y609" s="14"/>
      <c r="Z609" s="5"/>
    </row>
    <row r="610" spans="10:26" ht="14.25" customHeight="1" x14ac:dyDescent="0.3">
      <c r="J610" s="5"/>
      <c r="K610" s="39"/>
      <c r="L610" s="12"/>
      <c r="M610" s="5"/>
      <c r="N610" s="13"/>
      <c r="P610" s="40"/>
      <c r="U610" s="6"/>
      <c r="V610" s="6"/>
      <c r="Y610" s="14"/>
      <c r="Z610" s="5"/>
    </row>
    <row r="611" spans="10:26" ht="14.25" customHeight="1" x14ac:dyDescent="0.3">
      <c r="J611" s="5"/>
      <c r="K611" s="39"/>
      <c r="L611" s="12"/>
      <c r="M611" s="5"/>
      <c r="N611" s="13"/>
      <c r="P611" s="40"/>
      <c r="U611" s="6"/>
      <c r="V611" s="6"/>
      <c r="Y611" s="14"/>
      <c r="Z611" s="5"/>
    </row>
    <row r="612" spans="10:26" ht="14.25" customHeight="1" x14ac:dyDescent="0.3">
      <c r="J612" s="5"/>
      <c r="K612" s="39"/>
      <c r="L612" s="12"/>
      <c r="M612" s="5"/>
      <c r="N612" s="13"/>
      <c r="P612" s="40"/>
      <c r="U612" s="6"/>
      <c r="V612" s="6"/>
      <c r="Y612" s="14"/>
      <c r="Z612" s="5"/>
    </row>
    <row r="613" spans="10:26" ht="14.25" customHeight="1" x14ac:dyDescent="0.3">
      <c r="J613" s="5"/>
      <c r="K613" s="39"/>
      <c r="L613" s="12"/>
      <c r="M613" s="5"/>
      <c r="N613" s="13"/>
      <c r="P613" s="40"/>
      <c r="U613" s="6"/>
      <c r="V613" s="6"/>
      <c r="Y613" s="14"/>
      <c r="Z613" s="5"/>
    </row>
    <row r="614" spans="10:26" ht="14.25" customHeight="1" x14ac:dyDescent="0.3">
      <c r="J614" s="5"/>
      <c r="K614" s="39"/>
      <c r="L614" s="12"/>
      <c r="M614" s="5"/>
      <c r="N614" s="13"/>
      <c r="P614" s="40"/>
      <c r="U614" s="6"/>
      <c r="V614" s="6"/>
      <c r="Y614" s="14"/>
      <c r="Z614" s="5"/>
    </row>
    <row r="615" spans="10:26" ht="14.25" customHeight="1" x14ac:dyDescent="0.3">
      <c r="J615" s="5"/>
      <c r="K615" s="39"/>
      <c r="L615" s="12"/>
      <c r="M615" s="5"/>
      <c r="N615" s="13"/>
      <c r="P615" s="40"/>
      <c r="U615" s="6"/>
      <c r="V615" s="6"/>
      <c r="Y615" s="14"/>
      <c r="Z615" s="5"/>
    </row>
    <row r="616" spans="10:26" ht="14.25" customHeight="1" x14ac:dyDescent="0.3">
      <c r="J616" s="5"/>
      <c r="K616" s="39"/>
      <c r="L616" s="12"/>
      <c r="M616" s="5"/>
      <c r="N616" s="13"/>
      <c r="P616" s="40"/>
      <c r="U616" s="6"/>
      <c r="V616" s="6"/>
      <c r="Y616" s="14"/>
      <c r="Z616" s="5"/>
    </row>
    <row r="617" spans="10:26" ht="14.25" customHeight="1" x14ac:dyDescent="0.3">
      <c r="J617" s="5"/>
      <c r="K617" s="39"/>
      <c r="L617" s="12"/>
      <c r="M617" s="5"/>
      <c r="N617" s="13"/>
      <c r="P617" s="40"/>
      <c r="U617" s="6"/>
      <c r="V617" s="6"/>
      <c r="Y617" s="14"/>
      <c r="Z617" s="5"/>
    </row>
    <row r="618" spans="10:26" ht="14.25" customHeight="1" x14ac:dyDescent="0.3">
      <c r="J618" s="5"/>
      <c r="K618" s="39"/>
      <c r="L618" s="12"/>
      <c r="M618" s="5"/>
      <c r="N618" s="13"/>
      <c r="P618" s="40"/>
      <c r="U618" s="6"/>
      <c r="V618" s="6"/>
      <c r="Y618" s="14"/>
      <c r="Z618" s="5"/>
    </row>
    <row r="619" spans="10:26" ht="14.25" customHeight="1" x14ac:dyDescent="0.3">
      <c r="J619" s="5"/>
      <c r="K619" s="39"/>
      <c r="L619" s="12"/>
      <c r="M619" s="5"/>
      <c r="N619" s="13"/>
      <c r="P619" s="40"/>
      <c r="U619" s="6"/>
      <c r="V619" s="6"/>
      <c r="Y619" s="14"/>
      <c r="Z619" s="5"/>
    </row>
    <row r="620" spans="10:26" ht="14.25" customHeight="1" x14ac:dyDescent="0.3">
      <c r="J620" s="5"/>
      <c r="K620" s="39"/>
      <c r="L620" s="12"/>
      <c r="M620" s="5"/>
      <c r="N620" s="13"/>
      <c r="P620" s="40"/>
      <c r="U620" s="6"/>
      <c r="V620" s="6"/>
      <c r="Y620" s="14"/>
      <c r="Z620" s="5"/>
    </row>
    <row r="621" spans="10:26" ht="14.25" customHeight="1" x14ac:dyDescent="0.3">
      <c r="J621" s="5"/>
      <c r="K621" s="39"/>
      <c r="L621" s="12"/>
      <c r="M621" s="5"/>
      <c r="N621" s="13"/>
      <c r="P621" s="40"/>
      <c r="U621" s="6"/>
      <c r="V621" s="6"/>
      <c r="Y621" s="14"/>
      <c r="Z621" s="5"/>
    </row>
    <row r="622" spans="10:26" ht="14.25" customHeight="1" x14ac:dyDescent="0.3">
      <c r="J622" s="5"/>
      <c r="K622" s="39"/>
      <c r="L622" s="12"/>
      <c r="M622" s="5"/>
      <c r="N622" s="13"/>
      <c r="P622" s="40"/>
      <c r="U622" s="6"/>
      <c r="V622" s="6"/>
      <c r="Y622" s="14"/>
      <c r="Z622" s="5"/>
    </row>
    <row r="623" spans="10:26" ht="14.25" customHeight="1" x14ac:dyDescent="0.3">
      <c r="J623" s="5"/>
      <c r="K623" s="39"/>
      <c r="L623" s="12"/>
      <c r="M623" s="5"/>
      <c r="N623" s="13"/>
      <c r="P623" s="40"/>
      <c r="U623" s="6"/>
      <c r="V623" s="6"/>
      <c r="Y623" s="14"/>
      <c r="Z623" s="5"/>
    </row>
    <row r="624" spans="10:26" ht="14.25" customHeight="1" x14ac:dyDescent="0.3">
      <c r="J624" s="5"/>
      <c r="K624" s="39"/>
      <c r="L624" s="12"/>
      <c r="M624" s="5"/>
      <c r="N624" s="13"/>
      <c r="P624" s="40"/>
      <c r="U624" s="6"/>
      <c r="V624" s="6"/>
      <c r="Y624" s="14"/>
      <c r="Z624" s="5"/>
    </row>
    <row r="625" spans="10:26" ht="14.25" customHeight="1" x14ac:dyDescent="0.3">
      <c r="J625" s="5"/>
      <c r="K625" s="39"/>
      <c r="L625" s="12"/>
      <c r="M625" s="5"/>
      <c r="N625" s="13"/>
      <c r="P625" s="40"/>
      <c r="U625" s="6"/>
      <c r="V625" s="6"/>
      <c r="Y625" s="14"/>
      <c r="Z625" s="5"/>
    </row>
    <row r="626" spans="10:26" ht="14.25" customHeight="1" x14ac:dyDescent="0.3">
      <c r="J626" s="5"/>
      <c r="K626" s="39"/>
      <c r="L626" s="12"/>
      <c r="M626" s="5"/>
      <c r="N626" s="13"/>
      <c r="P626" s="40"/>
      <c r="U626" s="6"/>
      <c r="V626" s="6"/>
      <c r="Y626" s="14"/>
      <c r="Z626" s="5"/>
    </row>
    <row r="627" spans="10:26" ht="14.25" customHeight="1" x14ac:dyDescent="0.3">
      <c r="J627" s="5"/>
      <c r="K627" s="39"/>
      <c r="L627" s="12"/>
      <c r="M627" s="5"/>
      <c r="N627" s="13"/>
      <c r="P627" s="40"/>
      <c r="U627" s="6"/>
      <c r="V627" s="6"/>
      <c r="Y627" s="14"/>
      <c r="Z627" s="5"/>
    </row>
    <row r="628" spans="10:26" ht="14.25" customHeight="1" x14ac:dyDescent="0.3">
      <c r="J628" s="5"/>
      <c r="K628" s="39"/>
      <c r="L628" s="12"/>
      <c r="M628" s="5"/>
      <c r="N628" s="13"/>
      <c r="P628" s="40"/>
      <c r="U628" s="6"/>
      <c r="V628" s="6"/>
      <c r="Y628" s="14"/>
      <c r="Z628" s="5"/>
    </row>
    <row r="629" spans="10:26" ht="14.25" customHeight="1" x14ac:dyDescent="0.3">
      <c r="J629" s="5"/>
      <c r="K629" s="39"/>
      <c r="L629" s="12"/>
      <c r="M629" s="5"/>
      <c r="N629" s="13"/>
      <c r="P629" s="40"/>
      <c r="U629" s="6"/>
      <c r="V629" s="6"/>
      <c r="Y629" s="14"/>
      <c r="Z629" s="5"/>
    </row>
    <row r="630" spans="10:26" ht="14.25" customHeight="1" x14ac:dyDescent="0.3">
      <c r="J630" s="5"/>
      <c r="K630" s="39"/>
      <c r="L630" s="12"/>
      <c r="M630" s="5"/>
      <c r="N630" s="13"/>
      <c r="P630" s="40"/>
      <c r="U630" s="6"/>
      <c r="V630" s="6"/>
      <c r="Y630" s="14"/>
      <c r="Z630" s="5"/>
    </row>
    <row r="631" spans="10:26" ht="14.25" customHeight="1" x14ac:dyDescent="0.3">
      <c r="J631" s="5"/>
      <c r="K631" s="39"/>
      <c r="L631" s="12"/>
      <c r="M631" s="5"/>
      <c r="N631" s="13"/>
      <c r="P631" s="40"/>
      <c r="U631" s="6"/>
      <c r="V631" s="6"/>
      <c r="Y631" s="14"/>
      <c r="Z631" s="5"/>
    </row>
    <row r="632" spans="10:26" ht="14.25" customHeight="1" x14ac:dyDescent="0.3">
      <c r="J632" s="5"/>
      <c r="K632" s="39"/>
      <c r="L632" s="12"/>
      <c r="M632" s="5"/>
      <c r="N632" s="13"/>
      <c r="P632" s="40"/>
      <c r="U632" s="6"/>
      <c r="V632" s="6"/>
      <c r="Y632" s="14"/>
      <c r="Z632" s="5"/>
    </row>
    <row r="633" spans="10:26" ht="14.25" customHeight="1" x14ac:dyDescent="0.3">
      <c r="J633" s="5"/>
      <c r="K633" s="39"/>
      <c r="L633" s="12"/>
      <c r="M633" s="5"/>
      <c r="N633" s="13"/>
      <c r="P633" s="40"/>
      <c r="U633" s="6"/>
      <c r="V633" s="6"/>
      <c r="Y633" s="14"/>
      <c r="Z633" s="5"/>
    </row>
    <row r="634" spans="10:26" ht="14.25" customHeight="1" x14ac:dyDescent="0.3">
      <c r="J634" s="5"/>
      <c r="K634" s="39"/>
      <c r="L634" s="12"/>
      <c r="M634" s="5"/>
      <c r="N634" s="13"/>
      <c r="P634" s="40"/>
      <c r="U634" s="6"/>
      <c r="V634" s="6"/>
      <c r="Y634" s="14"/>
      <c r="Z634" s="5"/>
    </row>
    <row r="635" spans="10:26" ht="14.25" customHeight="1" x14ac:dyDescent="0.3">
      <c r="J635" s="5"/>
      <c r="K635" s="39"/>
      <c r="L635" s="12"/>
      <c r="M635" s="5"/>
      <c r="N635" s="13"/>
      <c r="P635" s="40"/>
      <c r="U635" s="6"/>
      <c r="V635" s="6"/>
      <c r="Y635" s="14"/>
      <c r="Z635" s="5"/>
    </row>
    <row r="636" spans="10:26" ht="14.25" customHeight="1" x14ac:dyDescent="0.3">
      <c r="J636" s="5"/>
      <c r="K636" s="39"/>
      <c r="L636" s="12"/>
      <c r="M636" s="5"/>
      <c r="N636" s="13"/>
      <c r="P636" s="40"/>
      <c r="U636" s="6"/>
      <c r="V636" s="6"/>
      <c r="Y636" s="14"/>
      <c r="Z636" s="5"/>
    </row>
    <row r="637" spans="10:26" ht="14.25" customHeight="1" x14ac:dyDescent="0.3">
      <c r="J637" s="5"/>
      <c r="K637" s="39"/>
      <c r="L637" s="12"/>
      <c r="M637" s="5"/>
      <c r="N637" s="13"/>
      <c r="P637" s="40"/>
      <c r="U637" s="6"/>
      <c r="V637" s="6"/>
      <c r="Y637" s="14"/>
      <c r="Z637" s="5"/>
    </row>
    <row r="638" spans="10:26" ht="14.25" customHeight="1" x14ac:dyDescent="0.3">
      <c r="J638" s="5"/>
      <c r="K638" s="39"/>
      <c r="L638" s="12"/>
      <c r="M638" s="5"/>
      <c r="N638" s="13"/>
      <c r="P638" s="40"/>
      <c r="U638" s="6"/>
      <c r="V638" s="6"/>
      <c r="Y638" s="14"/>
      <c r="Z638" s="5"/>
    </row>
    <row r="639" spans="10:26" ht="14.25" customHeight="1" x14ac:dyDescent="0.3">
      <c r="J639" s="5"/>
      <c r="K639" s="39"/>
      <c r="L639" s="12"/>
      <c r="M639" s="5"/>
      <c r="N639" s="13"/>
      <c r="P639" s="40"/>
      <c r="U639" s="6"/>
      <c r="V639" s="6"/>
      <c r="Y639" s="14"/>
      <c r="Z639" s="5"/>
    </row>
    <row r="640" spans="10:26" ht="14.25" customHeight="1" x14ac:dyDescent="0.3">
      <c r="J640" s="5"/>
      <c r="K640" s="39"/>
      <c r="L640" s="12"/>
      <c r="M640" s="5"/>
      <c r="N640" s="13"/>
      <c r="P640" s="40"/>
      <c r="U640" s="6"/>
      <c r="V640" s="6"/>
      <c r="Y640" s="14"/>
      <c r="Z640" s="5"/>
    </row>
    <row r="641" spans="10:26" ht="14.25" customHeight="1" x14ac:dyDescent="0.3">
      <c r="J641" s="5"/>
      <c r="K641" s="39"/>
      <c r="L641" s="12"/>
      <c r="M641" s="5"/>
      <c r="N641" s="13"/>
      <c r="P641" s="40"/>
      <c r="U641" s="6"/>
      <c r="V641" s="6"/>
      <c r="Y641" s="14"/>
      <c r="Z641" s="5"/>
    </row>
    <row r="642" spans="10:26" ht="14.25" customHeight="1" x14ac:dyDescent="0.3">
      <c r="J642" s="5"/>
      <c r="K642" s="39"/>
      <c r="L642" s="12"/>
      <c r="M642" s="5"/>
      <c r="N642" s="13"/>
      <c r="P642" s="40"/>
      <c r="U642" s="6"/>
      <c r="V642" s="6"/>
      <c r="Y642" s="14"/>
      <c r="Z642" s="5"/>
    </row>
    <row r="643" spans="10:26" ht="14.25" customHeight="1" x14ac:dyDescent="0.3">
      <c r="J643" s="5"/>
      <c r="K643" s="39"/>
      <c r="L643" s="12"/>
      <c r="M643" s="5"/>
      <c r="N643" s="13"/>
      <c r="P643" s="40"/>
      <c r="U643" s="6"/>
      <c r="V643" s="6"/>
      <c r="Y643" s="14"/>
      <c r="Z643" s="5"/>
    </row>
    <row r="644" spans="10:26" ht="14.25" customHeight="1" x14ac:dyDescent="0.3">
      <c r="J644" s="5"/>
      <c r="K644" s="39"/>
      <c r="L644" s="12"/>
      <c r="M644" s="5"/>
      <c r="N644" s="13"/>
      <c r="P644" s="40"/>
      <c r="U644" s="6"/>
      <c r="V644" s="6"/>
      <c r="Y644" s="14"/>
      <c r="Z644" s="5"/>
    </row>
    <row r="645" spans="10:26" ht="14.25" customHeight="1" x14ac:dyDescent="0.3">
      <c r="J645" s="5"/>
      <c r="K645" s="39"/>
      <c r="L645" s="12"/>
      <c r="M645" s="5"/>
      <c r="N645" s="13"/>
      <c r="P645" s="40"/>
      <c r="U645" s="6"/>
      <c r="V645" s="6"/>
      <c r="Y645" s="14"/>
      <c r="Z645" s="5"/>
    </row>
    <row r="646" spans="10:26" ht="14.25" customHeight="1" x14ac:dyDescent="0.3">
      <c r="J646" s="5"/>
      <c r="K646" s="39"/>
      <c r="L646" s="12"/>
      <c r="M646" s="5"/>
      <c r="N646" s="13"/>
      <c r="P646" s="40"/>
      <c r="U646" s="6"/>
      <c r="V646" s="6"/>
      <c r="Y646" s="14"/>
      <c r="Z646" s="5"/>
    </row>
    <row r="647" spans="10:26" ht="14.25" customHeight="1" x14ac:dyDescent="0.3">
      <c r="J647" s="5"/>
      <c r="K647" s="39"/>
      <c r="L647" s="12"/>
      <c r="M647" s="5"/>
      <c r="N647" s="13"/>
      <c r="P647" s="40"/>
      <c r="U647" s="6"/>
      <c r="V647" s="6"/>
      <c r="Y647" s="14"/>
      <c r="Z647" s="5"/>
    </row>
    <row r="648" spans="10:26" ht="14.25" customHeight="1" x14ac:dyDescent="0.3">
      <c r="J648" s="5"/>
      <c r="K648" s="39"/>
      <c r="L648" s="12"/>
      <c r="M648" s="5"/>
      <c r="N648" s="13"/>
      <c r="P648" s="40"/>
      <c r="U648" s="6"/>
      <c r="V648" s="6"/>
      <c r="Y648" s="14"/>
      <c r="Z648" s="5"/>
    </row>
    <row r="649" spans="10:26" ht="14.25" customHeight="1" x14ac:dyDescent="0.3">
      <c r="J649" s="5"/>
      <c r="K649" s="39"/>
      <c r="L649" s="12"/>
      <c r="M649" s="5"/>
      <c r="N649" s="13"/>
      <c r="P649" s="40"/>
      <c r="U649" s="6"/>
      <c r="V649" s="6"/>
      <c r="Y649" s="14"/>
      <c r="Z649" s="5"/>
    </row>
    <row r="650" spans="10:26" ht="14.25" customHeight="1" x14ac:dyDescent="0.3">
      <c r="J650" s="5"/>
      <c r="K650" s="39"/>
      <c r="L650" s="12"/>
      <c r="M650" s="5"/>
      <c r="N650" s="13"/>
      <c r="P650" s="40"/>
      <c r="U650" s="6"/>
      <c r="V650" s="6"/>
      <c r="Y650" s="14"/>
      <c r="Z650" s="5"/>
    </row>
    <row r="651" spans="10:26" ht="14.25" customHeight="1" x14ac:dyDescent="0.3">
      <c r="J651" s="5"/>
      <c r="K651" s="39"/>
      <c r="L651" s="12"/>
      <c r="M651" s="5"/>
      <c r="N651" s="13"/>
      <c r="P651" s="40"/>
      <c r="U651" s="6"/>
      <c r="V651" s="6"/>
      <c r="Y651" s="14"/>
      <c r="Z651" s="5"/>
    </row>
    <row r="652" spans="10:26" ht="14.25" customHeight="1" x14ac:dyDescent="0.3">
      <c r="J652" s="5"/>
      <c r="K652" s="39"/>
      <c r="L652" s="12"/>
      <c r="M652" s="5"/>
      <c r="N652" s="13"/>
      <c r="P652" s="40"/>
      <c r="U652" s="6"/>
      <c r="V652" s="6"/>
      <c r="Y652" s="14"/>
      <c r="Z652" s="5"/>
    </row>
    <row r="653" spans="10:26" ht="14.25" customHeight="1" x14ac:dyDescent="0.3">
      <c r="J653" s="5"/>
      <c r="K653" s="39"/>
      <c r="L653" s="12"/>
      <c r="M653" s="5"/>
      <c r="N653" s="13"/>
      <c r="P653" s="40"/>
      <c r="U653" s="6"/>
      <c r="V653" s="6"/>
      <c r="Y653" s="14"/>
      <c r="Z653" s="5"/>
    </row>
    <row r="654" spans="10:26" ht="14.25" customHeight="1" x14ac:dyDescent="0.3">
      <c r="J654" s="5"/>
      <c r="K654" s="39"/>
      <c r="L654" s="12"/>
      <c r="M654" s="5"/>
      <c r="N654" s="13"/>
      <c r="P654" s="40"/>
      <c r="U654" s="6"/>
      <c r="V654" s="6"/>
      <c r="Y654" s="14"/>
      <c r="Z654" s="5"/>
    </row>
    <row r="655" spans="10:26" ht="14.25" customHeight="1" x14ac:dyDescent="0.3">
      <c r="J655" s="5"/>
      <c r="K655" s="39"/>
      <c r="L655" s="12"/>
      <c r="M655" s="5"/>
      <c r="N655" s="13"/>
      <c r="P655" s="40"/>
      <c r="U655" s="6"/>
      <c r="V655" s="6"/>
      <c r="Y655" s="14"/>
      <c r="Z655" s="5"/>
    </row>
    <row r="656" spans="10:26" ht="14.25" customHeight="1" x14ac:dyDescent="0.3">
      <c r="J656" s="5"/>
      <c r="K656" s="39"/>
      <c r="L656" s="12"/>
      <c r="M656" s="5"/>
      <c r="N656" s="13"/>
      <c r="P656" s="40"/>
      <c r="U656" s="6"/>
      <c r="V656" s="6"/>
      <c r="Y656" s="14"/>
      <c r="Z656" s="5"/>
    </row>
    <row r="657" spans="10:26" ht="14.25" customHeight="1" x14ac:dyDescent="0.3">
      <c r="J657" s="5"/>
      <c r="K657" s="39"/>
      <c r="L657" s="12"/>
      <c r="M657" s="5"/>
      <c r="N657" s="13"/>
      <c r="P657" s="40"/>
      <c r="U657" s="6"/>
      <c r="V657" s="6"/>
      <c r="Y657" s="14"/>
      <c r="Z657" s="5"/>
    </row>
    <row r="658" spans="10:26" ht="14.25" customHeight="1" x14ac:dyDescent="0.3">
      <c r="J658" s="5"/>
      <c r="K658" s="39"/>
      <c r="L658" s="12"/>
      <c r="M658" s="5"/>
      <c r="N658" s="13"/>
      <c r="P658" s="40"/>
      <c r="U658" s="6"/>
      <c r="V658" s="6"/>
      <c r="Y658" s="14"/>
      <c r="Z658" s="5"/>
    </row>
    <row r="659" spans="10:26" ht="14.25" customHeight="1" x14ac:dyDescent="0.3">
      <c r="J659" s="5"/>
      <c r="K659" s="39"/>
      <c r="L659" s="12"/>
      <c r="M659" s="5"/>
      <c r="N659" s="13"/>
      <c r="P659" s="40"/>
      <c r="U659" s="6"/>
      <c r="V659" s="6"/>
      <c r="Y659" s="14"/>
      <c r="Z659" s="5"/>
    </row>
    <row r="660" spans="10:26" ht="14.25" customHeight="1" x14ac:dyDescent="0.3">
      <c r="J660" s="5"/>
      <c r="K660" s="39"/>
      <c r="L660" s="12"/>
      <c r="M660" s="5"/>
      <c r="N660" s="13"/>
      <c r="P660" s="40"/>
      <c r="U660" s="6"/>
      <c r="V660" s="6"/>
      <c r="Y660" s="14"/>
      <c r="Z660" s="5"/>
    </row>
    <row r="661" spans="10:26" ht="14.25" customHeight="1" x14ac:dyDescent="0.3">
      <c r="J661" s="5"/>
      <c r="K661" s="39"/>
      <c r="L661" s="12"/>
      <c r="M661" s="5"/>
      <c r="N661" s="13"/>
      <c r="P661" s="40"/>
      <c r="U661" s="6"/>
      <c r="V661" s="6"/>
      <c r="Y661" s="14"/>
      <c r="Z661" s="5"/>
    </row>
    <row r="662" spans="10:26" ht="14.25" customHeight="1" x14ac:dyDescent="0.3">
      <c r="J662" s="5"/>
      <c r="K662" s="39"/>
      <c r="L662" s="12"/>
      <c r="M662" s="5"/>
      <c r="N662" s="13"/>
      <c r="P662" s="40"/>
      <c r="U662" s="6"/>
      <c r="V662" s="6"/>
      <c r="Y662" s="14"/>
      <c r="Z662" s="5"/>
    </row>
    <row r="663" spans="10:26" ht="14.25" customHeight="1" x14ac:dyDescent="0.3">
      <c r="J663" s="5"/>
      <c r="K663" s="39"/>
      <c r="L663" s="12"/>
      <c r="M663" s="5"/>
      <c r="N663" s="13"/>
      <c r="P663" s="40"/>
      <c r="U663" s="6"/>
      <c r="V663" s="6"/>
      <c r="Y663" s="14"/>
      <c r="Z663" s="5"/>
    </row>
    <row r="664" spans="10:26" ht="14.25" customHeight="1" x14ac:dyDescent="0.3">
      <c r="J664" s="5"/>
      <c r="K664" s="39"/>
      <c r="L664" s="12"/>
      <c r="M664" s="5"/>
      <c r="N664" s="13"/>
      <c r="P664" s="40"/>
      <c r="U664" s="6"/>
      <c r="V664" s="6"/>
      <c r="Y664" s="14"/>
      <c r="Z664" s="5"/>
    </row>
    <row r="665" spans="10:26" ht="14.25" customHeight="1" x14ac:dyDescent="0.3">
      <c r="J665" s="5"/>
      <c r="K665" s="39"/>
      <c r="L665" s="12"/>
      <c r="M665" s="5"/>
      <c r="N665" s="13"/>
      <c r="P665" s="40"/>
      <c r="U665" s="6"/>
      <c r="V665" s="6"/>
      <c r="Y665" s="14"/>
      <c r="Z665" s="5"/>
    </row>
    <row r="666" spans="10:26" ht="14.25" customHeight="1" x14ac:dyDescent="0.3">
      <c r="J666" s="5"/>
      <c r="K666" s="39"/>
      <c r="L666" s="12"/>
      <c r="M666" s="5"/>
      <c r="N666" s="13"/>
      <c r="P666" s="40"/>
      <c r="U666" s="6"/>
      <c r="V666" s="6"/>
      <c r="Y666" s="14"/>
      <c r="Z666" s="5"/>
    </row>
    <row r="667" spans="10:26" ht="14.25" customHeight="1" x14ac:dyDescent="0.3">
      <c r="J667" s="5"/>
      <c r="K667" s="39"/>
      <c r="L667" s="12"/>
      <c r="M667" s="5"/>
      <c r="N667" s="13"/>
      <c r="P667" s="40"/>
      <c r="U667" s="6"/>
      <c r="V667" s="6"/>
      <c r="Y667" s="14"/>
      <c r="Z667" s="5"/>
    </row>
    <row r="668" spans="10:26" ht="14.25" customHeight="1" x14ac:dyDescent="0.3">
      <c r="J668" s="5"/>
      <c r="K668" s="39"/>
      <c r="L668" s="12"/>
      <c r="M668" s="5"/>
      <c r="N668" s="13"/>
      <c r="P668" s="40"/>
      <c r="U668" s="6"/>
      <c r="V668" s="6"/>
      <c r="Y668" s="14"/>
      <c r="Z668" s="5"/>
    </row>
    <row r="669" spans="10:26" ht="14.25" customHeight="1" x14ac:dyDescent="0.3">
      <c r="J669" s="5"/>
      <c r="K669" s="39"/>
      <c r="L669" s="12"/>
      <c r="M669" s="5"/>
      <c r="N669" s="13"/>
      <c r="P669" s="40"/>
      <c r="U669" s="6"/>
      <c r="V669" s="6"/>
      <c r="Y669" s="14"/>
      <c r="Z669" s="5"/>
    </row>
    <row r="670" spans="10:26" ht="14.25" customHeight="1" x14ac:dyDescent="0.3">
      <c r="J670" s="5"/>
      <c r="K670" s="39"/>
      <c r="L670" s="12"/>
      <c r="M670" s="5"/>
      <c r="N670" s="13"/>
      <c r="P670" s="40"/>
      <c r="U670" s="6"/>
      <c r="V670" s="6"/>
      <c r="Y670" s="14"/>
      <c r="Z670" s="5"/>
    </row>
    <row r="671" spans="10:26" ht="14.25" customHeight="1" x14ac:dyDescent="0.3">
      <c r="J671" s="5"/>
      <c r="K671" s="39"/>
      <c r="L671" s="12"/>
      <c r="M671" s="5"/>
      <c r="N671" s="13"/>
      <c r="P671" s="40"/>
      <c r="U671" s="6"/>
      <c r="V671" s="6"/>
      <c r="Y671" s="14"/>
      <c r="Z671" s="5"/>
    </row>
    <row r="672" spans="10:26" ht="14.25" customHeight="1" x14ac:dyDescent="0.3">
      <c r="J672" s="5"/>
      <c r="K672" s="39"/>
      <c r="L672" s="12"/>
      <c r="M672" s="5"/>
      <c r="N672" s="13"/>
      <c r="P672" s="40"/>
      <c r="U672" s="6"/>
      <c r="V672" s="6"/>
      <c r="Y672" s="14"/>
      <c r="Z672" s="5"/>
    </row>
    <row r="673" spans="10:26" ht="14.25" customHeight="1" x14ac:dyDescent="0.3">
      <c r="J673" s="5"/>
      <c r="K673" s="39"/>
      <c r="L673" s="12"/>
      <c r="M673" s="5"/>
      <c r="N673" s="13"/>
      <c r="P673" s="40"/>
      <c r="U673" s="6"/>
      <c r="V673" s="6"/>
      <c r="Y673" s="14"/>
      <c r="Z673" s="5"/>
    </row>
    <row r="674" spans="10:26" ht="14.25" customHeight="1" x14ac:dyDescent="0.3">
      <c r="J674" s="5"/>
      <c r="K674" s="39"/>
      <c r="L674" s="12"/>
      <c r="M674" s="5"/>
      <c r="N674" s="13"/>
      <c r="P674" s="40"/>
      <c r="U674" s="6"/>
      <c r="V674" s="6"/>
      <c r="Y674" s="14"/>
      <c r="Z674" s="5"/>
    </row>
    <row r="675" spans="10:26" ht="14.25" customHeight="1" x14ac:dyDescent="0.3">
      <c r="J675" s="5"/>
      <c r="K675" s="39"/>
      <c r="L675" s="12"/>
      <c r="M675" s="5"/>
      <c r="N675" s="13"/>
      <c r="P675" s="40"/>
      <c r="U675" s="6"/>
      <c r="V675" s="6"/>
      <c r="Y675" s="14"/>
      <c r="Z675" s="5"/>
    </row>
    <row r="676" spans="10:26" ht="14.25" customHeight="1" x14ac:dyDescent="0.3">
      <c r="J676" s="5"/>
      <c r="K676" s="39"/>
      <c r="L676" s="12"/>
      <c r="M676" s="5"/>
      <c r="N676" s="13"/>
      <c r="P676" s="40"/>
      <c r="U676" s="6"/>
      <c r="V676" s="6"/>
      <c r="Y676" s="14"/>
      <c r="Z676" s="5"/>
    </row>
    <row r="677" spans="10:26" ht="14.25" customHeight="1" x14ac:dyDescent="0.3">
      <c r="J677" s="5"/>
      <c r="K677" s="39"/>
      <c r="L677" s="12"/>
      <c r="M677" s="5"/>
      <c r="N677" s="13"/>
      <c r="P677" s="40"/>
      <c r="U677" s="6"/>
      <c r="V677" s="6"/>
      <c r="Y677" s="14"/>
      <c r="Z677" s="5"/>
    </row>
    <row r="678" spans="10:26" ht="14.25" customHeight="1" x14ac:dyDescent="0.3">
      <c r="J678" s="5"/>
      <c r="K678" s="39"/>
      <c r="L678" s="12"/>
      <c r="M678" s="5"/>
      <c r="N678" s="13"/>
      <c r="P678" s="40"/>
      <c r="U678" s="6"/>
      <c r="V678" s="6"/>
      <c r="Y678" s="14"/>
      <c r="Z678" s="5"/>
    </row>
    <row r="679" spans="10:26" ht="14.25" customHeight="1" x14ac:dyDescent="0.3">
      <c r="J679" s="5"/>
      <c r="K679" s="39"/>
      <c r="L679" s="12"/>
      <c r="M679" s="5"/>
      <c r="N679" s="13"/>
      <c r="P679" s="40"/>
      <c r="U679" s="6"/>
      <c r="V679" s="6"/>
      <c r="Y679" s="14"/>
      <c r="Z679" s="5"/>
    </row>
    <row r="680" spans="10:26" ht="14.25" customHeight="1" x14ac:dyDescent="0.3">
      <c r="J680" s="5"/>
      <c r="K680" s="39"/>
      <c r="L680" s="12"/>
      <c r="M680" s="5"/>
      <c r="N680" s="13"/>
      <c r="P680" s="40"/>
      <c r="U680" s="6"/>
      <c r="V680" s="6"/>
      <c r="Y680" s="14"/>
      <c r="Z680" s="5"/>
    </row>
    <row r="681" spans="10:26" ht="14.25" customHeight="1" x14ac:dyDescent="0.3">
      <c r="J681" s="5"/>
      <c r="K681" s="39"/>
      <c r="L681" s="12"/>
      <c r="M681" s="5"/>
      <c r="N681" s="13"/>
      <c r="P681" s="40"/>
      <c r="U681" s="6"/>
      <c r="V681" s="6"/>
      <c r="Y681" s="14"/>
      <c r="Z681" s="5"/>
    </row>
    <row r="682" spans="10:26" ht="14.25" customHeight="1" x14ac:dyDescent="0.3">
      <c r="J682" s="5"/>
      <c r="K682" s="39"/>
      <c r="L682" s="12"/>
      <c r="M682" s="5"/>
      <c r="N682" s="13"/>
      <c r="P682" s="40"/>
      <c r="U682" s="6"/>
      <c r="V682" s="6"/>
      <c r="Y682" s="14"/>
      <c r="Z682" s="5"/>
    </row>
    <row r="683" spans="10:26" ht="14.25" customHeight="1" x14ac:dyDescent="0.3">
      <c r="J683" s="5"/>
      <c r="K683" s="39"/>
      <c r="L683" s="12"/>
      <c r="M683" s="5"/>
      <c r="N683" s="13"/>
      <c r="P683" s="40"/>
      <c r="U683" s="6"/>
      <c r="V683" s="6"/>
      <c r="Y683" s="14"/>
      <c r="Z683" s="5"/>
    </row>
    <row r="684" spans="10:26" ht="14.25" customHeight="1" x14ac:dyDescent="0.3">
      <c r="J684" s="5"/>
      <c r="K684" s="39"/>
      <c r="L684" s="12"/>
      <c r="M684" s="5"/>
      <c r="N684" s="13"/>
      <c r="P684" s="40"/>
      <c r="U684" s="6"/>
      <c r="V684" s="6"/>
      <c r="Y684" s="14"/>
      <c r="Z684" s="5"/>
    </row>
    <row r="685" spans="10:26" ht="14.25" customHeight="1" x14ac:dyDescent="0.3">
      <c r="J685" s="5"/>
      <c r="K685" s="39"/>
      <c r="L685" s="12"/>
      <c r="M685" s="5"/>
      <c r="N685" s="13"/>
      <c r="P685" s="40"/>
      <c r="U685" s="6"/>
      <c r="V685" s="6"/>
      <c r="Y685" s="14"/>
      <c r="Z685" s="5"/>
    </row>
    <row r="686" spans="10:26" ht="14.25" customHeight="1" x14ac:dyDescent="0.3">
      <c r="J686" s="5"/>
      <c r="K686" s="39"/>
      <c r="L686" s="12"/>
      <c r="M686" s="5"/>
      <c r="N686" s="13"/>
      <c r="P686" s="40"/>
      <c r="U686" s="6"/>
      <c r="V686" s="6"/>
      <c r="Y686" s="14"/>
      <c r="Z686" s="5"/>
    </row>
    <row r="687" spans="10:26" ht="14.25" customHeight="1" x14ac:dyDescent="0.3">
      <c r="J687" s="5"/>
      <c r="K687" s="39"/>
      <c r="L687" s="12"/>
      <c r="M687" s="5"/>
      <c r="N687" s="13"/>
      <c r="P687" s="40"/>
      <c r="U687" s="6"/>
      <c r="V687" s="6"/>
      <c r="Y687" s="14"/>
      <c r="Z687" s="5"/>
    </row>
    <row r="688" spans="10:26" ht="14.25" customHeight="1" x14ac:dyDescent="0.3">
      <c r="J688" s="5"/>
      <c r="K688" s="39"/>
      <c r="L688" s="12"/>
      <c r="M688" s="5"/>
      <c r="N688" s="13"/>
      <c r="P688" s="40"/>
      <c r="U688" s="6"/>
      <c r="V688" s="6"/>
      <c r="Y688" s="14"/>
      <c r="Z688" s="5"/>
    </row>
    <row r="689" spans="10:26" ht="14.25" customHeight="1" x14ac:dyDescent="0.3">
      <c r="J689" s="5"/>
      <c r="K689" s="39"/>
      <c r="L689" s="12"/>
      <c r="M689" s="5"/>
      <c r="N689" s="13"/>
      <c r="P689" s="40"/>
      <c r="U689" s="6"/>
      <c r="V689" s="6"/>
      <c r="Y689" s="14"/>
      <c r="Z689" s="5"/>
    </row>
    <row r="690" spans="10:26" ht="14.25" customHeight="1" x14ac:dyDescent="0.3">
      <c r="J690" s="5"/>
      <c r="K690" s="39"/>
      <c r="L690" s="12"/>
      <c r="M690" s="5"/>
      <c r="N690" s="13"/>
      <c r="P690" s="40"/>
      <c r="U690" s="6"/>
      <c r="V690" s="6"/>
      <c r="Y690" s="14"/>
      <c r="Z690" s="5"/>
    </row>
    <row r="691" spans="10:26" ht="14.25" customHeight="1" x14ac:dyDescent="0.3">
      <c r="J691" s="5"/>
      <c r="K691" s="39"/>
      <c r="L691" s="12"/>
      <c r="M691" s="5"/>
      <c r="N691" s="13"/>
      <c r="P691" s="40"/>
      <c r="U691" s="6"/>
      <c r="V691" s="6"/>
      <c r="Y691" s="14"/>
      <c r="Z691" s="5"/>
    </row>
    <row r="692" spans="10:26" ht="14.25" customHeight="1" x14ac:dyDescent="0.3">
      <c r="J692" s="5"/>
      <c r="K692" s="39"/>
      <c r="L692" s="12"/>
      <c r="M692" s="5"/>
      <c r="N692" s="13"/>
      <c r="P692" s="40"/>
      <c r="U692" s="6"/>
      <c r="V692" s="6"/>
      <c r="Y692" s="14"/>
      <c r="Z692" s="5"/>
    </row>
    <row r="693" spans="10:26" ht="14.25" customHeight="1" x14ac:dyDescent="0.3">
      <c r="J693" s="5"/>
      <c r="K693" s="39"/>
      <c r="L693" s="12"/>
      <c r="M693" s="5"/>
      <c r="N693" s="13"/>
      <c r="P693" s="40"/>
      <c r="U693" s="6"/>
      <c r="V693" s="6"/>
      <c r="Y693" s="14"/>
      <c r="Z693" s="5"/>
    </row>
    <row r="694" spans="10:26" ht="14.25" customHeight="1" x14ac:dyDescent="0.3">
      <c r="J694" s="5"/>
      <c r="K694" s="39"/>
      <c r="L694" s="12"/>
      <c r="M694" s="5"/>
      <c r="N694" s="13"/>
      <c r="P694" s="40"/>
      <c r="U694" s="6"/>
      <c r="V694" s="6"/>
      <c r="Y694" s="14"/>
      <c r="Z694" s="5"/>
    </row>
    <row r="695" spans="10:26" ht="14.25" customHeight="1" x14ac:dyDescent="0.3">
      <c r="J695" s="5"/>
      <c r="K695" s="39"/>
      <c r="L695" s="12"/>
      <c r="M695" s="5"/>
      <c r="N695" s="13"/>
      <c r="P695" s="40"/>
      <c r="U695" s="6"/>
      <c r="V695" s="6"/>
      <c r="Y695" s="14"/>
      <c r="Z695" s="5"/>
    </row>
    <row r="696" spans="10:26" ht="14.25" customHeight="1" x14ac:dyDescent="0.3">
      <c r="J696" s="5"/>
      <c r="K696" s="39"/>
      <c r="L696" s="12"/>
      <c r="M696" s="5"/>
      <c r="N696" s="13"/>
      <c r="P696" s="40"/>
      <c r="U696" s="6"/>
      <c r="V696" s="6"/>
      <c r="Y696" s="14"/>
      <c r="Z696" s="5"/>
    </row>
    <row r="697" spans="10:26" ht="14.25" customHeight="1" x14ac:dyDescent="0.3">
      <c r="J697" s="5"/>
      <c r="K697" s="39"/>
      <c r="L697" s="12"/>
      <c r="M697" s="5"/>
      <c r="N697" s="13"/>
      <c r="P697" s="40"/>
      <c r="U697" s="6"/>
      <c r="V697" s="6"/>
      <c r="Y697" s="14"/>
      <c r="Z697" s="5"/>
    </row>
    <row r="698" spans="10:26" ht="14.25" customHeight="1" x14ac:dyDescent="0.3">
      <c r="J698" s="5"/>
      <c r="K698" s="39"/>
      <c r="L698" s="12"/>
      <c r="M698" s="5"/>
      <c r="N698" s="13"/>
      <c r="P698" s="40"/>
      <c r="U698" s="6"/>
      <c r="V698" s="6"/>
      <c r="Y698" s="14"/>
      <c r="Z698" s="5"/>
    </row>
    <row r="699" spans="10:26" ht="14.25" customHeight="1" x14ac:dyDescent="0.3">
      <c r="J699" s="5"/>
      <c r="K699" s="39"/>
      <c r="L699" s="12"/>
      <c r="M699" s="5"/>
      <c r="N699" s="13"/>
      <c r="P699" s="40"/>
      <c r="U699" s="6"/>
      <c r="V699" s="6"/>
      <c r="Y699" s="14"/>
      <c r="Z699" s="5"/>
    </row>
    <row r="700" spans="10:26" ht="14.25" customHeight="1" x14ac:dyDescent="0.3">
      <c r="J700" s="5"/>
      <c r="K700" s="39"/>
      <c r="L700" s="12"/>
      <c r="M700" s="5"/>
      <c r="N700" s="13"/>
      <c r="P700" s="40"/>
      <c r="U700" s="6"/>
      <c r="V700" s="6"/>
      <c r="Y700" s="14"/>
      <c r="Z700" s="5"/>
    </row>
    <row r="701" spans="10:26" ht="14.25" customHeight="1" x14ac:dyDescent="0.3">
      <c r="J701" s="5"/>
      <c r="K701" s="39"/>
      <c r="L701" s="12"/>
      <c r="M701" s="5"/>
      <c r="N701" s="13"/>
      <c r="P701" s="40"/>
      <c r="U701" s="6"/>
      <c r="V701" s="6"/>
      <c r="Y701" s="14"/>
      <c r="Z701" s="5"/>
    </row>
    <row r="702" spans="10:26" ht="14.25" customHeight="1" x14ac:dyDescent="0.3">
      <c r="J702" s="5"/>
      <c r="K702" s="39"/>
      <c r="L702" s="12"/>
      <c r="M702" s="5"/>
      <c r="N702" s="13"/>
      <c r="P702" s="40"/>
      <c r="U702" s="6"/>
      <c r="V702" s="6"/>
      <c r="Y702" s="14"/>
      <c r="Z702" s="5"/>
    </row>
    <row r="703" spans="10:26" ht="14.25" customHeight="1" x14ac:dyDescent="0.3">
      <c r="J703" s="5"/>
      <c r="K703" s="39"/>
      <c r="L703" s="12"/>
      <c r="M703" s="5"/>
      <c r="N703" s="13"/>
      <c r="P703" s="40"/>
      <c r="U703" s="6"/>
      <c r="V703" s="6"/>
      <c r="Y703" s="14"/>
      <c r="Z703" s="5"/>
    </row>
    <row r="704" spans="10:26" ht="14.25" customHeight="1" x14ac:dyDescent="0.3">
      <c r="J704" s="5"/>
      <c r="K704" s="39"/>
      <c r="L704" s="12"/>
      <c r="M704" s="5"/>
      <c r="N704" s="13"/>
      <c r="P704" s="40"/>
      <c r="U704" s="6"/>
      <c r="V704" s="6"/>
      <c r="Y704" s="14"/>
      <c r="Z704" s="5"/>
    </row>
    <row r="705" spans="10:26" ht="14.25" customHeight="1" x14ac:dyDescent="0.3">
      <c r="J705" s="5"/>
      <c r="K705" s="39"/>
      <c r="L705" s="12"/>
      <c r="M705" s="5"/>
      <c r="N705" s="13"/>
      <c r="P705" s="40"/>
      <c r="U705" s="6"/>
      <c r="V705" s="6"/>
      <c r="Y705" s="14"/>
      <c r="Z705" s="5"/>
    </row>
    <row r="706" spans="10:26" ht="14.25" customHeight="1" x14ac:dyDescent="0.3">
      <c r="J706" s="5"/>
      <c r="K706" s="39"/>
      <c r="L706" s="12"/>
      <c r="M706" s="5"/>
      <c r="N706" s="13"/>
      <c r="P706" s="40"/>
      <c r="U706" s="6"/>
      <c r="V706" s="6"/>
      <c r="Y706" s="14"/>
      <c r="Z706" s="5"/>
    </row>
    <row r="707" spans="10:26" ht="14.25" customHeight="1" x14ac:dyDescent="0.3">
      <c r="J707" s="5"/>
      <c r="K707" s="39"/>
      <c r="L707" s="12"/>
      <c r="M707" s="5"/>
      <c r="N707" s="13"/>
      <c r="P707" s="40"/>
      <c r="U707" s="6"/>
      <c r="V707" s="6"/>
      <c r="Y707" s="14"/>
      <c r="Z707" s="5"/>
    </row>
    <row r="708" spans="10:26" ht="14.25" customHeight="1" x14ac:dyDescent="0.3">
      <c r="J708" s="5"/>
      <c r="K708" s="39"/>
      <c r="L708" s="12"/>
      <c r="M708" s="5"/>
      <c r="N708" s="13"/>
      <c r="P708" s="40"/>
      <c r="U708" s="6"/>
      <c r="V708" s="6"/>
      <c r="Y708" s="14"/>
      <c r="Z708" s="5"/>
    </row>
    <row r="709" spans="10:26" ht="14.25" customHeight="1" x14ac:dyDescent="0.3">
      <c r="J709" s="5"/>
      <c r="K709" s="39"/>
      <c r="L709" s="12"/>
      <c r="M709" s="5"/>
      <c r="N709" s="13"/>
      <c r="P709" s="40"/>
      <c r="U709" s="6"/>
      <c r="V709" s="6"/>
      <c r="Y709" s="14"/>
      <c r="Z709" s="5"/>
    </row>
    <row r="710" spans="10:26" ht="14.25" customHeight="1" x14ac:dyDescent="0.3">
      <c r="J710" s="5"/>
      <c r="K710" s="39"/>
      <c r="L710" s="12"/>
      <c r="M710" s="5"/>
      <c r="N710" s="13"/>
      <c r="P710" s="40"/>
      <c r="U710" s="6"/>
      <c r="V710" s="6"/>
      <c r="Y710" s="14"/>
      <c r="Z710" s="5"/>
    </row>
    <row r="711" spans="10:26" ht="14.25" customHeight="1" x14ac:dyDescent="0.3">
      <c r="J711" s="5"/>
      <c r="K711" s="39"/>
      <c r="L711" s="12"/>
      <c r="M711" s="5"/>
      <c r="N711" s="13"/>
      <c r="P711" s="40"/>
      <c r="U711" s="6"/>
      <c r="V711" s="6"/>
      <c r="Y711" s="14"/>
      <c r="Z711" s="5"/>
    </row>
    <row r="712" spans="10:26" ht="14.25" customHeight="1" x14ac:dyDescent="0.3">
      <c r="J712" s="5"/>
      <c r="K712" s="39"/>
      <c r="L712" s="12"/>
      <c r="M712" s="5"/>
      <c r="N712" s="13"/>
      <c r="P712" s="40"/>
      <c r="U712" s="6"/>
      <c r="V712" s="6"/>
      <c r="Y712" s="14"/>
      <c r="Z712" s="5"/>
    </row>
    <row r="713" spans="10:26" ht="14.25" customHeight="1" x14ac:dyDescent="0.3">
      <c r="J713" s="5"/>
      <c r="K713" s="39"/>
      <c r="L713" s="12"/>
      <c r="M713" s="5"/>
      <c r="N713" s="13"/>
      <c r="P713" s="40"/>
      <c r="U713" s="6"/>
      <c r="V713" s="6"/>
      <c r="Y713" s="14"/>
      <c r="Z713" s="5"/>
    </row>
    <row r="714" spans="10:26" ht="14.25" customHeight="1" x14ac:dyDescent="0.3">
      <c r="J714" s="5"/>
      <c r="K714" s="39"/>
      <c r="L714" s="12"/>
      <c r="M714" s="5"/>
      <c r="N714" s="13"/>
      <c r="P714" s="40"/>
      <c r="U714" s="6"/>
      <c r="V714" s="6"/>
      <c r="Y714" s="14"/>
      <c r="Z714" s="5"/>
    </row>
    <row r="715" spans="10:26" ht="14.25" customHeight="1" x14ac:dyDescent="0.3">
      <c r="J715" s="5"/>
      <c r="K715" s="39"/>
      <c r="L715" s="12"/>
      <c r="M715" s="5"/>
      <c r="N715" s="13"/>
      <c r="P715" s="40"/>
      <c r="U715" s="6"/>
      <c r="V715" s="6"/>
      <c r="Y715" s="14"/>
      <c r="Z715" s="5"/>
    </row>
    <row r="716" spans="10:26" ht="14.25" customHeight="1" x14ac:dyDescent="0.3">
      <c r="J716" s="5"/>
      <c r="K716" s="39"/>
      <c r="L716" s="12"/>
      <c r="M716" s="5"/>
      <c r="N716" s="13"/>
      <c r="P716" s="40"/>
      <c r="U716" s="6"/>
      <c r="V716" s="6"/>
      <c r="Y716" s="14"/>
      <c r="Z716" s="5"/>
    </row>
    <row r="717" spans="10:26" ht="14.25" customHeight="1" x14ac:dyDescent="0.3">
      <c r="J717" s="5"/>
      <c r="K717" s="39"/>
      <c r="L717" s="12"/>
      <c r="M717" s="5"/>
      <c r="N717" s="13"/>
      <c r="P717" s="40"/>
      <c r="U717" s="6"/>
      <c r="V717" s="6"/>
      <c r="Y717" s="14"/>
      <c r="Z717" s="5"/>
    </row>
    <row r="718" spans="10:26" ht="14.25" customHeight="1" x14ac:dyDescent="0.3">
      <c r="J718" s="5"/>
      <c r="K718" s="39"/>
      <c r="L718" s="12"/>
      <c r="M718" s="5"/>
      <c r="N718" s="13"/>
      <c r="P718" s="40"/>
      <c r="U718" s="6"/>
      <c r="V718" s="6"/>
      <c r="Y718" s="14"/>
      <c r="Z718" s="5"/>
    </row>
    <row r="719" spans="10:26" ht="14.25" customHeight="1" x14ac:dyDescent="0.3">
      <c r="J719" s="5"/>
      <c r="K719" s="39"/>
      <c r="L719" s="12"/>
      <c r="M719" s="5"/>
      <c r="N719" s="13"/>
      <c r="P719" s="40"/>
      <c r="U719" s="6"/>
      <c r="V719" s="6"/>
      <c r="Y719" s="14"/>
      <c r="Z719" s="5"/>
    </row>
    <row r="720" spans="10:26" ht="14.25" customHeight="1" x14ac:dyDescent="0.3">
      <c r="J720" s="5"/>
      <c r="K720" s="39"/>
      <c r="L720" s="12"/>
      <c r="M720" s="5"/>
      <c r="N720" s="13"/>
      <c r="P720" s="40"/>
      <c r="U720" s="6"/>
      <c r="V720" s="6"/>
      <c r="Y720" s="14"/>
      <c r="Z720" s="5"/>
    </row>
    <row r="721" spans="10:26" ht="14.25" customHeight="1" x14ac:dyDescent="0.3">
      <c r="J721" s="5"/>
      <c r="K721" s="39"/>
      <c r="L721" s="12"/>
      <c r="M721" s="5"/>
      <c r="N721" s="13"/>
      <c r="P721" s="40"/>
      <c r="U721" s="6"/>
      <c r="V721" s="6"/>
      <c r="Y721" s="14"/>
      <c r="Z721" s="5"/>
    </row>
    <row r="722" spans="10:26" ht="14.25" customHeight="1" x14ac:dyDescent="0.3">
      <c r="J722" s="5"/>
      <c r="K722" s="39"/>
      <c r="L722" s="12"/>
      <c r="M722" s="5"/>
      <c r="N722" s="13"/>
      <c r="P722" s="40"/>
      <c r="U722" s="6"/>
      <c r="V722" s="6"/>
      <c r="Y722" s="14"/>
      <c r="Z722" s="5"/>
    </row>
    <row r="723" spans="10:26" ht="14.25" customHeight="1" x14ac:dyDescent="0.3">
      <c r="J723" s="5"/>
      <c r="K723" s="39"/>
      <c r="L723" s="12"/>
      <c r="M723" s="5"/>
      <c r="N723" s="13"/>
      <c r="P723" s="40"/>
      <c r="U723" s="6"/>
      <c r="V723" s="6"/>
      <c r="Y723" s="14"/>
      <c r="Z723" s="5"/>
    </row>
    <row r="724" spans="10:26" ht="14.25" customHeight="1" x14ac:dyDescent="0.3">
      <c r="J724" s="5"/>
      <c r="K724" s="39"/>
      <c r="L724" s="12"/>
      <c r="M724" s="5"/>
      <c r="N724" s="13"/>
      <c r="P724" s="40"/>
      <c r="U724" s="6"/>
      <c r="V724" s="6"/>
      <c r="Y724" s="14"/>
      <c r="Z724" s="5"/>
    </row>
    <row r="725" spans="10:26" ht="14.25" customHeight="1" x14ac:dyDescent="0.3">
      <c r="J725" s="5"/>
      <c r="K725" s="39"/>
      <c r="L725" s="12"/>
      <c r="M725" s="5"/>
      <c r="N725" s="13"/>
      <c r="P725" s="40"/>
      <c r="U725" s="6"/>
      <c r="V725" s="6"/>
      <c r="Y725" s="14"/>
      <c r="Z725" s="5"/>
    </row>
    <row r="726" spans="10:26" ht="14.25" customHeight="1" x14ac:dyDescent="0.3">
      <c r="J726" s="5"/>
      <c r="K726" s="39"/>
      <c r="L726" s="12"/>
      <c r="M726" s="5"/>
      <c r="N726" s="13"/>
      <c r="P726" s="40"/>
      <c r="U726" s="6"/>
      <c r="V726" s="6"/>
      <c r="Y726" s="14"/>
      <c r="Z726" s="5"/>
    </row>
    <row r="727" spans="10:26" ht="14.25" customHeight="1" x14ac:dyDescent="0.3">
      <c r="J727" s="5"/>
      <c r="K727" s="39"/>
      <c r="L727" s="12"/>
      <c r="M727" s="5"/>
      <c r="N727" s="13"/>
      <c r="P727" s="40"/>
      <c r="U727" s="6"/>
      <c r="V727" s="6"/>
      <c r="Y727" s="14"/>
      <c r="Z727" s="5"/>
    </row>
    <row r="728" spans="10:26" ht="14.25" customHeight="1" x14ac:dyDescent="0.3">
      <c r="J728" s="5"/>
      <c r="K728" s="39"/>
      <c r="L728" s="12"/>
      <c r="M728" s="5"/>
      <c r="N728" s="13"/>
      <c r="P728" s="40"/>
      <c r="U728" s="6"/>
      <c r="V728" s="6"/>
      <c r="Y728" s="14"/>
      <c r="Z728" s="5"/>
    </row>
    <row r="729" spans="10:26" ht="14.25" customHeight="1" x14ac:dyDescent="0.3">
      <c r="J729" s="5"/>
      <c r="K729" s="39"/>
      <c r="L729" s="12"/>
      <c r="M729" s="5"/>
      <c r="N729" s="13"/>
      <c r="P729" s="40"/>
      <c r="U729" s="6"/>
      <c r="V729" s="6"/>
      <c r="Y729" s="14"/>
      <c r="Z729" s="5"/>
    </row>
    <row r="730" spans="10:26" ht="14.25" customHeight="1" x14ac:dyDescent="0.3">
      <c r="J730" s="5"/>
      <c r="K730" s="39"/>
      <c r="L730" s="12"/>
      <c r="M730" s="5"/>
      <c r="N730" s="13"/>
      <c r="P730" s="40"/>
      <c r="U730" s="6"/>
      <c r="V730" s="6"/>
      <c r="Y730" s="14"/>
      <c r="Z730" s="5"/>
    </row>
    <row r="731" spans="10:26" ht="14.25" customHeight="1" x14ac:dyDescent="0.3">
      <c r="J731" s="5"/>
      <c r="K731" s="39"/>
      <c r="L731" s="12"/>
      <c r="M731" s="5"/>
      <c r="N731" s="13"/>
      <c r="P731" s="40"/>
      <c r="U731" s="6"/>
      <c r="V731" s="6"/>
      <c r="Y731" s="14"/>
      <c r="Z731" s="5"/>
    </row>
    <row r="732" spans="10:26" ht="14.25" customHeight="1" x14ac:dyDescent="0.3">
      <c r="J732" s="5"/>
      <c r="K732" s="39"/>
      <c r="L732" s="12"/>
      <c r="M732" s="5"/>
      <c r="N732" s="13"/>
      <c r="P732" s="40"/>
      <c r="U732" s="6"/>
      <c r="V732" s="6"/>
      <c r="Y732" s="14"/>
      <c r="Z732" s="5"/>
    </row>
    <row r="733" spans="10:26" ht="14.25" customHeight="1" x14ac:dyDescent="0.3">
      <c r="J733" s="5"/>
      <c r="K733" s="39"/>
      <c r="L733" s="12"/>
      <c r="M733" s="5"/>
      <c r="N733" s="13"/>
      <c r="P733" s="40"/>
      <c r="U733" s="6"/>
      <c r="V733" s="6"/>
      <c r="Y733" s="14"/>
      <c r="Z733" s="5"/>
    </row>
    <row r="734" spans="10:26" ht="14.25" customHeight="1" x14ac:dyDescent="0.3">
      <c r="J734" s="5"/>
      <c r="K734" s="39"/>
      <c r="L734" s="12"/>
      <c r="M734" s="5"/>
      <c r="N734" s="13"/>
      <c r="P734" s="40"/>
      <c r="U734" s="6"/>
      <c r="V734" s="6"/>
      <c r="Y734" s="14"/>
      <c r="Z734" s="5"/>
    </row>
    <row r="735" spans="10:26" ht="14.25" customHeight="1" x14ac:dyDescent="0.3">
      <c r="J735" s="5"/>
      <c r="K735" s="39"/>
      <c r="L735" s="12"/>
      <c r="M735" s="5"/>
      <c r="N735" s="13"/>
      <c r="P735" s="40"/>
      <c r="U735" s="6"/>
      <c r="V735" s="6"/>
      <c r="Y735" s="14"/>
      <c r="Z735" s="5"/>
    </row>
    <row r="736" spans="10:26" ht="14.25" customHeight="1" x14ac:dyDescent="0.3">
      <c r="J736" s="5"/>
      <c r="K736" s="39"/>
      <c r="L736" s="12"/>
      <c r="M736" s="5"/>
      <c r="N736" s="13"/>
      <c r="P736" s="40"/>
      <c r="U736" s="6"/>
      <c r="V736" s="6"/>
      <c r="Y736" s="14"/>
      <c r="Z736" s="5"/>
    </row>
    <row r="737" spans="10:26" ht="14.25" customHeight="1" x14ac:dyDescent="0.3">
      <c r="J737" s="5"/>
      <c r="K737" s="39"/>
      <c r="L737" s="12"/>
      <c r="M737" s="5"/>
      <c r="N737" s="13"/>
      <c r="P737" s="40"/>
      <c r="U737" s="6"/>
      <c r="V737" s="6"/>
      <c r="Y737" s="14"/>
      <c r="Z737" s="5"/>
    </row>
    <row r="738" spans="10:26" ht="14.25" customHeight="1" x14ac:dyDescent="0.3">
      <c r="J738" s="5"/>
      <c r="K738" s="39"/>
      <c r="L738" s="12"/>
      <c r="M738" s="5"/>
      <c r="N738" s="13"/>
      <c r="P738" s="40"/>
      <c r="U738" s="6"/>
      <c r="V738" s="6"/>
      <c r="Y738" s="14"/>
      <c r="Z738" s="5"/>
    </row>
    <row r="739" spans="10:26" ht="14.25" customHeight="1" x14ac:dyDescent="0.3">
      <c r="J739" s="5"/>
      <c r="K739" s="39"/>
      <c r="L739" s="12"/>
      <c r="M739" s="5"/>
      <c r="N739" s="13"/>
      <c r="P739" s="40"/>
      <c r="U739" s="6"/>
      <c r="V739" s="6"/>
      <c r="Y739" s="14"/>
      <c r="Z739" s="5"/>
    </row>
    <row r="740" spans="10:26" ht="14.25" customHeight="1" x14ac:dyDescent="0.3">
      <c r="J740" s="5"/>
      <c r="K740" s="39"/>
      <c r="L740" s="12"/>
      <c r="M740" s="5"/>
      <c r="N740" s="13"/>
      <c r="P740" s="40"/>
      <c r="U740" s="6"/>
      <c r="V740" s="6"/>
      <c r="Y740" s="14"/>
      <c r="Z740" s="5"/>
    </row>
    <row r="741" spans="10:26" ht="14.25" customHeight="1" x14ac:dyDescent="0.3">
      <c r="J741" s="5"/>
      <c r="K741" s="39"/>
      <c r="L741" s="12"/>
      <c r="M741" s="5"/>
      <c r="N741" s="13"/>
      <c r="P741" s="40"/>
      <c r="U741" s="6"/>
      <c r="V741" s="6"/>
      <c r="Y741" s="14"/>
      <c r="Z741" s="5"/>
    </row>
    <row r="742" spans="10:26" ht="14.25" customHeight="1" x14ac:dyDescent="0.3">
      <c r="J742" s="5"/>
      <c r="K742" s="39"/>
      <c r="L742" s="12"/>
      <c r="M742" s="5"/>
      <c r="N742" s="13"/>
      <c r="P742" s="40"/>
      <c r="U742" s="6"/>
      <c r="V742" s="6"/>
      <c r="Y742" s="14"/>
      <c r="Z742" s="5"/>
    </row>
    <row r="743" spans="10:26" ht="14.25" customHeight="1" x14ac:dyDescent="0.3">
      <c r="J743" s="5"/>
      <c r="K743" s="39"/>
      <c r="L743" s="12"/>
      <c r="M743" s="5"/>
      <c r="N743" s="13"/>
      <c r="P743" s="40"/>
      <c r="U743" s="6"/>
      <c r="V743" s="6"/>
      <c r="Y743" s="14"/>
      <c r="Z743" s="5"/>
    </row>
    <row r="744" spans="10:26" ht="14.25" customHeight="1" x14ac:dyDescent="0.3">
      <c r="J744" s="5"/>
      <c r="K744" s="39"/>
      <c r="L744" s="12"/>
      <c r="M744" s="5"/>
      <c r="N744" s="13"/>
      <c r="P744" s="40"/>
      <c r="U744" s="6"/>
      <c r="V744" s="6"/>
      <c r="Y744" s="14"/>
      <c r="Z744" s="5"/>
    </row>
    <row r="745" spans="10:26" ht="14.25" customHeight="1" x14ac:dyDescent="0.3">
      <c r="J745" s="5"/>
      <c r="K745" s="39"/>
      <c r="L745" s="12"/>
      <c r="M745" s="5"/>
      <c r="N745" s="13"/>
      <c r="P745" s="40"/>
      <c r="U745" s="6"/>
      <c r="V745" s="6"/>
      <c r="Y745" s="14"/>
      <c r="Z745" s="5"/>
    </row>
    <row r="746" spans="10:26" ht="14.25" customHeight="1" x14ac:dyDescent="0.3">
      <c r="J746" s="5"/>
      <c r="K746" s="39"/>
      <c r="L746" s="12"/>
      <c r="M746" s="5"/>
      <c r="N746" s="13"/>
      <c r="P746" s="40"/>
      <c r="U746" s="6"/>
      <c r="V746" s="6"/>
      <c r="Y746" s="14"/>
      <c r="Z746" s="5"/>
    </row>
    <row r="747" spans="10:26" ht="14.25" customHeight="1" x14ac:dyDescent="0.3">
      <c r="J747" s="5"/>
      <c r="K747" s="39"/>
      <c r="L747" s="12"/>
      <c r="M747" s="5"/>
      <c r="N747" s="13"/>
      <c r="P747" s="40"/>
      <c r="U747" s="6"/>
      <c r="V747" s="6"/>
      <c r="Y747" s="14"/>
      <c r="Z747" s="5"/>
    </row>
    <row r="748" spans="10:26" ht="14.25" customHeight="1" x14ac:dyDescent="0.3">
      <c r="J748" s="5"/>
      <c r="K748" s="39"/>
      <c r="L748" s="12"/>
      <c r="M748" s="5"/>
      <c r="N748" s="13"/>
      <c r="P748" s="40"/>
      <c r="U748" s="6"/>
      <c r="V748" s="6"/>
      <c r="Y748" s="14"/>
      <c r="Z748" s="5"/>
    </row>
    <row r="749" spans="10:26" ht="14.25" customHeight="1" x14ac:dyDescent="0.3">
      <c r="J749" s="5"/>
      <c r="K749" s="39"/>
      <c r="L749" s="12"/>
      <c r="M749" s="5"/>
      <c r="N749" s="13"/>
      <c r="P749" s="40"/>
      <c r="U749" s="6"/>
      <c r="V749" s="6"/>
      <c r="Y749" s="14"/>
      <c r="Z749" s="5"/>
    </row>
    <row r="750" spans="10:26" ht="14.25" customHeight="1" x14ac:dyDescent="0.3">
      <c r="J750" s="5"/>
      <c r="K750" s="39"/>
      <c r="L750" s="12"/>
      <c r="M750" s="5"/>
      <c r="N750" s="13"/>
      <c r="P750" s="40"/>
      <c r="U750" s="6"/>
      <c r="V750" s="6"/>
      <c r="Y750" s="14"/>
      <c r="Z750" s="5"/>
    </row>
    <row r="751" spans="10:26" ht="14.25" customHeight="1" x14ac:dyDescent="0.3">
      <c r="J751" s="5"/>
      <c r="K751" s="39"/>
      <c r="L751" s="12"/>
      <c r="M751" s="5"/>
      <c r="N751" s="13"/>
      <c r="P751" s="40"/>
      <c r="U751" s="6"/>
      <c r="V751" s="6"/>
      <c r="Y751" s="14"/>
      <c r="Z751" s="5"/>
    </row>
    <row r="752" spans="10:26" ht="14.25" customHeight="1" x14ac:dyDescent="0.3">
      <c r="J752" s="5"/>
      <c r="K752" s="39"/>
      <c r="L752" s="12"/>
      <c r="M752" s="5"/>
      <c r="N752" s="13"/>
      <c r="P752" s="40"/>
      <c r="U752" s="6"/>
      <c r="V752" s="6"/>
      <c r="Y752" s="14"/>
      <c r="Z752" s="5"/>
    </row>
    <row r="753" spans="10:26" ht="14.25" customHeight="1" x14ac:dyDescent="0.3">
      <c r="J753" s="5"/>
      <c r="K753" s="39"/>
      <c r="L753" s="12"/>
      <c r="M753" s="5"/>
      <c r="N753" s="13"/>
      <c r="P753" s="40"/>
      <c r="U753" s="6"/>
      <c r="V753" s="6"/>
      <c r="Y753" s="14"/>
      <c r="Z753" s="5"/>
    </row>
    <row r="754" spans="10:26" ht="14.25" customHeight="1" x14ac:dyDescent="0.3">
      <c r="J754" s="5"/>
      <c r="K754" s="39"/>
      <c r="L754" s="12"/>
      <c r="M754" s="5"/>
      <c r="N754" s="13"/>
      <c r="P754" s="40"/>
      <c r="U754" s="6"/>
      <c r="V754" s="6"/>
      <c r="Y754" s="14"/>
      <c r="Z754" s="5"/>
    </row>
    <row r="755" spans="10:26" ht="14.25" customHeight="1" x14ac:dyDescent="0.3">
      <c r="J755" s="5"/>
      <c r="K755" s="39"/>
      <c r="L755" s="12"/>
      <c r="M755" s="5"/>
      <c r="N755" s="13"/>
      <c r="P755" s="40"/>
      <c r="U755" s="6"/>
      <c r="V755" s="6"/>
      <c r="Y755" s="14"/>
      <c r="Z755" s="5"/>
    </row>
    <row r="756" spans="10:26" ht="14.25" customHeight="1" x14ac:dyDescent="0.3">
      <c r="J756" s="5"/>
      <c r="K756" s="39"/>
      <c r="L756" s="12"/>
      <c r="M756" s="5"/>
      <c r="N756" s="13"/>
      <c r="P756" s="40"/>
      <c r="U756" s="6"/>
      <c r="V756" s="6"/>
      <c r="Y756" s="14"/>
      <c r="Z756" s="5"/>
    </row>
    <row r="757" spans="10:26" ht="14.25" customHeight="1" x14ac:dyDescent="0.3">
      <c r="J757" s="5"/>
      <c r="K757" s="39"/>
      <c r="L757" s="12"/>
      <c r="M757" s="5"/>
      <c r="N757" s="13"/>
      <c r="P757" s="40"/>
      <c r="U757" s="6"/>
      <c r="V757" s="6"/>
      <c r="Y757" s="14"/>
      <c r="Z757" s="5"/>
    </row>
    <row r="758" spans="10:26" ht="14.25" customHeight="1" x14ac:dyDescent="0.3">
      <c r="J758" s="5"/>
      <c r="K758" s="39"/>
      <c r="L758" s="12"/>
      <c r="M758" s="5"/>
      <c r="N758" s="13"/>
      <c r="P758" s="40"/>
      <c r="U758" s="6"/>
      <c r="V758" s="6"/>
      <c r="Y758" s="14"/>
      <c r="Z758" s="5"/>
    </row>
    <row r="759" spans="10:26" ht="14.25" customHeight="1" x14ac:dyDescent="0.3">
      <c r="J759" s="5"/>
      <c r="K759" s="39"/>
      <c r="L759" s="12"/>
      <c r="M759" s="5"/>
      <c r="N759" s="13"/>
      <c r="P759" s="40"/>
      <c r="U759" s="6"/>
      <c r="V759" s="6"/>
      <c r="Y759" s="14"/>
      <c r="Z759" s="5"/>
    </row>
    <row r="760" spans="10:26" ht="14.25" customHeight="1" x14ac:dyDescent="0.3">
      <c r="J760" s="5"/>
      <c r="K760" s="39"/>
      <c r="L760" s="12"/>
      <c r="M760" s="5"/>
      <c r="N760" s="13"/>
      <c r="P760" s="40"/>
      <c r="U760" s="6"/>
      <c r="V760" s="6"/>
      <c r="Y760" s="14"/>
      <c r="Z760" s="5"/>
    </row>
    <row r="761" spans="10:26" ht="14.25" customHeight="1" x14ac:dyDescent="0.3">
      <c r="J761" s="5"/>
      <c r="K761" s="39"/>
      <c r="L761" s="12"/>
      <c r="M761" s="5"/>
      <c r="N761" s="13"/>
      <c r="P761" s="40"/>
      <c r="U761" s="6"/>
      <c r="V761" s="6"/>
      <c r="Y761" s="14"/>
      <c r="Z761" s="5"/>
    </row>
    <row r="762" spans="10:26" ht="14.25" customHeight="1" x14ac:dyDescent="0.3">
      <c r="J762" s="5"/>
      <c r="K762" s="39"/>
      <c r="L762" s="12"/>
      <c r="M762" s="5"/>
      <c r="N762" s="13"/>
      <c r="P762" s="40"/>
      <c r="U762" s="6"/>
      <c r="V762" s="6"/>
      <c r="Y762" s="14"/>
      <c r="Z762" s="5"/>
    </row>
    <row r="763" spans="10:26" ht="14.25" customHeight="1" x14ac:dyDescent="0.3">
      <c r="J763" s="5"/>
      <c r="K763" s="39"/>
      <c r="L763" s="12"/>
      <c r="M763" s="5"/>
      <c r="N763" s="13"/>
      <c r="P763" s="40"/>
      <c r="U763" s="6"/>
      <c r="V763" s="6"/>
      <c r="Y763" s="14"/>
      <c r="Z763" s="5"/>
    </row>
    <row r="764" spans="10:26" ht="14.25" customHeight="1" x14ac:dyDescent="0.3">
      <c r="J764" s="5"/>
      <c r="K764" s="39"/>
      <c r="L764" s="12"/>
      <c r="M764" s="5"/>
      <c r="N764" s="13"/>
      <c r="P764" s="40"/>
      <c r="U764" s="6"/>
      <c r="V764" s="6"/>
      <c r="Y764" s="14"/>
      <c r="Z764" s="5"/>
    </row>
    <row r="765" spans="10:26" ht="14.25" customHeight="1" x14ac:dyDescent="0.3">
      <c r="J765" s="5"/>
      <c r="K765" s="39"/>
      <c r="L765" s="12"/>
      <c r="M765" s="5"/>
      <c r="N765" s="13"/>
      <c r="P765" s="40"/>
      <c r="U765" s="6"/>
      <c r="V765" s="6"/>
      <c r="Y765" s="14"/>
      <c r="Z765" s="5"/>
    </row>
    <row r="766" spans="10:26" ht="14.25" customHeight="1" x14ac:dyDescent="0.3">
      <c r="J766" s="5"/>
      <c r="K766" s="39"/>
      <c r="L766" s="12"/>
      <c r="M766" s="5"/>
      <c r="N766" s="13"/>
      <c r="P766" s="40"/>
      <c r="U766" s="6"/>
      <c r="V766" s="6"/>
      <c r="Y766" s="14"/>
      <c r="Z766" s="5"/>
    </row>
    <row r="767" spans="10:26" ht="14.25" customHeight="1" x14ac:dyDescent="0.3">
      <c r="J767" s="5"/>
      <c r="K767" s="39"/>
      <c r="L767" s="12"/>
      <c r="M767" s="5"/>
      <c r="N767" s="13"/>
      <c r="P767" s="40"/>
      <c r="U767" s="6"/>
      <c r="V767" s="6"/>
      <c r="Y767" s="14"/>
      <c r="Z767" s="5"/>
    </row>
    <row r="768" spans="10:26" ht="14.25" customHeight="1" x14ac:dyDescent="0.3">
      <c r="J768" s="5"/>
      <c r="K768" s="39"/>
      <c r="L768" s="12"/>
      <c r="M768" s="5"/>
      <c r="N768" s="13"/>
      <c r="P768" s="40"/>
      <c r="U768" s="6"/>
      <c r="V768" s="6"/>
      <c r="Y768" s="14"/>
      <c r="Z768" s="5"/>
    </row>
    <row r="769" spans="10:26" ht="14.25" customHeight="1" x14ac:dyDescent="0.3">
      <c r="J769" s="5"/>
      <c r="K769" s="39"/>
      <c r="L769" s="12"/>
      <c r="M769" s="5"/>
      <c r="N769" s="13"/>
      <c r="P769" s="40"/>
      <c r="U769" s="6"/>
      <c r="V769" s="6"/>
      <c r="Y769" s="14"/>
      <c r="Z769" s="5"/>
    </row>
    <row r="770" spans="10:26" ht="14.25" customHeight="1" x14ac:dyDescent="0.3">
      <c r="J770" s="5"/>
      <c r="K770" s="39"/>
      <c r="L770" s="12"/>
      <c r="M770" s="5"/>
      <c r="N770" s="13"/>
      <c r="P770" s="40"/>
      <c r="U770" s="6"/>
      <c r="V770" s="6"/>
      <c r="Y770" s="14"/>
      <c r="Z770" s="5"/>
    </row>
    <row r="771" spans="10:26" ht="14.25" customHeight="1" x14ac:dyDescent="0.3">
      <c r="J771" s="5"/>
      <c r="K771" s="39"/>
      <c r="L771" s="12"/>
      <c r="M771" s="5"/>
      <c r="N771" s="13"/>
      <c r="P771" s="40"/>
      <c r="U771" s="6"/>
      <c r="V771" s="6"/>
      <c r="Y771" s="14"/>
      <c r="Z771" s="5"/>
    </row>
    <row r="772" spans="10:26" ht="14.25" customHeight="1" x14ac:dyDescent="0.3">
      <c r="J772" s="5"/>
      <c r="K772" s="39"/>
      <c r="L772" s="12"/>
      <c r="M772" s="5"/>
      <c r="N772" s="13"/>
      <c r="P772" s="40"/>
      <c r="U772" s="6"/>
      <c r="V772" s="6"/>
      <c r="Y772" s="14"/>
      <c r="Z772" s="5"/>
    </row>
    <row r="773" spans="10:26" ht="14.25" customHeight="1" x14ac:dyDescent="0.3">
      <c r="J773" s="5"/>
      <c r="K773" s="39"/>
      <c r="L773" s="12"/>
      <c r="M773" s="5"/>
      <c r="N773" s="13"/>
      <c r="P773" s="40"/>
      <c r="U773" s="6"/>
      <c r="V773" s="6"/>
      <c r="Y773" s="14"/>
      <c r="Z773" s="5"/>
    </row>
    <row r="774" spans="10:26" ht="14.25" customHeight="1" x14ac:dyDescent="0.3">
      <c r="J774" s="5"/>
      <c r="K774" s="39"/>
      <c r="L774" s="12"/>
      <c r="M774" s="5"/>
      <c r="N774" s="13"/>
      <c r="P774" s="40"/>
      <c r="U774" s="6"/>
      <c r="V774" s="6"/>
      <c r="Y774" s="14"/>
      <c r="Z774" s="5"/>
    </row>
    <row r="775" spans="10:26" ht="14.25" customHeight="1" x14ac:dyDescent="0.3">
      <c r="J775" s="5"/>
      <c r="K775" s="39"/>
      <c r="L775" s="12"/>
      <c r="M775" s="5"/>
      <c r="N775" s="13"/>
      <c r="P775" s="40"/>
      <c r="U775" s="6"/>
      <c r="V775" s="6"/>
      <c r="Y775" s="14"/>
      <c r="Z775" s="5"/>
    </row>
    <row r="776" spans="10:26" ht="14.25" customHeight="1" x14ac:dyDescent="0.3">
      <c r="J776" s="5"/>
      <c r="K776" s="39"/>
      <c r="L776" s="12"/>
      <c r="M776" s="5"/>
      <c r="N776" s="13"/>
      <c r="P776" s="40"/>
      <c r="U776" s="6"/>
      <c r="V776" s="6"/>
      <c r="Y776" s="14"/>
      <c r="Z776" s="5"/>
    </row>
    <row r="777" spans="10:26" ht="14.25" customHeight="1" x14ac:dyDescent="0.3">
      <c r="J777" s="5"/>
      <c r="K777" s="39"/>
      <c r="L777" s="12"/>
      <c r="M777" s="5"/>
      <c r="N777" s="13"/>
      <c r="P777" s="40"/>
      <c r="U777" s="6"/>
      <c r="V777" s="6"/>
      <c r="Y777" s="14"/>
      <c r="Z777" s="5"/>
    </row>
    <row r="778" spans="10:26" ht="14.25" customHeight="1" x14ac:dyDescent="0.3">
      <c r="J778" s="5"/>
      <c r="K778" s="39"/>
      <c r="L778" s="12"/>
      <c r="M778" s="5"/>
      <c r="N778" s="13"/>
      <c r="P778" s="40"/>
      <c r="U778" s="6"/>
      <c r="V778" s="6"/>
      <c r="Y778" s="14"/>
      <c r="Z778" s="5"/>
    </row>
    <row r="779" spans="10:26" ht="14.25" customHeight="1" x14ac:dyDescent="0.3">
      <c r="J779" s="5"/>
      <c r="K779" s="39"/>
      <c r="L779" s="12"/>
      <c r="M779" s="5"/>
      <c r="N779" s="13"/>
      <c r="P779" s="40"/>
      <c r="U779" s="6"/>
      <c r="V779" s="6"/>
      <c r="Y779" s="14"/>
      <c r="Z779" s="5"/>
    </row>
    <row r="780" spans="10:26" ht="14.25" customHeight="1" x14ac:dyDescent="0.3">
      <c r="J780" s="5"/>
      <c r="K780" s="39"/>
      <c r="L780" s="12"/>
      <c r="M780" s="5"/>
      <c r="N780" s="13"/>
      <c r="P780" s="40"/>
      <c r="U780" s="6"/>
      <c r="V780" s="6"/>
      <c r="Y780" s="14"/>
      <c r="Z780" s="5"/>
    </row>
  </sheetData>
  <sheetProtection insertRows="0"/>
  <autoFilter ref="B1:L196" xr:uid="{00000000-0009-0000-0000-000000000000}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91"/>
  <sheetViews>
    <sheetView workbookViewId="0">
      <selection activeCell="E4" sqref="E4"/>
    </sheetView>
  </sheetViews>
  <sheetFormatPr defaultColWidth="14.44140625" defaultRowHeight="15" customHeight="1" x14ac:dyDescent="0.3"/>
  <cols>
    <col min="1" max="1" width="15.88671875" customWidth="1"/>
    <col min="2" max="2" width="11.6640625" customWidth="1"/>
    <col min="3" max="3" width="14.5546875" customWidth="1"/>
    <col min="4" max="5" width="14.88671875" customWidth="1"/>
    <col min="6" max="6" width="13.5546875" customWidth="1"/>
    <col min="7" max="8" width="11.6640625" customWidth="1"/>
    <col min="9" max="9" width="16" customWidth="1"/>
    <col min="10" max="10" width="16.6640625" customWidth="1"/>
    <col min="11" max="11" width="13.6640625" customWidth="1"/>
    <col min="12" max="14" width="11.6640625" customWidth="1"/>
    <col min="15" max="25" width="14.6640625" customWidth="1"/>
  </cols>
  <sheetData>
    <row r="1" spans="1:15" ht="15" customHeight="1" x14ac:dyDescent="0.3">
      <c r="B1" s="184" t="s">
        <v>3</v>
      </c>
      <c r="C1" s="184"/>
      <c r="D1" s="184" t="s">
        <v>491</v>
      </c>
      <c r="E1" s="184"/>
    </row>
    <row r="2" spans="1:15" ht="12.75" customHeight="1" x14ac:dyDescent="0.3">
      <c r="A2" s="3" t="s">
        <v>15</v>
      </c>
      <c r="B2" s="3" t="s">
        <v>490</v>
      </c>
      <c r="C2" s="3" t="s">
        <v>487</v>
      </c>
      <c r="D2" s="3" t="s">
        <v>488</v>
      </c>
      <c r="E2" s="3" t="s">
        <v>489</v>
      </c>
      <c r="I2" s="15">
        <v>0</v>
      </c>
      <c r="J2" s="16">
        <v>0.3</v>
      </c>
      <c r="K2" s="25">
        <v>20000</v>
      </c>
      <c r="L2" s="2"/>
      <c r="N2" s="4"/>
    </row>
    <row r="3" spans="1:15" ht="12.75" customHeight="1" x14ac:dyDescent="0.3">
      <c r="A3" s="27">
        <v>0</v>
      </c>
      <c r="B3" s="16">
        <v>0.3</v>
      </c>
      <c r="C3" s="27">
        <v>81.632653061224488</v>
      </c>
      <c r="D3" s="16">
        <v>0.3</v>
      </c>
      <c r="E3" s="27">
        <v>81.632653061224488</v>
      </c>
      <c r="I3" s="15">
        <v>100001</v>
      </c>
      <c r="J3" s="16">
        <v>0.28000000000000003</v>
      </c>
      <c r="K3" s="25">
        <v>46150</v>
      </c>
      <c r="L3" s="2"/>
      <c r="O3" s="4"/>
    </row>
    <row r="4" spans="1:15" ht="12.75" customHeight="1" x14ac:dyDescent="0.3">
      <c r="A4" s="27">
        <v>408.16734693877549</v>
      </c>
      <c r="B4" s="16">
        <v>0.28000000000000003</v>
      </c>
      <c r="C4" s="27">
        <v>122</v>
      </c>
      <c r="D4" s="16">
        <v>0.3</v>
      </c>
      <c r="E4" s="27">
        <v>122</v>
      </c>
      <c r="F4" s="11"/>
      <c r="I4" s="15">
        <v>350001</v>
      </c>
      <c r="J4" s="16">
        <v>0.25</v>
      </c>
      <c r="K4" s="25">
        <v>146270</v>
      </c>
      <c r="L4" s="2"/>
      <c r="N4" s="4"/>
      <c r="O4" s="4"/>
    </row>
    <row r="5" spans="1:15" ht="12.75" customHeight="1" x14ac:dyDescent="0.3">
      <c r="A5" s="27">
        <v>1428.5755102040816</v>
      </c>
      <c r="B5" s="16">
        <v>0.25</v>
      </c>
      <c r="C5" s="27">
        <v>400</v>
      </c>
      <c r="D5" s="16">
        <v>0.28000000000000003</v>
      </c>
      <c r="E5" s="27">
        <v>400</v>
      </c>
      <c r="I5" s="15">
        <v>500001</v>
      </c>
      <c r="J5" s="16">
        <v>0.22</v>
      </c>
      <c r="K5" s="25">
        <v>178571</v>
      </c>
      <c r="L5" s="2"/>
      <c r="N5" s="4"/>
      <c r="O5" s="4"/>
    </row>
    <row r="6" spans="1:15" ht="12.75" customHeight="1" x14ac:dyDescent="0.3">
      <c r="A6" s="27">
        <v>2040.8204081632653</v>
      </c>
      <c r="B6" s="16">
        <v>0.22</v>
      </c>
      <c r="C6" s="27">
        <v>510</v>
      </c>
      <c r="D6" s="16">
        <v>0.25</v>
      </c>
      <c r="E6" s="27">
        <v>510</v>
      </c>
      <c r="I6" s="15">
        <v>1000001</v>
      </c>
      <c r="J6" s="16">
        <v>0.2</v>
      </c>
      <c r="K6" s="25">
        <v>301370</v>
      </c>
      <c r="L6" s="2"/>
      <c r="N6" s="4"/>
      <c r="O6" s="4"/>
    </row>
    <row r="7" spans="1:15" ht="12.75" customHeight="1" x14ac:dyDescent="0.3">
      <c r="A7" s="27">
        <v>4082</v>
      </c>
      <c r="B7" s="16">
        <v>0.2</v>
      </c>
      <c r="C7" s="27">
        <v>898</v>
      </c>
      <c r="D7" s="16">
        <v>0.22</v>
      </c>
      <c r="E7" s="27">
        <v>898</v>
      </c>
      <c r="I7" s="15"/>
      <c r="J7" s="16"/>
      <c r="K7" s="25"/>
      <c r="L7" s="2"/>
      <c r="N7" s="4"/>
      <c r="O7" s="4"/>
    </row>
    <row r="8" spans="1:15" ht="12.75" customHeight="1" x14ac:dyDescent="0.3">
      <c r="A8" s="27">
        <v>5470</v>
      </c>
      <c r="B8" s="16">
        <v>0.18</v>
      </c>
      <c r="C8" s="27">
        <v>1094</v>
      </c>
      <c r="D8" s="16">
        <v>0.2</v>
      </c>
      <c r="E8" s="27">
        <v>1094</v>
      </c>
      <c r="I8" s="2"/>
      <c r="J8" s="3"/>
      <c r="K8" s="22">
        <v>245</v>
      </c>
      <c r="L8" s="2"/>
      <c r="N8" s="4"/>
      <c r="O8" s="4"/>
    </row>
    <row r="9" spans="1:15" ht="12.75" customHeight="1" x14ac:dyDescent="0.3">
      <c r="J9" s="3"/>
      <c r="K9" s="22"/>
    </row>
    <row r="10" spans="1:15" ht="12.75" customHeight="1" x14ac:dyDescent="0.3">
      <c r="A10" s="10" t="s">
        <v>21</v>
      </c>
      <c r="B10" s="9">
        <v>0.05</v>
      </c>
      <c r="I10" s="20"/>
      <c r="J10" s="3"/>
    </row>
    <row r="11" spans="1:15" ht="12.75" customHeight="1" x14ac:dyDescent="0.3">
      <c r="A11" s="67" t="s">
        <v>468</v>
      </c>
      <c r="B11" s="9">
        <v>0.05</v>
      </c>
    </row>
    <row r="12" spans="1:15" ht="12.75" customHeight="1" x14ac:dyDescent="0.3">
      <c r="I12" s="21"/>
      <c r="K12" s="21"/>
      <c r="L12" s="22"/>
      <c r="M12" s="23"/>
    </row>
    <row r="13" spans="1:15" ht="12.75" customHeight="1" x14ac:dyDescent="0.3">
      <c r="I13" s="3"/>
      <c r="J13" s="3"/>
      <c r="K13" s="3"/>
      <c r="L13" s="9"/>
    </row>
    <row r="14" spans="1:15" ht="12.75" customHeight="1" x14ac:dyDescent="0.3">
      <c r="I14" s="24"/>
      <c r="J14" s="16"/>
      <c r="K14" s="24"/>
      <c r="L14" s="9"/>
    </row>
    <row r="15" spans="1:15" ht="12.75" customHeight="1" x14ac:dyDescent="0.3">
      <c r="A15" s="67"/>
      <c r="I15" s="2"/>
      <c r="J15" s="3"/>
      <c r="K15" s="3"/>
      <c r="L15" s="2"/>
    </row>
    <row r="16" spans="1:15" ht="12.75" customHeight="1" x14ac:dyDescent="0.3">
      <c r="A16" s="15">
        <v>0</v>
      </c>
      <c r="B16" s="16">
        <v>0.3</v>
      </c>
      <c r="C16" s="25">
        <f>C3*B$22</f>
        <v>67755.102040816331</v>
      </c>
      <c r="I16" s="2"/>
      <c r="J16" s="3"/>
      <c r="K16" s="3"/>
      <c r="L16" s="2"/>
    </row>
    <row r="17" spans="1:12" ht="12.75" customHeight="1" x14ac:dyDescent="0.3">
      <c r="A17" s="15">
        <f>A4*B$22</f>
        <v>338778.89795918367</v>
      </c>
      <c r="B17" s="16">
        <v>0.28000000000000003</v>
      </c>
      <c r="C17" s="25">
        <f>C4*B$22</f>
        <v>101260</v>
      </c>
      <c r="I17" s="2"/>
      <c r="J17" s="3"/>
      <c r="K17" s="3"/>
      <c r="L17" s="2"/>
    </row>
    <row r="18" spans="1:12" ht="12.75" customHeight="1" x14ac:dyDescent="0.3">
      <c r="A18" s="15">
        <f>A5*B$22</f>
        <v>1185717.6734693877</v>
      </c>
      <c r="B18" s="16">
        <v>0.25</v>
      </c>
      <c r="C18" s="25">
        <f>C5*B$22</f>
        <v>332000</v>
      </c>
    </row>
    <row r="19" spans="1:12" ht="12.75" customHeight="1" x14ac:dyDescent="0.3">
      <c r="A19" s="15">
        <f>A6*B$22</f>
        <v>1693880.9387755101</v>
      </c>
      <c r="B19" s="16">
        <v>0.22</v>
      </c>
      <c r="C19" s="25">
        <f>C6*B$22</f>
        <v>423300</v>
      </c>
    </row>
    <row r="20" spans="1:12" ht="12.75" customHeight="1" x14ac:dyDescent="0.3">
      <c r="A20" s="15">
        <f>A8*B$22</f>
        <v>4540100</v>
      </c>
      <c r="B20" s="16">
        <v>0.2</v>
      </c>
      <c r="C20" s="25">
        <f>C8*B$22</f>
        <v>908020</v>
      </c>
    </row>
    <row r="21" spans="1:12" ht="12.75" customHeight="1" x14ac:dyDescent="0.3"/>
    <row r="22" spans="1:12" ht="12.75" customHeight="1" x14ac:dyDescent="0.3">
      <c r="A22" s="70" t="s">
        <v>30</v>
      </c>
      <c r="B22" s="71">
        <v>830</v>
      </c>
    </row>
    <row r="23" spans="1:12" ht="12.75" customHeight="1" x14ac:dyDescent="0.3"/>
    <row r="24" spans="1:12" ht="12.75" customHeight="1" x14ac:dyDescent="0.3"/>
    <row r="25" spans="1:12" ht="12.75" customHeight="1" x14ac:dyDescent="0.3"/>
    <row r="26" spans="1:12" ht="12.75" customHeight="1" x14ac:dyDescent="0.3"/>
    <row r="27" spans="1:12" ht="12.75" customHeight="1" x14ac:dyDescent="0.3"/>
    <row r="28" spans="1:12" ht="12.75" customHeight="1" x14ac:dyDescent="0.3"/>
    <row r="29" spans="1:12" ht="12.75" customHeight="1" x14ac:dyDescent="0.3"/>
    <row r="30" spans="1:12" ht="12.75" customHeight="1" x14ac:dyDescent="0.3"/>
    <row r="31" spans="1:12" ht="12.75" customHeight="1" x14ac:dyDescent="0.3"/>
    <row r="32" spans="1:1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</sheetData>
  <mergeCells count="2">
    <mergeCell ref="B1:C1"/>
    <mergeCell ref="D1:E1"/>
  </mergeCells>
  <pageMargins left="0.78749999999999998" right="0.78749999999999998" top="1.05277777777778" bottom="1.05277777777778" header="0" footer="0"/>
  <pageSetup paperSize="9" orientation="portrait" r:id="rId1"/>
  <headerFooter>
    <oddHeader>&amp;Cffffff&amp;A</oddHeader>
    <oddFooter>&amp;CffffffPage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797"/>
  <sheetViews>
    <sheetView topLeftCell="B1" workbookViewId="0">
      <pane xSplit="5" ySplit="1" topLeftCell="G211" activePane="bottomRight" state="frozen"/>
      <selection activeCell="B1" sqref="B1"/>
      <selection pane="topRight" activeCell="G1" sqref="G1"/>
      <selection pane="bottomLeft" activeCell="B2" sqref="B2"/>
      <selection pane="bottomRight" activeCell="A230" sqref="A230"/>
    </sheetView>
  </sheetViews>
  <sheetFormatPr defaultColWidth="11.5546875" defaultRowHeight="14.4" x14ac:dyDescent="0.3"/>
  <cols>
    <col min="1" max="1" width="8.5546875" bestFit="1" customWidth="1"/>
    <col min="2" max="2" width="12" bestFit="1" customWidth="1"/>
    <col min="4" max="4" width="22.88671875" customWidth="1"/>
    <col min="5" max="5" width="5.109375" style="61" bestFit="1" customWidth="1"/>
    <col min="6" max="6" width="6" bestFit="1" customWidth="1"/>
    <col min="7" max="7" width="12.33203125" style="35" customWidth="1"/>
    <col min="8" max="8" width="14.33203125" style="35" bestFit="1" customWidth="1"/>
    <col min="9" max="9" width="15.44140625" customWidth="1"/>
    <col min="10" max="10" width="14.88671875" style="21" customWidth="1"/>
    <col min="11" max="11" width="9.33203125" hidden="1" customWidth="1"/>
    <col min="12" max="12" width="14.33203125" style="29" bestFit="1" customWidth="1"/>
    <col min="13" max="13" width="14.44140625" style="64" bestFit="1" customWidth="1"/>
    <col min="14" max="14" width="15.33203125" style="22" bestFit="1" customWidth="1"/>
    <col min="16" max="17" width="15.33203125" bestFit="1" customWidth="1"/>
  </cols>
  <sheetData>
    <row r="1" spans="1:29" s="61" customFormat="1" ht="13.5" customHeight="1" x14ac:dyDescent="0.3">
      <c r="A1" s="59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5" t="s">
        <v>6</v>
      </c>
      <c r="H1" s="45" t="s">
        <v>7</v>
      </c>
      <c r="I1" s="54" t="s">
        <v>8</v>
      </c>
      <c r="J1" s="54" t="s">
        <v>16</v>
      </c>
      <c r="K1" s="54" t="s">
        <v>17</v>
      </c>
      <c r="L1" s="47" t="s">
        <v>24</v>
      </c>
      <c r="M1" s="62" t="s">
        <v>18</v>
      </c>
      <c r="N1" s="65" t="s">
        <v>19</v>
      </c>
      <c r="O1" s="1" t="s">
        <v>20</v>
      </c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</row>
    <row r="2" spans="1:29" ht="15.75" customHeight="1" x14ac:dyDescent="0.3">
      <c r="A2" s="30">
        <v>45079</v>
      </c>
      <c r="B2" s="3" t="s">
        <v>36</v>
      </c>
      <c r="C2" s="3" t="s">
        <v>37</v>
      </c>
      <c r="D2" s="3" t="s">
        <v>38</v>
      </c>
      <c r="E2" s="57"/>
      <c r="F2" s="3">
        <v>30</v>
      </c>
      <c r="G2" s="35">
        <f>1.64*250</f>
        <v>410</v>
      </c>
      <c r="H2" s="36"/>
      <c r="I2" s="19">
        <f>(F2*G2)+H2</f>
        <v>12300</v>
      </c>
      <c r="J2" s="68">
        <f>I2*1.4</f>
        <v>17220</v>
      </c>
      <c r="K2" s="19">
        <f t="shared" ref="K2:K252" si="0">J2*0.05</f>
        <v>861</v>
      </c>
      <c r="L2" s="38"/>
      <c r="M2" s="63">
        <f t="shared" ref="M2:M4" si="1">J2/F2</f>
        <v>574</v>
      </c>
      <c r="N2" s="66">
        <f t="shared" ref="N2:N4" si="2">J2-I2-K2-L2</f>
        <v>4059</v>
      </c>
      <c r="O2" s="58">
        <f>N2/J2</f>
        <v>0.23571428571428571</v>
      </c>
    </row>
    <row r="3" spans="1:29" ht="15.75" customHeight="1" x14ac:dyDescent="0.3">
      <c r="A3" s="30">
        <v>45079</v>
      </c>
      <c r="B3" s="3" t="s">
        <v>36</v>
      </c>
      <c r="C3" s="3" t="s">
        <v>42</v>
      </c>
      <c r="D3" s="3" t="s">
        <v>39</v>
      </c>
      <c r="E3" s="57"/>
      <c r="F3" s="3">
        <v>30</v>
      </c>
      <c r="G3" s="35">
        <f>2.18*250</f>
        <v>545</v>
      </c>
      <c r="H3" s="36"/>
      <c r="I3" s="19">
        <f>(F3*G3)+H3</f>
        <v>16350</v>
      </c>
      <c r="J3" s="68">
        <f>I3*1.4</f>
        <v>22890</v>
      </c>
      <c r="K3" s="19">
        <f t="shared" si="0"/>
        <v>1144.5</v>
      </c>
      <c r="L3" s="38"/>
      <c r="M3" s="63">
        <f t="shared" si="1"/>
        <v>763</v>
      </c>
      <c r="N3" s="66">
        <f t="shared" si="2"/>
        <v>5395.5</v>
      </c>
      <c r="O3" s="58">
        <f t="shared" ref="O3:O4" si="3">N3/J3</f>
        <v>0.23571428571428571</v>
      </c>
    </row>
    <row r="4" spans="1:29" ht="15.75" customHeight="1" x14ac:dyDescent="0.3">
      <c r="A4" s="30">
        <v>45082</v>
      </c>
      <c r="B4" s="3" t="s">
        <v>41</v>
      </c>
      <c r="C4" s="3" t="s">
        <v>43</v>
      </c>
      <c r="D4" s="3" t="s">
        <v>40</v>
      </c>
      <c r="E4" s="57"/>
      <c r="F4" s="3">
        <v>50</v>
      </c>
      <c r="G4" s="35">
        <f>2860.98+200</f>
        <v>3060.98</v>
      </c>
      <c r="H4" s="36"/>
      <c r="I4" s="19">
        <f t="shared" ref="I4" si="4">(F4*G4)+H4</f>
        <v>153049</v>
      </c>
      <c r="J4" s="68">
        <f>I4*1.42</f>
        <v>217329.58</v>
      </c>
      <c r="K4" s="19">
        <f t="shared" si="0"/>
        <v>10866.478999999999</v>
      </c>
      <c r="L4" s="38">
        <v>5000</v>
      </c>
      <c r="M4" s="63">
        <f t="shared" si="1"/>
        <v>4346.5915999999997</v>
      </c>
      <c r="N4" s="66">
        <f t="shared" si="2"/>
        <v>48414.100999999988</v>
      </c>
      <c r="O4" s="58">
        <f t="shared" si="3"/>
        <v>0.22276811559659754</v>
      </c>
    </row>
    <row r="5" spans="1:29" x14ac:dyDescent="0.3">
      <c r="A5" s="86">
        <v>45140</v>
      </c>
      <c r="B5" s="31" t="s">
        <v>102</v>
      </c>
      <c r="C5" s="32" t="s">
        <v>103</v>
      </c>
      <c r="D5" s="87" t="s">
        <v>104</v>
      </c>
      <c r="E5" s="67"/>
      <c r="F5" s="29">
        <v>200</v>
      </c>
      <c r="G5" s="81">
        <f>+(1870+1840)*0.75+0.66*289+100</f>
        <v>3073.24</v>
      </c>
      <c r="I5" s="19">
        <f t="shared" ref="I5:I251" si="5">(F5*G5)+H5</f>
        <v>614648</v>
      </c>
      <c r="J5" s="68">
        <f>4255*F5</f>
        <v>851000</v>
      </c>
      <c r="K5" s="19">
        <f t="shared" si="0"/>
        <v>42550</v>
      </c>
      <c r="L5" s="77">
        <f>5000+1500</f>
        <v>6500</v>
      </c>
      <c r="M5" s="63">
        <f t="shared" ref="M5:M251" si="6">J5/F5</f>
        <v>4255</v>
      </c>
      <c r="N5" s="66">
        <f t="shared" ref="N5:N251" si="7">J5-I5-K5-L5</f>
        <v>187302</v>
      </c>
      <c r="O5" s="58">
        <f t="shared" ref="O5:O251" si="8">N5/J5</f>
        <v>0.22009635722679202</v>
      </c>
    </row>
    <row r="6" spans="1:29" ht="15.75" customHeight="1" x14ac:dyDescent="0.3">
      <c r="A6" s="30">
        <v>45166</v>
      </c>
      <c r="B6" s="3" t="s">
        <v>121</v>
      </c>
      <c r="C6" s="3" t="s">
        <v>119</v>
      </c>
      <c r="D6" s="3" t="s">
        <v>120</v>
      </c>
      <c r="E6" s="57" t="s">
        <v>47</v>
      </c>
      <c r="F6" s="3">
        <v>50</v>
      </c>
      <c r="G6" s="35">
        <f>13.9*368.5+200</f>
        <v>5322.1500000000005</v>
      </c>
      <c r="H6" s="36">
        <v>30555.37</v>
      </c>
      <c r="I6" s="19">
        <f t="shared" si="5"/>
        <v>296662.87</v>
      </c>
      <c r="J6" s="68">
        <f>I6*1.42</f>
        <v>421261.27539999998</v>
      </c>
      <c r="K6" s="19">
        <f t="shared" ref="K6" si="9">J6*0.05</f>
        <v>21063.063770000001</v>
      </c>
      <c r="L6" s="38">
        <v>5000</v>
      </c>
      <c r="M6" s="63">
        <f t="shared" si="6"/>
        <v>8425.2255079999995</v>
      </c>
      <c r="N6" s="66">
        <f t="shared" si="7"/>
        <v>98535.341629999981</v>
      </c>
      <c r="O6" s="58">
        <f t="shared" si="8"/>
        <v>0.23390552938063858</v>
      </c>
    </row>
    <row r="7" spans="1:29" ht="15.75" customHeight="1" x14ac:dyDescent="0.3">
      <c r="A7" s="30"/>
      <c r="B7" s="3"/>
      <c r="C7" s="3"/>
      <c r="D7" s="3"/>
      <c r="E7" s="57"/>
      <c r="F7" s="3"/>
      <c r="H7" s="36"/>
      <c r="I7" s="19"/>
      <c r="J7" s="68"/>
      <c r="K7" s="19"/>
      <c r="L7" s="38"/>
      <c r="M7" s="63"/>
      <c r="N7" s="66"/>
      <c r="O7" s="58"/>
    </row>
    <row r="8" spans="1:29" ht="15.75" customHeight="1" x14ac:dyDescent="0.3">
      <c r="A8" s="30">
        <v>45166</v>
      </c>
      <c r="B8" s="3" t="s">
        <v>124</v>
      </c>
      <c r="C8" s="3" t="s">
        <v>93</v>
      </c>
      <c r="D8" s="3" t="s">
        <v>125</v>
      </c>
      <c r="E8" s="57" t="s">
        <v>34</v>
      </c>
      <c r="F8" s="3">
        <v>100</v>
      </c>
      <c r="G8" s="35">
        <f>8000+220</f>
        <v>8220</v>
      </c>
      <c r="H8" s="36"/>
      <c r="I8" s="19">
        <f t="shared" ref="I8" si="10">(F8*G8)+H8</f>
        <v>822000</v>
      </c>
      <c r="J8" s="68">
        <f>11068*F8</f>
        <v>1106800</v>
      </c>
      <c r="K8" s="19">
        <f t="shared" ref="K8" si="11">J8*0.05</f>
        <v>55340</v>
      </c>
      <c r="L8" s="38">
        <f>4000+4000</f>
        <v>8000</v>
      </c>
      <c r="M8" s="63">
        <f t="shared" ref="M8" si="12">J8/F8</f>
        <v>11068</v>
      </c>
      <c r="N8" s="66">
        <f t="shared" ref="N8" si="13">J8-I8-K8-L8</f>
        <v>221460</v>
      </c>
      <c r="O8" s="58">
        <f t="shared" ref="O8" si="14">N8/J8</f>
        <v>0.20009035056017346</v>
      </c>
    </row>
    <row r="9" spans="1:29" ht="15.75" customHeight="1" x14ac:dyDescent="0.3">
      <c r="A9" s="30">
        <v>45166</v>
      </c>
      <c r="B9" s="3" t="s">
        <v>124</v>
      </c>
      <c r="C9" s="3" t="s">
        <v>126</v>
      </c>
      <c r="D9" s="3" t="s">
        <v>127</v>
      </c>
      <c r="E9" s="57" t="s">
        <v>84</v>
      </c>
      <c r="F9" s="3">
        <v>100</v>
      </c>
      <c r="G9" s="35">
        <v>1900</v>
      </c>
      <c r="H9" s="36"/>
      <c r="I9" s="19">
        <f t="shared" ref="I9" si="15">(F9*G9)+H9</f>
        <v>190000</v>
      </c>
      <c r="J9" s="68">
        <f>2587*F9</f>
        <v>258700</v>
      </c>
      <c r="K9" s="19">
        <f t="shared" ref="K9" si="16">J9*0.05</f>
        <v>12935</v>
      </c>
      <c r="L9" s="38">
        <v>4000</v>
      </c>
      <c r="M9" s="63">
        <f t="shared" ref="M9" si="17">J9/F9</f>
        <v>2587</v>
      </c>
      <c r="N9" s="66">
        <f t="shared" ref="N9" si="18">J9-I9-K9-L9</f>
        <v>51765</v>
      </c>
      <c r="O9" s="58">
        <f t="shared" ref="O9" si="19">N9/J9</f>
        <v>0.20009663703131039</v>
      </c>
    </row>
    <row r="10" spans="1:29" ht="15.75" customHeight="1" x14ac:dyDescent="0.3">
      <c r="A10" s="30">
        <v>45166</v>
      </c>
      <c r="B10" s="3" t="s">
        <v>124</v>
      </c>
      <c r="C10" s="3" t="s">
        <v>103</v>
      </c>
      <c r="D10" s="3" t="s">
        <v>128</v>
      </c>
      <c r="E10" s="57" t="s">
        <v>84</v>
      </c>
      <c r="F10" s="3">
        <v>100</v>
      </c>
      <c r="G10" s="35">
        <f>2290*0.75</f>
        <v>1717.5</v>
      </c>
      <c r="H10" s="36"/>
      <c r="I10" s="19">
        <f t="shared" ref="I10" si="20">(F10*G10)+H10</f>
        <v>171750</v>
      </c>
      <c r="J10" s="68">
        <f>2370*F10</f>
        <v>237000</v>
      </c>
      <c r="K10" s="19">
        <f t="shared" ref="K10" si="21">J10*0.05</f>
        <v>11850</v>
      </c>
      <c r="L10" s="38">
        <v>6000</v>
      </c>
      <c r="M10" s="63">
        <f t="shared" ref="M10" si="22">J10/F10</f>
        <v>2370</v>
      </c>
      <c r="N10" s="66">
        <f t="shared" ref="N10" si="23">J10-I10-K10-L10</f>
        <v>47400</v>
      </c>
      <c r="O10" s="58">
        <f t="shared" ref="O10" si="24">N10/J10</f>
        <v>0.2</v>
      </c>
    </row>
    <row r="11" spans="1:29" ht="15.75" customHeight="1" x14ac:dyDescent="0.3">
      <c r="A11" s="30">
        <v>45166</v>
      </c>
      <c r="B11" s="3" t="s">
        <v>124</v>
      </c>
      <c r="C11" s="3" t="s">
        <v>49</v>
      </c>
      <c r="D11" s="3" t="s">
        <v>129</v>
      </c>
      <c r="E11" s="57" t="s">
        <v>130</v>
      </c>
      <c r="F11" s="3">
        <v>100</v>
      </c>
      <c r="G11" s="35">
        <v>4077.99</v>
      </c>
      <c r="H11" s="36"/>
      <c r="I11" s="19">
        <f t="shared" ref="I11" si="25">(F11*G11)+H11</f>
        <v>407799</v>
      </c>
      <c r="J11" s="68">
        <f>5535*F11</f>
        <v>553500</v>
      </c>
      <c r="K11" s="19">
        <f t="shared" ref="K11" si="26">J11*0.05</f>
        <v>27675</v>
      </c>
      <c r="L11" s="38">
        <v>7000</v>
      </c>
      <c r="M11" s="63">
        <f t="shared" ref="M11" si="27">J11/F11</f>
        <v>5535</v>
      </c>
      <c r="N11" s="66">
        <f t="shared" ref="N11" si="28">J11-I11-K11-L11</f>
        <v>111026</v>
      </c>
      <c r="O11" s="58">
        <f t="shared" ref="O11" si="29">N11/J11</f>
        <v>0.20058897922312557</v>
      </c>
    </row>
    <row r="12" spans="1:29" ht="15.75" customHeight="1" x14ac:dyDescent="0.3">
      <c r="A12" s="30">
        <v>45166</v>
      </c>
      <c r="B12" s="3" t="s">
        <v>124</v>
      </c>
      <c r="C12" s="3" t="s">
        <v>78</v>
      </c>
      <c r="D12" s="3" t="s">
        <v>131</v>
      </c>
      <c r="E12" s="57" t="s">
        <v>130</v>
      </c>
      <c r="F12" s="3">
        <v>100</v>
      </c>
      <c r="G12" s="35">
        <f>1.64*368.5+19.33</f>
        <v>623.66999999999996</v>
      </c>
      <c r="H12" s="36"/>
      <c r="I12" s="19">
        <f t="shared" ref="I12" si="30">(F12*G12)+H12</f>
        <v>62366.999999999993</v>
      </c>
      <c r="J12" s="68">
        <f>885*F12</f>
        <v>88500</v>
      </c>
      <c r="K12" s="19">
        <f t="shared" ref="K12" si="31">J12*0.05</f>
        <v>4425</v>
      </c>
      <c r="L12" s="38">
        <v>4000</v>
      </c>
      <c r="M12" s="63">
        <f t="shared" ref="M12" si="32">J12/F12</f>
        <v>885</v>
      </c>
      <c r="N12" s="66">
        <f t="shared" ref="N12" si="33">J12-I12-K12-L12</f>
        <v>17708.000000000007</v>
      </c>
      <c r="O12" s="58">
        <f t="shared" ref="O12" si="34">N12/J12</f>
        <v>0.20009039548022606</v>
      </c>
    </row>
    <row r="13" spans="1:29" ht="15.75" customHeight="1" x14ac:dyDescent="0.3">
      <c r="A13" s="30">
        <v>45166</v>
      </c>
      <c r="B13" s="3" t="s">
        <v>124</v>
      </c>
      <c r="C13" s="3"/>
      <c r="D13" s="76" t="s">
        <v>132</v>
      </c>
      <c r="E13" s="57"/>
      <c r="F13" s="3">
        <v>100</v>
      </c>
      <c r="G13" s="35">
        <f>+G8+G9+G10+G11+G12</f>
        <v>16539.16</v>
      </c>
      <c r="H13" s="36"/>
      <c r="I13" s="19">
        <f t="shared" ref="I13:I19" si="35">(F13*G13)+H13</f>
        <v>1653916</v>
      </c>
      <c r="J13" s="68">
        <f>22445*F13</f>
        <v>2244500</v>
      </c>
      <c r="K13" s="19">
        <f t="shared" ref="K13:K19" si="36">J13*0.05</f>
        <v>112225</v>
      </c>
      <c r="L13" s="35">
        <f>+L8+L9+L10+L11+L12</f>
        <v>29000</v>
      </c>
      <c r="M13" s="63">
        <f t="shared" ref="M13:M19" si="37">J13/F13</f>
        <v>22445</v>
      </c>
      <c r="N13" s="66">
        <f t="shared" ref="N13:N19" si="38">J13-I13-K13-L13</f>
        <v>449359</v>
      </c>
      <c r="O13" s="58">
        <f t="shared" ref="O13:O19" si="39">N13/J13</f>
        <v>0.2002044998886166</v>
      </c>
    </row>
    <row r="14" spans="1:29" ht="15.75" customHeight="1" x14ac:dyDescent="0.3">
      <c r="A14" s="30"/>
      <c r="B14" s="3"/>
      <c r="C14" s="3"/>
      <c r="D14" s="76"/>
      <c r="E14" s="57"/>
      <c r="F14" s="3"/>
      <c r="H14" s="36"/>
      <c r="I14" s="19"/>
      <c r="J14" s="68">
        <f>SUM(J15:J19)</f>
        <v>2085400</v>
      </c>
      <c r="K14" s="19"/>
      <c r="L14" s="35"/>
      <c r="M14" s="63"/>
      <c r="N14" s="66"/>
      <c r="O14" s="58"/>
    </row>
    <row r="15" spans="1:29" ht="15.75" customHeight="1" x14ac:dyDescent="0.3">
      <c r="A15" s="30">
        <v>45166</v>
      </c>
      <c r="B15" s="3" t="s">
        <v>124</v>
      </c>
      <c r="C15" s="3" t="s">
        <v>93</v>
      </c>
      <c r="D15" s="3" t="s">
        <v>125</v>
      </c>
      <c r="E15" s="57" t="s">
        <v>34</v>
      </c>
      <c r="F15" s="3">
        <v>100</v>
      </c>
      <c r="G15" s="35">
        <f>8000+220</f>
        <v>8220</v>
      </c>
      <c r="H15" s="36"/>
      <c r="I15" s="19">
        <f t="shared" si="35"/>
        <v>822000</v>
      </c>
      <c r="J15" s="68">
        <f>11068*F15</f>
        <v>1106800</v>
      </c>
      <c r="K15" s="19">
        <f t="shared" si="36"/>
        <v>55340</v>
      </c>
      <c r="L15" s="38">
        <f>4000+4000</f>
        <v>8000</v>
      </c>
      <c r="M15" s="63">
        <f t="shared" si="37"/>
        <v>11068</v>
      </c>
      <c r="N15" s="66">
        <f t="shared" si="38"/>
        <v>221460</v>
      </c>
      <c r="O15" s="58">
        <f t="shared" si="39"/>
        <v>0.20009035056017346</v>
      </c>
    </row>
    <row r="16" spans="1:29" ht="15.75" customHeight="1" x14ac:dyDescent="0.3">
      <c r="A16" s="30">
        <v>45166</v>
      </c>
      <c r="B16" s="3" t="s">
        <v>124</v>
      </c>
      <c r="C16" s="3" t="s">
        <v>126</v>
      </c>
      <c r="D16" s="3" t="s">
        <v>127</v>
      </c>
      <c r="E16" s="57" t="s">
        <v>84</v>
      </c>
      <c r="F16" s="3">
        <v>100</v>
      </c>
      <c r="G16" s="35">
        <v>1900</v>
      </c>
      <c r="H16" s="36"/>
      <c r="I16" s="19">
        <f t="shared" si="35"/>
        <v>190000</v>
      </c>
      <c r="J16" s="68">
        <f>2587*F16</f>
        <v>258700</v>
      </c>
      <c r="K16" s="19">
        <f t="shared" si="36"/>
        <v>12935</v>
      </c>
      <c r="L16" s="38">
        <v>4000</v>
      </c>
      <c r="M16" s="63">
        <f t="shared" si="37"/>
        <v>2587</v>
      </c>
      <c r="N16" s="66">
        <f t="shared" si="38"/>
        <v>51765</v>
      </c>
      <c r="O16" s="58">
        <f t="shared" si="39"/>
        <v>0.20009663703131039</v>
      </c>
    </row>
    <row r="17" spans="1:15" ht="15.75" customHeight="1" x14ac:dyDescent="0.3">
      <c r="A17" s="30">
        <v>45166</v>
      </c>
      <c r="B17" s="3" t="s">
        <v>124</v>
      </c>
      <c r="C17" s="3" t="s">
        <v>103</v>
      </c>
      <c r="D17" s="3" t="s">
        <v>128</v>
      </c>
      <c r="E17" s="57" t="s">
        <v>84</v>
      </c>
      <c r="F17" s="3">
        <v>100</v>
      </c>
      <c r="G17" s="35">
        <f>2290*0.75</f>
        <v>1717.5</v>
      </c>
      <c r="H17" s="36"/>
      <c r="I17" s="19">
        <f t="shared" si="35"/>
        <v>171750</v>
      </c>
      <c r="J17" s="68">
        <f>2370*F17</f>
        <v>237000</v>
      </c>
      <c r="K17" s="19">
        <f t="shared" si="36"/>
        <v>11850</v>
      </c>
      <c r="L17" s="38">
        <v>6000</v>
      </c>
      <c r="M17" s="63">
        <f t="shared" si="37"/>
        <v>2370</v>
      </c>
      <c r="N17" s="66">
        <f t="shared" si="38"/>
        <v>47400</v>
      </c>
      <c r="O17" s="58">
        <f t="shared" si="39"/>
        <v>0.2</v>
      </c>
    </row>
    <row r="18" spans="1:15" ht="15.75" customHeight="1" x14ac:dyDescent="0.3">
      <c r="A18" s="30">
        <v>45166</v>
      </c>
      <c r="B18" s="3" t="s">
        <v>124</v>
      </c>
      <c r="C18" s="3" t="s">
        <v>78</v>
      </c>
      <c r="D18" s="3" t="s">
        <v>133</v>
      </c>
      <c r="E18" s="57" t="s">
        <v>130</v>
      </c>
      <c r="F18" s="3">
        <v>100</v>
      </c>
      <c r="G18" s="35">
        <f>7.22*368.5</f>
        <v>2660.5699999999997</v>
      </c>
      <c r="H18" s="36"/>
      <c r="I18" s="19">
        <f t="shared" si="35"/>
        <v>266057</v>
      </c>
      <c r="J18" s="68">
        <f>3944*F18</f>
        <v>394400</v>
      </c>
      <c r="K18" s="19">
        <f t="shared" si="36"/>
        <v>19720</v>
      </c>
      <c r="L18" s="38"/>
      <c r="M18" s="63">
        <f t="shared" si="37"/>
        <v>3944</v>
      </c>
      <c r="N18" s="66">
        <f t="shared" si="38"/>
        <v>108623</v>
      </c>
      <c r="O18" s="58">
        <f t="shared" si="39"/>
        <v>0.27541328600405679</v>
      </c>
    </row>
    <row r="19" spans="1:15" ht="15.75" customHeight="1" x14ac:dyDescent="0.3">
      <c r="A19" s="30">
        <v>45166</v>
      </c>
      <c r="B19" s="3" t="s">
        <v>124</v>
      </c>
      <c r="C19" s="3" t="s">
        <v>78</v>
      </c>
      <c r="D19" s="3" t="s">
        <v>131</v>
      </c>
      <c r="E19" s="57" t="s">
        <v>130</v>
      </c>
      <c r="F19" s="3">
        <v>100</v>
      </c>
      <c r="G19" s="35">
        <f>1.64*368.5+19.33</f>
        <v>623.66999999999996</v>
      </c>
      <c r="H19" s="36"/>
      <c r="I19" s="19">
        <f t="shared" si="35"/>
        <v>62366.999999999993</v>
      </c>
      <c r="J19" s="68">
        <f>885*F19</f>
        <v>88500</v>
      </c>
      <c r="K19" s="19">
        <f t="shared" si="36"/>
        <v>4425</v>
      </c>
      <c r="L19" s="38">
        <v>4000</v>
      </c>
      <c r="M19" s="63">
        <f t="shared" si="37"/>
        <v>885</v>
      </c>
      <c r="N19" s="66">
        <f t="shared" si="38"/>
        <v>17708.000000000007</v>
      </c>
      <c r="O19" s="58">
        <f t="shared" si="39"/>
        <v>0.20009039548022606</v>
      </c>
    </row>
    <row r="20" spans="1:15" ht="15.75" customHeight="1" x14ac:dyDescent="0.3">
      <c r="A20" s="30">
        <v>45166</v>
      </c>
      <c r="B20" s="3" t="s">
        <v>124</v>
      </c>
      <c r="C20" s="3"/>
      <c r="D20" s="76" t="s">
        <v>132</v>
      </c>
      <c r="E20" s="57"/>
      <c r="F20" s="3">
        <v>100</v>
      </c>
      <c r="G20" s="35">
        <f>+G15+G16+G17+G18+G19</f>
        <v>15121.74</v>
      </c>
      <c r="H20" s="36"/>
      <c r="I20" s="19">
        <f t="shared" ref="I20" si="40">(F20*G20)+H20</f>
        <v>1512174</v>
      </c>
      <c r="J20" s="68">
        <f>20854*F20</f>
        <v>2085400</v>
      </c>
      <c r="K20" s="19">
        <f t="shared" ref="K20" si="41">J20*0.05</f>
        <v>104270</v>
      </c>
      <c r="L20" s="35">
        <f>+L15+L16+L17+L18+L19</f>
        <v>22000</v>
      </c>
      <c r="M20" s="63">
        <f t="shared" ref="M20" si="42">J20/F20</f>
        <v>20854</v>
      </c>
      <c r="N20" s="66">
        <f t="shared" ref="N20" si="43">J20-I20-K20-L20</f>
        <v>446956</v>
      </c>
      <c r="O20" s="58">
        <f t="shared" ref="O20" si="44">N20/J20</f>
        <v>0.21432626834180493</v>
      </c>
    </row>
    <row r="21" spans="1:15" x14ac:dyDescent="0.3">
      <c r="I21" s="19">
        <f t="shared" si="5"/>
        <v>0</v>
      </c>
      <c r="J21" s="68"/>
      <c r="K21" s="19">
        <f t="shared" si="0"/>
        <v>0</v>
      </c>
      <c r="L21" s="39"/>
      <c r="M21" s="63" t="e">
        <f t="shared" si="6"/>
        <v>#DIV/0!</v>
      </c>
      <c r="N21" s="66">
        <f t="shared" si="7"/>
        <v>0</v>
      </c>
      <c r="O21" s="58" t="e">
        <f t="shared" si="8"/>
        <v>#DIV/0!</v>
      </c>
    </row>
    <row r="22" spans="1:15" ht="15.75" customHeight="1" x14ac:dyDescent="0.3">
      <c r="A22" s="30">
        <v>45166</v>
      </c>
      <c r="B22" s="3" t="s">
        <v>124</v>
      </c>
      <c r="C22" s="3" t="s">
        <v>93</v>
      </c>
      <c r="D22" s="3" t="s">
        <v>125</v>
      </c>
      <c r="E22" s="57" t="s">
        <v>34</v>
      </c>
      <c r="F22" s="3">
        <v>80</v>
      </c>
      <c r="G22" s="35">
        <f>8000+220</f>
        <v>8220</v>
      </c>
      <c r="H22" s="36"/>
      <c r="I22" s="19">
        <f t="shared" si="5"/>
        <v>657600</v>
      </c>
      <c r="J22" s="68">
        <f>11398*F22</f>
        <v>911840</v>
      </c>
      <c r="K22" s="19">
        <f t="shared" si="0"/>
        <v>45592</v>
      </c>
      <c r="L22" s="38">
        <f>4000+4000</f>
        <v>8000</v>
      </c>
      <c r="M22" s="63">
        <f t="shared" si="6"/>
        <v>11398</v>
      </c>
      <c r="N22" s="66">
        <f t="shared" si="7"/>
        <v>200648</v>
      </c>
      <c r="O22" s="58">
        <f t="shared" si="8"/>
        <v>0.22004737673276015</v>
      </c>
    </row>
    <row r="23" spans="1:15" ht="15.75" customHeight="1" x14ac:dyDescent="0.3">
      <c r="A23" s="30">
        <v>45166</v>
      </c>
      <c r="B23" s="3" t="s">
        <v>124</v>
      </c>
      <c r="C23" s="3" t="s">
        <v>126</v>
      </c>
      <c r="D23" s="3" t="s">
        <v>127</v>
      </c>
      <c r="E23" s="57" t="s">
        <v>84</v>
      </c>
      <c r="F23" s="3">
        <v>80</v>
      </c>
      <c r="G23" s="35">
        <v>2200</v>
      </c>
      <c r="H23" s="36"/>
      <c r="I23" s="19">
        <f t="shared" si="5"/>
        <v>176000</v>
      </c>
      <c r="J23" s="68">
        <f>2587*F23</f>
        <v>206960</v>
      </c>
      <c r="K23" s="19">
        <f t="shared" si="0"/>
        <v>10348</v>
      </c>
      <c r="L23" s="38">
        <v>4000</v>
      </c>
      <c r="M23" s="63">
        <f t="shared" si="6"/>
        <v>2587</v>
      </c>
      <c r="N23" s="66">
        <f t="shared" si="7"/>
        <v>16612</v>
      </c>
      <c r="O23" s="58">
        <f t="shared" si="8"/>
        <v>8.0266718206416704E-2</v>
      </c>
    </row>
    <row r="24" spans="1:15" ht="15.75" customHeight="1" x14ac:dyDescent="0.3">
      <c r="A24" s="30">
        <v>45166</v>
      </c>
      <c r="B24" s="3" t="s">
        <v>124</v>
      </c>
      <c r="C24" s="3" t="s">
        <v>103</v>
      </c>
      <c r="D24" s="3" t="s">
        <v>128</v>
      </c>
      <c r="E24" s="57" t="s">
        <v>84</v>
      </c>
      <c r="F24" s="3">
        <v>100</v>
      </c>
      <c r="G24" s="35">
        <f>2290*0.75</f>
        <v>1717.5</v>
      </c>
      <c r="H24" s="36"/>
      <c r="I24" s="19">
        <f t="shared" si="5"/>
        <v>171750</v>
      </c>
      <c r="J24" s="68">
        <f>2370*F24</f>
        <v>237000</v>
      </c>
      <c r="K24" s="19">
        <f t="shared" si="0"/>
        <v>11850</v>
      </c>
      <c r="L24" s="38">
        <v>6000</v>
      </c>
      <c r="M24" s="63">
        <f t="shared" si="6"/>
        <v>2370</v>
      </c>
      <c r="N24" s="66">
        <f t="shared" si="7"/>
        <v>47400</v>
      </c>
      <c r="O24" s="58">
        <f t="shared" si="8"/>
        <v>0.2</v>
      </c>
    </row>
    <row r="25" spans="1:15" ht="15.75" customHeight="1" x14ac:dyDescent="0.3">
      <c r="A25" s="30">
        <v>45166</v>
      </c>
      <c r="B25" s="3" t="s">
        <v>124</v>
      </c>
      <c r="C25" s="3" t="s">
        <v>78</v>
      </c>
      <c r="D25" s="3" t="s">
        <v>133</v>
      </c>
      <c r="E25" s="57" t="s">
        <v>130</v>
      </c>
      <c r="F25" s="3">
        <v>80</v>
      </c>
      <c r="G25" s="35">
        <f>7.22*368.5</f>
        <v>2660.5699999999997</v>
      </c>
      <c r="H25" s="36"/>
      <c r="I25" s="19">
        <f t="shared" si="5"/>
        <v>212845.59999999998</v>
      </c>
      <c r="J25" s="68">
        <f>3844*F25</f>
        <v>307520</v>
      </c>
      <c r="K25" s="19">
        <f t="shared" si="0"/>
        <v>15376</v>
      </c>
      <c r="L25" s="38"/>
      <c r="M25" s="63">
        <f t="shared" si="6"/>
        <v>3844</v>
      </c>
      <c r="N25" s="66">
        <f t="shared" si="7"/>
        <v>79298.400000000023</v>
      </c>
      <c r="O25" s="58">
        <f t="shared" si="8"/>
        <v>0.25786420395421444</v>
      </c>
    </row>
    <row r="26" spans="1:15" ht="15.75" customHeight="1" x14ac:dyDescent="0.3">
      <c r="A26" s="30">
        <v>45166</v>
      </c>
      <c r="B26" s="3" t="s">
        <v>124</v>
      </c>
      <c r="C26" s="3" t="s">
        <v>78</v>
      </c>
      <c r="D26" s="3" t="s">
        <v>131</v>
      </c>
      <c r="E26" s="57" t="s">
        <v>130</v>
      </c>
      <c r="F26" s="3">
        <v>100</v>
      </c>
      <c r="G26" s="35">
        <f>1.64*368.5+19.33</f>
        <v>623.66999999999996</v>
      </c>
      <c r="H26" s="36"/>
      <c r="I26" s="19">
        <f t="shared" si="5"/>
        <v>62366.999999999993</v>
      </c>
      <c r="J26" s="68">
        <f>885*F26</f>
        <v>88500</v>
      </c>
      <c r="K26" s="19">
        <f t="shared" si="0"/>
        <v>4425</v>
      </c>
      <c r="L26" s="38">
        <v>4000</v>
      </c>
      <c r="M26" s="63">
        <f t="shared" si="6"/>
        <v>885</v>
      </c>
      <c r="N26" s="66">
        <f t="shared" si="7"/>
        <v>17708.000000000007</v>
      </c>
      <c r="O26" s="58">
        <f t="shared" si="8"/>
        <v>0.20009039548022606</v>
      </c>
    </row>
    <row r="27" spans="1:15" ht="15.75" customHeight="1" x14ac:dyDescent="0.3">
      <c r="A27" s="30">
        <v>45166</v>
      </c>
      <c r="B27" s="3" t="s">
        <v>124</v>
      </c>
      <c r="C27" s="3"/>
      <c r="D27" s="76" t="s">
        <v>132</v>
      </c>
      <c r="E27" s="57"/>
      <c r="F27" s="3">
        <v>1</v>
      </c>
      <c r="G27" s="35">
        <f>+F22*G22+F23*G23+F24*G24+F25*G25+F26*G26</f>
        <v>1280562.6000000001</v>
      </c>
      <c r="H27" s="36"/>
      <c r="I27" s="19">
        <f t="shared" si="5"/>
        <v>1280562.6000000001</v>
      </c>
      <c r="J27" s="68">
        <f>22304*80</f>
        <v>1784320</v>
      </c>
      <c r="K27" s="19">
        <f t="shared" si="0"/>
        <v>89216</v>
      </c>
      <c r="L27" s="35">
        <f>+L22+L23+L24+L25+L26</f>
        <v>22000</v>
      </c>
      <c r="M27" s="63">
        <f t="shared" si="6"/>
        <v>1784320</v>
      </c>
      <c r="N27" s="66">
        <f t="shared" si="7"/>
        <v>392541.39999999991</v>
      </c>
      <c r="O27" s="58">
        <f t="shared" si="8"/>
        <v>0.21999495606169292</v>
      </c>
    </row>
    <row r="28" spans="1:15" ht="15.75" customHeight="1" x14ac:dyDescent="0.3">
      <c r="A28" s="30"/>
      <c r="B28" s="3"/>
      <c r="C28" s="3"/>
      <c r="D28" s="76"/>
      <c r="E28" s="57"/>
      <c r="F28" s="3"/>
      <c r="H28" s="36"/>
      <c r="I28" s="19"/>
      <c r="J28" s="68"/>
      <c r="K28" s="19"/>
      <c r="L28" s="35"/>
      <c r="M28" s="63"/>
      <c r="N28" s="66"/>
      <c r="O28" s="58"/>
    </row>
    <row r="29" spans="1:15" x14ac:dyDescent="0.3">
      <c r="A29" s="88">
        <v>45177</v>
      </c>
      <c r="B29" s="3" t="s">
        <v>145</v>
      </c>
      <c r="C29" s="3" t="s">
        <v>146</v>
      </c>
      <c r="D29" s="3" t="s">
        <v>151</v>
      </c>
      <c r="E29" s="57"/>
      <c r="F29" s="3">
        <v>8800</v>
      </c>
      <c r="H29" s="36">
        <f>44363636.36*0.9</f>
        <v>39927272.723999999</v>
      </c>
      <c r="I29" s="19">
        <f t="shared" si="5"/>
        <v>39927272.723999999</v>
      </c>
      <c r="J29" s="68">
        <f>6050*F29*0.975</f>
        <v>51909000</v>
      </c>
      <c r="K29" s="19">
        <f t="shared" si="0"/>
        <v>2595450</v>
      </c>
      <c r="L29" s="39"/>
      <c r="M29" s="63">
        <f t="shared" si="6"/>
        <v>5898.75</v>
      </c>
      <c r="N29" s="66">
        <f t="shared" si="7"/>
        <v>9386277.2760000005</v>
      </c>
      <c r="O29" s="58">
        <f t="shared" si="8"/>
        <v>0.18082177032884472</v>
      </c>
    </row>
    <row r="30" spans="1:15" x14ac:dyDescent="0.3">
      <c r="A30" s="88">
        <v>45177</v>
      </c>
      <c r="B30" s="3" t="s">
        <v>145</v>
      </c>
      <c r="C30" s="3" t="s">
        <v>146</v>
      </c>
      <c r="D30" s="3" t="s">
        <v>147</v>
      </c>
      <c r="E30" s="57"/>
      <c r="F30" s="3">
        <v>8800</v>
      </c>
      <c r="H30" s="36">
        <f>68763636.4*0.9</f>
        <v>61887272.760000005</v>
      </c>
      <c r="I30" s="19">
        <f t="shared" ref="I30" si="45">(F30*G30)+H30</f>
        <v>61887272.760000005</v>
      </c>
      <c r="J30" s="68">
        <f>9377*F30*0.975</f>
        <v>80454660</v>
      </c>
      <c r="K30" s="19">
        <f t="shared" ref="K30" si="46">J30*0.05</f>
        <v>4022733</v>
      </c>
      <c r="L30" s="39"/>
      <c r="M30" s="63">
        <f t="shared" ref="M30" si="47">J30/F30</f>
        <v>9142.5750000000007</v>
      </c>
      <c r="N30" s="66">
        <f t="shared" ref="N30" si="48">J30-I30-K30-L30</f>
        <v>14544654.239999995</v>
      </c>
      <c r="O30" s="58">
        <f t="shared" ref="O30" si="49">N30/J30</f>
        <v>0.18078075576977137</v>
      </c>
    </row>
    <row r="31" spans="1:15" x14ac:dyDescent="0.3">
      <c r="A31" s="88">
        <v>45177</v>
      </c>
      <c r="B31" s="3" t="s">
        <v>145</v>
      </c>
      <c r="C31" s="3" t="s">
        <v>146</v>
      </c>
      <c r="D31" s="3" t="s">
        <v>148</v>
      </c>
      <c r="E31" s="57"/>
      <c r="F31" s="3">
        <v>8800</v>
      </c>
      <c r="H31" s="36">
        <f>48800000*0.9</f>
        <v>43920000</v>
      </c>
      <c r="I31" s="19">
        <f t="shared" si="5"/>
        <v>43920000</v>
      </c>
      <c r="J31" s="68">
        <f>6655*F31*0.975</f>
        <v>57099900</v>
      </c>
      <c r="K31" s="19">
        <f t="shared" si="0"/>
        <v>2854995</v>
      </c>
      <c r="L31" s="39"/>
      <c r="M31" s="63">
        <f t="shared" si="6"/>
        <v>6488.625</v>
      </c>
      <c r="N31" s="66">
        <f t="shared" si="7"/>
        <v>10324905</v>
      </c>
      <c r="O31" s="58">
        <f t="shared" si="8"/>
        <v>0.18082177026579732</v>
      </c>
    </row>
    <row r="32" spans="1:15" x14ac:dyDescent="0.3">
      <c r="A32" s="88">
        <v>45177</v>
      </c>
      <c r="B32" s="3" t="s">
        <v>145</v>
      </c>
      <c r="C32" s="3" t="s">
        <v>146</v>
      </c>
      <c r="D32" s="3" t="s">
        <v>149</v>
      </c>
      <c r="E32" s="57"/>
      <c r="F32" s="3">
        <v>8800</v>
      </c>
      <c r="H32" s="36">
        <f>13309090.91*0.9</f>
        <v>11978181.819</v>
      </c>
      <c r="I32" s="19">
        <f t="shared" si="5"/>
        <v>11978181.819</v>
      </c>
      <c r="J32" s="68">
        <f>1815*F32*0.975</f>
        <v>15572700</v>
      </c>
      <c r="K32" s="19">
        <f t="shared" si="0"/>
        <v>778635</v>
      </c>
      <c r="L32" s="39"/>
      <c r="M32" s="63">
        <f t="shared" si="6"/>
        <v>1769.625</v>
      </c>
      <c r="N32" s="66">
        <f t="shared" si="7"/>
        <v>2815883.1809999999</v>
      </c>
      <c r="O32" s="58">
        <f t="shared" si="8"/>
        <v>0.18082177021325782</v>
      </c>
    </row>
    <row r="33" spans="1:17" x14ac:dyDescent="0.3">
      <c r="A33" s="88">
        <v>45177</v>
      </c>
      <c r="B33" s="3" t="s">
        <v>145</v>
      </c>
      <c r="C33" s="3" t="s">
        <v>146</v>
      </c>
      <c r="D33" s="3" t="s">
        <v>150</v>
      </c>
      <c r="E33" s="57"/>
      <c r="F33" s="3">
        <v>8800</v>
      </c>
      <c r="H33" s="36">
        <f>15527272.73*0.9</f>
        <v>13974545.457</v>
      </c>
      <c r="I33" s="19">
        <f t="shared" si="5"/>
        <v>13974545.457</v>
      </c>
      <c r="J33" s="68">
        <f>2117*F33*0.975</f>
        <v>18163860</v>
      </c>
      <c r="K33" s="19">
        <f t="shared" si="0"/>
        <v>908193</v>
      </c>
      <c r="L33" s="39"/>
      <c r="M33" s="63">
        <f t="shared" si="6"/>
        <v>2064.0749999999998</v>
      </c>
      <c r="N33" s="66">
        <f t="shared" si="7"/>
        <v>3281121.5429999996</v>
      </c>
      <c r="O33" s="58">
        <f t="shared" si="8"/>
        <v>0.18064010309482673</v>
      </c>
    </row>
    <row r="34" spans="1:17" x14ac:dyDescent="0.3">
      <c r="I34" s="19">
        <f t="shared" si="5"/>
        <v>0</v>
      </c>
      <c r="J34" s="68">
        <f t="shared" ref="J34" si="50">I34*1.36</f>
        <v>0</v>
      </c>
      <c r="K34" s="19">
        <f t="shared" si="0"/>
        <v>0</v>
      </c>
      <c r="L34" s="39"/>
      <c r="M34" s="63" t="e">
        <f t="shared" si="6"/>
        <v>#DIV/0!</v>
      </c>
      <c r="N34" s="66">
        <f t="shared" si="7"/>
        <v>0</v>
      </c>
      <c r="O34" s="58" t="e">
        <f t="shared" si="8"/>
        <v>#DIV/0!</v>
      </c>
    </row>
    <row r="35" spans="1:17" x14ac:dyDescent="0.3">
      <c r="A35" s="88">
        <v>45188</v>
      </c>
      <c r="B35" s="3" t="s">
        <v>145</v>
      </c>
      <c r="C35" s="3" t="s">
        <v>153</v>
      </c>
      <c r="D35" s="3" t="s">
        <v>152</v>
      </c>
      <c r="E35" s="57" t="s">
        <v>154</v>
      </c>
      <c r="F35" s="3">
        <v>13500</v>
      </c>
      <c r="G35" s="35">
        <f>1000.27*0.95+90+20+10</f>
        <v>1070.2565</v>
      </c>
      <c r="H35" s="36">
        <v>14000</v>
      </c>
      <c r="I35" s="19">
        <f t="shared" ref="I35:I39" si="51">(F35*G35)+H35</f>
        <v>14462462.75</v>
      </c>
      <c r="J35" s="68">
        <f t="shared" ref="J35:J41" si="52">+I35*1.455</f>
        <v>21042883.30125</v>
      </c>
      <c r="K35" s="19">
        <f t="shared" ref="K35:K39" si="53">J35*0.05</f>
        <v>1052144.1650624999</v>
      </c>
      <c r="L35" s="39">
        <f>+I35*0.14</f>
        <v>2024744.7850000001</v>
      </c>
      <c r="M35" s="63">
        <f t="shared" ref="M35:M39" si="54">J35/F35</f>
        <v>1558.7320963888887</v>
      </c>
      <c r="N35" s="66">
        <f t="shared" ref="N35:N39" si="55">J35-I35-K35-L35</f>
        <v>3503531.6011874992</v>
      </c>
      <c r="O35" s="58">
        <f t="shared" ref="O35:O39" si="56">N35/J35</f>
        <v>0.16649484536082471</v>
      </c>
      <c r="P35" s="22">
        <f>+I35/2</f>
        <v>7231231.375</v>
      </c>
      <c r="Q35" s="23">
        <f>+P35</f>
        <v>7231231.375</v>
      </c>
    </row>
    <row r="36" spans="1:17" x14ac:dyDescent="0.3">
      <c r="A36" s="88">
        <v>45188</v>
      </c>
      <c r="B36" s="3" t="s">
        <v>145</v>
      </c>
      <c r="C36" s="3" t="s">
        <v>157</v>
      </c>
      <c r="D36" s="3" t="s">
        <v>169</v>
      </c>
      <c r="E36" s="57" t="s">
        <v>154</v>
      </c>
      <c r="F36" s="3">
        <v>13500</v>
      </c>
      <c r="G36" s="35">
        <f>1035.1+63+18+20.72*1.1</f>
        <v>1138.8919999999998</v>
      </c>
      <c r="H36" s="36">
        <v>7500</v>
      </c>
      <c r="I36" s="19">
        <f t="shared" si="51"/>
        <v>15382541.999999998</v>
      </c>
      <c r="J36" s="68">
        <f t="shared" si="52"/>
        <v>22381598.609999999</v>
      </c>
      <c r="K36" s="19">
        <f t="shared" si="53"/>
        <v>1119079.9305</v>
      </c>
      <c r="L36" s="39">
        <f>I36*0.5*0.175+I36*0.5*0.07</f>
        <v>1884361.3949999998</v>
      </c>
      <c r="M36" s="63">
        <f t="shared" si="54"/>
        <v>1657.8961933333333</v>
      </c>
      <c r="N36" s="66">
        <f t="shared" si="55"/>
        <v>3995615.2845000019</v>
      </c>
      <c r="O36" s="58">
        <f t="shared" si="56"/>
        <v>0.17852233676975954</v>
      </c>
      <c r="P36" s="22">
        <f>+I36/2</f>
        <v>7691270.9999999991</v>
      </c>
      <c r="Q36" s="23">
        <f>+P36</f>
        <v>7691270.9999999991</v>
      </c>
    </row>
    <row r="37" spans="1:17" x14ac:dyDescent="0.3">
      <c r="A37" s="88">
        <v>45188</v>
      </c>
      <c r="B37" s="3" t="s">
        <v>145</v>
      </c>
      <c r="C37" s="3" t="s">
        <v>49</v>
      </c>
      <c r="D37" s="3" t="s">
        <v>158</v>
      </c>
      <c r="E37" s="57" t="s">
        <v>154</v>
      </c>
      <c r="F37" s="3">
        <v>13500</v>
      </c>
      <c r="G37" s="35">
        <v>2189.9699999999998</v>
      </c>
      <c r="H37" s="36"/>
      <c r="I37" s="19">
        <f t="shared" si="51"/>
        <v>29564594.999999996</v>
      </c>
      <c r="J37" s="68">
        <f t="shared" si="52"/>
        <v>43016485.724999994</v>
      </c>
      <c r="K37" s="19">
        <f t="shared" si="53"/>
        <v>2150824.2862499999</v>
      </c>
      <c r="L37" s="39">
        <f>(I37-4500000)*0.175+4500000*0.07</f>
        <v>4701304.1249999991</v>
      </c>
      <c r="M37" s="63">
        <f t="shared" si="54"/>
        <v>3186.4063499999997</v>
      </c>
      <c r="N37" s="66">
        <f t="shared" si="55"/>
        <v>6599762.3137499997</v>
      </c>
      <c r="O37" s="58">
        <f t="shared" si="56"/>
        <v>0.15342402343003114</v>
      </c>
      <c r="P37" s="22"/>
      <c r="Q37" s="94">
        <f>+I37</f>
        <v>29564594.999999996</v>
      </c>
    </row>
    <row r="38" spans="1:17" x14ac:dyDescent="0.3">
      <c r="A38" s="88">
        <v>45188</v>
      </c>
      <c r="B38" s="3" t="s">
        <v>145</v>
      </c>
      <c r="C38" s="3" t="s">
        <v>160</v>
      </c>
      <c r="D38" s="3" t="s">
        <v>168</v>
      </c>
      <c r="E38" s="57" t="s">
        <v>84</v>
      </c>
      <c r="F38" s="3">
        <v>13500</v>
      </c>
      <c r="G38" s="92">
        <f>71.83*1.1</f>
        <v>79.013000000000005</v>
      </c>
      <c r="H38" s="92"/>
      <c r="I38" s="19">
        <f t="shared" si="51"/>
        <v>1066675.5</v>
      </c>
      <c r="J38" s="68">
        <f t="shared" si="52"/>
        <v>1552012.8525</v>
      </c>
      <c r="K38" s="19">
        <f t="shared" si="53"/>
        <v>77600.642625000008</v>
      </c>
      <c r="L38" s="39">
        <f>I38*0.5*0.175+I38*0.5*0.07</f>
        <v>130667.74875</v>
      </c>
      <c r="M38" s="63">
        <f t="shared" si="54"/>
        <v>114.963915</v>
      </c>
      <c r="N38" s="66">
        <f t="shared" si="55"/>
        <v>277068.96112500003</v>
      </c>
      <c r="O38" s="58">
        <f t="shared" si="56"/>
        <v>0.17852233676975945</v>
      </c>
      <c r="P38" s="22">
        <f>+I38/2</f>
        <v>533337.75</v>
      </c>
      <c r="Q38" s="23">
        <f>+P38</f>
        <v>533337.75</v>
      </c>
    </row>
    <row r="39" spans="1:17" x14ac:dyDescent="0.3">
      <c r="A39" s="88">
        <v>45188</v>
      </c>
      <c r="B39" s="3" t="s">
        <v>145</v>
      </c>
      <c r="C39" s="3" t="s">
        <v>161</v>
      </c>
      <c r="D39" s="3" t="s">
        <v>162</v>
      </c>
      <c r="E39" s="57"/>
      <c r="F39" s="3">
        <v>13500</v>
      </c>
      <c r="G39" s="35">
        <v>240</v>
      </c>
      <c r="H39" s="36"/>
      <c r="I39" s="19">
        <f t="shared" si="51"/>
        <v>3240000</v>
      </c>
      <c r="J39" s="68">
        <f t="shared" si="52"/>
        <v>4714200</v>
      </c>
      <c r="K39" s="19">
        <f t="shared" si="53"/>
        <v>235710</v>
      </c>
      <c r="L39" s="39"/>
      <c r="M39" s="63">
        <f t="shared" si="54"/>
        <v>349.2</v>
      </c>
      <c r="N39" s="66">
        <f t="shared" si="55"/>
        <v>1238490</v>
      </c>
      <c r="O39" s="58">
        <f t="shared" si="56"/>
        <v>0.26271477663230242</v>
      </c>
      <c r="P39" s="22"/>
      <c r="Q39" s="94"/>
    </row>
    <row r="40" spans="1:17" x14ac:dyDescent="0.3">
      <c r="A40" s="88">
        <v>45188</v>
      </c>
      <c r="B40" s="3" t="s">
        <v>145</v>
      </c>
      <c r="C40" s="3" t="s">
        <v>170</v>
      </c>
      <c r="D40" s="3" t="s">
        <v>166</v>
      </c>
      <c r="E40" s="57"/>
      <c r="F40" s="3">
        <v>13500</v>
      </c>
      <c r="H40" s="35">
        <f>652.22*0.8*250*3</f>
        <v>391332.00000000006</v>
      </c>
      <c r="I40" s="19">
        <f t="shared" ref="I40" si="57">(F40*G40)+H40</f>
        <v>391332.00000000006</v>
      </c>
      <c r="J40" s="68">
        <f t="shared" si="52"/>
        <v>569388.06000000006</v>
      </c>
      <c r="K40" s="19">
        <f t="shared" ref="K40" si="58">J40*0.05</f>
        <v>28469.403000000006</v>
      </c>
      <c r="L40" s="39">
        <f>+I40*0.14</f>
        <v>54786.48000000001</v>
      </c>
      <c r="M40" s="63">
        <f t="shared" ref="M40" si="59">J40/F40</f>
        <v>42.176893333333339</v>
      </c>
      <c r="N40" s="66">
        <f t="shared" ref="N40" si="60">J40-I40-K40-L40</f>
        <v>94800.176999999996</v>
      </c>
      <c r="O40" s="58">
        <f t="shared" ref="O40" si="61">N40/J40</f>
        <v>0.16649484536082471</v>
      </c>
      <c r="P40" s="22">
        <f>+I40/2</f>
        <v>195666.00000000003</v>
      </c>
      <c r="Q40" s="23">
        <f>+P40</f>
        <v>195666.00000000003</v>
      </c>
    </row>
    <row r="41" spans="1:17" x14ac:dyDescent="0.3">
      <c r="A41" s="88">
        <v>45188</v>
      </c>
      <c r="B41" s="3" t="s">
        <v>145</v>
      </c>
      <c r="C41" s="3" t="s">
        <v>161</v>
      </c>
      <c r="D41" s="3" t="s">
        <v>164</v>
      </c>
      <c r="E41" s="57"/>
      <c r="F41" s="3">
        <v>13500</v>
      </c>
      <c r="H41" s="36">
        <f>14000+14000+130000*3</f>
        <v>418000</v>
      </c>
      <c r="I41" s="19">
        <f t="shared" ref="I41" si="62">(F41*G41)+H41</f>
        <v>418000</v>
      </c>
      <c r="J41" s="68">
        <f t="shared" si="52"/>
        <v>608190</v>
      </c>
      <c r="K41" s="19">
        <f t="shared" ref="K41" si="63">J41*0.05</f>
        <v>30409.5</v>
      </c>
      <c r="L41" s="39">
        <f>+(I42)*0.01</f>
        <v>645256.07249999989</v>
      </c>
      <c r="M41" s="63">
        <f t="shared" ref="M41" si="64">J41/F41</f>
        <v>45.051111111111112</v>
      </c>
      <c r="N41" s="66">
        <f t="shared" ref="N41" si="65">J41-I41-K41-L41</f>
        <v>-485475.57249999989</v>
      </c>
      <c r="O41" s="58">
        <f t="shared" ref="O41" si="66">N41/J41</f>
        <v>-0.79823011312254377</v>
      </c>
      <c r="P41" s="22"/>
    </row>
    <row r="42" spans="1:17" x14ac:dyDescent="0.3">
      <c r="A42" s="88">
        <v>45188</v>
      </c>
      <c r="B42" s="3" t="s">
        <v>145</v>
      </c>
      <c r="C42" s="3"/>
      <c r="D42" s="76" t="s">
        <v>163</v>
      </c>
      <c r="E42" s="57"/>
      <c r="F42" s="76">
        <v>13500</v>
      </c>
      <c r="G42" s="93">
        <f>SUM(G35:G41)</f>
        <v>4718.1314999999995</v>
      </c>
      <c r="H42" s="93">
        <f>SUM(H35:H41)</f>
        <v>830832</v>
      </c>
      <c r="I42" s="19">
        <f t="shared" ref="I42:I50" si="67">(F42*G42)+H42</f>
        <v>64525607.249999993</v>
      </c>
      <c r="J42" s="68">
        <f>+I42*1.51</f>
        <v>97433666.94749999</v>
      </c>
      <c r="K42" s="19">
        <f t="shared" ref="K42:K50" si="68">J42*0.05</f>
        <v>4871683.3473749999</v>
      </c>
      <c r="L42" s="95">
        <f>SUM(L35:L41)</f>
        <v>9441120.6062499993</v>
      </c>
      <c r="M42" s="63">
        <f t="shared" ref="M42:M50" si="69">J42/F42</f>
        <v>7217.3086627777775</v>
      </c>
      <c r="N42" s="66">
        <f t="shared" ref="N42:N50" si="70">J42-I42-K42-L42</f>
        <v>18595255.743875001</v>
      </c>
      <c r="O42" s="58">
        <f t="shared" ref="O42:O50" si="71">N42/J42</f>
        <v>0.19085041471234629</v>
      </c>
      <c r="P42" s="22">
        <f>SUM(P35:P41)</f>
        <v>15651506.125</v>
      </c>
      <c r="Q42" s="22">
        <f>SUM(Q35:Q41)</f>
        <v>45216101.125</v>
      </c>
    </row>
    <row r="43" spans="1:17" x14ac:dyDescent="0.3">
      <c r="I43" s="19">
        <f t="shared" si="67"/>
        <v>0</v>
      </c>
      <c r="J43" s="68">
        <f t="shared" ref="J43" si="72">I43*1.36</f>
        <v>0</v>
      </c>
      <c r="K43" s="19">
        <f t="shared" si="68"/>
        <v>0</v>
      </c>
      <c r="L43" s="39"/>
      <c r="M43" s="63" t="e">
        <f t="shared" si="69"/>
        <v>#DIV/0!</v>
      </c>
      <c r="N43" s="66">
        <f t="shared" si="70"/>
        <v>0</v>
      </c>
      <c r="O43" s="58" t="e">
        <f t="shared" si="71"/>
        <v>#DIV/0!</v>
      </c>
    </row>
    <row r="44" spans="1:17" x14ac:dyDescent="0.3">
      <c r="A44" s="88">
        <v>45188</v>
      </c>
      <c r="B44" s="3" t="s">
        <v>145</v>
      </c>
      <c r="C44" s="3" t="s">
        <v>155</v>
      </c>
      <c r="D44" s="3" t="s">
        <v>167</v>
      </c>
      <c r="E44" s="57" t="s">
        <v>154</v>
      </c>
      <c r="F44" s="3">
        <v>13500</v>
      </c>
      <c r="G44" s="35">
        <f>877.7+63</f>
        <v>940.7</v>
      </c>
      <c r="H44" s="36">
        <f>7500</f>
        <v>7500</v>
      </c>
      <c r="I44" s="19">
        <f t="shared" si="67"/>
        <v>12706950</v>
      </c>
      <c r="J44" s="68">
        <f t="shared" ref="J44:J50" si="73">+I44*1.45</f>
        <v>18425077.5</v>
      </c>
      <c r="K44" s="19">
        <f t="shared" si="68"/>
        <v>921253.875</v>
      </c>
      <c r="L44" s="39">
        <f>I44*0.5*0.175+I44*0.5*0.07</f>
        <v>1556601.375</v>
      </c>
      <c r="M44" s="63">
        <f t="shared" si="69"/>
        <v>1364.8205555555555</v>
      </c>
      <c r="N44" s="66">
        <f t="shared" si="70"/>
        <v>3240272.25</v>
      </c>
      <c r="O44" s="58">
        <f t="shared" si="71"/>
        <v>0.17586206896551723</v>
      </c>
    </row>
    <row r="45" spans="1:17" x14ac:dyDescent="0.3">
      <c r="A45" s="88">
        <v>45188</v>
      </c>
      <c r="B45" s="3" t="s">
        <v>145</v>
      </c>
      <c r="C45" s="3" t="s">
        <v>157</v>
      </c>
      <c r="D45" s="3" t="s">
        <v>156</v>
      </c>
      <c r="E45" s="57" t="s">
        <v>154</v>
      </c>
      <c r="F45" s="3">
        <v>13500</v>
      </c>
      <c r="G45" s="35">
        <f t="shared" ref="G45:G50" si="74">G36</f>
        <v>1138.8919999999998</v>
      </c>
      <c r="H45" s="36">
        <f>7500</f>
        <v>7500</v>
      </c>
      <c r="I45" s="19">
        <f t="shared" si="67"/>
        <v>15382541.999999998</v>
      </c>
      <c r="J45" s="68">
        <f t="shared" si="73"/>
        <v>22304685.899999995</v>
      </c>
      <c r="K45" s="19">
        <f t="shared" si="68"/>
        <v>1115234.2949999997</v>
      </c>
      <c r="L45" s="39">
        <f>I45*0.5*0.175+I45*0.5*0.07</f>
        <v>1884361.3949999998</v>
      </c>
      <c r="M45" s="63">
        <f t="shared" si="69"/>
        <v>1652.1989555555551</v>
      </c>
      <c r="N45" s="66">
        <f t="shared" si="70"/>
        <v>3922548.2099999972</v>
      </c>
      <c r="O45" s="58">
        <f t="shared" si="71"/>
        <v>0.17586206896551715</v>
      </c>
    </row>
    <row r="46" spans="1:17" x14ac:dyDescent="0.3">
      <c r="A46" s="88">
        <v>45188</v>
      </c>
      <c r="B46" s="3" t="s">
        <v>145</v>
      </c>
      <c r="C46" s="3" t="s">
        <v>49</v>
      </c>
      <c r="D46" s="3" t="s">
        <v>158</v>
      </c>
      <c r="E46" s="57" t="s">
        <v>154</v>
      </c>
      <c r="F46" s="3">
        <v>13500</v>
      </c>
      <c r="G46" s="35">
        <f t="shared" si="74"/>
        <v>2189.9699999999998</v>
      </c>
      <c r="H46" s="35">
        <f>H37</f>
        <v>0</v>
      </c>
      <c r="I46" s="19">
        <f t="shared" si="67"/>
        <v>29564594.999999996</v>
      </c>
      <c r="J46" s="68">
        <f t="shared" si="73"/>
        <v>42868662.749999993</v>
      </c>
      <c r="K46" s="19">
        <f t="shared" si="68"/>
        <v>2143433.1374999997</v>
      </c>
      <c r="L46" s="39">
        <f>(I46-4500000)*0.175+4500000*0.07</f>
        <v>4701304.1249999991</v>
      </c>
      <c r="M46" s="63">
        <f t="shared" si="69"/>
        <v>3175.4564999999993</v>
      </c>
      <c r="N46" s="66">
        <f t="shared" si="70"/>
        <v>6459330.487499998</v>
      </c>
      <c r="O46" s="58">
        <f t="shared" si="71"/>
        <v>0.15067720971772089</v>
      </c>
    </row>
    <row r="47" spans="1:17" x14ac:dyDescent="0.3">
      <c r="A47" s="88">
        <v>45188</v>
      </c>
      <c r="B47" s="3" t="s">
        <v>145</v>
      </c>
      <c r="C47" s="3" t="s">
        <v>160</v>
      </c>
      <c r="D47" s="3" t="s">
        <v>159</v>
      </c>
      <c r="E47" s="57" t="s">
        <v>84</v>
      </c>
      <c r="F47" s="3">
        <v>13500</v>
      </c>
      <c r="G47" s="35">
        <f t="shared" si="74"/>
        <v>79.013000000000005</v>
      </c>
      <c r="H47" s="35">
        <f>H38</f>
        <v>0</v>
      </c>
      <c r="I47" s="19">
        <f t="shared" si="67"/>
        <v>1066675.5</v>
      </c>
      <c r="J47" s="68">
        <f t="shared" si="73"/>
        <v>1546679.4749999999</v>
      </c>
      <c r="K47" s="19">
        <f t="shared" si="68"/>
        <v>77333.97374999999</v>
      </c>
      <c r="L47" s="39">
        <f>I47*0.5*0.175+I47*0.5*0.07</f>
        <v>130667.74875</v>
      </c>
      <c r="M47" s="63">
        <f t="shared" si="69"/>
        <v>114.56884999999998</v>
      </c>
      <c r="N47" s="66">
        <f t="shared" si="70"/>
        <v>272002.25249999983</v>
      </c>
      <c r="O47" s="58">
        <f t="shared" si="71"/>
        <v>0.17586206896551715</v>
      </c>
    </row>
    <row r="48" spans="1:17" x14ac:dyDescent="0.3">
      <c r="A48" s="88">
        <v>45188</v>
      </c>
      <c r="B48" s="3" t="s">
        <v>145</v>
      </c>
      <c r="C48" s="3" t="s">
        <v>161</v>
      </c>
      <c r="D48" s="3" t="s">
        <v>162</v>
      </c>
      <c r="E48" s="57"/>
      <c r="F48" s="3">
        <v>13500</v>
      </c>
      <c r="G48" s="35">
        <f t="shared" si="74"/>
        <v>240</v>
      </c>
      <c r="H48" s="35">
        <f>H39</f>
        <v>0</v>
      </c>
      <c r="I48" s="19">
        <f t="shared" si="67"/>
        <v>3240000</v>
      </c>
      <c r="J48" s="68">
        <f t="shared" si="73"/>
        <v>4698000</v>
      </c>
      <c r="K48" s="19">
        <f t="shared" si="68"/>
        <v>234900</v>
      </c>
      <c r="L48" s="39"/>
      <c r="M48" s="63">
        <f t="shared" si="69"/>
        <v>348</v>
      </c>
      <c r="N48" s="66">
        <f t="shared" si="70"/>
        <v>1223100</v>
      </c>
      <c r="O48" s="58">
        <f t="shared" si="71"/>
        <v>0.26034482758620692</v>
      </c>
    </row>
    <row r="49" spans="1:18" x14ac:dyDescent="0.3">
      <c r="A49" s="88">
        <v>45188</v>
      </c>
      <c r="B49" s="3" t="s">
        <v>145</v>
      </c>
      <c r="C49" s="3" t="s">
        <v>161</v>
      </c>
      <c r="D49" s="3" t="s">
        <v>166</v>
      </c>
      <c r="E49" s="57"/>
      <c r="F49" s="3">
        <v>13500</v>
      </c>
      <c r="G49" s="35">
        <f t="shared" si="74"/>
        <v>0</v>
      </c>
      <c r="H49" s="35">
        <f>652.22*0.8*200*3</f>
        <v>313065.60000000003</v>
      </c>
      <c r="I49" s="19">
        <f t="shared" si="67"/>
        <v>313065.60000000003</v>
      </c>
      <c r="J49" s="68">
        <f t="shared" si="73"/>
        <v>453945.12000000005</v>
      </c>
      <c r="K49" s="19">
        <f t="shared" si="68"/>
        <v>22697.256000000005</v>
      </c>
      <c r="L49" s="39">
        <f>+I49*0.14</f>
        <v>43829.184000000008</v>
      </c>
      <c r="M49" s="63">
        <f t="shared" si="69"/>
        <v>33.62556444444445</v>
      </c>
      <c r="N49" s="66">
        <f t="shared" si="70"/>
        <v>74353.08</v>
      </c>
      <c r="O49" s="58">
        <f t="shared" si="71"/>
        <v>0.16379310344827586</v>
      </c>
    </row>
    <row r="50" spans="1:18" x14ac:dyDescent="0.3">
      <c r="A50" s="88">
        <v>45188</v>
      </c>
      <c r="B50" s="3" t="s">
        <v>145</v>
      </c>
      <c r="C50" s="3" t="s">
        <v>161</v>
      </c>
      <c r="D50" s="3" t="s">
        <v>164</v>
      </c>
      <c r="E50" s="57"/>
      <c r="F50" s="3">
        <v>13500</v>
      </c>
      <c r="G50" s="35">
        <f t="shared" si="74"/>
        <v>0</v>
      </c>
      <c r="H50" s="36">
        <f>H41</f>
        <v>418000</v>
      </c>
      <c r="I50" s="19">
        <f t="shared" si="67"/>
        <v>418000</v>
      </c>
      <c r="J50" s="68">
        <f t="shared" si="73"/>
        <v>606100</v>
      </c>
      <c r="K50" s="19">
        <f t="shared" si="68"/>
        <v>30305</v>
      </c>
      <c r="L50" s="39">
        <f>+(I51)*0.01</f>
        <v>626918.28100000008</v>
      </c>
      <c r="M50" s="63">
        <f t="shared" si="69"/>
        <v>44.896296296296299</v>
      </c>
      <c r="N50" s="66">
        <f t="shared" si="70"/>
        <v>-469123.28100000008</v>
      </c>
      <c r="O50" s="58">
        <f t="shared" si="71"/>
        <v>-0.77400310344827594</v>
      </c>
    </row>
    <row r="51" spans="1:18" x14ac:dyDescent="0.3">
      <c r="A51" s="88">
        <v>45188</v>
      </c>
      <c r="B51" s="3" t="s">
        <v>145</v>
      </c>
      <c r="C51" s="3"/>
      <c r="D51" s="76" t="s">
        <v>165</v>
      </c>
      <c r="E51" s="57"/>
      <c r="F51" s="3">
        <v>13500</v>
      </c>
      <c r="G51" s="93">
        <f>SUM(G44:G50)</f>
        <v>4588.5749999999998</v>
      </c>
      <c r="H51" s="93">
        <f>SUM(H44:H50)</f>
        <v>746065.60000000009</v>
      </c>
      <c r="I51" s="19">
        <f t="shared" ref="I51:I59" si="75">(F51*G51)+H51</f>
        <v>62691828.100000001</v>
      </c>
      <c r="J51" s="68">
        <f>6989*F51</f>
        <v>94351500</v>
      </c>
      <c r="K51" s="19">
        <f t="shared" ref="K51:K59" si="76">J51*0.05</f>
        <v>4717575</v>
      </c>
      <c r="L51" s="95">
        <f>SUM(L44:L50)</f>
        <v>8943682.1087499987</v>
      </c>
      <c r="M51" s="63">
        <f t="shared" ref="M51:M59" si="77">J51/F51</f>
        <v>6989</v>
      </c>
      <c r="N51" s="66">
        <f t="shared" ref="N51:N59" si="78">J51-I51-K51-L51</f>
        <v>17998414.791249998</v>
      </c>
      <c r="O51" s="58">
        <f t="shared" ref="O51:O59" si="79">N51/J51</f>
        <v>0.19075918020646199</v>
      </c>
    </row>
    <row r="52" spans="1:18" x14ac:dyDescent="0.3">
      <c r="I52" s="19">
        <f t="shared" si="75"/>
        <v>0</v>
      </c>
      <c r="J52" s="68">
        <f t="shared" ref="J52" si="80">I52*1.36</f>
        <v>0</v>
      </c>
      <c r="K52" s="19">
        <f t="shared" si="76"/>
        <v>0</v>
      </c>
      <c r="L52" s="39"/>
      <c r="M52" s="63" t="e">
        <f t="shared" si="77"/>
        <v>#DIV/0!</v>
      </c>
      <c r="N52" s="66">
        <f t="shared" si="78"/>
        <v>0</v>
      </c>
      <c r="O52" s="58" t="e">
        <f t="shared" si="79"/>
        <v>#DIV/0!</v>
      </c>
    </row>
    <row r="53" spans="1:18" x14ac:dyDescent="0.3">
      <c r="A53" s="88">
        <v>45188</v>
      </c>
      <c r="B53" s="3" t="s">
        <v>145</v>
      </c>
      <c r="C53" s="3" t="s">
        <v>155</v>
      </c>
      <c r="D53" s="3" t="s">
        <v>167</v>
      </c>
      <c r="E53" s="57" t="s">
        <v>154</v>
      </c>
      <c r="F53" s="3">
        <v>9000</v>
      </c>
      <c r="G53" s="35">
        <f>877.7+63</f>
        <v>940.7</v>
      </c>
      <c r="H53" s="36">
        <f>7500/3*2</f>
        <v>5000</v>
      </c>
      <c r="I53" s="19">
        <f t="shared" si="75"/>
        <v>8471300</v>
      </c>
      <c r="J53" s="68">
        <f t="shared" ref="J53:J59" si="81">+I53*1.45</f>
        <v>12283385</v>
      </c>
      <c r="K53" s="19">
        <f t="shared" si="76"/>
        <v>614169.25</v>
      </c>
      <c r="L53" s="39">
        <f>I53*0.5*0.175+I53*0.5*0.07</f>
        <v>1037734.25</v>
      </c>
      <c r="M53" s="63">
        <f t="shared" si="77"/>
        <v>1364.8205555555555</v>
      </c>
      <c r="N53" s="66">
        <f t="shared" si="78"/>
        <v>2160181.5</v>
      </c>
      <c r="O53" s="58">
        <f t="shared" si="79"/>
        <v>0.17586206896551723</v>
      </c>
    </row>
    <row r="54" spans="1:18" x14ac:dyDescent="0.3">
      <c r="A54" s="88">
        <v>45188</v>
      </c>
      <c r="B54" s="3" t="s">
        <v>145</v>
      </c>
      <c r="C54" s="3" t="s">
        <v>157</v>
      </c>
      <c r="D54" s="3" t="s">
        <v>156</v>
      </c>
      <c r="E54" s="57" t="s">
        <v>154</v>
      </c>
      <c r="F54" s="3">
        <v>9000</v>
      </c>
      <c r="G54" s="35">
        <f>1035.1+63+18+20.72*1.1</f>
        <v>1138.8919999999998</v>
      </c>
      <c r="H54" s="36">
        <f>7500/3*2</f>
        <v>5000</v>
      </c>
      <c r="I54" s="19">
        <f t="shared" si="75"/>
        <v>10255027.999999998</v>
      </c>
      <c r="J54" s="68">
        <f t="shared" si="81"/>
        <v>14869790.599999998</v>
      </c>
      <c r="K54" s="19">
        <f t="shared" si="76"/>
        <v>743489.52999999991</v>
      </c>
      <c r="L54" s="39">
        <f>I54*0.5*0.175+I54*0.5*0.07</f>
        <v>1256240.9299999997</v>
      </c>
      <c r="M54" s="63">
        <f t="shared" si="77"/>
        <v>1652.1989555555554</v>
      </c>
      <c r="N54" s="66">
        <f t="shared" si="78"/>
        <v>2615032.14</v>
      </c>
      <c r="O54" s="58">
        <f t="shared" si="79"/>
        <v>0.17586206896551729</v>
      </c>
    </row>
    <row r="55" spans="1:18" x14ac:dyDescent="0.3">
      <c r="A55" s="88">
        <v>45188</v>
      </c>
      <c r="B55" s="3" t="s">
        <v>145</v>
      </c>
      <c r="C55" s="3" t="s">
        <v>49</v>
      </c>
      <c r="D55" s="3" t="s">
        <v>158</v>
      </c>
      <c r="E55" s="57" t="s">
        <v>154</v>
      </c>
      <c r="F55" s="3">
        <v>9000</v>
      </c>
      <c r="G55" s="35">
        <v>2190</v>
      </c>
      <c r="H55" s="35">
        <f>H46</f>
        <v>0</v>
      </c>
      <c r="I55" s="19">
        <f t="shared" si="75"/>
        <v>19710000</v>
      </c>
      <c r="J55" s="68">
        <f t="shared" si="81"/>
        <v>28579500</v>
      </c>
      <c r="K55" s="19">
        <f t="shared" si="76"/>
        <v>1428975</v>
      </c>
      <c r="L55" s="39">
        <f>(I55-4500000)*0.175+4500000*0.07</f>
        <v>2976750</v>
      </c>
      <c r="M55" s="63">
        <f t="shared" si="77"/>
        <v>3175.5</v>
      </c>
      <c r="N55" s="66">
        <f t="shared" si="78"/>
        <v>4463775</v>
      </c>
      <c r="O55" s="58">
        <f t="shared" si="79"/>
        <v>0.15618800188946622</v>
      </c>
    </row>
    <row r="56" spans="1:18" x14ac:dyDescent="0.3">
      <c r="A56" s="88">
        <v>45188</v>
      </c>
      <c r="B56" s="3" t="s">
        <v>145</v>
      </c>
      <c r="C56" s="3" t="s">
        <v>160</v>
      </c>
      <c r="D56" s="3" t="s">
        <v>159</v>
      </c>
      <c r="E56" s="57" t="s">
        <v>84</v>
      </c>
      <c r="F56" s="3">
        <v>9000</v>
      </c>
      <c r="G56" s="92">
        <f>71.83*1.1</f>
        <v>79.013000000000005</v>
      </c>
      <c r="H56" s="35">
        <f>H47</f>
        <v>0</v>
      </c>
      <c r="I56" s="19">
        <f t="shared" si="75"/>
        <v>711117</v>
      </c>
      <c r="J56" s="68">
        <f t="shared" si="81"/>
        <v>1031119.65</v>
      </c>
      <c r="K56" s="19">
        <f t="shared" si="76"/>
        <v>51555.982500000006</v>
      </c>
      <c r="L56" s="39">
        <f>I56*0.5*0.175+I56*0.5*0.07</f>
        <v>87111.83249999999</v>
      </c>
      <c r="M56" s="63">
        <f t="shared" si="77"/>
        <v>114.56885</v>
      </c>
      <c r="N56" s="66">
        <f t="shared" si="78"/>
        <v>181334.83500000005</v>
      </c>
      <c r="O56" s="58">
        <f t="shared" si="79"/>
        <v>0.17586206896551729</v>
      </c>
    </row>
    <row r="57" spans="1:18" x14ac:dyDescent="0.3">
      <c r="A57" s="88">
        <v>45188</v>
      </c>
      <c r="B57" s="3" t="s">
        <v>145</v>
      </c>
      <c r="C57" s="3" t="s">
        <v>161</v>
      </c>
      <c r="D57" s="3" t="s">
        <v>162</v>
      </c>
      <c r="E57" s="57"/>
      <c r="F57" s="3">
        <v>9000</v>
      </c>
      <c r="G57" s="35">
        <f>G48</f>
        <v>240</v>
      </c>
      <c r="H57" s="35">
        <f>H48</f>
        <v>0</v>
      </c>
      <c r="I57" s="19">
        <f t="shared" si="75"/>
        <v>2160000</v>
      </c>
      <c r="J57" s="68">
        <f t="shared" si="81"/>
        <v>3132000</v>
      </c>
      <c r="K57" s="19">
        <f t="shared" si="76"/>
        <v>156600</v>
      </c>
      <c r="L57" s="39"/>
      <c r="M57" s="63">
        <f t="shared" si="77"/>
        <v>348</v>
      </c>
      <c r="N57" s="66">
        <f t="shared" si="78"/>
        <v>815400</v>
      </c>
      <c r="O57" s="58">
        <f t="shared" si="79"/>
        <v>0.26034482758620692</v>
      </c>
    </row>
    <row r="58" spans="1:18" x14ac:dyDescent="0.3">
      <c r="A58" s="88">
        <v>45188</v>
      </c>
      <c r="B58" s="3" t="s">
        <v>145</v>
      </c>
      <c r="C58" s="3" t="s">
        <v>161</v>
      </c>
      <c r="D58" s="3" t="s">
        <v>166</v>
      </c>
      <c r="E58" s="57"/>
      <c r="F58" s="3">
        <v>9000</v>
      </c>
      <c r="G58" s="35">
        <f>G49</f>
        <v>0</v>
      </c>
      <c r="H58" s="35">
        <f>652.22*0.8*500</f>
        <v>260888.00000000003</v>
      </c>
      <c r="I58" s="19">
        <f t="shared" si="75"/>
        <v>260888.00000000003</v>
      </c>
      <c r="J58" s="68">
        <f t="shared" si="81"/>
        <v>378287.60000000003</v>
      </c>
      <c r="K58" s="19">
        <f t="shared" si="76"/>
        <v>18914.38</v>
      </c>
      <c r="L58" s="39">
        <f>+I58*0.5*0.175+I58*0.5*0.245</f>
        <v>54786.48</v>
      </c>
      <c r="M58" s="63">
        <f t="shared" si="77"/>
        <v>42.031955555555562</v>
      </c>
      <c r="N58" s="66">
        <f t="shared" si="78"/>
        <v>43698.74</v>
      </c>
      <c r="O58" s="58">
        <f t="shared" si="79"/>
        <v>0.11551724137931033</v>
      </c>
    </row>
    <row r="59" spans="1:18" x14ac:dyDescent="0.3">
      <c r="A59" s="88">
        <v>45188</v>
      </c>
      <c r="B59" s="3" t="s">
        <v>145</v>
      </c>
      <c r="C59" s="3" t="s">
        <v>161</v>
      </c>
      <c r="D59" s="3" t="s">
        <v>164</v>
      </c>
      <c r="E59" s="57"/>
      <c r="F59" s="3">
        <v>9000</v>
      </c>
      <c r="G59" s="35">
        <f>G50</f>
        <v>0</v>
      </c>
      <c r="H59" s="36">
        <f>14000+14000+130000*2</f>
        <v>288000</v>
      </c>
      <c r="I59" s="19">
        <f t="shared" si="75"/>
        <v>288000</v>
      </c>
      <c r="J59" s="68">
        <f t="shared" si="81"/>
        <v>417600</v>
      </c>
      <c r="K59" s="19">
        <f t="shared" si="76"/>
        <v>20880</v>
      </c>
      <c r="L59" s="39">
        <f>+(I60)*0.01</f>
        <v>418563.32999999996</v>
      </c>
      <c r="M59" s="63">
        <f t="shared" si="77"/>
        <v>46.4</v>
      </c>
      <c r="N59" s="66">
        <f t="shared" si="78"/>
        <v>-309843.32999999996</v>
      </c>
      <c r="O59" s="58">
        <f t="shared" si="79"/>
        <v>-0.74196199712643673</v>
      </c>
    </row>
    <row r="60" spans="1:18" x14ac:dyDescent="0.3">
      <c r="A60" s="88">
        <v>45188</v>
      </c>
      <c r="B60" s="3" t="s">
        <v>145</v>
      </c>
      <c r="C60" s="3"/>
      <c r="D60" s="76" t="s">
        <v>165</v>
      </c>
      <c r="E60" s="57"/>
      <c r="F60" s="3">
        <v>9000</v>
      </c>
      <c r="G60" s="93">
        <f>SUM(G53:G59)</f>
        <v>4588.6049999999996</v>
      </c>
      <c r="H60" s="93">
        <f>SUM(H53:H59)</f>
        <v>558888</v>
      </c>
      <c r="I60" s="19">
        <f t="shared" ref="I60:I73" si="82">(F60*G60)+H60</f>
        <v>41856332.999999993</v>
      </c>
      <c r="J60" s="68">
        <f>+I60*1.67</f>
        <v>69900076.109999985</v>
      </c>
      <c r="K60" s="19">
        <f t="shared" ref="K60:K73" si="83">J60*0.05</f>
        <v>3495003.8054999993</v>
      </c>
      <c r="L60" s="95">
        <f>SUM(L53:L59)</f>
        <v>5831186.8224999998</v>
      </c>
      <c r="M60" s="63">
        <f t="shared" ref="M60:M73" si="84">J60/F60</f>
        <v>7766.6751233333316</v>
      </c>
      <c r="N60" s="66">
        <f t="shared" ref="N60:N73" si="85">J60-I60-K60-L60</f>
        <v>18717552.481999993</v>
      </c>
      <c r="O60" s="58">
        <f t="shared" ref="O60:O73" si="86">N60/J60</f>
        <v>0.26777585266923964</v>
      </c>
    </row>
    <row r="61" spans="1:18" x14ac:dyDescent="0.3">
      <c r="I61" s="19">
        <f t="shared" si="82"/>
        <v>0</v>
      </c>
      <c r="J61" s="68">
        <f t="shared" ref="J61" si="87">I61*1.36</f>
        <v>0</v>
      </c>
      <c r="K61" s="19">
        <f t="shared" si="83"/>
        <v>0</v>
      </c>
      <c r="L61" s="39"/>
      <c r="M61" s="63" t="e">
        <f t="shared" si="84"/>
        <v>#DIV/0!</v>
      </c>
      <c r="N61" s="66">
        <f t="shared" si="85"/>
        <v>0</v>
      </c>
      <c r="O61" s="58" t="e">
        <f t="shared" si="86"/>
        <v>#DIV/0!</v>
      </c>
      <c r="P61" s="67" t="s">
        <v>172</v>
      </c>
    </row>
    <row r="62" spans="1:18" x14ac:dyDescent="0.3">
      <c r="A62" s="88">
        <v>45188</v>
      </c>
      <c r="B62" s="3" t="s">
        <v>145</v>
      </c>
      <c r="C62" s="3" t="s">
        <v>153</v>
      </c>
      <c r="D62" s="3" t="s">
        <v>152</v>
      </c>
      <c r="E62" s="57" t="s">
        <v>154</v>
      </c>
      <c r="F62" s="3">
        <v>4500</v>
      </c>
      <c r="G62" s="35">
        <f>1000.27*0.95+90+20+10</f>
        <v>1070.2565</v>
      </c>
      <c r="H62" s="36">
        <v>7000</v>
      </c>
      <c r="I62" s="19">
        <f t="shared" si="82"/>
        <v>4823154.25</v>
      </c>
      <c r="J62" s="68"/>
      <c r="K62" s="19">
        <f t="shared" si="83"/>
        <v>0</v>
      </c>
      <c r="L62" s="39">
        <f>I62*0.5*0.21+I62*0.5*0.105</f>
        <v>759646.79437499994</v>
      </c>
      <c r="M62" s="63">
        <f t="shared" si="84"/>
        <v>0</v>
      </c>
      <c r="N62" s="66">
        <f t="shared" si="85"/>
        <v>-5582801.0443749996</v>
      </c>
      <c r="O62" s="58" t="e">
        <f t="shared" si="86"/>
        <v>#DIV/0!</v>
      </c>
      <c r="P62">
        <v>3</v>
      </c>
      <c r="Q62" s="67" t="s">
        <v>171</v>
      </c>
      <c r="R62" s="67">
        <f>0.07*3</f>
        <v>0.21000000000000002</v>
      </c>
    </row>
    <row r="63" spans="1:18" x14ac:dyDescent="0.3">
      <c r="A63" s="88">
        <v>45188</v>
      </c>
      <c r="B63" s="3" t="s">
        <v>145</v>
      </c>
      <c r="C63" s="3" t="s">
        <v>153</v>
      </c>
      <c r="D63" s="3" t="s">
        <v>152</v>
      </c>
      <c r="E63" s="57" t="s">
        <v>154</v>
      </c>
      <c r="F63" s="3">
        <v>4500</v>
      </c>
      <c r="G63" s="35">
        <f>1000.27*0.95+90+20+10</f>
        <v>1070.2565</v>
      </c>
      <c r="H63" s="36">
        <v>7000</v>
      </c>
      <c r="I63" s="19">
        <f t="shared" ref="I63" si="88">(F63*G63)+H63</f>
        <v>4823154.25</v>
      </c>
      <c r="J63" s="68"/>
      <c r="K63" s="19">
        <f t="shared" ref="K63" si="89">J63*0.05</f>
        <v>0</v>
      </c>
      <c r="L63" s="39">
        <f>I63*0.5*0.28+I63*0.4*0.175</f>
        <v>1012862.3925000001</v>
      </c>
      <c r="M63" s="63">
        <f t="shared" ref="M63" si="90">J63/F63</f>
        <v>0</v>
      </c>
      <c r="N63" s="66">
        <f t="shared" ref="N63" si="91">J63-I63-K63-L63</f>
        <v>-5836016.6425000001</v>
      </c>
      <c r="O63" s="58" t="e">
        <f t="shared" ref="O63" si="92">N63/J63</f>
        <v>#DIV/0!</v>
      </c>
      <c r="P63">
        <v>4</v>
      </c>
      <c r="Q63" s="67" t="s">
        <v>171</v>
      </c>
    </row>
    <row r="64" spans="1:18" x14ac:dyDescent="0.3">
      <c r="A64" s="88">
        <v>45188</v>
      </c>
      <c r="B64" s="3" t="s">
        <v>145</v>
      </c>
      <c r="C64" s="3" t="s">
        <v>157</v>
      </c>
      <c r="D64" s="3" t="s">
        <v>156</v>
      </c>
      <c r="E64" s="57" t="s">
        <v>154</v>
      </c>
      <c r="F64" s="3">
        <v>4500</v>
      </c>
      <c r="G64" s="35">
        <f>1035.1+63+18+20.72*1.1</f>
        <v>1138.8919999999998</v>
      </c>
      <c r="H64" s="36">
        <f>7500/2</f>
        <v>3750</v>
      </c>
      <c r="I64" s="19">
        <f t="shared" si="82"/>
        <v>5128763.9999999991</v>
      </c>
      <c r="J64" s="68"/>
      <c r="K64" s="19">
        <f t="shared" si="83"/>
        <v>0</v>
      </c>
      <c r="L64" s="39">
        <f>I64*0.5*0.21+I64*0.5*0.105</f>
        <v>807780.32999999984</v>
      </c>
      <c r="M64" s="63">
        <f t="shared" si="84"/>
        <v>0</v>
      </c>
      <c r="N64" s="66">
        <f t="shared" si="85"/>
        <v>-5936544.3299999991</v>
      </c>
      <c r="O64" s="58" t="e">
        <f t="shared" si="86"/>
        <v>#DIV/0!</v>
      </c>
    </row>
    <row r="65" spans="1:18" x14ac:dyDescent="0.3">
      <c r="A65" s="88">
        <v>45188</v>
      </c>
      <c r="B65" s="3" t="s">
        <v>145</v>
      </c>
      <c r="C65" s="3" t="s">
        <v>157</v>
      </c>
      <c r="D65" s="3" t="s">
        <v>156</v>
      </c>
      <c r="E65" s="57" t="s">
        <v>154</v>
      </c>
      <c r="F65" s="3">
        <v>4500</v>
      </c>
      <c r="G65" s="35">
        <f>1035.1+63+18+20.72*1.1</f>
        <v>1138.8919999999998</v>
      </c>
      <c r="H65" s="36">
        <f>7500/2</f>
        <v>3750</v>
      </c>
      <c r="I65" s="19">
        <f t="shared" ref="I65" si="93">(F65*G65)+H65</f>
        <v>5128763.9999999991</v>
      </c>
      <c r="J65" s="68"/>
      <c r="K65" s="19">
        <f t="shared" ref="K65" si="94">J65*0.05</f>
        <v>0</v>
      </c>
      <c r="L65" s="39">
        <f>I65*0.5*0.28+I65*0.4*0.175</f>
        <v>1077040.44</v>
      </c>
      <c r="M65" s="63">
        <f t="shared" ref="M65" si="95">J65/F65</f>
        <v>0</v>
      </c>
      <c r="N65" s="66">
        <f t="shared" ref="N65" si="96">J65-I65-K65-L65</f>
        <v>-6205804.4399999995</v>
      </c>
      <c r="O65" s="58" t="e">
        <f t="shared" ref="O65" si="97">N65/J65</f>
        <v>#DIV/0!</v>
      </c>
    </row>
    <row r="66" spans="1:18" x14ac:dyDescent="0.3">
      <c r="A66" s="88">
        <v>45188</v>
      </c>
      <c r="B66" s="3" t="s">
        <v>145</v>
      </c>
      <c r="C66" s="3" t="s">
        <v>49</v>
      </c>
      <c r="D66" s="3" t="s">
        <v>158</v>
      </c>
      <c r="E66" s="57" t="s">
        <v>154</v>
      </c>
      <c r="F66" s="3">
        <v>4500</v>
      </c>
      <c r="G66" s="35">
        <v>2190</v>
      </c>
      <c r="I66" s="19">
        <f t="shared" si="82"/>
        <v>9855000</v>
      </c>
      <c r="J66" s="68"/>
      <c r="K66" s="19">
        <f t="shared" si="83"/>
        <v>0</v>
      </c>
      <c r="L66" s="39">
        <f>(I66-4500000)*0.21+4500000*0.105</f>
        <v>1597050</v>
      </c>
      <c r="M66" s="63">
        <f t="shared" si="84"/>
        <v>0</v>
      </c>
      <c r="N66" s="66">
        <f t="shared" si="85"/>
        <v>-11452050</v>
      </c>
      <c r="O66" s="58" t="e">
        <f t="shared" si="86"/>
        <v>#DIV/0!</v>
      </c>
    </row>
    <row r="67" spans="1:18" x14ac:dyDescent="0.3">
      <c r="A67" s="88">
        <v>45188</v>
      </c>
      <c r="B67" s="3" t="s">
        <v>145</v>
      </c>
      <c r="C67" s="3" t="s">
        <v>49</v>
      </c>
      <c r="D67" s="3" t="s">
        <v>158</v>
      </c>
      <c r="E67" s="57" t="s">
        <v>154</v>
      </c>
      <c r="F67" s="3">
        <v>4500</v>
      </c>
      <c r="G67" s="35">
        <v>2190</v>
      </c>
      <c r="I67" s="19">
        <f t="shared" ref="I67" si="98">(F67*G67)+H67</f>
        <v>9855000</v>
      </c>
      <c r="J67" s="68"/>
      <c r="K67" s="19">
        <f t="shared" ref="K67" si="99">J67*0.05</f>
        <v>0</v>
      </c>
      <c r="L67" s="39">
        <f>I67*0.28</f>
        <v>2759400.0000000005</v>
      </c>
      <c r="M67" s="63">
        <f t="shared" ref="M67" si="100">J67/F67</f>
        <v>0</v>
      </c>
      <c r="N67" s="66">
        <f t="shared" ref="N67" si="101">J67-I67-K67-L67</f>
        <v>-12614400</v>
      </c>
      <c r="O67" s="58" t="e">
        <f t="shared" ref="O67" si="102">N67/J67</f>
        <v>#DIV/0!</v>
      </c>
    </row>
    <row r="68" spans="1:18" x14ac:dyDescent="0.3">
      <c r="A68" s="88">
        <v>45188</v>
      </c>
      <c r="B68" s="3" t="s">
        <v>145</v>
      </c>
      <c r="C68" s="3" t="s">
        <v>160</v>
      </c>
      <c r="D68" s="3" t="s">
        <v>159</v>
      </c>
      <c r="E68" s="57" t="s">
        <v>84</v>
      </c>
      <c r="F68" s="3">
        <v>4500</v>
      </c>
      <c r="G68" s="92">
        <f>71.83*1.1</f>
        <v>79.013000000000005</v>
      </c>
      <c r="I68" s="19">
        <f t="shared" si="82"/>
        <v>355558.5</v>
      </c>
      <c r="J68" s="68"/>
      <c r="K68" s="19">
        <f t="shared" si="83"/>
        <v>0</v>
      </c>
      <c r="L68" s="39">
        <f>I68*0.5*0.21+I68*0.5*0.105</f>
        <v>56000.463750000003</v>
      </c>
      <c r="M68" s="63">
        <f t="shared" si="84"/>
        <v>0</v>
      </c>
      <c r="N68" s="66">
        <f t="shared" si="85"/>
        <v>-411558.96375</v>
      </c>
      <c r="O68" s="58" t="e">
        <f t="shared" si="86"/>
        <v>#DIV/0!</v>
      </c>
    </row>
    <row r="69" spans="1:18" x14ac:dyDescent="0.3">
      <c r="A69" s="88">
        <v>45188</v>
      </c>
      <c r="B69" s="3" t="s">
        <v>145</v>
      </c>
      <c r="C69" s="3" t="s">
        <v>160</v>
      </c>
      <c r="D69" s="3" t="s">
        <v>159</v>
      </c>
      <c r="E69" s="57" t="s">
        <v>84</v>
      </c>
      <c r="F69" s="3">
        <v>4500</v>
      </c>
      <c r="G69" s="92">
        <f>71.83*1.1</f>
        <v>79.013000000000005</v>
      </c>
      <c r="I69" s="19">
        <f t="shared" ref="I69" si="103">(F69*G69)+H69</f>
        <v>355558.5</v>
      </c>
      <c r="J69" s="68"/>
      <c r="K69" s="19">
        <f t="shared" ref="K69" si="104">J69*0.05</f>
        <v>0</v>
      </c>
      <c r="L69" s="39">
        <f>I69*0.5*0.28+I69*0.4*0.105</f>
        <v>64711.646999999997</v>
      </c>
      <c r="M69" s="63">
        <f t="shared" ref="M69" si="105">J69/F69</f>
        <v>0</v>
      </c>
      <c r="N69" s="66">
        <f t="shared" ref="N69" si="106">J69-I69-K69-L69</f>
        <v>-420270.147</v>
      </c>
      <c r="O69" s="58" t="e">
        <f t="shared" ref="O69" si="107">N69/J69</f>
        <v>#DIV/0!</v>
      </c>
    </row>
    <row r="70" spans="1:18" x14ac:dyDescent="0.3">
      <c r="A70" s="88">
        <v>45188</v>
      </c>
      <c r="B70" s="3" t="s">
        <v>145</v>
      </c>
      <c r="C70" s="3" t="s">
        <v>161</v>
      </c>
      <c r="D70" s="3" t="s">
        <v>162</v>
      </c>
      <c r="E70" s="57"/>
      <c r="F70" s="3">
        <v>9000</v>
      </c>
      <c r="G70" s="35">
        <f>G57</f>
        <v>240</v>
      </c>
      <c r="I70" s="19">
        <f t="shared" si="82"/>
        <v>2160000</v>
      </c>
      <c r="J70" s="68"/>
      <c r="K70" s="19">
        <f t="shared" si="83"/>
        <v>0</v>
      </c>
      <c r="L70" s="39"/>
      <c r="M70" s="63">
        <f t="shared" si="84"/>
        <v>0</v>
      </c>
      <c r="N70" s="66">
        <f t="shared" si="85"/>
        <v>-2160000</v>
      </c>
      <c r="O70" s="58" t="e">
        <f t="shared" si="86"/>
        <v>#DIV/0!</v>
      </c>
    </row>
    <row r="71" spans="1:18" x14ac:dyDescent="0.3">
      <c r="A71" s="88">
        <v>45188</v>
      </c>
      <c r="B71" s="3" t="s">
        <v>145</v>
      </c>
      <c r="C71" s="3" t="s">
        <v>161</v>
      </c>
      <c r="D71" s="3" t="s">
        <v>166</v>
      </c>
      <c r="E71" s="57"/>
      <c r="F71" s="3">
        <v>4500</v>
      </c>
      <c r="H71" s="35">
        <f>652.22*0.8*250</f>
        <v>130444.00000000001</v>
      </c>
      <c r="I71" s="19">
        <f t="shared" si="82"/>
        <v>130444.00000000001</v>
      </c>
      <c r="J71" s="68"/>
      <c r="K71" s="19">
        <f t="shared" si="83"/>
        <v>0</v>
      </c>
      <c r="L71" s="39">
        <f>I71*0.21</f>
        <v>27393.24</v>
      </c>
      <c r="M71" s="63">
        <f t="shared" si="84"/>
        <v>0</v>
      </c>
      <c r="N71" s="66">
        <f t="shared" si="85"/>
        <v>-157837.24000000002</v>
      </c>
      <c r="O71" s="58" t="e">
        <f t="shared" si="86"/>
        <v>#DIV/0!</v>
      </c>
    </row>
    <row r="72" spans="1:18" x14ac:dyDescent="0.3">
      <c r="A72" s="88">
        <v>45188</v>
      </c>
      <c r="B72" s="3" t="s">
        <v>145</v>
      </c>
      <c r="C72" s="3" t="s">
        <v>161</v>
      </c>
      <c r="D72" s="3" t="s">
        <v>166</v>
      </c>
      <c r="E72" s="57"/>
      <c r="F72" s="3">
        <v>4500</v>
      </c>
      <c r="H72" s="35">
        <f>652.22*0.8*250</f>
        <v>130444.00000000001</v>
      </c>
      <c r="I72" s="19">
        <f t="shared" ref="I72" si="108">(F72*G72)+H72</f>
        <v>130444.00000000001</v>
      </c>
      <c r="J72" s="68"/>
      <c r="K72" s="19">
        <f t="shared" ref="K72" si="109">J72*0.05</f>
        <v>0</v>
      </c>
      <c r="L72" s="39">
        <f>I72*0.28</f>
        <v>36524.320000000007</v>
      </c>
      <c r="M72" s="63">
        <f t="shared" ref="M72" si="110">J72/F72</f>
        <v>0</v>
      </c>
      <c r="N72" s="66">
        <f t="shared" ref="N72" si="111">J72-I72-K72-L72</f>
        <v>-166968.32000000001</v>
      </c>
      <c r="O72" s="58" t="e">
        <f t="shared" ref="O72" si="112">N72/J72</f>
        <v>#DIV/0!</v>
      </c>
    </row>
    <row r="73" spans="1:18" x14ac:dyDescent="0.3">
      <c r="A73" s="88">
        <v>45188</v>
      </c>
      <c r="B73" s="3" t="s">
        <v>145</v>
      </c>
      <c r="C73" s="3" t="s">
        <v>161</v>
      </c>
      <c r="D73" s="3" t="s">
        <v>164</v>
      </c>
      <c r="E73" s="57"/>
      <c r="F73" s="3">
        <v>9000</v>
      </c>
      <c r="H73" s="36">
        <f>14000+14000+130000*2</f>
        <v>288000</v>
      </c>
      <c r="I73" s="19">
        <f t="shared" si="82"/>
        <v>288000</v>
      </c>
      <c r="J73" s="68"/>
      <c r="K73" s="19">
        <f t="shared" si="83"/>
        <v>0</v>
      </c>
      <c r="L73" s="39">
        <f>+(I74)*0.01</f>
        <v>430338.41499999992</v>
      </c>
      <c r="M73" s="63">
        <f t="shared" si="84"/>
        <v>0</v>
      </c>
      <c r="N73" s="66">
        <f t="shared" si="85"/>
        <v>-718338.41499999992</v>
      </c>
      <c r="O73" s="58" t="e">
        <f t="shared" si="86"/>
        <v>#DIV/0!</v>
      </c>
    </row>
    <row r="74" spans="1:18" x14ac:dyDescent="0.3">
      <c r="A74" s="88">
        <v>45188</v>
      </c>
      <c r="B74" s="3" t="s">
        <v>145</v>
      </c>
      <c r="C74" s="3"/>
      <c r="D74" s="76" t="s">
        <v>163</v>
      </c>
      <c r="E74" s="57"/>
      <c r="F74" s="3">
        <v>9000</v>
      </c>
      <c r="G74" s="93">
        <f>+G62+G64+G66+G68+G70</f>
        <v>4718.1614999999993</v>
      </c>
      <c r="H74" s="93">
        <f>SUM(H62:H73)</f>
        <v>570388</v>
      </c>
      <c r="I74" s="19">
        <f t="shared" ref="I74:I87" si="113">(F74*G74)+H74</f>
        <v>43033841.499999993</v>
      </c>
      <c r="J74" s="68">
        <f>+I74*1.58</f>
        <v>67993469.569999993</v>
      </c>
      <c r="K74" s="19">
        <f t="shared" ref="K74:K87" si="114">J74*0.05</f>
        <v>3399673.4784999997</v>
      </c>
      <c r="L74" s="95">
        <f>SUM(L62:L73)</f>
        <v>8628748.0426250007</v>
      </c>
      <c r="M74" s="63">
        <f t="shared" ref="M74:M87" si="115">J74/F74</f>
        <v>7554.8299522222214</v>
      </c>
      <c r="N74" s="66">
        <f t="shared" ref="N74:N87" si="116">J74-I74-K74-L74</f>
        <v>12931206.548874998</v>
      </c>
      <c r="O74" s="58">
        <f t="shared" ref="O74:O87" si="117">N74/J74</f>
        <v>0.1901830665599758</v>
      </c>
    </row>
    <row r="75" spans="1:18" x14ac:dyDescent="0.3">
      <c r="I75" s="19"/>
      <c r="J75" s="68"/>
      <c r="K75" s="19"/>
      <c r="L75" s="39"/>
      <c r="M75" s="63"/>
      <c r="N75" s="66"/>
      <c r="O75" s="58"/>
      <c r="P75" s="67"/>
    </row>
    <row r="76" spans="1:18" x14ac:dyDescent="0.3">
      <c r="A76" s="88">
        <v>45188</v>
      </c>
      <c r="B76" s="3" t="s">
        <v>145</v>
      </c>
      <c r="C76" s="3" t="s">
        <v>155</v>
      </c>
      <c r="D76" s="3" t="s">
        <v>167</v>
      </c>
      <c r="E76" s="57" t="s">
        <v>154</v>
      </c>
      <c r="F76" s="3">
        <v>4500</v>
      </c>
      <c r="G76" s="35">
        <f>877.7+63</f>
        <v>940.7</v>
      </c>
      <c r="H76" s="36">
        <f>7500/2</f>
        <v>3750</v>
      </c>
      <c r="I76" s="19">
        <f t="shared" si="113"/>
        <v>4236900</v>
      </c>
      <c r="J76" s="68"/>
      <c r="K76" s="19">
        <f t="shared" si="114"/>
        <v>0</v>
      </c>
      <c r="L76" s="39">
        <f>I76*0.5*0.21+I76*0.5*0.105</f>
        <v>667311.75</v>
      </c>
      <c r="M76" s="63">
        <f t="shared" si="115"/>
        <v>0</v>
      </c>
      <c r="N76" s="66">
        <f t="shared" si="116"/>
        <v>-4904211.75</v>
      </c>
      <c r="O76" s="58" t="e">
        <f t="shared" si="117"/>
        <v>#DIV/0!</v>
      </c>
      <c r="P76">
        <v>3</v>
      </c>
      <c r="Q76" s="67" t="s">
        <v>171</v>
      </c>
      <c r="R76" s="67">
        <f>0.07*3</f>
        <v>0.21000000000000002</v>
      </c>
    </row>
    <row r="77" spans="1:18" x14ac:dyDescent="0.3">
      <c r="A77" s="88">
        <v>45188</v>
      </c>
      <c r="B77" s="3" t="s">
        <v>145</v>
      </c>
      <c r="C77" s="3" t="s">
        <v>155</v>
      </c>
      <c r="D77" s="3" t="s">
        <v>167</v>
      </c>
      <c r="E77" s="57" t="s">
        <v>154</v>
      </c>
      <c r="F77" s="3">
        <v>4500</v>
      </c>
      <c r="G77" s="35">
        <f>877.7+63</f>
        <v>940.7</v>
      </c>
      <c r="H77" s="36">
        <f>7500/2</f>
        <v>3750</v>
      </c>
      <c r="I77" s="19">
        <f t="shared" si="113"/>
        <v>4236900</v>
      </c>
      <c r="J77" s="68"/>
      <c r="K77" s="19">
        <f t="shared" si="114"/>
        <v>0</v>
      </c>
      <c r="L77" s="39">
        <f>I77*0.5*0.28+I77*0.4*0.175</f>
        <v>889749</v>
      </c>
      <c r="M77" s="63">
        <f t="shared" si="115"/>
        <v>0</v>
      </c>
      <c r="N77" s="66">
        <f t="shared" si="116"/>
        <v>-5126649</v>
      </c>
      <c r="O77" s="58" t="e">
        <f t="shared" si="117"/>
        <v>#DIV/0!</v>
      </c>
      <c r="P77">
        <v>4</v>
      </c>
      <c r="Q77" s="67" t="s">
        <v>171</v>
      </c>
    </row>
    <row r="78" spans="1:18" x14ac:dyDescent="0.3">
      <c r="A78" s="88">
        <v>45188</v>
      </c>
      <c r="B78" s="3" t="s">
        <v>145</v>
      </c>
      <c r="C78" s="3" t="s">
        <v>157</v>
      </c>
      <c r="D78" s="3" t="s">
        <v>156</v>
      </c>
      <c r="E78" s="57" t="s">
        <v>154</v>
      </c>
      <c r="F78" s="3">
        <v>4500</v>
      </c>
      <c r="G78" s="35">
        <f>1035.1+63+18+20.72*1.1</f>
        <v>1138.8919999999998</v>
      </c>
      <c r="H78" s="36">
        <f>7500/2</f>
        <v>3750</v>
      </c>
      <c r="I78" s="19">
        <f t="shared" si="113"/>
        <v>5128763.9999999991</v>
      </c>
      <c r="J78" s="68"/>
      <c r="K78" s="19">
        <f t="shared" si="114"/>
        <v>0</v>
      </c>
      <c r="L78" s="39">
        <f>I78*0.5*0.21+I78*0.5*0.105</f>
        <v>807780.32999999984</v>
      </c>
      <c r="M78" s="63">
        <f t="shared" si="115"/>
        <v>0</v>
      </c>
      <c r="N78" s="66">
        <f t="shared" si="116"/>
        <v>-5936544.3299999991</v>
      </c>
      <c r="O78" s="58" t="e">
        <f t="shared" si="117"/>
        <v>#DIV/0!</v>
      </c>
    </row>
    <row r="79" spans="1:18" x14ac:dyDescent="0.3">
      <c r="A79" s="88">
        <v>45188</v>
      </c>
      <c r="B79" s="3" t="s">
        <v>145</v>
      </c>
      <c r="C79" s="3" t="s">
        <v>157</v>
      </c>
      <c r="D79" s="3" t="s">
        <v>156</v>
      </c>
      <c r="E79" s="57" t="s">
        <v>154</v>
      </c>
      <c r="F79" s="3">
        <v>4500</v>
      </c>
      <c r="G79" s="35">
        <f>1035.1+63+18+20.72*1.1</f>
        <v>1138.8919999999998</v>
      </c>
      <c r="H79" s="36">
        <f>7500/2</f>
        <v>3750</v>
      </c>
      <c r="I79" s="19">
        <f t="shared" si="113"/>
        <v>5128763.9999999991</v>
      </c>
      <c r="J79" s="68"/>
      <c r="K79" s="19">
        <f t="shared" si="114"/>
        <v>0</v>
      </c>
      <c r="L79" s="39">
        <f>I79*0.5*0.28+I79*0.4*0.175</f>
        <v>1077040.44</v>
      </c>
      <c r="M79" s="63">
        <f t="shared" si="115"/>
        <v>0</v>
      </c>
      <c r="N79" s="66">
        <f t="shared" si="116"/>
        <v>-6205804.4399999995</v>
      </c>
      <c r="O79" s="58" t="e">
        <f t="shared" si="117"/>
        <v>#DIV/0!</v>
      </c>
    </row>
    <row r="80" spans="1:18" x14ac:dyDescent="0.3">
      <c r="A80" s="88">
        <v>45188</v>
      </c>
      <c r="B80" s="3" t="s">
        <v>145</v>
      </c>
      <c r="C80" s="3" t="s">
        <v>49</v>
      </c>
      <c r="D80" s="3" t="s">
        <v>158</v>
      </c>
      <c r="E80" s="57" t="s">
        <v>154</v>
      </c>
      <c r="F80" s="3">
        <v>4500</v>
      </c>
      <c r="G80" s="35">
        <v>2190</v>
      </c>
      <c r="I80" s="19">
        <f t="shared" si="113"/>
        <v>9855000</v>
      </c>
      <c r="J80" s="68"/>
      <c r="K80" s="19">
        <f t="shared" si="114"/>
        <v>0</v>
      </c>
      <c r="L80" s="39">
        <f>(I80-4500000)*0.21+4500000*0.105</f>
        <v>1597050</v>
      </c>
      <c r="M80" s="63">
        <f t="shared" si="115"/>
        <v>0</v>
      </c>
      <c r="N80" s="66">
        <f t="shared" si="116"/>
        <v>-11452050</v>
      </c>
      <c r="O80" s="58" t="e">
        <f t="shared" si="117"/>
        <v>#DIV/0!</v>
      </c>
    </row>
    <row r="81" spans="1:15" x14ac:dyDescent="0.3">
      <c r="A81" s="88">
        <v>45188</v>
      </c>
      <c r="B81" s="3" t="s">
        <v>145</v>
      </c>
      <c r="C81" s="3" t="s">
        <v>49</v>
      </c>
      <c r="D81" s="3" t="s">
        <v>158</v>
      </c>
      <c r="E81" s="57" t="s">
        <v>154</v>
      </c>
      <c r="F81" s="3">
        <v>4500</v>
      </c>
      <c r="G81" s="35">
        <v>2190</v>
      </c>
      <c r="I81" s="19">
        <f t="shared" si="113"/>
        <v>9855000</v>
      </c>
      <c r="J81" s="68"/>
      <c r="K81" s="19">
        <f t="shared" si="114"/>
        <v>0</v>
      </c>
      <c r="L81" s="39">
        <f>I81*0.28</f>
        <v>2759400.0000000005</v>
      </c>
      <c r="M81" s="63">
        <f t="shared" si="115"/>
        <v>0</v>
      </c>
      <c r="N81" s="66">
        <f t="shared" si="116"/>
        <v>-12614400</v>
      </c>
      <c r="O81" s="58" t="e">
        <f t="shared" si="117"/>
        <v>#DIV/0!</v>
      </c>
    </row>
    <row r="82" spans="1:15" x14ac:dyDescent="0.3">
      <c r="A82" s="88">
        <v>45188</v>
      </c>
      <c r="B82" s="3" t="s">
        <v>145</v>
      </c>
      <c r="C82" s="3" t="s">
        <v>160</v>
      </c>
      <c r="D82" s="3" t="s">
        <v>159</v>
      </c>
      <c r="E82" s="57" t="s">
        <v>84</v>
      </c>
      <c r="F82" s="3">
        <v>4500</v>
      </c>
      <c r="G82" s="92">
        <f>71.83*1.1</f>
        <v>79.013000000000005</v>
      </c>
      <c r="I82" s="19">
        <f t="shared" si="113"/>
        <v>355558.5</v>
      </c>
      <c r="J82" s="68"/>
      <c r="K82" s="19">
        <f t="shared" si="114"/>
        <v>0</v>
      </c>
      <c r="L82" s="39">
        <f>I82*0.5*0.21+I82*0.5*0.105</f>
        <v>56000.463750000003</v>
      </c>
      <c r="M82" s="63">
        <f t="shared" si="115"/>
        <v>0</v>
      </c>
      <c r="N82" s="66">
        <f t="shared" si="116"/>
        <v>-411558.96375</v>
      </c>
      <c r="O82" s="58" t="e">
        <f t="shared" si="117"/>
        <v>#DIV/0!</v>
      </c>
    </row>
    <row r="83" spans="1:15" x14ac:dyDescent="0.3">
      <c r="A83" s="88">
        <v>45188</v>
      </c>
      <c r="B83" s="3" t="s">
        <v>145</v>
      </c>
      <c r="C83" s="3" t="s">
        <v>160</v>
      </c>
      <c r="D83" s="3" t="s">
        <v>159</v>
      </c>
      <c r="E83" s="57" t="s">
        <v>84</v>
      </c>
      <c r="F83" s="3">
        <v>4500</v>
      </c>
      <c r="G83" s="92">
        <f>71.83*1.1</f>
        <v>79.013000000000005</v>
      </c>
      <c r="I83" s="19">
        <f t="shared" si="113"/>
        <v>355558.5</v>
      </c>
      <c r="J83" s="68"/>
      <c r="K83" s="19">
        <f t="shared" si="114"/>
        <v>0</v>
      </c>
      <c r="L83" s="39">
        <f>I83*0.5*0.28+I83*0.4*0.105</f>
        <v>64711.646999999997</v>
      </c>
      <c r="M83" s="63">
        <f t="shared" si="115"/>
        <v>0</v>
      </c>
      <c r="N83" s="66">
        <f t="shared" si="116"/>
        <v>-420270.147</v>
      </c>
      <c r="O83" s="58" t="e">
        <f t="shared" si="117"/>
        <v>#DIV/0!</v>
      </c>
    </row>
    <row r="84" spans="1:15" x14ac:dyDescent="0.3">
      <c r="A84" s="88">
        <v>45188</v>
      </c>
      <c r="B84" s="3" t="s">
        <v>145</v>
      </c>
      <c r="C84" s="3" t="s">
        <v>161</v>
      </c>
      <c r="D84" s="3" t="s">
        <v>162</v>
      </c>
      <c r="E84" s="57"/>
      <c r="F84" s="3">
        <v>9000</v>
      </c>
      <c r="G84" s="35">
        <v>250</v>
      </c>
      <c r="I84" s="19">
        <f t="shared" si="113"/>
        <v>2250000</v>
      </c>
      <c r="J84" s="68"/>
      <c r="K84" s="19">
        <f t="shared" si="114"/>
        <v>0</v>
      </c>
      <c r="L84" s="39"/>
      <c r="M84" s="63">
        <f t="shared" si="115"/>
        <v>0</v>
      </c>
      <c r="N84" s="66">
        <f t="shared" si="116"/>
        <v>-2250000</v>
      </c>
      <c r="O84" s="58" t="e">
        <f t="shared" si="117"/>
        <v>#DIV/0!</v>
      </c>
    </row>
    <row r="85" spans="1:15" x14ac:dyDescent="0.3">
      <c r="A85" s="88">
        <v>45188</v>
      </c>
      <c r="B85" s="3" t="s">
        <v>145</v>
      </c>
      <c r="C85" s="3" t="s">
        <v>161</v>
      </c>
      <c r="D85" s="3" t="s">
        <v>166</v>
      </c>
      <c r="E85" s="57"/>
      <c r="F85" s="3">
        <v>4500</v>
      </c>
      <c r="H85" s="35">
        <f>652.22*0.8*250</f>
        <v>130444.00000000001</v>
      </c>
      <c r="I85" s="19">
        <f t="shared" si="113"/>
        <v>130444.00000000001</v>
      </c>
      <c r="J85" s="68"/>
      <c r="K85" s="19">
        <f t="shared" si="114"/>
        <v>0</v>
      </c>
      <c r="L85" s="39">
        <f>I85*0.21</f>
        <v>27393.24</v>
      </c>
      <c r="M85" s="63">
        <f t="shared" si="115"/>
        <v>0</v>
      </c>
      <c r="N85" s="66">
        <f t="shared" si="116"/>
        <v>-157837.24000000002</v>
      </c>
      <c r="O85" s="58" t="e">
        <f t="shared" si="117"/>
        <v>#DIV/0!</v>
      </c>
    </row>
    <row r="86" spans="1:15" x14ac:dyDescent="0.3">
      <c r="A86" s="88">
        <v>45188</v>
      </c>
      <c r="B86" s="3" t="s">
        <v>145</v>
      </c>
      <c r="C86" s="3" t="s">
        <v>161</v>
      </c>
      <c r="D86" s="3" t="s">
        <v>166</v>
      </c>
      <c r="E86" s="57"/>
      <c r="F86" s="3">
        <v>4500</v>
      </c>
      <c r="H86" s="35">
        <f>652.22*0.8*250</f>
        <v>130444.00000000001</v>
      </c>
      <c r="I86" s="19">
        <f t="shared" si="113"/>
        <v>130444.00000000001</v>
      </c>
      <c r="J86" s="68"/>
      <c r="K86" s="19">
        <f t="shared" si="114"/>
        <v>0</v>
      </c>
      <c r="L86" s="39">
        <f>I86*0.28</f>
        <v>36524.320000000007</v>
      </c>
      <c r="M86" s="63">
        <f t="shared" si="115"/>
        <v>0</v>
      </c>
      <c r="N86" s="66">
        <f t="shared" si="116"/>
        <v>-166968.32000000001</v>
      </c>
      <c r="O86" s="58" t="e">
        <f t="shared" si="117"/>
        <v>#DIV/0!</v>
      </c>
    </row>
    <row r="87" spans="1:15" x14ac:dyDescent="0.3">
      <c r="A87" s="88">
        <v>45188</v>
      </c>
      <c r="B87" s="3" t="s">
        <v>145</v>
      </c>
      <c r="C87" s="3" t="s">
        <v>161</v>
      </c>
      <c r="D87" s="3" t="s">
        <v>164</v>
      </c>
      <c r="E87" s="57"/>
      <c r="F87" s="3">
        <v>9000</v>
      </c>
      <c r="H87" s="36">
        <f>14000+14000+130000*2</f>
        <v>288000</v>
      </c>
      <c r="I87" s="19">
        <f t="shared" si="113"/>
        <v>288000</v>
      </c>
      <c r="J87" s="68"/>
      <c r="K87" s="19">
        <f t="shared" si="114"/>
        <v>0</v>
      </c>
      <c r="L87" s="39">
        <f>+(I88)*0.01</f>
        <v>419513.32999999996</v>
      </c>
      <c r="M87" s="63">
        <f t="shared" si="115"/>
        <v>0</v>
      </c>
      <c r="N87" s="66">
        <f t="shared" si="116"/>
        <v>-707513.33</v>
      </c>
      <c r="O87" s="58" t="e">
        <f t="shared" si="117"/>
        <v>#DIV/0!</v>
      </c>
    </row>
    <row r="88" spans="1:15" x14ac:dyDescent="0.3">
      <c r="A88" s="88">
        <v>45188</v>
      </c>
      <c r="B88" s="3" t="s">
        <v>145</v>
      </c>
      <c r="C88" s="3"/>
      <c r="D88" s="76" t="s">
        <v>165</v>
      </c>
      <c r="E88" s="57"/>
      <c r="F88" s="3">
        <v>9000</v>
      </c>
      <c r="G88" s="93">
        <f>+G76+G78+G80+G82+G84</f>
        <v>4598.6049999999996</v>
      </c>
      <c r="H88" s="93">
        <f>SUM(H76:H87)</f>
        <v>563888</v>
      </c>
      <c r="I88" s="19">
        <f t="shared" ref="I88:I89" si="118">(F88*G88)+H88</f>
        <v>41951332.999999993</v>
      </c>
      <c r="J88" s="68">
        <f>+I88*1.58</f>
        <v>66283106.139999993</v>
      </c>
      <c r="K88" s="19">
        <f t="shared" ref="K88:K89" si="119">J88*0.05</f>
        <v>3314155.307</v>
      </c>
      <c r="L88" s="95">
        <f>SUM(L76:L87)</f>
        <v>8402474.5207499992</v>
      </c>
      <c r="M88" s="63">
        <f t="shared" ref="M88:M89" si="120">J88/F88</f>
        <v>7364.7895711111105</v>
      </c>
      <c r="N88" s="66">
        <f t="shared" ref="N88:N89" si="121">J88-I88-K88-L88</f>
        <v>12615143.312250001</v>
      </c>
      <c r="O88" s="58">
        <f t="shared" ref="O88:O89" si="122">N88/J88</f>
        <v>0.19032215064883806</v>
      </c>
    </row>
    <row r="89" spans="1:15" x14ac:dyDescent="0.3">
      <c r="A89" s="88">
        <v>45194</v>
      </c>
      <c r="B89" s="3" t="s">
        <v>182</v>
      </c>
      <c r="C89" s="3" t="s">
        <v>183</v>
      </c>
      <c r="D89" s="3" t="s">
        <v>184</v>
      </c>
      <c r="E89" s="57" t="s">
        <v>154</v>
      </c>
      <c r="F89" s="3">
        <v>130</v>
      </c>
      <c r="G89" s="35">
        <f>1.06*368</f>
        <v>390.08000000000004</v>
      </c>
      <c r="H89" s="35">
        <f>20249*1.2</f>
        <v>24298.799999999999</v>
      </c>
      <c r="I89" s="19">
        <f t="shared" si="118"/>
        <v>75009.200000000012</v>
      </c>
      <c r="J89" s="68">
        <f>955*F89*1.1</f>
        <v>136565</v>
      </c>
      <c r="K89" s="19">
        <f t="shared" si="119"/>
        <v>6828.25</v>
      </c>
      <c r="L89" s="39">
        <f>2000+2000+I89*0.07</f>
        <v>9250.6440000000002</v>
      </c>
      <c r="M89" s="63">
        <f t="shared" si="120"/>
        <v>1050.5</v>
      </c>
      <c r="N89" s="66">
        <f t="shared" si="121"/>
        <v>45476.905999999988</v>
      </c>
      <c r="O89" s="58">
        <f t="shared" si="122"/>
        <v>0.33300557243803308</v>
      </c>
    </row>
    <row r="90" spans="1:15" x14ac:dyDescent="0.3">
      <c r="A90" s="88">
        <v>45194</v>
      </c>
      <c r="B90" s="3" t="s">
        <v>182</v>
      </c>
      <c r="C90" s="3" t="s">
        <v>183</v>
      </c>
      <c r="D90" s="3" t="s">
        <v>185</v>
      </c>
      <c r="E90" s="57" t="s">
        <v>154</v>
      </c>
      <c r="F90" s="3">
        <v>130</v>
      </c>
      <c r="G90" s="35">
        <f>0.58*368</f>
        <v>213.44</v>
      </c>
      <c r="H90" s="35">
        <f>20249*1.2</f>
        <v>24298.799999999999</v>
      </c>
      <c r="I90" s="19">
        <f t="shared" ref="I90" si="123">(F90*G90)+H90</f>
        <v>52046</v>
      </c>
      <c r="J90" s="68">
        <f>708*F90*1.1</f>
        <v>101244.00000000001</v>
      </c>
      <c r="K90" s="19">
        <f t="shared" ref="K90" si="124">J90*0.05</f>
        <v>5062.2000000000007</v>
      </c>
      <c r="L90" s="39">
        <f>2000+2000+I90*0.07</f>
        <v>7643.22</v>
      </c>
      <c r="M90" s="63">
        <f t="shared" ref="M90" si="125">J90/F90</f>
        <v>778.80000000000007</v>
      </c>
      <c r="N90" s="66">
        <f t="shared" ref="N90" si="126">J90-I90-K90-L90</f>
        <v>36492.580000000016</v>
      </c>
      <c r="O90" s="58">
        <f t="shared" ref="O90" si="127">N90/J90</f>
        <v>0.36044190273003845</v>
      </c>
    </row>
    <row r="91" spans="1:15" x14ac:dyDescent="0.3">
      <c r="A91" s="88">
        <v>45195</v>
      </c>
      <c r="B91" s="3" t="s">
        <v>182</v>
      </c>
      <c r="C91" s="3" t="s">
        <v>183</v>
      </c>
      <c r="D91" s="3" t="s">
        <v>188</v>
      </c>
      <c r="E91" s="57" t="s">
        <v>154</v>
      </c>
      <c r="F91" s="3">
        <v>130</v>
      </c>
      <c r="G91" s="35">
        <f>0.76*368</f>
        <v>279.68</v>
      </c>
      <c r="H91" s="35">
        <f>20249*1.2</f>
        <v>24298.799999999999</v>
      </c>
      <c r="I91" s="19">
        <f t="shared" ref="I91" si="128">(F91*G91)+H91</f>
        <v>60657.2</v>
      </c>
      <c r="J91" s="68">
        <f>746*F91*1.1</f>
        <v>106678.00000000001</v>
      </c>
      <c r="K91" s="19">
        <f t="shared" ref="K91" si="129">J91*0.05</f>
        <v>5333.9000000000015</v>
      </c>
      <c r="L91" s="39">
        <f>2000+I91*0.07</f>
        <v>6246.0039999999999</v>
      </c>
      <c r="M91" s="63">
        <f t="shared" ref="M91" si="130">J91/F91</f>
        <v>820.60000000000014</v>
      </c>
      <c r="N91" s="66">
        <f t="shared" ref="N91" si="131">J91-I91-K91-L91</f>
        <v>34440.896000000015</v>
      </c>
      <c r="O91" s="58">
        <f t="shared" ref="O91" si="132">N91/J91</f>
        <v>0.32284909728341371</v>
      </c>
    </row>
    <row r="92" spans="1:15" x14ac:dyDescent="0.3">
      <c r="A92" s="88">
        <v>45195</v>
      </c>
      <c r="B92" s="3" t="s">
        <v>186</v>
      </c>
      <c r="C92" s="3" t="s">
        <v>78</v>
      </c>
      <c r="D92" s="3"/>
      <c r="E92" s="57"/>
      <c r="F92" s="3">
        <v>50</v>
      </c>
      <c r="G92" s="35">
        <f>0.45*367</f>
        <v>165.15</v>
      </c>
      <c r="I92" s="19">
        <f t="shared" ref="I92" si="133">(F92*G92)+H92</f>
        <v>8257.5</v>
      </c>
      <c r="J92" s="68">
        <f>350*F92</f>
        <v>17500</v>
      </c>
      <c r="K92" s="19">
        <f t="shared" ref="K92" si="134">J92*0.05</f>
        <v>875</v>
      </c>
      <c r="L92" s="39">
        <v>2500</v>
      </c>
      <c r="M92" s="63">
        <f t="shared" ref="M92" si="135">J92/F92</f>
        <v>350</v>
      </c>
      <c r="N92" s="66">
        <f t="shared" ref="N92" si="136">J92-I92-K92-L92</f>
        <v>5867.5</v>
      </c>
      <c r="O92" s="58">
        <f t="shared" ref="O92" si="137">N92/J92</f>
        <v>0.3352857142857143</v>
      </c>
    </row>
    <row r="93" spans="1:15" x14ac:dyDescent="0.3">
      <c r="A93" s="88">
        <v>45196</v>
      </c>
      <c r="B93" s="3" t="s">
        <v>189</v>
      </c>
      <c r="C93" s="3" t="s">
        <v>190</v>
      </c>
      <c r="D93" s="3" t="s">
        <v>191</v>
      </c>
      <c r="E93" s="57" t="s">
        <v>47</v>
      </c>
      <c r="F93" s="3">
        <v>30</v>
      </c>
      <c r="G93" s="35">
        <f>6.56*367</f>
        <v>2407.52</v>
      </c>
      <c r="H93" s="35">
        <v>10000</v>
      </c>
      <c r="I93" s="19">
        <f t="shared" ref="I93" si="138">(F93*G93)+H93</f>
        <v>82225.600000000006</v>
      </c>
      <c r="J93" s="68">
        <f>+I93*1.7</f>
        <v>139783.52000000002</v>
      </c>
      <c r="K93" s="19">
        <f t="shared" ref="K93" si="139">J93*0.05</f>
        <v>6989.1760000000013</v>
      </c>
      <c r="L93" s="39">
        <f>2500+2500</f>
        <v>5000</v>
      </c>
      <c r="M93" s="63">
        <f t="shared" ref="M93" si="140">J93/F93</f>
        <v>4659.4506666666675</v>
      </c>
      <c r="N93" s="66">
        <f t="shared" ref="N93" si="141">J93-I93-K93-L93</f>
        <v>45568.744000000013</v>
      </c>
      <c r="O93" s="58">
        <f t="shared" ref="O93" si="142">N93/J93</f>
        <v>0.3259951101531855</v>
      </c>
    </row>
    <row r="94" spans="1:15" x14ac:dyDescent="0.3">
      <c r="A94" s="88">
        <v>45202</v>
      </c>
      <c r="B94" s="3" t="s">
        <v>110</v>
      </c>
      <c r="C94" s="3" t="s">
        <v>197</v>
      </c>
      <c r="D94" s="3" t="s">
        <v>198</v>
      </c>
      <c r="E94" s="57" t="s">
        <v>154</v>
      </c>
      <c r="F94" s="3">
        <v>1000</v>
      </c>
      <c r="G94">
        <f>0.38*368.5+76.5</f>
        <v>216.53</v>
      </c>
      <c r="H94" s="36"/>
      <c r="I94" s="19">
        <f t="shared" ref="I94" si="143">(F94*G94)+H94</f>
        <v>216530</v>
      </c>
      <c r="J94" s="68">
        <f>315*F94</f>
        <v>315000</v>
      </c>
      <c r="K94" s="19">
        <f t="shared" ref="K94" si="144">J94*0.05</f>
        <v>15750</v>
      </c>
      <c r="L94" s="39">
        <v>3000</v>
      </c>
      <c r="M94" s="63">
        <f t="shared" ref="M94" si="145">J94/F94</f>
        <v>315</v>
      </c>
      <c r="N94" s="66">
        <f t="shared" ref="N94" si="146">J94-I94-K94-L94</f>
        <v>79720</v>
      </c>
      <c r="O94" s="58">
        <f t="shared" ref="O94" si="147">N94/J94</f>
        <v>0.25307936507936507</v>
      </c>
    </row>
    <row r="95" spans="1:15" x14ac:dyDescent="0.3">
      <c r="A95" s="88">
        <v>45202</v>
      </c>
      <c r="B95" s="3" t="s">
        <v>110</v>
      </c>
      <c r="C95" s="3" t="s">
        <v>176</v>
      </c>
      <c r="D95" s="3" t="s">
        <v>177</v>
      </c>
      <c r="E95" s="57" t="s">
        <v>61</v>
      </c>
      <c r="F95" s="3">
        <v>50</v>
      </c>
      <c r="H95" s="36">
        <v>528000</v>
      </c>
      <c r="I95" s="19">
        <f t="shared" ref="I95" si="148">(F95*G95)+H95</f>
        <v>528000</v>
      </c>
      <c r="J95" s="68">
        <f>15737*F95*0.92</f>
        <v>723902</v>
      </c>
      <c r="K95" s="19">
        <f t="shared" ref="K95" si="149">J95*0.05</f>
        <v>36195.1</v>
      </c>
      <c r="L95" s="39">
        <v>3000</v>
      </c>
      <c r="M95" s="63">
        <f t="shared" ref="M95" si="150">J95/F95</f>
        <v>14478.04</v>
      </c>
      <c r="N95" s="66">
        <f t="shared" ref="N95" si="151">J95-I95-K95-L95</f>
        <v>156706.9</v>
      </c>
      <c r="O95" s="58">
        <f t="shared" ref="O95" si="152">N95/J95</f>
        <v>0.21647529637989671</v>
      </c>
    </row>
    <row r="96" spans="1:15" x14ac:dyDescent="0.3">
      <c r="A96" s="88">
        <v>45202</v>
      </c>
      <c r="B96" s="3" t="s">
        <v>110</v>
      </c>
      <c r="C96" s="3" t="s">
        <v>176</v>
      </c>
      <c r="D96" s="3" t="s">
        <v>192</v>
      </c>
      <c r="E96" s="57" t="s">
        <v>61</v>
      </c>
      <c r="F96" s="3">
        <v>50</v>
      </c>
      <c r="H96" s="36">
        <v>335000</v>
      </c>
      <c r="I96" s="19">
        <f t="shared" ref="I96" si="153">(F96*G96)+H96</f>
        <v>335000</v>
      </c>
      <c r="J96" s="68">
        <f>10090*F96*0.92</f>
        <v>464140</v>
      </c>
      <c r="K96" s="19">
        <f t="shared" ref="K96" si="154">J96*0.05</f>
        <v>23207</v>
      </c>
      <c r="L96" s="39">
        <v>2000</v>
      </c>
      <c r="M96" s="63">
        <f t="shared" ref="M96" si="155">J96/F96</f>
        <v>9282.7999999999993</v>
      </c>
      <c r="N96" s="66">
        <f t="shared" ref="N96" si="156">J96-I96-K96-L96</f>
        <v>103933</v>
      </c>
      <c r="O96" s="58">
        <f t="shared" ref="O96" si="157">N96/J96</f>
        <v>0.22392597061231526</v>
      </c>
    </row>
    <row r="97" spans="1:15" x14ac:dyDescent="0.3">
      <c r="A97" s="88">
        <v>45202</v>
      </c>
      <c r="B97" s="3" t="s">
        <v>110</v>
      </c>
      <c r="C97" s="3" t="s">
        <v>176</v>
      </c>
      <c r="D97" s="76" t="s">
        <v>206</v>
      </c>
      <c r="E97" s="57" t="s">
        <v>61</v>
      </c>
      <c r="F97" s="3">
        <v>1</v>
      </c>
      <c r="H97" s="36">
        <f>+H95+H96+(0.38*368.5+76.5)*1000</f>
        <v>1079530</v>
      </c>
      <c r="I97" s="19">
        <f t="shared" ref="I97" si="158">(F97*G97)+H97</f>
        <v>1079530</v>
      </c>
      <c r="J97" s="68">
        <f>1489767*F97</f>
        <v>1489767</v>
      </c>
      <c r="K97" s="19">
        <f t="shared" ref="K97" si="159">J97*0.05</f>
        <v>74488.350000000006</v>
      </c>
      <c r="L97" s="90">
        <f>3000+5000</f>
        <v>8000</v>
      </c>
      <c r="M97" s="63">
        <f t="shared" ref="M97" si="160">J97/F97</f>
        <v>1489767</v>
      </c>
      <c r="N97" s="66">
        <f t="shared" ref="N97" si="161">J97-I97-K97-L97</f>
        <v>327748.65000000002</v>
      </c>
      <c r="O97" s="58">
        <f t="shared" ref="O97" si="162">N97/J97</f>
        <v>0.21999993958786845</v>
      </c>
    </row>
    <row r="98" spans="1:15" x14ac:dyDescent="0.3">
      <c r="A98" s="88"/>
      <c r="B98" s="3"/>
      <c r="C98" s="3"/>
      <c r="D98" s="76"/>
      <c r="E98" s="57"/>
      <c r="F98" s="3"/>
      <c r="G98" s="93"/>
      <c r="H98" s="93"/>
      <c r="I98" s="19"/>
      <c r="J98" s="68"/>
      <c r="K98" s="19"/>
      <c r="L98" s="95"/>
      <c r="M98" s="63"/>
      <c r="N98" s="66"/>
      <c r="O98" s="58"/>
    </row>
    <row r="99" spans="1:15" x14ac:dyDescent="0.3">
      <c r="A99" s="88">
        <v>45190</v>
      </c>
      <c r="B99" s="3" t="s">
        <v>178</v>
      </c>
      <c r="C99" s="3" t="s">
        <v>179</v>
      </c>
      <c r="D99" s="3" t="s">
        <v>181</v>
      </c>
      <c r="E99" s="57" t="s">
        <v>71</v>
      </c>
      <c r="F99" s="3">
        <v>1000</v>
      </c>
      <c r="G99" s="35">
        <f>7450*1.1+490</f>
        <v>8685</v>
      </c>
      <c r="H99" s="36"/>
      <c r="I99" s="19">
        <f t="shared" ref="I99" si="163">(F99*G99)+H99</f>
        <v>8685000</v>
      </c>
      <c r="J99" s="68">
        <f>11700*F99</f>
        <v>11700000</v>
      </c>
      <c r="K99" s="19">
        <f t="shared" ref="K99" si="164">J99*0.05</f>
        <v>585000</v>
      </c>
      <c r="L99" s="39">
        <f>8000+(7450000-4680000)*0.07</f>
        <v>201900.00000000003</v>
      </c>
      <c r="M99" s="63">
        <f t="shared" ref="M99" si="165">J99/F99</f>
        <v>11700</v>
      </c>
      <c r="N99" s="66">
        <f>J99-I99-K99-L99</f>
        <v>2228100</v>
      </c>
      <c r="O99" s="58">
        <f t="shared" ref="O99" si="166">N99/J99</f>
        <v>0.19043589743589742</v>
      </c>
    </row>
    <row r="100" spans="1:15" x14ac:dyDescent="0.3">
      <c r="A100" s="88">
        <v>45190</v>
      </c>
      <c r="B100" s="3" t="s">
        <v>178</v>
      </c>
      <c r="C100" s="3" t="s">
        <v>179</v>
      </c>
      <c r="D100" s="3" t="s">
        <v>181</v>
      </c>
      <c r="E100" s="57" t="s">
        <v>71</v>
      </c>
      <c r="F100" s="3">
        <v>1000</v>
      </c>
      <c r="G100" s="35">
        <f>7800*1.1+490</f>
        <v>9070</v>
      </c>
      <c r="H100" s="36"/>
      <c r="I100" s="19">
        <f t="shared" ref="I100" si="167">(F100*G100)+H100</f>
        <v>9070000</v>
      </c>
      <c r="J100" s="68">
        <f>11700*F100</f>
        <v>11700000</v>
      </c>
      <c r="K100" s="19">
        <f t="shared" ref="K100" si="168">J100*0.05</f>
        <v>585000</v>
      </c>
      <c r="L100" s="39">
        <v>8000</v>
      </c>
      <c r="M100" s="63">
        <f t="shared" ref="M100" si="169">J100/F100</f>
        <v>11700</v>
      </c>
      <c r="N100" s="66">
        <f>J100-I100-K100-L100</f>
        <v>2037000</v>
      </c>
      <c r="O100" s="58">
        <f t="shared" ref="O100" si="170">N100/J100</f>
        <v>0.17410256410256411</v>
      </c>
    </row>
    <row r="101" spans="1:15" x14ac:dyDescent="0.3">
      <c r="I101" s="19">
        <f t="shared" si="5"/>
        <v>0</v>
      </c>
      <c r="J101" s="68">
        <f t="shared" ref="J101" si="171">I101*1.355</f>
        <v>0</v>
      </c>
      <c r="K101" s="19">
        <f t="shared" si="0"/>
        <v>0</v>
      </c>
      <c r="L101" s="39"/>
      <c r="M101" s="63" t="e">
        <f t="shared" si="6"/>
        <v>#DIV/0!</v>
      </c>
      <c r="N101" s="66">
        <f t="shared" si="7"/>
        <v>0</v>
      </c>
      <c r="O101" s="58" t="e">
        <f t="shared" si="8"/>
        <v>#DIV/0!</v>
      </c>
    </row>
    <row r="102" spans="1:15" x14ac:dyDescent="0.3">
      <c r="A102" s="88">
        <v>45223</v>
      </c>
      <c r="B102" s="3" t="s">
        <v>228</v>
      </c>
      <c r="C102" s="106" t="s">
        <v>78</v>
      </c>
      <c r="D102" s="3" t="s">
        <v>229</v>
      </c>
      <c r="E102" s="106" t="s">
        <v>47</v>
      </c>
      <c r="F102" s="107">
        <v>200</v>
      </c>
      <c r="G102" s="107">
        <v>1392.5371</v>
      </c>
      <c r="H102" s="90"/>
      <c r="I102" s="19">
        <f t="shared" si="5"/>
        <v>278507.42</v>
      </c>
      <c r="J102" s="68">
        <f>2190*F102</f>
        <v>438000</v>
      </c>
      <c r="K102" s="19">
        <f t="shared" si="0"/>
        <v>21900</v>
      </c>
      <c r="L102" s="90">
        <v>4000</v>
      </c>
      <c r="M102" s="63">
        <f t="shared" si="6"/>
        <v>2190</v>
      </c>
      <c r="N102" s="66">
        <f t="shared" si="7"/>
        <v>133592.58000000002</v>
      </c>
      <c r="O102" s="58">
        <f t="shared" si="8"/>
        <v>0.30500589041095894</v>
      </c>
    </row>
    <row r="103" spans="1:15" x14ac:dyDescent="0.3">
      <c r="A103" s="88">
        <v>45223</v>
      </c>
      <c r="B103" s="3" t="s">
        <v>228</v>
      </c>
      <c r="C103" s="106" t="s">
        <v>231</v>
      </c>
      <c r="D103" s="3" t="s">
        <v>232</v>
      </c>
      <c r="E103" s="106" t="s">
        <v>154</v>
      </c>
      <c r="F103" s="107">
        <v>200</v>
      </c>
      <c r="G103" s="107">
        <v>223.9</v>
      </c>
      <c r="H103" s="90"/>
      <c r="I103" s="19">
        <f t="shared" si="5"/>
        <v>44780</v>
      </c>
      <c r="J103" s="68">
        <f>398*F103</f>
        <v>79600</v>
      </c>
      <c r="K103" s="19">
        <f t="shared" si="0"/>
        <v>3980</v>
      </c>
      <c r="L103" s="90">
        <v>1500</v>
      </c>
      <c r="M103" s="63">
        <f t="shared" si="6"/>
        <v>398</v>
      </c>
      <c r="N103" s="66">
        <f t="shared" si="7"/>
        <v>29340</v>
      </c>
      <c r="O103" s="58">
        <f t="shared" si="8"/>
        <v>0.36859296482412063</v>
      </c>
    </row>
    <row r="104" spans="1:15" x14ac:dyDescent="0.3">
      <c r="A104" s="88">
        <v>45223</v>
      </c>
      <c r="B104" s="3" t="s">
        <v>228</v>
      </c>
      <c r="C104" s="106" t="s">
        <v>65</v>
      </c>
      <c r="D104" s="3" t="s">
        <v>234</v>
      </c>
      <c r="E104" s="106" t="s">
        <v>235</v>
      </c>
      <c r="F104" s="3">
        <v>100</v>
      </c>
      <c r="G104" s="35">
        <v>335</v>
      </c>
      <c r="H104" s="90"/>
      <c r="I104" s="19">
        <f t="shared" si="5"/>
        <v>33500</v>
      </c>
      <c r="J104" s="68">
        <f>523*F104</f>
        <v>52300</v>
      </c>
      <c r="K104" s="19">
        <f t="shared" si="0"/>
        <v>2615</v>
      </c>
      <c r="L104" s="90">
        <v>6000</v>
      </c>
      <c r="M104" s="63">
        <f t="shared" si="6"/>
        <v>523</v>
      </c>
      <c r="N104" s="66">
        <f t="shared" si="7"/>
        <v>10185</v>
      </c>
      <c r="O104" s="58">
        <f t="shared" si="8"/>
        <v>0.19474187380497132</v>
      </c>
    </row>
    <row r="105" spans="1:15" x14ac:dyDescent="0.3">
      <c r="A105" s="88">
        <v>45223</v>
      </c>
      <c r="B105" s="3" t="s">
        <v>228</v>
      </c>
      <c r="C105" s="106"/>
      <c r="D105" s="76" t="s">
        <v>236</v>
      </c>
      <c r="E105" s="106"/>
      <c r="F105" s="3">
        <v>1</v>
      </c>
      <c r="G105" s="35">
        <f>+G102*F102+G103*F103+G104*F104</f>
        <v>356787.42</v>
      </c>
      <c r="H105" s="90"/>
      <c r="I105" s="19">
        <f t="shared" si="5"/>
        <v>356787.42</v>
      </c>
      <c r="J105" s="68">
        <f>2190*200+398*200+523*100</f>
        <v>569900</v>
      </c>
      <c r="K105" s="19">
        <f t="shared" si="0"/>
        <v>28495</v>
      </c>
      <c r="L105" s="90">
        <f>+L102+L103+L104</f>
        <v>11500</v>
      </c>
      <c r="M105" s="63">
        <f t="shared" si="6"/>
        <v>569900</v>
      </c>
      <c r="N105" s="66">
        <f t="shared" si="7"/>
        <v>173117.58000000002</v>
      </c>
      <c r="O105" s="58">
        <f t="shared" si="8"/>
        <v>0.30376834532374103</v>
      </c>
    </row>
    <row r="106" spans="1:15" x14ac:dyDescent="0.3">
      <c r="I106" s="19">
        <f t="shared" si="5"/>
        <v>0</v>
      </c>
      <c r="J106" s="68">
        <f t="shared" ref="J106:J251" si="172">I106*1.33335</f>
        <v>0</v>
      </c>
      <c r="K106" s="19">
        <f t="shared" si="0"/>
        <v>0</v>
      </c>
      <c r="L106" s="39"/>
      <c r="M106" s="63" t="e">
        <f t="shared" si="6"/>
        <v>#DIV/0!</v>
      </c>
      <c r="N106" s="66">
        <f t="shared" si="7"/>
        <v>0</v>
      </c>
      <c r="O106" s="58" t="e">
        <f t="shared" si="8"/>
        <v>#DIV/0!</v>
      </c>
    </row>
    <row r="107" spans="1:15" x14ac:dyDescent="0.3">
      <c r="A107" s="88">
        <v>45223</v>
      </c>
      <c r="B107" s="3" t="s">
        <v>242</v>
      </c>
      <c r="C107" s="106" t="s">
        <v>93</v>
      </c>
      <c r="D107" s="3" t="s">
        <v>244</v>
      </c>
      <c r="E107" s="106" t="s">
        <v>34</v>
      </c>
      <c r="F107" s="107">
        <v>100</v>
      </c>
      <c r="G107" s="107">
        <f>7200*1.1+220</f>
        <v>8140.0000000000009</v>
      </c>
      <c r="H107" s="90"/>
      <c r="I107" s="19">
        <f t="shared" ref="I107:I109" si="173">(F107*G107)+H107</f>
        <v>814000.00000000012</v>
      </c>
      <c r="J107" s="68">
        <f>2190*F107</f>
        <v>219000</v>
      </c>
      <c r="K107" s="19">
        <f t="shared" ref="K107:K112" si="174">J107*0.05</f>
        <v>10950</v>
      </c>
      <c r="L107" s="90">
        <f>5000+5000</f>
        <v>10000</v>
      </c>
      <c r="M107" s="63">
        <f t="shared" ref="M107:M112" si="175">J107/F107</f>
        <v>2190</v>
      </c>
      <c r="N107" s="66">
        <f t="shared" ref="N107:N112" si="176">J107-I107-K107-L107</f>
        <v>-615950.00000000012</v>
      </c>
      <c r="O107" s="58">
        <f t="shared" ref="O107:O112" si="177">N107/J107</f>
        <v>-2.8125570776255713</v>
      </c>
    </row>
    <row r="108" spans="1:15" x14ac:dyDescent="0.3">
      <c r="A108" s="88">
        <v>45223</v>
      </c>
      <c r="B108" s="3" t="s">
        <v>242</v>
      </c>
      <c r="C108" s="106" t="s">
        <v>54</v>
      </c>
      <c r="D108" s="3" t="s">
        <v>245</v>
      </c>
      <c r="E108" s="106" t="s">
        <v>47</v>
      </c>
      <c r="F108" s="107">
        <v>100</v>
      </c>
      <c r="G108" s="107">
        <f>5000*1.1+200</f>
        <v>5700</v>
      </c>
      <c r="H108" s="90"/>
      <c r="I108" s="19">
        <f t="shared" si="173"/>
        <v>570000</v>
      </c>
      <c r="J108" s="68">
        <f>398*F108</f>
        <v>39800</v>
      </c>
      <c r="K108" s="19">
        <f t="shared" si="174"/>
        <v>1990</v>
      </c>
      <c r="L108" s="90">
        <f>5000+5000</f>
        <v>10000</v>
      </c>
      <c r="M108" s="63">
        <f t="shared" si="175"/>
        <v>398</v>
      </c>
      <c r="N108" s="66">
        <f t="shared" si="176"/>
        <v>-542190</v>
      </c>
      <c r="O108" s="58">
        <f t="shared" si="177"/>
        <v>-13.62286432160804</v>
      </c>
    </row>
    <row r="109" spans="1:15" x14ac:dyDescent="0.3">
      <c r="A109" s="88">
        <v>45223</v>
      </c>
      <c r="B109" s="3" t="s">
        <v>242</v>
      </c>
      <c r="C109" s="106" t="s">
        <v>246</v>
      </c>
      <c r="D109" s="3" t="s">
        <v>247</v>
      </c>
      <c r="E109" s="106" t="s">
        <v>84</v>
      </c>
      <c r="F109" s="3">
        <v>100</v>
      </c>
      <c r="G109" s="35">
        <f>5.59*368.5+445</f>
        <v>2504.915</v>
      </c>
      <c r="H109" s="90"/>
      <c r="I109" s="19">
        <f t="shared" si="173"/>
        <v>250491.5</v>
      </c>
      <c r="J109" s="68">
        <f>523*F109</f>
        <v>52300</v>
      </c>
      <c r="K109" s="19">
        <f t="shared" si="174"/>
        <v>2615</v>
      </c>
      <c r="L109" s="90">
        <v>5000</v>
      </c>
      <c r="M109" s="63">
        <f t="shared" si="175"/>
        <v>523</v>
      </c>
      <c r="N109" s="66">
        <f t="shared" si="176"/>
        <v>-205806.5</v>
      </c>
      <c r="O109" s="58">
        <f t="shared" si="177"/>
        <v>-3.9351147227533461</v>
      </c>
    </row>
    <row r="110" spans="1:15" x14ac:dyDescent="0.3">
      <c r="A110" s="88">
        <v>45223</v>
      </c>
      <c r="B110" s="3" t="s">
        <v>242</v>
      </c>
      <c r="C110" s="106" t="s">
        <v>49</v>
      </c>
      <c r="D110" s="3" t="s">
        <v>248</v>
      </c>
      <c r="E110" s="106" t="s">
        <v>154</v>
      </c>
      <c r="F110" s="3">
        <v>100</v>
      </c>
      <c r="G110" s="35">
        <v>5061.1499999999996</v>
      </c>
      <c r="H110" s="90"/>
      <c r="I110" s="19">
        <f t="shared" ref="I110" si="178">(F110*G110)+H110</f>
        <v>506114.99999999994</v>
      </c>
      <c r="J110" s="68">
        <f>523*F110</f>
        <v>52300</v>
      </c>
      <c r="K110" s="19">
        <f t="shared" ref="K110" si="179">J110*0.05</f>
        <v>2615</v>
      </c>
      <c r="L110" s="90">
        <v>10000</v>
      </c>
      <c r="M110" s="63">
        <f t="shared" ref="M110" si="180">J110/F110</f>
        <v>523</v>
      </c>
      <c r="N110" s="66">
        <f t="shared" ref="N110" si="181">J110-I110-K110-L110</f>
        <v>-466429.99999999994</v>
      </c>
      <c r="O110" s="58">
        <f t="shared" ref="O110" si="182">N110/J110</f>
        <v>-8.9183556405353723</v>
      </c>
    </row>
    <row r="111" spans="1:15" x14ac:dyDescent="0.3">
      <c r="A111" s="88">
        <v>45223</v>
      </c>
      <c r="B111" s="3" t="s">
        <v>242</v>
      </c>
      <c r="C111" s="106" t="s">
        <v>218</v>
      </c>
      <c r="D111" s="3" t="s">
        <v>249</v>
      </c>
      <c r="E111" s="106" t="s">
        <v>47</v>
      </c>
      <c r="F111" s="3">
        <v>100</v>
      </c>
      <c r="G111" s="35">
        <f>0.68*368.5</f>
        <v>250.58</v>
      </c>
      <c r="H111" s="90">
        <v>7500</v>
      </c>
      <c r="I111" s="19">
        <f t="shared" ref="I111" si="183">(F111*G111)+H111</f>
        <v>32558</v>
      </c>
      <c r="J111" s="68">
        <f>523*F111</f>
        <v>52300</v>
      </c>
      <c r="K111" s="19">
        <f t="shared" ref="K111" si="184">J111*0.05</f>
        <v>2615</v>
      </c>
      <c r="L111" s="90"/>
      <c r="M111" s="63">
        <f t="shared" ref="M111" si="185">J111/F111</f>
        <v>523</v>
      </c>
      <c r="N111" s="66">
        <f t="shared" ref="N111" si="186">J111-I111-K111-L111</f>
        <v>17127</v>
      </c>
      <c r="O111" s="58">
        <f t="shared" ref="O111" si="187">N111/J111</f>
        <v>0.32747609942638622</v>
      </c>
    </row>
    <row r="112" spans="1:15" x14ac:dyDescent="0.3">
      <c r="A112" s="88">
        <v>45223</v>
      </c>
      <c r="B112" s="3" t="s">
        <v>242</v>
      </c>
      <c r="C112" s="106"/>
      <c r="D112" s="76" t="s">
        <v>250</v>
      </c>
      <c r="E112" s="106"/>
      <c r="F112" s="3">
        <v>100</v>
      </c>
      <c r="H112" s="90"/>
      <c r="I112" s="19">
        <f>SUM(I107:I111)</f>
        <v>2173164.5</v>
      </c>
      <c r="J112" s="68">
        <f>29442*F112</f>
        <v>2944200</v>
      </c>
      <c r="K112" s="19">
        <f t="shared" si="174"/>
        <v>147210</v>
      </c>
      <c r="L112" s="90">
        <f>5000+5000+5000+5000+5000+10000</f>
        <v>35000</v>
      </c>
      <c r="M112" s="63">
        <f t="shared" si="175"/>
        <v>29442</v>
      </c>
      <c r="N112" s="66">
        <f t="shared" si="176"/>
        <v>588825.5</v>
      </c>
      <c r="O112" s="58">
        <f t="shared" si="177"/>
        <v>0.1999950750628354</v>
      </c>
    </row>
    <row r="113" spans="1:15" x14ac:dyDescent="0.3">
      <c r="A113" s="88">
        <v>45223</v>
      </c>
      <c r="B113" s="3" t="s">
        <v>242</v>
      </c>
      <c r="C113" s="106" t="s">
        <v>194</v>
      </c>
      <c r="D113" s="3" t="s">
        <v>252</v>
      </c>
      <c r="E113" s="106" t="s">
        <v>34</v>
      </c>
      <c r="F113" s="107">
        <v>100</v>
      </c>
      <c r="G113" s="107">
        <f>7200*1.1+220</f>
        <v>8140.0000000000009</v>
      </c>
      <c r="H113" s="90"/>
      <c r="I113" s="19">
        <f t="shared" ref="I113:I116" si="188">(F113*G113)+H113</f>
        <v>814000.00000000012</v>
      </c>
      <c r="J113" s="68">
        <f>2190*F113</f>
        <v>219000</v>
      </c>
      <c r="K113" s="19">
        <f t="shared" ref="K113:K123" si="189">J113*0.05</f>
        <v>10950</v>
      </c>
      <c r="L113" s="90"/>
      <c r="M113" s="63">
        <f t="shared" ref="M113:M123" si="190">J113/F113</f>
        <v>2190</v>
      </c>
      <c r="N113" s="66">
        <f t="shared" ref="N113:N123" si="191">J113-I113-K113-L113</f>
        <v>-605950.00000000012</v>
      </c>
      <c r="O113" s="58">
        <f t="shared" ref="O113:O123" si="192">N113/J113</f>
        <v>-2.7668949771689504</v>
      </c>
    </row>
    <row r="114" spans="1:15" x14ac:dyDescent="0.3">
      <c r="A114" s="88">
        <v>45223</v>
      </c>
      <c r="B114" s="3" t="s">
        <v>242</v>
      </c>
      <c r="C114" s="106" t="s">
        <v>49</v>
      </c>
      <c r="D114" s="3" t="s">
        <v>253</v>
      </c>
      <c r="E114" s="106" t="s">
        <v>154</v>
      </c>
      <c r="F114" s="107">
        <v>100</v>
      </c>
      <c r="G114" s="107">
        <v>7532.54</v>
      </c>
      <c r="H114" s="90"/>
      <c r="I114" s="19">
        <f t="shared" si="188"/>
        <v>753254</v>
      </c>
      <c r="J114" s="68">
        <f>398*F114</f>
        <v>39800</v>
      </c>
      <c r="K114" s="19">
        <f t="shared" si="189"/>
        <v>1990</v>
      </c>
      <c r="L114" s="90">
        <v>10000</v>
      </c>
      <c r="M114" s="63">
        <f t="shared" si="190"/>
        <v>398</v>
      </c>
      <c r="N114" s="66">
        <f t="shared" si="191"/>
        <v>-725444</v>
      </c>
      <c r="O114" s="58">
        <f t="shared" si="192"/>
        <v>-18.227236180904523</v>
      </c>
    </row>
    <row r="115" spans="1:15" x14ac:dyDescent="0.3">
      <c r="A115" s="88">
        <v>45223</v>
      </c>
      <c r="B115" s="3" t="s">
        <v>242</v>
      </c>
      <c r="C115" s="106" t="s">
        <v>49</v>
      </c>
      <c r="D115" s="3" t="s">
        <v>254</v>
      </c>
      <c r="E115" s="106" t="s">
        <v>47</v>
      </c>
      <c r="F115" s="107">
        <v>100</v>
      </c>
      <c r="G115" s="107">
        <v>6588.32</v>
      </c>
      <c r="H115" s="90"/>
      <c r="I115" s="19">
        <f t="shared" si="188"/>
        <v>658832</v>
      </c>
      <c r="J115" s="68">
        <f>523*F115</f>
        <v>52300</v>
      </c>
      <c r="K115" s="19">
        <f t="shared" si="189"/>
        <v>2615</v>
      </c>
      <c r="L115" s="90"/>
      <c r="M115" s="63">
        <f t="shared" si="190"/>
        <v>523</v>
      </c>
      <c r="N115" s="66">
        <f t="shared" si="191"/>
        <v>-609147</v>
      </c>
      <c r="O115" s="58">
        <f t="shared" si="192"/>
        <v>-11.647170172084129</v>
      </c>
    </row>
    <row r="116" spans="1:15" x14ac:dyDescent="0.3">
      <c r="A116" s="88">
        <v>45223</v>
      </c>
      <c r="B116" s="3" t="s">
        <v>242</v>
      </c>
      <c r="C116" s="106" t="s">
        <v>49</v>
      </c>
      <c r="D116" s="3" t="s">
        <v>255</v>
      </c>
      <c r="E116" s="106" t="s">
        <v>34</v>
      </c>
      <c r="F116" s="3">
        <v>100</v>
      </c>
      <c r="G116" s="35">
        <v>10484.09</v>
      </c>
      <c r="H116" s="90"/>
      <c r="I116" s="19">
        <f t="shared" si="188"/>
        <v>1048409</v>
      </c>
      <c r="J116" s="68">
        <f>523*F116</f>
        <v>52300</v>
      </c>
      <c r="K116" s="19">
        <f t="shared" si="189"/>
        <v>2615</v>
      </c>
      <c r="L116" s="90">
        <v>10000</v>
      </c>
      <c r="M116" s="63">
        <f t="shared" si="190"/>
        <v>523</v>
      </c>
      <c r="N116" s="66">
        <f t="shared" si="191"/>
        <v>-1008724</v>
      </c>
      <c r="O116" s="58">
        <f t="shared" si="192"/>
        <v>-19.287265774378586</v>
      </c>
    </row>
    <row r="117" spans="1:15" x14ac:dyDescent="0.3">
      <c r="A117" s="88">
        <v>45223</v>
      </c>
      <c r="B117" s="3" t="s">
        <v>242</v>
      </c>
      <c r="C117" s="106"/>
      <c r="D117" s="76" t="s">
        <v>251</v>
      </c>
      <c r="E117" s="106"/>
      <c r="F117" s="3">
        <v>100</v>
      </c>
      <c r="H117" s="90"/>
      <c r="I117" s="19">
        <f>SUM(I113:I116)</f>
        <v>3274495</v>
      </c>
      <c r="J117" s="68">
        <f>43847*F117</f>
        <v>4384700</v>
      </c>
      <c r="K117" s="19">
        <f t="shared" si="189"/>
        <v>219235</v>
      </c>
      <c r="L117" s="90">
        <f>10000+4000</f>
        <v>14000</v>
      </c>
      <c r="M117" s="63">
        <f t="shared" si="190"/>
        <v>43847</v>
      </c>
      <c r="N117" s="66">
        <f t="shared" si="191"/>
        <v>876970</v>
      </c>
      <c r="O117" s="58">
        <f t="shared" si="192"/>
        <v>0.20000684197322507</v>
      </c>
    </row>
    <row r="118" spans="1:15" x14ac:dyDescent="0.3">
      <c r="A118" s="88">
        <v>45223</v>
      </c>
      <c r="B118" s="3" t="s">
        <v>242</v>
      </c>
      <c r="C118" s="106" t="s">
        <v>52</v>
      </c>
      <c r="D118" s="3" t="s">
        <v>259</v>
      </c>
      <c r="E118" s="106" t="s">
        <v>34</v>
      </c>
      <c r="F118" s="107">
        <v>100</v>
      </c>
      <c r="G118" s="107">
        <f>7800*1.1+220</f>
        <v>8800</v>
      </c>
      <c r="H118" s="90"/>
      <c r="I118" s="19">
        <f t="shared" ref="I118:I122" si="193">(F118*G118)+H118</f>
        <v>880000</v>
      </c>
      <c r="J118" s="68">
        <f>2190*F118</f>
        <v>219000</v>
      </c>
      <c r="K118" s="19">
        <f t="shared" si="189"/>
        <v>10950</v>
      </c>
      <c r="L118" s="90">
        <f>5000+5000</f>
        <v>10000</v>
      </c>
      <c r="M118" s="63">
        <f t="shared" si="190"/>
        <v>2190</v>
      </c>
      <c r="N118" s="66">
        <f t="shared" si="191"/>
        <v>-681950</v>
      </c>
      <c r="O118" s="58">
        <f t="shared" si="192"/>
        <v>-3.1139269406392693</v>
      </c>
    </row>
    <row r="119" spans="1:15" x14ac:dyDescent="0.3">
      <c r="A119" s="88">
        <v>45223</v>
      </c>
      <c r="B119" s="3" t="s">
        <v>242</v>
      </c>
      <c r="C119" s="106" t="s">
        <v>54</v>
      </c>
      <c r="D119" s="3" t="s">
        <v>245</v>
      </c>
      <c r="E119" s="106" t="s">
        <v>47</v>
      </c>
      <c r="F119" s="107">
        <v>100</v>
      </c>
      <c r="G119" s="107">
        <f>5000*1.1+200</f>
        <v>5700</v>
      </c>
      <c r="H119" s="90"/>
      <c r="I119" s="19">
        <f t="shared" si="193"/>
        <v>570000</v>
      </c>
      <c r="J119" s="68">
        <f>398*F119</f>
        <v>39800</v>
      </c>
      <c r="K119" s="19">
        <f t="shared" si="189"/>
        <v>1990</v>
      </c>
      <c r="L119" s="90">
        <f>5000+5000</f>
        <v>10000</v>
      </c>
      <c r="M119" s="63">
        <f t="shared" si="190"/>
        <v>398</v>
      </c>
      <c r="N119" s="66">
        <f t="shared" si="191"/>
        <v>-542190</v>
      </c>
      <c r="O119" s="58">
        <f t="shared" si="192"/>
        <v>-13.62286432160804</v>
      </c>
    </row>
    <row r="120" spans="1:15" x14ac:dyDescent="0.3">
      <c r="A120" s="88">
        <v>45223</v>
      </c>
      <c r="B120" s="3" t="s">
        <v>242</v>
      </c>
      <c r="C120" s="106" t="s">
        <v>260</v>
      </c>
      <c r="D120" s="3" t="s">
        <v>261</v>
      </c>
      <c r="E120" s="106" t="s">
        <v>84</v>
      </c>
      <c r="F120" s="3">
        <v>100</v>
      </c>
      <c r="G120" s="35">
        <f>2591.77+445</f>
        <v>3036.77</v>
      </c>
      <c r="H120" s="90"/>
      <c r="I120" s="19">
        <f t="shared" si="193"/>
        <v>303677</v>
      </c>
      <c r="J120" s="68">
        <f>523*F120</f>
        <v>52300</v>
      </c>
      <c r="K120" s="19">
        <f t="shared" si="189"/>
        <v>2615</v>
      </c>
      <c r="L120" s="90">
        <f>5000+5000</f>
        <v>10000</v>
      </c>
      <c r="M120" s="63">
        <f t="shared" si="190"/>
        <v>523</v>
      </c>
      <c r="N120" s="66">
        <f t="shared" si="191"/>
        <v>-263992</v>
      </c>
      <c r="O120" s="58">
        <f t="shared" si="192"/>
        <v>-5.0476481835564053</v>
      </c>
    </row>
    <row r="121" spans="1:15" x14ac:dyDescent="0.3">
      <c r="A121" s="88">
        <v>45223</v>
      </c>
      <c r="B121" s="3" t="s">
        <v>242</v>
      </c>
      <c r="C121" s="106" t="s">
        <v>49</v>
      </c>
      <c r="D121" s="3" t="s">
        <v>248</v>
      </c>
      <c r="E121" s="106" t="s">
        <v>154</v>
      </c>
      <c r="F121" s="3">
        <v>100</v>
      </c>
      <c r="G121" s="35">
        <v>5061.1499999999996</v>
      </c>
      <c r="H121" s="90"/>
      <c r="I121" s="19">
        <f t="shared" si="193"/>
        <v>506114.99999999994</v>
      </c>
      <c r="J121" s="68">
        <f>523*F121</f>
        <v>52300</v>
      </c>
      <c r="K121" s="19">
        <f t="shared" si="189"/>
        <v>2615</v>
      </c>
      <c r="L121" s="90">
        <v>10000</v>
      </c>
      <c r="M121" s="63">
        <f t="shared" si="190"/>
        <v>523</v>
      </c>
      <c r="N121" s="66">
        <f t="shared" si="191"/>
        <v>-466429.99999999994</v>
      </c>
      <c r="O121" s="58">
        <f t="shared" si="192"/>
        <v>-8.9183556405353723</v>
      </c>
    </row>
    <row r="122" spans="1:15" x14ac:dyDescent="0.3">
      <c r="A122" s="88">
        <v>45223</v>
      </c>
      <c r="B122" s="3" t="s">
        <v>242</v>
      </c>
      <c r="C122" s="106" t="s">
        <v>218</v>
      </c>
      <c r="D122" s="3" t="s">
        <v>262</v>
      </c>
      <c r="E122" s="106" t="s">
        <v>47</v>
      </c>
      <c r="F122" s="3">
        <v>100</v>
      </c>
      <c r="G122" s="35">
        <f>2.43*368.5</f>
        <v>895.45500000000004</v>
      </c>
      <c r="H122" s="90">
        <v>7500</v>
      </c>
      <c r="I122" s="19">
        <f t="shared" si="193"/>
        <v>97045.5</v>
      </c>
      <c r="J122" s="68">
        <f>523*F122</f>
        <v>52300</v>
      </c>
      <c r="K122" s="19">
        <f t="shared" si="189"/>
        <v>2615</v>
      </c>
      <c r="L122" s="90"/>
      <c r="M122" s="63">
        <f t="shared" si="190"/>
        <v>523</v>
      </c>
      <c r="N122" s="66">
        <f t="shared" si="191"/>
        <v>-47360.5</v>
      </c>
      <c r="O122" s="58">
        <f t="shared" si="192"/>
        <v>-0.90555449330783944</v>
      </c>
    </row>
    <row r="123" spans="1:15" x14ac:dyDescent="0.3">
      <c r="A123" s="108">
        <v>45223</v>
      </c>
      <c r="B123" s="109" t="s">
        <v>242</v>
      </c>
      <c r="C123" s="110"/>
      <c r="D123" s="111" t="s">
        <v>257</v>
      </c>
      <c r="E123" s="110"/>
      <c r="F123" s="109">
        <v>100</v>
      </c>
      <c r="G123" s="112"/>
      <c r="H123" s="113"/>
      <c r="I123" s="114">
        <f>SUM(I118:I122)</f>
        <v>2356837.5</v>
      </c>
      <c r="J123" s="115">
        <f>31958*F123</f>
        <v>3195800</v>
      </c>
      <c r="K123" s="114">
        <f t="shared" si="189"/>
        <v>159790</v>
      </c>
      <c r="L123" s="113">
        <f>10000+10000+10000+10000</f>
        <v>40000</v>
      </c>
      <c r="M123" s="116">
        <f t="shared" si="190"/>
        <v>31958</v>
      </c>
      <c r="N123" s="117">
        <f t="shared" si="191"/>
        <v>639172.5</v>
      </c>
      <c r="O123" s="118">
        <f t="shared" si="192"/>
        <v>0.20000391138369109</v>
      </c>
    </row>
    <row r="124" spans="1:15" x14ac:dyDescent="0.3">
      <c r="A124" s="88">
        <v>45224</v>
      </c>
      <c r="B124" s="3" t="s">
        <v>265</v>
      </c>
      <c r="C124" s="106" t="s">
        <v>93</v>
      </c>
      <c r="D124" s="3" t="s">
        <v>244</v>
      </c>
      <c r="E124" s="106" t="s">
        <v>34</v>
      </c>
      <c r="F124" s="107">
        <v>25</v>
      </c>
      <c r="G124" s="35">
        <f>7200*1.1+320</f>
        <v>8240</v>
      </c>
      <c r="I124" s="19">
        <f t="shared" ref="I124:I128" si="194">(F124*G124)+H124</f>
        <v>206000</v>
      </c>
      <c r="J124" s="68">
        <f>2190*F124</f>
        <v>54750</v>
      </c>
      <c r="K124" s="19">
        <f t="shared" ref="K124:K128" si="195">J124*0.05</f>
        <v>2737.5</v>
      </c>
      <c r="L124" s="90">
        <f>2500+2500</f>
        <v>5000</v>
      </c>
      <c r="M124" s="63">
        <f t="shared" ref="M124:M128" si="196">J124/F124</f>
        <v>2190</v>
      </c>
      <c r="N124" s="66">
        <f t="shared" ref="N124:N128" si="197">J124-I124-K124-L124</f>
        <v>-158987.5</v>
      </c>
      <c r="O124" s="58">
        <f t="shared" ref="O124:O128" si="198">N124/J124</f>
        <v>-2.9038812785388126</v>
      </c>
    </row>
    <row r="125" spans="1:15" x14ac:dyDescent="0.3">
      <c r="A125" s="88">
        <v>45224</v>
      </c>
      <c r="B125" s="3" t="s">
        <v>265</v>
      </c>
      <c r="C125" s="106" t="s">
        <v>54</v>
      </c>
      <c r="D125" s="3" t="s">
        <v>245</v>
      </c>
      <c r="E125" s="106" t="s">
        <v>47</v>
      </c>
      <c r="F125" s="107">
        <v>25</v>
      </c>
      <c r="G125" s="35">
        <f>5000*1.1</f>
        <v>5500</v>
      </c>
      <c r="H125" s="35">
        <v>10000</v>
      </c>
      <c r="I125" s="19">
        <f t="shared" si="194"/>
        <v>147500</v>
      </c>
      <c r="J125" s="68">
        <f>398*F125</f>
        <v>9950</v>
      </c>
      <c r="K125" s="19">
        <f t="shared" si="195"/>
        <v>497.5</v>
      </c>
      <c r="L125" s="90">
        <f>2500+2500</f>
        <v>5000</v>
      </c>
      <c r="M125" s="63">
        <f t="shared" si="196"/>
        <v>398</v>
      </c>
      <c r="N125" s="66">
        <f t="shared" si="197"/>
        <v>-143047.5</v>
      </c>
      <c r="O125" s="58">
        <f t="shared" si="198"/>
        <v>-14.376633165829146</v>
      </c>
    </row>
    <row r="126" spans="1:15" x14ac:dyDescent="0.3">
      <c r="A126" s="88">
        <v>45224</v>
      </c>
      <c r="B126" s="3" t="s">
        <v>265</v>
      </c>
      <c r="C126" s="106" t="s">
        <v>218</v>
      </c>
      <c r="D126" s="3" t="s">
        <v>249</v>
      </c>
      <c r="E126" s="106" t="s">
        <v>47</v>
      </c>
      <c r="F126" s="3">
        <v>25</v>
      </c>
      <c r="G126" s="35">
        <f>0.68*368.5</f>
        <v>250.58</v>
      </c>
      <c r="H126" s="35">
        <v>10000</v>
      </c>
      <c r="I126" s="19">
        <f t="shared" si="194"/>
        <v>16264.5</v>
      </c>
      <c r="J126" s="68">
        <f>523*F126</f>
        <v>13075</v>
      </c>
      <c r="K126" s="19">
        <f t="shared" si="195"/>
        <v>653.75</v>
      </c>
      <c r="L126" s="90">
        <v>2500</v>
      </c>
      <c r="M126" s="63">
        <f t="shared" si="196"/>
        <v>523</v>
      </c>
      <c r="N126" s="66">
        <f t="shared" si="197"/>
        <v>-6343.25</v>
      </c>
      <c r="O126" s="58">
        <f t="shared" si="198"/>
        <v>-0.48514340344168261</v>
      </c>
    </row>
    <row r="127" spans="1:15" x14ac:dyDescent="0.3">
      <c r="A127" s="88">
        <v>45224</v>
      </c>
      <c r="B127" s="3" t="s">
        <v>265</v>
      </c>
      <c r="C127" s="106" t="s">
        <v>194</v>
      </c>
      <c r="D127" s="3" t="s">
        <v>252</v>
      </c>
      <c r="E127" s="106" t="s">
        <v>34</v>
      </c>
      <c r="F127" s="107">
        <v>25</v>
      </c>
      <c r="G127" s="35">
        <v>3200</v>
      </c>
      <c r="I127" s="19">
        <f t="shared" si="194"/>
        <v>80000</v>
      </c>
      <c r="J127" s="68">
        <f>523*F127</f>
        <v>13075</v>
      </c>
      <c r="K127" s="19">
        <f t="shared" si="195"/>
        <v>653.75</v>
      </c>
      <c r="L127" s="90">
        <v>4000</v>
      </c>
      <c r="M127" s="63">
        <f t="shared" si="196"/>
        <v>523</v>
      </c>
      <c r="N127" s="66">
        <f t="shared" si="197"/>
        <v>-71578.75</v>
      </c>
      <c r="O127" s="58">
        <f t="shared" si="198"/>
        <v>-5.4744741873804967</v>
      </c>
    </row>
    <row r="128" spans="1:15" x14ac:dyDescent="0.3">
      <c r="A128" s="108">
        <v>45224</v>
      </c>
      <c r="B128" s="109" t="s">
        <v>265</v>
      </c>
      <c r="C128" s="110"/>
      <c r="D128" s="111" t="s">
        <v>266</v>
      </c>
      <c r="E128" s="110"/>
      <c r="F128" s="109">
        <v>25</v>
      </c>
      <c r="G128" s="112">
        <f>+G124+G125+G126+G127</f>
        <v>17190.580000000002</v>
      </c>
      <c r="H128" s="112">
        <f>+H124+H125+H126+H127</f>
        <v>20000</v>
      </c>
      <c r="I128" s="114">
        <f t="shared" si="194"/>
        <v>449764.50000000006</v>
      </c>
      <c r="J128" s="115">
        <f>27658*F128</f>
        <v>691450</v>
      </c>
      <c r="K128" s="114">
        <f t="shared" si="195"/>
        <v>34572.5</v>
      </c>
      <c r="L128" s="113">
        <f>2500+2500+2500+2500+3500</f>
        <v>13500</v>
      </c>
      <c r="M128" s="116">
        <f t="shared" si="196"/>
        <v>27658</v>
      </c>
      <c r="N128" s="117">
        <f t="shared" si="197"/>
        <v>193612.99999999994</v>
      </c>
      <c r="O128" s="118">
        <f t="shared" si="198"/>
        <v>0.2800101236531925</v>
      </c>
    </row>
    <row r="129" spans="1:15" x14ac:dyDescent="0.3">
      <c r="A129" s="88">
        <v>45224</v>
      </c>
      <c r="B129" s="3" t="s">
        <v>265</v>
      </c>
      <c r="C129" s="106" t="s">
        <v>49</v>
      </c>
      <c r="D129" s="3" t="s">
        <v>267</v>
      </c>
      <c r="E129" s="106" t="s">
        <v>34</v>
      </c>
      <c r="F129" s="107">
        <v>25</v>
      </c>
      <c r="G129" s="35">
        <v>10590.1</v>
      </c>
      <c r="I129" s="19">
        <f t="shared" ref="I129:I133" si="199">(F129*G129)+H129</f>
        <v>264752.5</v>
      </c>
      <c r="J129" s="68">
        <f>2190*F129</f>
        <v>54750</v>
      </c>
      <c r="K129" s="19">
        <f t="shared" ref="K129:K133" si="200">J129*0.05</f>
        <v>2737.5</v>
      </c>
      <c r="L129" s="90">
        <f>3500+3500</f>
        <v>7000</v>
      </c>
      <c r="M129" s="63">
        <f t="shared" ref="M129:M133" si="201">J129/F129</f>
        <v>2190</v>
      </c>
      <c r="N129" s="66">
        <f t="shared" ref="N129:N133" si="202">J129-I129-K129-L129</f>
        <v>-219740</v>
      </c>
      <c r="O129" s="58">
        <f t="shared" ref="O129:O133" si="203">N129/J129</f>
        <v>-4.0135159817351598</v>
      </c>
    </row>
    <row r="130" spans="1:15" x14ac:dyDescent="0.3">
      <c r="A130" s="88">
        <v>45224</v>
      </c>
      <c r="B130" s="3" t="s">
        <v>265</v>
      </c>
      <c r="C130" s="106" t="s">
        <v>49</v>
      </c>
      <c r="D130" s="3" t="s">
        <v>254</v>
      </c>
      <c r="E130" s="106" t="s">
        <v>47</v>
      </c>
      <c r="F130" s="107">
        <v>25</v>
      </c>
      <c r="G130" s="35">
        <v>6654.94</v>
      </c>
      <c r="I130" s="19">
        <f t="shared" si="199"/>
        <v>166373.5</v>
      </c>
      <c r="J130" s="68">
        <f>398*F130</f>
        <v>9950</v>
      </c>
      <c r="K130" s="19">
        <f t="shared" si="200"/>
        <v>497.5</v>
      </c>
      <c r="L130" s="90">
        <f>3500+3500</f>
        <v>7000</v>
      </c>
      <c r="M130" s="63">
        <f t="shared" si="201"/>
        <v>398</v>
      </c>
      <c r="N130" s="66">
        <f t="shared" si="202"/>
        <v>-163921</v>
      </c>
      <c r="O130" s="58">
        <f t="shared" si="203"/>
        <v>-16.474472361809045</v>
      </c>
    </row>
    <row r="131" spans="1:15" x14ac:dyDescent="0.3">
      <c r="A131" s="88">
        <v>45224</v>
      </c>
      <c r="B131" s="3" t="s">
        <v>265</v>
      </c>
      <c r="C131" s="106" t="s">
        <v>218</v>
      </c>
      <c r="D131" s="3" t="s">
        <v>262</v>
      </c>
      <c r="E131" s="106" t="s">
        <v>47</v>
      </c>
      <c r="F131" s="3">
        <v>25</v>
      </c>
      <c r="G131" s="35">
        <f>2.43*368.5</f>
        <v>895.45500000000004</v>
      </c>
      <c r="H131" s="90">
        <v>7500</v>
      </c>
      <c r="I131" s="19">
        <f t="shared" si="199"/>
        <v>29886.375</v>
      </c>
      <c r="J131" s="68">
        <f>523*F131</f>
        <v>13075</v>
      </c>
      <c r="K131" s="19">
        <f t="shared" si="200"/>
        <v>653.75</v>
      </c>
      <c r="L131" s="90">
        <v>2500</v>
      </c>
      <c r="M131" s="63">
        <f t="shared" si="201"/>
        <v>523</v>
      </c>
      <c r="N131" s="66">
        <f t="shared" si="202"/>
        <v>-19965.125</v>
      </c>
      <c r="O131" s="58">
        <f t="shared" si="203"/>
        <v>-1.5269694072657745</v>
      </c>
    </row>
    <row r="132" spans="1:15" x14ac:dyDescent="0.3">
      <c r="A132" s="88">
        <v>45224</v>
      </c>
      <c r="B132" s="3" t="s">
        <v>265</v>
      </c>
      <c r="C132" s="106" t="s">
        <v>194</v>
      </c>
      <c r="D132" s="3" t="s">
        <v>268</v>
      </c>
      <c r="E132" s="106" t="s">
        <v>34</v>
      </c>
      <c r="F132" s="107">
        <v>25</v>
      </c>
      <c r="G132" s="35">
        <v>2600</v>
      </c>
      <c r="I132" s="19">
        <f t="shared" si="199"/>
        <v>65000</v>
      </c>
      <c r="J132" s="68">
        <f>523*F132</f>
        <v>13075</v>
      </c>
      <c r="K132" s="19">
        <f t="shared" si="200"/>
        <v>653.75</v>
      </c>
      <c r="L132" s="90">
        <v>4000</v>
      </c>
      <c r="M132" s="63">
        <f t="shared" si="201"/>
        <v>523</v>
      </c>
      <c r="N132" s="66">
        <f t="shared" si="202"/>
        <v>-56578.75</v>
      </c>
      <c r="O132" s="58">
        <f t="shared" si="203"/>
        <v>-4.3272466539196941</v>
      </c>
    </row>
    <row r="133" spans="1:15" x14ac:dyDescent="0.3">
      <c r="A133" s="88">
        <v>45224</v>
      </c>
      <c r="B133" s="3" t="s">
        <v>265</v>
      </c>
      <c r="C133" s="106"/>
      <c r="D133" s="76" t="s">
        <v>266</v>
      </c>
      <c r="E133" s="106"/>
      <c r="F133" s="3">
        <v>25</v>
      </c>
      <c r="G133" s="35">
        <f>+G129+G130+G131+G132</f>
        <v>20740.495000000003</v>
      </c>
      <c r="H133" s="35">
        <f>+H129+H130+H131+H132</f>
        <v>7500</v>
      </c>
      <c r="I133" s="19">
        <f t="shared" si="199"/>
        <v>526012.375</v>
      </c>
      <c r="J133" s="68">
        <f>31839*F133</f>
        <v>795975</v>
      </c>
      <c r="K133" s="19">
        <f t="shared" si="200"/>
        <v>39798.75</v>
      </c>
      <c r="L133" s="39">
        <f>10000+3500</f>
        <v>13500</v>
      </c>
      <c r="M133" s="63">
        <f t="shared" si="201"/>
        <v>31839</v>
      </c>
      <c r="N133" s="66">
        <f t="shared" si="202"/>
        <v>216663.875</v>
      </c>
      <c r="O133" s="58">
        <f t="shared" si="203"/>
        <v>0.27219934671315055</v>
      </c>
    </row>
    <row r="134" spans="1:15" x14ac:dyDescent="0.3">
      <c r="A134" s="88">
        <v>45224</v>
      </c>
      <c r="B134" s="3" t="s">
        <v>271</v>
      </c>
      <c r="C134" s="106" t="s">
        <v>49</v>
      </c>
      <c r="D134" s="3" t="s">
        <v>272</v>
      </c>
      <c r="E134" s="106" t="s">
        <v>47</v>
      </c>
      <c r="F134" s="107">
        <v>90</v>
      </c>
      <c r="G134" s="35">
        <v>22689.21</v>
      </c>
      <c r="I134" s="19">
        <f t="shared" ref="I134:I141" si="204">(F134*G134)+H134</f>
        <v>2042028.9</v>
      </c>
      <c r="J134" s="68">
        <f>398*F134</f>
        <v>35820</v>
      </c>
      <c r="K134" s="19">
        <f t="shared" ref="K134:K141" si="205">J134*0.05</f>
        <v>1791</v>
      </c>
      <c r="L134" s="90">
        <f>3500+3500</f>
        <v>7000</v>
      </c>
      <c r="M134" s="63">
        <f t="shared" ref="M134:M141" si="206">J134/F134</f>
        <v>398</v>
      </c>
      <c r="N134" s="66">
        <f t="shared" ref="N134:N141" si="207">J134-I134-K134-L134</f>
        <v>-2014999.9</v>
      </c>
      <c r="O134" s="58">
        <f t="shared" ref="O134:O141" si="208">N134/J134</f>
        <v>-56.253486878838636</v>
      </c>
    </row>
    <row r="135" spans="1:15" x14ac:dyDescent="0.3">
      <c r="A135" s="88">
        <v>45224</v>
      </c>
      <c r="B135" s="3" t="s">
        <v>271</v>
      </c>
      <c r="C135" s="106" t="s">
        <v>49</v>
      </c>
      <c r="D135" s="3" t="s">
        <v>273</v>
      </c>
      <c r="E135" s="106" t="s">
        <v>47</v>
      </c>
      <c r="F135" s="3">
        <v>25</v>
      </c>
      <c r="G135" s="35">
        <f>2.43*368.5</f>
        <v>895.45500000000004</v>
      </c>
      <c r="H135" s="90">
        <v>7500</v>
      </c>
      <c r="I135" s="19">
        <f t="shared" si="204"/>
        <v>29886.375</v>
      </c>
      <c r="J135" s="68">
        <f>523*F135</f>
        <v>13075</v>
      </c>
      <c r="K135" s="19">
        <f t="shared" si="205"/>
        <v>653.75</v>
      </c>
      <c r="L135" s="90">
        <v>2500</v>
      </c>
      <c r="M135" s="63">
        <f t="shared" si="206"/>
        <v>523</v>
      </c>
      <c r="N135" s="66">
        <f t="shared" si="207"/>
        <v>-19965.125</v>
      </c>
      <c r="O135" s="58">
        <f t="shared" si="208"/>
        <v>-1.5269694072657745</v>
      </c>
    </row>
    <row r="136" spans="1:15" x14ac:dyDescent="0.3">
      <c r="A136" s="88">
        <v>45224</v>
      </c>
      <c r="B136" s="3" t="s">
        <v>271</v>
      </c>
      <c r="C136" s="106" t="s">
        <v>49</v>
      </c>
      <c r="D136" s="3" t="s">
        <v>268</v>
      </c>
      <c r="E136" s="106" t="s">
        <v>34</v>
      </c>
      <c r="F136" s="107">
        <v>25</v>
      </c>
      <c r="G136" s="35">
        <v>2600</v>
      </c>
      <c r="I136" s="19">
        <f t="shared" si="204"/>
        <v>65000</v>
      </c>
      <c r="J136" s="68">
        <f>523*F136</f>
        <v>13075</v>
      </c>
      <c r="K136" s="19">
        <f t="shared" si="205"/>
        <v>653.75</v>
      </c>
      <c r="L136" s="90">
        <v>4000</v>
      </c>
      <c r="M136" s="63">
        <f t="shared" si="206"/>
        <v>523</v>
      </c>
      <c r="N136" s="66">
        <f t="shared" si="207"/>
        <v>-56578.75</v>
      </c>
      <c r="O136" s="58">
        <f t="shared" si="208"/>
        <v>-4.3272466539196941</v>
      </c>
    </row>
    <row r="137" spans="1:15" x14ac:dyDescent="0.3">
      <c r="A137" s="88">
        <v>45224</v>
      </c>
      <c r="B137" s="3" t="s">
        <v>271</v>
      </c>
      <c r="C137" s="106"/>
      <c r="D137" s="76" t="s">
        <v>266</v>
      </c>
      <c r="E137" s="106"/>
      <c r="F137" s="3">
        <v>25</v>
      </c>
      <c r="G137" s="35">
        <f>+G133+G134+G135+G136</f>
        <v>46925.16</v>
      </c>
      <c r="H137" s="35">
        <f>+H133+H134+H135+H136</f>
        <v>15000</v>
      </c>
      <c r="I137" s="19">
        <f t="shared" si="204"/>
        <v>1188129</v>
      </c>
      <c r="J137" s="68">
        <f>31839*F137</f>
        <v>795975</v>
      </c>
      <c r="K137" s="19">
        <f t="shared" si="205"/>
        <v>39798.75</v>
      </c>
      <c r="L137" s="39">
        <f>10000+3500</f>
        <v>13500</v>
      </c>
      <c r="M137" s="63">
        <f t="shared" si="206"/>
        <v>31839</v>
      </c>
      <c r="N137" s="66">
        <f t="shared" si="207"/>
        <v>-445452.75</v>
      </c>
      <c r="O137" s="58">
        <f t="shared" si="208"/>
        <v>-0.55963158390652967</v>
      </c>
    </row>
    <row r="138" spans="1:15" x14ac:dyDescent="0.3">
      <c r="A138" s="88">
        <v>45225</v>
      </c>
      <c r="B138" s="3" t="s">
        <v>286</v>
      </c>
      <c r="C138" s="106" t="s">
        <v>287</v>
      </c>
      <c r="D138" s="3" t="s">
        <v>288</v>
      </c>
      <c r="E138" s="106" t="s">
        <v>154</v>
      </c>
      <c r="F138" s="107">
        <v>300</v>
      </c>
      <c r="G138" s="35">
        <f>6.5*368.5+100</f>
        <v>2495.25</v>
      </c>
      <c r="I138" s="19">
        <f t="shared" si="204"/>
        <v>748575</v>
      </c>
      <c r="J138" s="68">
        <f>398*F138</f>
        <v>119400</v>
      </c>
      <c r="K138" s="19">
        <f t="shared" si="205"/>
        <v>5970</v>
      </c>
      <c r="L138" s="90">
        <v>5000</v>
      </c>
      <c r="M138" s="63"/>
      <c r="N138" s="66"/>
      <c r="O138" s="58"/>
    </row>
    <row r="139" spans="1:15" x14ac:dyDescent="0.3">
      <c r="A139" s="88">
        <v>45225</v>
      </c>
      <c r="B139" s="3" t="s">
        <v>286</v>
      </c>
      <c r="C139" s="106" t="s">
        <v>218</v>
      </c>
      <c r="D139" s="3" t="s">
        <v>262</v>
      </c>
      <c r="E139" s="106" t="s">
        <v>47</v>
      </c>
      <c r="F139" s="107">
        <v>300</v>
      </c>
      <c r="G139" s="35">
        <f>2.43*368.5+70</f>
        <v>965.45500000000004</v>
      </c>
      <c r="H139" s="90"/>
      <c r="I139" s="19">
        <f t="shared" si="204"/>
        <v>289636.5</v>
      </c>
      <c r="J139" s="68">
        <f>523*F139</f>
        <v>156900</v>
      </c>
      <c r="K139" s="19">
        <f t="shared" si="205"/>
        <v>7845</v>
      </c>
      <c r="L139" s="90">
        <v>2500</v>
      </c>
      <c r="M139" s="63"/>
      <c r="N139" s="66"/>
      <c r="O139" s="58"/>
    </row>
    <row r="140" spans="1:15" x14ac:dyDescent="0.3">
      <c r="A140" s="88">
        <v>45225</v>
      </c>
      <c r="B140" s="3" t="s">
        <v>286</v>
      </c>
      <c r="C140" s="106" t="s">
        <v>289</v>
      </c>
      <c r="D140" s="3" t="s">
        <v>261</v>
      </c>
      <c r="E140" s="106" t="s">
        <v>84</v>
      </c>
      <c r="F140" s="107">
        <v>300</v>
      </c>
      <c r="G140" s="35">
        <v>2509.0500000000002</v>
      </c>
      <c r="I140" s="19">
        <f t="shared" si="204"/>
        <v>752715</v>
      </c>
      <c r="J140" s="68">
        <f>523*F140</f>
        <v>156900</v>
      </c>
      <c r="K140" s="19">
        <f t="shared" si="205"/>
        <v>7845</v>
      </c>
      <c r="L140" s="90">
        <v>5000</v>
      </c>
      <c r="M140" s="63"/>
      <c r="N140" s="66"/>
      <c r="O140" s="58"/>
    </row>
    <row r="141" spans="1:15" x14ac:dyDescent="0.3">
      <c r="A141" s="88">
        <v>45225</v>
      </c>
      <c r="B141" s="3" t="s">
        <v>286</v>
      </c>
      <c r="C141" s="106"/>
      <c r="D141" s="76" t="s">
        <v>266</v>
      </c>
      <c r="E141" s="106"/>
      <c r="F141" s="107">
        <v>300</v>
      </c>
      <c r="G141" s="35">
        <f>6.5*368.5+100+2.43*368.5+70+2509.05</f>
        <v>5969.7550000000001</v>
      </c>
      <c r="I141" s="19">
        <f t="shared" si="204"/>
        <v>1790926.5</v>
      </c>
      <c r="J141" s="68">
        <f>8020*F141</f>
        <v>2406000</v>
      </c>
      <c r="K141" s="19">
        <f t="shared" si="205"/>
        <v>120300</v>
      </c>
      <c r="L141" s="39">
        <f>6000+5000+2500</f>
        <v>13500</v>
      </c>
      <c r="M141" s="63">
        <f t="shared" si="206"/>
        <v>8020</v>
      </c>
      <c r="N141" s="66">
        <f t="shared" si="207"/>
        <v>481273.5</v>
      </c>
      <c r="O141" s="58">
        <f t="shared" si="208"/>
        <v>0.20003054862842892</v>
      </c>
    </row>
    <row r="142" spans="1:15" x14ac:dyDescent="0.3">
      <c r="A142" s="108">
        <v>45225</v>
      </c>
      <c r="B142" s="109" t="s">
        <v>286</v>
      </c>
      <c r="C142" s="110"/>
      <c r="D142" s="111" t="s">
        <v>266</v>
      </c>
      <c r="E142" s="110"/>
      <c r="F142" s="119">
        <v>300</v>
      </c>
      <c r="G142" s="112">
        <f>6.5*368.5+100+2.43*368.5+70+2509.05</f>
        <v>5969.7550000000001</v>
      </c>
      <c r="H142" s="112"/>
      <c r="I142" s="114">
        <f t="shared" ref="I142:I147" si="209">(F142*G142)+H142</f>
        <v>1790926.5</v>
      </c>
      <c r="J142" s="115">
        <f>8020*F142</f>
        <v>2406000</v>
      </c>
      <c r="K142" s="114">
        <f t="shared" ref="K142:K147" si="210">J142*0.05</f>
        <v>120300</v>
      </c>
      <c r="L142" s="120">
        <f>6000+5000+2500</f>
        <v>13500</v>
      </c>
      <c r="M142" s="116">
        <f t="shared" ref="M142:M147" si="211">J142/F142</f>
        <v>8020</v>
      </c>
      <c r="N142" s="117">
        <f t="shared" ref="N142:N147" si="212">J142-I142-K142-L142</f>
        <v>481273.5</v>
      </c>
      <c r="O142" s="118">
        <f t="shared" ref="O142:O147" si="213">N142/J142</f>
        <v>0.20003054862842892</v>
      </c>
    </row>
    <row r="143" spans="1:15" x14ac:dyDescent="0.3">
      <c r="A143" s="88">
        <v>45226</v>
      </c>
      <c r="B143" s="3" t="s">
        <v>145</v>
      </c>
      <c r="C143" s="106" t="s">
        <v>310</v>
      </c>
      <c r="D143" s="3" t="s">
        <v>311</v>
      </c>
      <c r="E143" s="106"/>
      <c r="F143" s="107">
        <v>1000</v>
      </c>
      <c r="G143" s="35">
        <f>25.954*368.5</f>
        <v>9564.0490000000009</v>
      </c>
      <c r="I143" s="19">
        <f t="shared" si="209"/>
        <v>9564049</v>
      </c>
      <c r="J143" s="68">
        <f>15302*F143</f>
        <v>15302000</v>
      </c>
      <c r="K143" s="19">
        <f t="shared" si="210"/>
        <v>765100</v>
      </c>
      <c r="L143" s="90">
        <f>+I143*0.2</f>
        <v>1912809.8</v>
      </c>
      <c r="M143" s="128">
        <f t="shared" si="211"/>
        <v>15302</v>
      </c>
      <c r="N143" s="66">
        <f t="shared" si="212"/>
        <v>3060041.2</v>
      </c>
      <c r="O143" s="58">
        <f t="shared" si="213"/>
        <v>0.19997655208469484</v>
      </c>
    </row>
    <row r="144" spans="1:15" x14ac:dyDescent="0.3">
      <c r="A144" s="88">
        <v>45226</v>
      </c>
      <c r="B144" s="3" t="s">
        <v>145</v>
      </c>
      <c r="C144" s="106" t="s">
        <v>313</v>
      </c>
      <c r="D144" s="3" t="s">
        <v>312</v>
      </c>
      <c r="E144" s="106"/>
      <c r="F144" s="107">
        <v>1000</v>
      </c>
      <c r="G144" s="35">
        <v>100</v>
      </c>
      <c r="H144" s="90"/>
      <c r="I144" s="19">
        <f t="shared" si="209"/>
        <v>100000</v>
      </c>
      <c r="J144" s="68">
        <f>160*F144</f>
        <v>160000</v>
      </c>
      <c r="K144" s="19">
        <f t="shared" si="210"/>
        <v>8000</v>
      </c>
      <c r="L144" s="90">
        <f>+I144*0.2</f>
        <v>20000</v>
      </c>
      <c r="M144" s="128">
        <f t="shared" si="211"/>
        <v>160</v>
      </c>
      <c r="N144" s="66">
        <f t="shared" si="212"/>
        <v>32000</v>
      </c>
      <c r="O144" s="58">
        <f t="shared" si="213"/>
        <v>0.2</v>
      </c>
    </row>
    <row r="145" spans="1:16" x14ac:dyDescent="0.3">
      <c r="A145" s="88">
        <v>45226</v>
      </c>
      <c r="B145" s="3" t="s">
        <v>145</v>
      </c>
      <c r="C145" s="106" t="s">
        <v>49</v>
      </c>
      <c r="D145" s="3" t="s">
        <v>315</v>
      </c>
      <c r="E145" s="106" t="s">
        <v>84</v>
      </c>
      <c r="F145" s="107">
        <v>1000</v>
      </c>
      <c r="G145" s="35">
        <v>1737.42</v>
      </c>
      <c r="I145" s="19">
        <f t="shared" si="209"/>
        <v>1737420</v>
      </c>
      <c r="J145" s="68">
        <f>2780*F145</f>
        <v>2780000</v>
      </c>
      <c r="K145" s="19">
        <f t="shared" si="210"/>
        <v>139000</v>
      </c>
      <c r="L145" s="90">
        <f>+I145*0.2</f>
        <v>347484</v>
      </c>
      <c r="M145" s="128">
        <f t="shared" si="211"/>
        <v>2780</v>
      </c>
      <c r="N145" s="66">
        <f t="shared" si="212"/>
        <v>556096</v>
      </c>
      <c r="O145" s="58">
        <f t="shared" si="213"/>
        <v>0.20003453237410071</v>
      </c>
    </row>
    <row r="146" spans="1:16" x14ac:dyDescent="0.3">
      <c r="A146" s="88">
        <v>45226</v>
      </c>
      <c r="B146" s="3" t="s">
        <v>145</v>
      </c>
      <c r="C146" s="106" t="s">
        <v>161</v>
      </c>
      <c r="D146" s="3" t="s">
        <v>314</v>
      </c>
      <c r="E146" s="106"/>
      <c r="F146" s="107">
        <v>1000</v>
      </c>
      <c r="G146" s="35">
        <v>240</v>
      </c>
      <c r="H146" s="35">
        <f>20000+90000</f>
        <v>110000</v>
      </c>
      <c r="I146" s="19">
        <f t="shared" ref="I146" si="214">(F146*G146)+H146</f>
        <v>350000</v>
      </c>
      <c r="J146" s="68">
        <f>560*F146</f>
        <v>560000</v>
      </c>
      <c r="K146" s="19">
        <f t="shared" ref="K146" si="215">J146*0.05</f>
        <v>28000</v>
      </c>
      <c r="L146" s="90"/>
      <c r="M146" s="128">
        <f t="shared" ref="M146" si="216">J146/F146</f>
        <v>560</v>
      </c>
      <c r="N146" s="66">
        <f t="shared" ref="N146" si="217">J146-I146-K146-L146</f>
        <v>182000</v>
      </c>
      <c r="O146" s="58">
        <f t="shared" ref="O146" si="218">N146/J146</f>
        <v>0.32500000000000001</v>
      </c>
    </row>
    <row r="147" spans="1:16" x14ac:dyDescent="0.3">
      <c r="A147" s="88">
        <v>45226</v>
      </c>
      <c r="B147" s="3" t="s">
        <v>145</v>
      </c>
      <c r="C147" s="106"/>
      <c r="D147" s="76" t="s">
        <v>318</v>
      </c>
      <c r="E147" s="106"/>
      <c r="F147" s="107">
        <v>1000</v>
      </c>
      <c r="G147" s="35">
        <f>+G143+G144+G145+G146</f>
        <v>11641.469000000001</v>
      </c>
      <c r="H147" s="35">
        <f>+H143+H144+H145+H146</f>
        <v>110000</v>
      </c>
      <c r="I147" s="19">
        <f t="shared" si="209"/>
        <v>11751469.000000002</v>
      </c>
      <c r="J147" s="68">
        <f>+I147*1.6</f>
        <v>18802350.400000002</v>
      </c>
      <c r="K147" s="19">
        <f t="shared" si="210"/>
        <v>940117.52000000014</v>
      </c>
      <c r="L147" s="35">
        <f>+L143+L144+L145+L146</f>
        <v>2280293.7999999998</v>
      </c>
      <c r="M147" s="128">
        <f t="shared" si="211"/>
        <v>18802.350400000003</v>
      </c>
      <c r="N147" s="66">
        <f t="shared" si="212"/>
        <v>3830470.08</v>
      </c>
      <c r="O147" s="58">
        <f t="shared" si="213"/>
        <v>0.20372293880875658</v>
      </c>
      <c r="P147">
        <v>18710</v>
      </c>
    </row>
    <row r="148" spans="1:16" x14ac:dyDescent="0.3">
      <c r="A148" s="88">
        <v>45226</v>
      </c>
      <c r="B148" s="3" t="s">
        <v>145</v>
      </c>
      <c r="C148" s="106" t="s">
        <v>310</v>
      </c>
      <c r="D148" s="3" t="s">
        <v>311</v>
      </c>
      <c r="E148" s="106"/>
      <c r="F148" s="107">
        <v>1000</v>
      </c>
      <c r="G148" s="35">
        <f>25.954*368.5</f>
        <v>9564.0490000000009</v>
      </c>
      <c r="I148" s="19">
        <f t="shared" ref="I148:I153" si="219">(F148*G148)+H148</f>
        <v>9564049</v>
      </c>
      <c r="J148" s="68">
        <f>15302*F148</f>
        <v>15302000</v>
      </c>
      <c r="K148" s="19">
        <f t="shared" ref="K148:K153" si="220">J148*0.05</f>
        <v>765100</v>
      </c>
      <c r="L148" s="90">
        <f>+I148*0.2</f>
        <v>1912809.8</v>
      </c>
      <c r="M148" s="128">
        <f t="shared" ref="M148:M153" si="221">J148/F148</f>
        <v>15302</v>
      </c>
      <c r="N148" s="66">
        <f t="shared" ref="N148:N153" si="222">J148-I148-K148-L148</f>
        <v>3060041.2</v>
      </c>
      <c r="O148" s="58">
        <f t="shared" ref="O148:O153" si="223">N148/J148</f>
        <v>0.19997655208469484</v>
      </c>
    </row>
    <row r="149" spans="1:16" x14ac:dyDescent="0.3">
      <c r="A149" s="88">
        <v>45226</v>
      </c>
      <c r="B149" s="3" t="s">
        <v>145</v>
      </c>
      <c r="C149" s="106" t="s">
        <v>313</v>
      </c>
      <c r="D149" s="3" t="s">
        <v>312</v>
      </c>
      <c r="E149" s="106"/>
      <c r="F149" s="107">
        <v>1000</v>
      </c>
      <c r="G149" s="35">
        <v>100</v>
      </c>
      <c r="H149" s="90"/>
      <c r="I149" s="19">
        <f t="shared" si="219"/>
        <v>100000</v>
      </c>
      <c r="J149" s="68">
        <f>160*F149</f>
        <v>160000</v>
      </c>
      <c r="K149" s="19">
        <f t="shared" si="220"/>
        <v>8000</v>
      </c>
      <c r="L149" s="90">
        <f>+I149*0.2</f>
        <v>20000</v>
      </c>
      <c r="M149" s="128">
        <f t="shared" si="221"/>
        <v>160</v>
      </c>
      <c r="N149" s="66">
        <f t="shared" si="222"/>
        <v>32000</v>
      </c>
      <c r="O149" s="58">
        <f t="shared" si="223"/>
        <v>0.2</v>
      </c>
    </row>
    <row r="150" spans="1:16" x14ac:dyDescent="0.3">
      <c r="A150" s="88">
        <v>45226</v>
      </c>
      <c r="B150" s="3" t="s">
        <v>145</v>
      </c>
      <c r="C150" s="106" t="s">
        <v>316</v>
      </c>
      <c r="D150" s="3" t="s">
        <v>317</v>
      </c>
      <c r="E150" s="106" t="s">
        <v>84</v>
      </c>
      <c r="F150" s="107">
        <v>1000</v>
      </c>
      <c r="G150" s="35">
        <v>751</v>
      </c>
      <c r="I150" s="19">
        <f t="shared" si="219"/>
        <v>751000</v>
      </c>
      <c r="J150" s="68">
        <f>+I150*1.6</f>
        <v>1201600</v>
      </c>
      <c r="K150" s="19">
        <f t="shared" si="220"/>
        <v>60080</v>
      </c>
      <c r="L150" s="90">
        <f>+I150*0.2</f>
        <v>150200</v>
      </c>
      <c r="M150" s="63">
        <f t="shared" si="221"/>
        <v>1201.5999999999999</v>
      </c>
      <c r="N150" s="66">
        <f t="shared" si="222"/>
        <v>240320</v>
      </c>
      <c r="O150" s="58">
        <f t="shared" si="223"/>
        <v>0.2</v>
      </c>
    </row>
    <row r="151" spans="1:16" x14ac:dyDescent="0.3">
      <c r="A151" s="88">
        <v>45226</v>
      </c>
      <c r="B151" s="3" t="s">
        <v>145</v>
      </c>
      <c r="C151" s="106" t="s">
        <v>161</v>
      </c>
      <c r="D151" s="3" t="s">
        <v>314</v>
      </c>
      <c r="E151" s="106"/>
      <c r="F151" s="107">
        <v>1000</v>
      </c>
      <c r="G151" s="35">
        <v>240</v>
      </c>
      <c r="H151" s="35">
        <f>20000+90000</f>
        <v>110000</v>
      </c>
      <c r="I151" s="19">
        <f t="shared" si="219"/>
        <v>350000</v>
      </c>
      <c r="J151" s="68">
        <f>560*F151</f>
        <v>560000</v>
      </c>
      <c r="K151" s="19">
        <f t="shared" si="220"/>
        <v>28000</v>
      </c>
      <c r="L151" s="90"/>
      <c r="M151" s="128">
        <f t="shared" si="221"/>
        <v>560</v>
      </c>
      <c r="N151" s="66">
        <f t="shared" si="222"/>
        <v>182000</v>
      </c>
      <c r="O151" s="58">
        <f t="shared" si="223"/>
        <v>0.32500000000000001</v>
      </c>
    </row>
    <row r="152" spans="1:16" x14ac:dyDescent="0.3">
      <c r="A152" s="88">
        <v>45226</v>
      </c>
      <c r="B152" s="3" t="s">
        <v>145</v>
      </c>
      <c r="C152" s="106"/>
      <c r="D152" s="76" t="s">
        <v>318</v>
      </c>
      <c r="E152" s="106"/>
      <c r="F152" s="107">
        <v>1000</v>
      </c>
      <c r="G152" s="35">
        <f>+G148+G149+G150+G151</f>
        <v>10655.049000000001</v>
      </c>
      <c r="H152" s="35">
        <f>+H148+H149+H150+H151</f>
        <v>110000</v>
      </c>
      <c r="I152" s="19">
        <f t="shared" si="219"/>
        <v>10765049</v>
      </c>
      <c r="J152" s="68">
        <f>+I152*1.6</f>
        <v>17224078.400000002</v>
      </c>
      <c r="K152" s="19">
        <f t="shared" si="220"/>
        <v>861203.92000000016</v>
      </c>
      <c r="L152" s="35">
        <f>+L148+L149+L150+L151</f>
        <v>2083009.8</v>
      </c>
      <c r="M152" s="128">
        <f t="shared" si="221"/>
        <v>17224.078400000002</v>
      </c>
      <c r="N152" s="66">
        <f t="shared" si="222"/>
        <v>3514815.6800000025</v>
      </c>
      <c r="O152" s="58">
        <f t="shared" si="223"/>
        <v>0.20406407811055957</v>
      </c>
      <c r="P152">
        <v>18710</v>
      </c>
    </row>
    <row r="153" spans="1:16" x14ac:dyDescent="0.3">
      <c r="A153" s="88">
        <v>45226</v>
      </c>
      <c r="B153" s="3" t="s">
        <v>145</v>
      </c>
      <c r="C153" s="106" t="s">
        <v>78</v>
      </c>
      <c r="D153" s="3" t="s">
        <v>320</v>
      </c>
      <c r="E153" s="106"/>
      <c r="F153" s="107">
        <v>1000</v>
      </c>
      <c r="G153" s="35">
        <f>16.79*0.98*368.5</f>
        <v>6063.3726999999999</v>
      </c>
      <c r="I153" s="19">
        <f t="shared" si="219"/>
        <v>6063372.7000000002</v>
      </c>
      <c r="J153" s="68">
        <f>+I153*1.47</f>
        <v>8913157.8690000009</v>
      </c>
      <c r="K153" s="19">
        <f t="shared" si="220"/>
        <v>445657.89345000009</v>
      </c>
      <c r="L153" s="90">
        <f>+I153*0.1</f>
        <v>606337.27</v>
      </c>
      <c r="M153" s="63">
        <f t="shared" si="221"/>
        <v>8913.1578690000006</v>
      </c>
      <c r="N153" s="66">
        <f t="shared" si="222"/>
        <v>1797790.0055500004</v>
      </c>
      <c r="O153" s="58">
        <f t="shared" si="223"/>
        <v>0.20170068027210886</v>
      </c>
    </row>
    <row r="154" spans="1:16" x14ac:dyDescent="0.3">
      <c r="A154" s="88">
        <v>45226</v>
      </c>
      <c r="B154" s="3" t="s">
        <v>145</v>
      </c>
      <c r="C154" s="106" t="s">
        <v>313</v>
      </c>
      <c r="D154" s="3" t="s">
        <v>312</v>
      </c>
      <c r="E154" s="106"/>
      <c r="F154" s="107">
        <v>1000</v>
      </c>
      <c r="G154" s="35">
        <v>100</v>
      </c>
      <c r="H154" s="90"/>
      <c r="I154" s="19">
        <f t="shared" ref="I154:I157" si="224">(F154*G154)+H154</f>
        <v>100000</v>
      </c>
      <c r="J154" s="68">
        <f>160*F154</f>
        <v>160000</v>
      </c>
      <c r="K154" s="19">
        <f t="shared" ref="K154:K157" si="225">J154*0.05</f>
        <v>8000</v>
      </c>
      <c r="L154" s="90">
        <f>+I154*0.2</f>
        <v>20000</v>
      </c>
      <c r="M154" s="128">
        <f t="shared" ref="M154:M157" si="226">J154/F154</f>
        <v>160</v>
      </c>
      <c r="N154" s="66">
        <f t="shared" ref="N154:N157" si="227">J154-I154-K154-L154</f>
        <v>32000</v>
      </c>
      <c r="O154" s="58">
        <f t="shared" ref="O154:O157" si="228">N154/J154</f>
        <v>0.2</v>
      </c>
    </row>
    <row r="155" spans="1:16" x14ac:dyDescent="0.3">
      <c r="A155" s="88">
        <v>45226</v>
      </c>
      <c r="B155" s="3" t="s">
        <v>145</v>
      </c>
      <c r="C155" s="106" t="s">
        <v>49</v>
      </c>
      <c r="D155" s="3" t="s">
        <v>315</v>
      </c>
      <c r="E155" s="106" t="s">
        <v>84</v>
      </c>
      <c r="F155" s="107">
        <v>1000</v>
      </c>
      <c r="G155" s="35">
        <v>1737.42</v>
      </c>
      <c r="I155" s="19">
        <f t="shared" si="224"/>
        <v>1737420</v>
      </c>
      <c r="J155" s="68">
        <f>2780*F155</f>
        <v>2780000</v>
      </c>
      <c r="K155" s="19">
        <f t="shared" si="225"/>
        <v>139000</v>
      </c>
      <c r="L155" s="90">
        <f>+I155*0.2</f>
        <v>347484</v>
      </c>
      <c r="M155" s="128">
        <f t="shared" si="226"/>
        <v>2780</v>
      </c>
      <c r="N155" s="66">
        <f t="shared" si="227"/>
        <v>556096</v>
      </c>
      <c r="O155" s="58">
        <f t="shared" si="228"/>
        <v>0.20003453237410071</v>
      </c>
    </row>
    <row r="156" spans="1:16" x14ac:dyDescent="0.3">
      <c r="A156" s="88">
        <v>45226</v>
      </c>
      <c r="B156" s="3" t="s">
        <v>145</v>
      </c>
      <c r="C156" s="106" t="s">
        <v>161</v>
      </c>
      <c r="D156" s="3" t="s">
        <v>314</v>
      </c>
      <c r="E156" s="106"/>
      <c r="F156" s="107">
        <v>1000</v>
      </c>
      <c r="G156" s="35">
        <v>240</v>
      </c>
      <c r="H156" s="35">
        <f>20000+90000</f>
        <v>110000</v>
      </c>
      <c r="I156" s="19">
        <f t="shared" si="224"/>
        <v>350000</v>
      </c>
      <c r="J156" s="68">
        <f>560*F156</f>
        <v>560000</v>
      </c>
      <c r="K156" s="19">
        <f t="shared" si="225"/>
        <v>28000</v>
      </c>
      <c r="L156" s="90"/>
      <c r="M156" s="128">
        <f t="shared" si="226"/>
        <v>560</v>
      </c>
      <c r="N156" s="66">
        <f t="shared" si="227"/>
        <v>182000</v>
      </c>
      <c r="O156" s="58">
        <f t="shared" si="228"/>
        <v>0.32500000000000001</v>
      </c>
    </row>
    <row r="157" spans="1:16" x14ac:dyDescent="0.3">
      <c r="A157" s="88">
        <v>45226</v>
      </c>
      <c r="B157" s="3" t="s">
        <v>145</v>
      </c>
      <c r="C157" s="106"/>
      <c r="D157" s="76" t="s">
        <v>318</v>
      </c>
      <c r="E157" s="106"/>
      <c r="F157" s="107">
        <v>1000</v>
      </c>
      <c r="G157" s="35">
        <f>+G153+G154+G155+G156</f>
        <v>8140.7927</v>
      </c>
      <c r="H157" s="35">
        <f>+H153+H154+H155+H156</f>
        <v>110000</v>
      </c>
      <c r="I157" s="19">
        <f t="shared" si="224"/>
        <v>8250792.7000000002</v>
      </c>
      <c r="J157" s="68">
        <f>+I157*1.5</f>
        <v>12376189.050000001</v>
      </c>
      <c r="K157" s="19">
        <f t="shared" si="225"/>
        <v>618809.45250000001</v>
      </c>
      <c r="L157" s="35">
        <f>+L153+L154+L155+L156</f>
        <v>973821.27</v>
      </c>
      <c r="M157" s="128">
        <f t="shared" si="226"/>
        <v>12376.189050000001</v>
      </c>
      <c r="N157" s="66">
        <f t="shared" si="227"/>
        <v>2532765.6275000004</v>
      </c>
      <c r="O157" s="58">
        <f t="shared" si="228"/>
        <v>0.2046482658973281</v>
      </c>
    </row>
    <row r="158" spans="1:16" x14ac:dyDescent="0.3">
      <c r="A158" s="88">
        <v>45226</v>
      </c>
      <c r="B158" s="3" t="s">
        <v>145</v>
      </c>
      <c r="C158" s="106" t="s">
        <v>316</v>
      </c>
      <c r="D158" s="3" t="s">
        <v>317</v>
      </c>
      <c r="E158" s="106" t="s">
        <v>84</v>
      </c>
      <c r="F158" s="107">
        <v>1000</v>
      </c>
      <c r="G158" s="35">
        <v>751</v>
      </c>
      <c r="I158" s="19">
        <f t="shared" ref="I158" si="229">(F158*G158)+H158</f>
        <v>751000</v>
      </c>
      <c r="J158" s="68">
        <f>+I158*1.6</f>
        <v>1201600</v>
      </c>
      <c r="K158" s="19">
        <f t="shared" ref="K158" si="230">J158*0.05</f>
        <v>60080</v>
      </c>
      <c r="L158" s="90">
        <f>+I158*0.2</f>
        <v>150200</v>
      </c>
      <c r="M158" s="63">
        <f t="shared" ref="M158" si="231">J158/F158</f>
        <v>1201.5999999999999</v>
      </c>
      <c r="N158" s="66">
        <f t="shared" ref="N158" si="232">J158-I158-K158-L158</f>
        <v>240320</v>
      </c>
      <c r="O158" s="58">
        <f t="shared" ref="O158" si="233">N158/J158</f>
        <v>0.2</v>
      </c>
    </row>
    <row r="159" spans="1:16" x14ac:dyDescent="0.3">
      <c r="A159" s="88">
        <v>45226</v>
      </c>
      <c r="B159" s="3" t="s">
        <v>145</v>
      </c>
      <c r="C159" s="106" t="s">
        <v>316</v>
      </c>
      <c r="D159" s="3" t="s">
        <v>319</v>
      </c>
      <c r="E159" s="106" t="s">
        <v>84</v>
      </c>
      <c r="F159" s="107">
        <v>1000</v>
      </c>
      <c r="G159" s="35">
        <v>395</v>
      </c>
      <c r="I159" s="19">
        <f t="shared" ref="I159" si="234">(F159*G159)+H159</f>
        <v>395000</v>
      </c>
      <c r="J159" s="68">
        <f>+I159*1.6</f>
        <v>632000</v>
      </c>
      <c r="K159" s="19">
        <f t="shared" ref="K159" si="235">J159*0.05</f>
        <v>31600</v>
      </c>
      <c r="L159" s="90">
        <f>+I159*0.2</f>
        <v>79000</v>
      </c>
      <c r="M159" s="63">
        <f t="shared" ref="M159" si="236">J159/F159</f>
        <v>632</v>
      </c>
      <c r="N159" s="66">
        <f t="shared" ref="N159" si="237">J159-I159-K159-L159</f>
        <v>126400</v>
      </c>
      <c r="O159" s="58">
        <f t="shared" ref="O159" si="238">N159/J159</f>
        <v>0.2</v>
      </c>
    </row>
    <row r="160" spans="1:16" x14ac:dyDescent="0.3">
      <c r="A160" s="88">
        <v>45226</v>
      </c>
      <c r="B160" s="3" t="s">
        <v>145</v>
      </c>
      <c r="C160" s="106" t="s">
        <v>78</v>
      </c>
      <c r="D160" s="3" t="s">
        <v>321</v>
      </c>
      <c r="E160" s="106"/>
      <c r="F160" s="107">
        <v>1000</v>
      </c>
      <c r="G160" s="35">
        <f>18*0.98*368.5</f>
        <v>6500.34</v>
      </c>
      <c r="I160" s="19">
        <f t="shared" ref="I160" si="239">(F160*G160)+H160</f>
        <v>6500340</v>
      </c>
      <c r="J160" s="68">
        <f>+I160*1.47</f>
        <v>9555499.8000000007</v>
      </c>
      <c r="K160" s="19">
        <f t="shared" ref="K160" si="240">J160*0.05</f>
        <v>477774.99000000005</v>
      </c>
      <c r="L160" s="90">
        <f>+I160*0.1</f>
        <v>650034</v>
      </c>
      <c r="M160" s="63">
        <f t="shared" ref="M160" si="241">J160/F160</f>
        <v>9555.4998000000014</v>
      </c>
      <c r="N160" s="66">
        <f t="shared" ref="N160" si="242">J160-I160-K160-L160</f>
        <v>1927350.8100000005</v>
      </c>
      <c r="O160" s="58">
        <f t="shared" ref="O160" si="243">N160/J160</f>
        <v>0.20170068027210888</v>
      </c>
    </row>
    <row r="161" spans="1:15" x14ac:dyDescent="0.3">
      <c r="A161" s="88">
        <v>45226</v>
      </c>
      <c r="B161" s="3" t="s">
        <v>145</v>
      </c>
      <c r="C161" s="106" t="s">
        <v>78</v>
      </c>
      <c r="D161" s="3" t="s">
        <v>322</v>
      </c>
      <c r="E161" s="106"/>
      <c r="F161" s="107">
        <v>1000</v>
      </c>
      <c r="G161" s="35">
        <f>20*0.98*368.5</f>
        <v>7222.6</v>
      </c>
      <c r="I161" s="19">
        <f t="shared" ref="I161" si="244">(F161*G161)+H161</f>
        <v>7222600</v>
      </c>
      <c r="J161" s="68">
        <f>+I161*1.47</f>
        <v>10617222</v>
      </c>
      <c r="K161" s="19">
        <f t="shared" ref="K161" si="245">J161*0.05</f>
        <v>530861.1</v>
      </c>
      <c r="L161" s="90">
        <f>+I161*0.1</f>
        <v>722260</v>
      </c>
      <c r="M161" s="63">
        <f t="shared" ref="M161" si="246">J161/F161</f>
        <v>10617.222</v>
      </c>
      <c r="N161" s="66">
        <f t="shared" ref="N161" si="247">J161-I161-K161-L161</f>
        <v>2141500.9</v>
      </c>
      <c r="O161" s="58">
        <f t="shared" ref="O161" si="248">N161/J161</f>
        <v>0.20170068027210883</v>
      </c>
    </row>
    <row r="162" spans="1:15" x14ac:dyDescent="0.3">
      <c r="A162" s="122">
        <v>45226</v>
      </c>
      <c r="B162" s="109" t="s">
        <v>145</v>
      </c>
      <c r="C162" s="110" t="s">
        <v>37</v>
      </c>
      <c r="D162" s="109" t="s">
        <v>323</v>
      </c>
      <c r="E162" s="110"/>
      <c r="F162" s="119">
        <v>1000</v>
      </c>
      <c r="G162" s="112">
        <f>12.5*0.95*368.5</f>
        <v>4375.9375</v>
      </c>
      <c r="H162" s="112"/>
      <c r="I162" s="114">
        <f t="shared" ref="I162:I167" si="249">(F162*G162)+H162</f>
        <v>4375937.5</v>
      </c>
      <c r="J162" s="115">
        <f t="shared" ref="J162:J181" si="250">+I162*1.6</f>
        <v>7001500</v>
      </c>
      <c r="K162" s="114">
        <f t="shared" ref="K162:K167" si="251">J162*0.05</f>
        <v>350075</v>
      </c>
      <c r="L162" s="113">
        <f>+I162*0.2</f>
        <v>875187.5</v>
      </c>
      <c r="M162" s="129">
        <f t="shared" ref="M162:M167" si="252">J162/F162</f>
        <v>7001.5</v>
      </c>
      <c r="N162" s="117">
        <f t="shared" ref="N162:N167" si="253">J162-I162-K162-L162</f>
        <v>1400300</v>
      </c>
      <c r="O162" s="118">
        <f t="shared" ref="O162:O167" si="254">N162/J162</f>
        <v>0.2</v>
      </c>
    </row>
    <row r="163" spans="1:15" x14ac:dyDescent="0.3">
      <c r="A163" s="88">
        <v>45226</v>
      </c>
      <c r="B163" s="3" t="s">
        <v>145</v>
      </c>
      <c r="C163" s="106" t="s">
        <v>49</v>
      </c>
      <c r="D163" s="3" t="s">
        <v>342</v>
      </c>
      <c r="E163" s="106"/>
      <c r="F163" s="107">
        <v>1000</v>
      </c>
      <c r="G163" s="35">
        <v>9037.23</v>
      </c>
      <c r="I163" s="19">
        <f>(F163*G163)+H163</f>
        <v>9037230</v>
      </c>
      <c r="J163" s="68">
        <f>+I163*1.42</f>
        <v>12832866.6</v>
      </c>
      <c r="K163" s="19">
        <f>J163*0.05</f>
        <v>641643.33000000007</v>
      </c>
      <c r="L163" s="90">
        <f>+I163*0.05</f>
        <v>451861.5</v>
      </c>
      <c r="M163" s="63">
        <f>J163/F163</f>
        <v>12832.866599999999</v>
      </c>
      <c r="N163" s="66">
        <f>J163-I163-K163-L163</f>
        <v>2702131.7699999996</v>
      </c>
      <c r="O163" s="58">
        <f>N163/J163</f>
        <v>0.21056338028169011</v>
      </c>
    </row>
    <row r="164" spans="1:15" x14ac:dyDescent="0.3">
      <c r="A164" s="88">
        <v>45226</v>
      </c>
      <c r="B164" s="3" t="s">
        <v>145</v>
      </c>
      <c r="C164" s="106" t="s">
        <v>313</v>
      </c>
      <c r="D164" s="3" t="s">
        <v>312</v>
      </c>
      <c r="E164" s="106"/>
      <c r="F164" s="107">
        <v>1000</v>
      </c>
      <c r="G164" s="35">
        <v>100</v>
      </c>
      <c r="H164" s="90"/>
      <c r="I164" s="19">
        <f t="shared" si="249"/>
        <v>100000</v>
      </c>
      <c r="J164" s="68">
        <f>160*F164</f>
        <v>160000</v>
      </c>
      <c r="K164" s="19">
        <f t="shared" si="251"/>
        <v>8000</v>
      </c>
      <c r="L164" s="90">
        <f>+I164*0.2</f>
        <v>20000</v>
      </c>
      <c r="M164" s="128">
        <f t="shared" si="252"/>
        <v>160</v>
      </c>
      <c r="N164" s="66">
        <f t="shared" si="253"/>
        <v>32000</v>
      </c>
      <c r="O164" s="58">
        <f t="shared" si="254"/>
        <v>0.2</v>
      </c>
    </row>
    <row r="165" spans="1:15" x14ac:dyDescent="0.3">
      <c r="A165" s="88">
        <v>45226</v>
      </c>
      <c r="B165" s="3" t="s">
        <v>145</v>
      </c>
      <c r="C165" s="106" t="s">
        <v>49</v>
      </c>
      <c r="D165" s="3" t="s">
        <v>315</v>
      </c>
      <c r="E165" s="106" t="s">
        <v>84</v>
      </c>
      <c r="F165" s="107">
        <v>1000</v>
      </c>
      <c r="G165" s="35">
        <v>1737.42</v>
      </c>
      <c r="I165" s="19">
        <f t="shared" si="249"/>
        <v>1737420</v>
      </c>
      <c r="J165" s="68">
        <f>2780*F165</f>
        <v>2780000</v>
      </c>
      <c r="K165" s="19">
        <f t="shared" si="251"/>
        <v>139000</v>
      </c>
      <c r="L165" s="90">
        <f>+I165*0.2</f>
        <v>347484</v>
      </c>
      <c r="M165" s="128">
        <f t="shared" si="252"/>
        <v>2780</v>
      </c>
      <c r="N165" s="66">
        <f t="shared" si="253"/>
        <v>556096</v>
      </c>
      <c r="O165" s="58">
        <f t="shared" si="254"/>
        <v>0.20003453237410071</v>
      </c>
    </row>
    <row r="166" spans="1:15" x14ac:dyDescent="0.3">
      <c r="A166" s="88">
        <v>45226</v>
      </c>
      <c r="B166" s="3" t="s">
        <v>145</v>
      </c>
      <c r="C166" s="106" t="s">
        <v>161</v>
      </c>
      <c r="D166" s="3" t="s">
        <v>314</v>
      </c>
      <c r="E166" s="106"/>
      <c r="F166" s="107">
        <v>1000</v>
      </c>
      <c r="G166" s="35">
        <v>240</v>
      </c>
      <c r="H166" s="35">
        <f>20000+90000</f>
        <v>110000</v>
      </c>
      <c r="I166" s="19">
        <f t="shared" si="249"/>
        <v>350000</v>
      </c>
      <c r="J166" s="68">
        <f>560*F166</f>
        <v>560000</v>
      </c>
      <c r="K166" s="19">
        <f t="shared" si="251"/>
        <v>28000</v>
      </c>
      <c r="L166" s="90"/>
      <c r="M166" s="128">
        <f t="shared" si="252"/>
        <v>560</v>
      </c>
      <c r="N166" s="66">
        <f t="shared" si="253"/>
        <v>182000</v>
      </c>
      <c r="O166" s="58">
        <f t="shared" si="254"/>
        <v>0.32500000000000001</v>
      </c>
    </row>
    <row r="167" spans="1:15" x14ac:dyDescent="0.3">
      <c r="A167" s="88">
        <v>45226</v>
      </c>
      <c r="B167" s="109" t="s">
        <v>145</v>
      </c>
      <c r="C167" s="110"/>
      <c r="D167" s="111" t="s">
        <v>318</v>
      </c>
      <c r="E167" s="110"/>
      <c r="F167" s="119">
        <v>1000</v>
      </c>
      <c r="G167" s="112">
        <f>+G163+G164+G165+G166</f>
        <v>11114.65</v>
      </c>
      <c r="H167" s="112">
        <f>+H163+H164+H165+H166</f>
        <v>110000</v>
      </c>
      <c r="I167" s="114">
        <f t="shared" si="249"/>
        <v>11224650</v>
      </c>
      <c r="J167" s="115">
        <f>+I167*1.44</f>
        <v>16163496</v>
      </c>
      <c r="K167" s="114">
        <f t="shared" si="251"/>
        <v>808174.8</v>
      </c>
      <c r="L167" s="112">
        <f>+L163+L164+L165+L166</f>
        <v>819345.5</v>
      </c>
      <c r="M167" s="130">
        <f t="shared" si="252"/>
        <v>16163.495999999999</v>
      </c>
      <c r="N167" s="117">
        <f t="shared" si="253"/>
        <v>3311325.7</v>
      </c>
      <c r="O167" s="118">
        <f t="shared" si="254"/>
        <v>0.20486444887912864</v>
      </c>
    </row>
    <row r="168" spans="1:15" x14ac:dyDescent="0.3">
      <c r="A168" s="88">
        <v>45226</v>
      </c>
      <c r="B168" s="131" t="s">
        <v>145</v>
      </c>
      <c r="C168" s="132" t="s">
        <v>49</v>
      </c>
      <c r="D168" s="131" t="s">
        <v>344</v>
      </c>
      <c r="E168" s="132"/>
      <c r="F168" s="133">
        <v>1000</v>
      </c>
      <c r="G168" s="134">
        <v>5149</v>
      </c>
      <c r="H168" s="134"/>
      <c r="I168" s="135">
        <f>(F168*G168)+H168</f>
        <v>5149000</v>
      </c>
      <c r="J168" s="136">
        <f>+I168*1.5</f>
        <v>7723500</v>
      </c>
      <c r="K168" s="135">
        <f>J168*0.05</f>
        <v>386175</v>
      </c>
      <c r="L168" s="137">
        <f>+I168*0.1</f>
        <v>514900</v>
      </c>
      <c r="M168" s="138">
        <f>J168/F168</f>
        <v>7723.5</v>
      </c>
      <c r="N168" s="139">
        <f>J168-I168-K168-L168</f>
        <v>1673425</v>
      </c>
      <c r="O168" s="140">
        <f>N168/J168</f>
        <v>0.21666666666666667</v>
      </c>
    </row>
    <row r="169" spans="1:15" x14ac:dyDescent="0.3">
      <c r="A169" s="88">
        <v>45226</v>
      </c>
      <c r="B169" s="3" t="s">
        <v>145</v>
      </c>
      <c r="C169" s="106" t="s">
        <v>49</v>
      </c>
      <c r="D169" s="3" t="s">
        <v>356</v>
      </c>
      <c r="E169" s="106"/>
      <c r="F169" s="107">
        <v>1000</v>
      </c>
      <c r="G169" s="35">
        <v>3091</v>
      </c>
      <c r="I169" s="19">
        <f>(F169*G169)+H169</f>
        <v>3091000</v>
      </c>
      <c r="J169" s="68">
        <f>+I169*1.48</f>
        <v>4574680</v>
      </c>
      <c r="K169" s="19">
        <f>J169*0.05</f>
        <v>228734</v>
      </c>
      <c r="L169" s="90">
        <f>+I169*0.1</f>
        <v>309100</v>
      </c>
      <c r="M169" s="63">
        <f>J169/F169</f>
        <v>4574.68</v>
      </c>
      <c r="N169" s="66">
        <f>J169-I169-K169-L169</f>
        <v>945846</v>
      </c>
      <c r="O169" s="58">
        <f>N169/J169</f>
        <v>0.20675675675675675</v>
      </c>
    </row>
    <row r="170" spans="1:15" x14ac:dyDescent="0.3">
      <c r="A170" s="88">
        <v>45226</v>
      </c>
      <c r="B170" s="3" t="s">
        <v>145</v>
      </c>
      <c r="C170" s="106" t="s">
        <v>313</v>
      </c>
      <c r="D170" s="3" t="s">
        <v>312</v>
      </c>
      <c r="E170" s="106"/>
      <c r="F170" s="107">
        <v>1000</v>
      </c>
      <c r="G170" s="35">
        <v>100</v>
      </c>
      <c r="H170" s="90"/>
      <c r="I170" s="19">
        <f t="shared" ref="I170:I173" si="255">(F170*G170)+H170</f>
        <v>100000</v>
      </c>
      <c r="J170" s="68">
        <f>160*F170</f>
        <v>160000</v>
      </c>
      <c r="K170" s="19">
        <f t="shared" ref="K170:K173" si="256">J170*0.05</f>
        <v>8000</v>
      </c>
      <c r="L170" s="90">
        <f>+I170*0.2</f>
        <v>20000</v>
      </c>
      <c r="M170" s="128">
        <f t="shared" ref="M170:M173" si="257">J170/F170</f>
        <v>160</v>
      </c>
      <c r="N170" s="66">
        <f t="shared" ref="N170:N173" si="258">J170-I170-K170-L170</f>
        <v>32000</v>
      </c>
      <c r="O170" s="58">
        <f t="shared" ref="O170:O173" si="259">N170/J170</f>
        <v>0.2</v>
      </c>
    </row>
    <row r="171" spans="1:15" x14ac:dyDescent="0.3">
      <c r="A171" s="88">
        <v>45226</v>
      </c>
      <c r="B171" s="3" t="s">
        <v>145</v>
      </c>
      <c r="C171" s="106" t="s">
        <v>49</v>
      </c>
      <c r="D171" s="3" t="s">
        <v>315</v>
      </c>
      <c r="E171" s="106" t="s">
        <v>84</v>
      </c>
      <c r="F171" s="107">
        <v>1000</v>
      </c>
      <c r="G171" s="35">
        <v>1737.42</v>
      </c>
      <c r="I171" s="19">
        <f t="shared" si="255"/>
        <v>1737420</v>
      </c>
      <c r="J171" s="68">
        <f>2780*F171</f>
        <v>2780000</v>
      </c>
      <c r="K171" s="19">
        <f t="shared" si="256"/>
        <v>139000</v>
      </c>
      <c r="L171" s="90">
        <f>+I171*0.2</f>
        <v>347484</v>
      </c>
      <c r="M171" s="128">
        <f t="shared" si="257"/>
        <v>2780</v>
      </c>
      <c r="N171" s="66">
        <f t="shared" si="258"/>
        <v>556096</v>
      </c>
      <c r="O171" s="58">
        <f t="shared" si="259"/>
        <v>0.20003453237410071</v>
      </c>
    </row>
    <row r="172" spans="1:15" x14ac:dyDescent="0.3">
      <c r="A172" s="88">
        <v>45226</v>
      </c>
      <c r="B172" s="3" t="s">
        <v>145</v>
      </c>
      <c r="C172" s="106" t="s">
        <v>161</v>
      </c>
      <c r="D172" s="3" t="s">
        <v>314</v>
      </c>
      <c r="E172" s="106"/>
      <c r="F172" s="107">
        <v>1000</v>
      </c>
      <c r="G172" s="35">
        <v>240</v>
      </c>
      <c r="H172" s="35">
        <f>20000+90000</f>
        <v>110000</v>
      </c>
      <c r="I172" s="19">
        <f t="shared" si="255"/>
        <v>350000</v>
      </c>
      <c r="J172" s="68">
        <f>560*F172</f>
        <v>560000</v>
      </c>
      <c r="K172" s="19">
        <f t="shared" si="256"/>
        <v>28000</v>
      </c>
      <c r="L172" s="90"/>
      <c r="M172" s="128">
        <f t="shared" si="257"/>
        <v>560</v>
      </c>
      <c r="N172" s="66">
        <f t="shared" si="258"/>
        <v>182000</v>
      </c>
      <c r="O172" s="58">
        <f t="shared" si="259"/>
        <v>0.32500000000000001</v>
      </c>
    </row>
    <row r="173" spans="1:15" x14ac:dyDescent="0.3">
      <c r="A173" s="88">
        <v>45226</v>
      </c>
      <c r="B173" s="109" t="s">
        <v>145</v>
      </c>
      <c r="C173" s="110"/>
      <c r="D173" s="111" t="s">
        <v>318</v>
      </c>
      <c r="E173" s="110"/>
      <c r="F173" s="119">
        <v>1000</v>
      </c>
      <c r="G173" s="112">
        <f>+G169+G170+G171+G172</f>
        <v>5168.42</v>
      </c>
      <c r="H173" s="112">
        <f>+H169+H170+H171+H172</f>
        <v>110000</v>
      </c>
      <c r="I173" s="114">
        <f t="shared" si="255"/>
        <v>5278420</v>
      </c>
      <c r="J173" s="115">
        <f>+I173*1.52</f>
        <v>8023198.4000000004</v>
      </c>
      <c r="K173" s="114">
        <f t="shared" si="256"/>
        <v>401159.92000000004</v>
      </c>
      <c r="L173" s="112">
        <f>+L169+L170+L171+L172</f>
        <v>676584</v>
      </c>
      <c r="M173" s="130">
        <f t="shared" si="257"/>
        <v>8023.1984000000002</v>
      </c>
      <c r="N173" s="117">
        <f t="shared" si="258"/>
        <v>1667034.4800000004</v>
      </c>
      <c r="O173" s="118">
        <f t="shared" si="259"/>
        <v>0.20777679883872752</v>
      </c>
    </row>
    <row r="174" spans="1:15" x14ac:dyDescent="0.3">
      <c r="A174" s="88">
        <v>45226</v>
      </c>
      <c r="B174" s="3" t="s">
        <v>145</v>
      </c>
      <c r="C174" s="106" t="s">
        <v>49</v>
      </c>
      <c r="D174" s="3" t="s">
        <v>357</v>
      </c>
      <c r="E174" s="106"/>
      <c r="F174" s="107">
        <v>1000</v>
      </c>
      <c r="G174" s="35">
        <v>3853</v>
      </c>
      <c r="I174" s="19">
        <f>(F174*G174)+H174</f>
        <v>3853000</v>
      </c>
      <c r="J174" s="68">
        <f>+I174*1.48</f>
        <v>5702440</v>
      </c>
      <c r="K174" s="19">
        <f>J174*0.05</f>
        <v>285122</v>
      </c>
      <c r="L174" s="90">
        <f>+I174*0.1</f>
        <v>385300</v>
      </c>
      <c r="M174" s="63">
        <f>J174/F174</f>
        <v>5702.44</v>
      </c>
      <c r="N174" s="66">
        <f>J174-I174-K174-L174</f>
        <v>1179018</v>
      </c>
      <c r="O174" s="58">
        <f>N174/J174</f>
        <v>0.20675675675675675</v>
      </c>
    </row>
    <row r="175" spans="1:15" x14ac:dyDescent="0.3">
      <c r="A175" s="88"/>
      <c r="B175" s="3"/>
      <c r="C175" s="106"/>
      <c r="D175" s="3"/>
      <c r="E175" s="106"/>
      <c r="F175" s="107"/>
      <c r="I175" s="19"/>
      <c r="J175" s="68"/>
      <c r="K175" s="19"/>
      <c r="L175" s="90"/>
      <c r="M175" s="63"/>
      <c r="N175" s="66"/>
      <c r="O175" s="58"/>
    </row>
    <row r="176" spans="1:15" x14ac:dyDescent="0.3">
      <c r="A176" s="88">
        <v>45226</v>
      </c>
      <c r="B176" s="3" t="s">
        <v>145</v>
      </c>
      <c r="C176" s="106" t="s">
        <v>351</v>
      </c>
      <c r="D176" s="3" t="s">
        <v>120</v>
      </c>
      <c r="E176" s="106"/>
      <c r="F176" s="107">
        <v>1000</v>
      </c>
      <c r="G176" s="35">
        <f>3000+1200</f>
        <v>4200</v>
      </c>
      <c r="I176" s="19">
        <f>(F176*G176)+H176</f>
        <v>4200000</v>
      </c>
      <c r="J176" s="68">
        <f t="shared" si="250"/>
        <v>6720000</v>
      </c>
      <c r="K176" s="19">
        <f>J176*0.05</f>
        <v>336000</v>
      </c>
      <c r="L176" s="90">
        <f>+I176*0.1</f>
        <v>420000</v>
      </c>
      <c r="M176" s="63">
        <f>J176/F176</f>
        <v>6720</v>
      </c>
      <c r="N176" s="66">
        <f>J176-I176-K176-L176</f>
        <v>1764000</v>
      </c>
      <c r="O176" s="58">
        <f>N176/J176</f>
        <v>0.26250000000000001</v>
      </c>
    </row>
    <row r="177" spans="1:15" x14ac:dyDescent="0.3">
      <c r="A177" s="88">
        <v>45226</v>
      </c>
      <c r="B177" s="3" t="s">
        <v>145</v>
      </c>
      <c r="C177" s="106" t="s">
        <v>313</v>
      </c>
      <c r="D177" s="3" t="s">
        <v>312</v>
      </c>
      <c r="E177" s="106"/>
      <c r="F177" s="107">
        <v>1000</v>
      </c>
      <c r="G177" s="35">
        <v>100</v>
      </c>
      <c r="H177" s="90"/>
      <c r="I177" s="19">
        <f t="shared" ref="I177:I180" si="260">(F177*G177)+H177</f>
        <v>100000</v>
      </c>
      <c r="J177" s="68">
        <f>160*F177</f>
        <v>160000</v>
      </c>
      <c r="K177" s="19">
        <f t="shared" ref="K177:K180" si="261">J177*0.05</f>
        <v>8000</v>
      </c>
      <c r="L177" s="90">
        <f>+I177*0.2</f>
        <v>20000</v>
      </c>
      <c r="M177" s="128">
        <f t="shared" ref="M177:M180" si="262">J177/F177</f>
        <v>160</v>
      </c>
      <c r="N177" s="66">
        <f t="shared" ref="N177:N180" si="263">J177-I177-K177-L177</f>
        <v>32000</v>
      </c>
      <c r="O177" s="58">
        <f t="shared" ref="O177:O180" si="264">N177/J177</f>
        <v>0.2</v>
      </c>
    </row>
    <row r="178" spans="1:15" x14ac:dyDescent="0.3">
      <c r="A178" s="88">
        <v>45226</v>
      </c>
      <c r="B178" s="3" t="s">
        <v>145</v>
      </c>
      <c r="C178" s="106"/>
      <c r="D178" s="3"/>
      <c r="E178" s="106"/>
      <c r="F178" s="107">
        <v>1000</v>
      </c>
      <c r="I178" s="19">
        <f t="shared" si="260"/>
        <v>0</v>
      </c>
      <c r="J178" s="68">
        <f>2780*F178</f>
        <v>2780000</v>
      </c>
      <c r="K178" s="19">
        <f t="shared" si="261"/>
        <v>139000</v>
      </c>
      <c r="L178" s="90">
        <f>+I178*0.2</f>
        <v>0</v>
      </c>
      <c r="M178" s="128">
        <f t="shared" si="262"/>
        <v>2780</v>
      </c>
      <c r="N178" s="66">
        <f t="shared" si="263"/>
        <v>2641000</v>
      </c>
      <c r="O178" s="58">
        <f t="shared" si="264"/>
        <v>0.95</v>
      </c>
    </row>
    <row r="179" spans="1:15" x14ac:dyDescent="0.3">
      <c r="A179" s="88">
        <v>45226</v>
      </c>
      <c r="B179" s="3" t="s">
        <v>145</v>
      </c>
      <c r="C179" s="106" t="s">
        <v>161</v>
      </c>
      <c r="D179" s="3" t="s">
        <v>314</v>
      </c>
      <c r="E179" s="106"/>
      <c r="F179" s="107">
        <v>1000</v>
      </c>
      <c r="G179" s="35">
        <v>240</v>
      </c>
      <c r="H179" s="35">
        <f>20000+90000</f>
        <v>110000</v>
      </c>
      <c r="I179" s="19">
        <f t="shared" si="260"/>
        <v>350000</v>
      </c>
      <c r="J179" s="68">
        <f>560*F179</f>
        <v>560000</v>
      </c>
      <c r="K179" s="19">
        <f t="shared" si="261"/>
        <v>28000</v>
      </c>
      <c r="L179" s="90"/>
      <c r="M179" s="128">
        <f t="shared" si="262"/>
        <v>560</v>
      </c>
      <c r="N179" s="66">
        <f t="shared" si="263"/>
        <v>182000</v>
      </c>
      <c r="O179" s="58">
        <f t="shared" si="264"/>
        <v>0.32500000000000001</v>
      </c>
    </row>
    <row r="180" spans="1:15" x14ac:dyDescent="0.3">
      <c r="A180" s="88">
        <v>45226</v>
      </c>
      <c r="B180" s="109" t="s">
        <v>145</v>
      </c>
      <c r="C180" s="110"/>
      <c r="D180" s="111" t="s">
        <v>318</v>
      </c>
      <c r="E180" s="110"/>
      <c r="F180" s="119">
        <v>1000</v>
      </c>
      <c r="G180" s="112">
        <f>+G176+G177+G178+G179</f>
        <v>4540</v>
      </c>
      <c r="H180" s="112">
        <f>+H176+H177+H178+H179</f>
        <v>110000</v>
      </c>
      <c r="I180" s="114">
        <f t="shared" si="260"/>
        <v>4650000</v>
      </c>
      <c r="J180" s="115">
        <f>+I180*1.52</f>
        <v>7068000</v>
      </c>
      <c r="K180" s="114">
        <f t="shared" si="261"/>
        <v>353400</v>
      </c>
      <c r="L180" s="112">
        <f>+L176+L177+L178+L179</f>
        <v>440000</v>
      </c>
      <c r="M180" s="130">
        <f t="shared" si="262"/>
        <v>7068</v>
      </c>
      <c r="N180" s="117">
        <f t="shared" si="263"/>
        <v>1624600</v>
      </c>
      <c r="O180" s="118">
        <f t="shared" si="264"/>
        <v>0.22985285795132993</v>
      </c>
    </row>
    <row r="181" spans="1:15" x14ac:dyDescent="0.3">
      <c r="A181" s="88">
        <v>45226</v>
      </c>
      <c r="B181" s="3" t="s">
        <v>145</v>
      </c>
      <c r="C181" s="106" t="s">
        <v>351</v>
      </c>
      <c r="D181" s="3" t="s">
        <v>352</v>
      </c>
      <c r="E181" s="106"/>
      <c r="F181" s="107">
        <v>1000</v>
      </c>
      <c r="G181" s="35">
        <f>3500+1200</f>
        <v>4700</v>
      </c>
      <c r="I181" s="19">
        <f>(F181*G181)+H181</f>
        <v>4700000</v>
      </c>
      <c r="J181" s="68">
        <f t="shared" si="250"/>
        <v>7520000</v>
      </c>
      <c r="K181" s="19">
        <f>J181*0.05</f>
        <v>376000</v>
      </c>
      <c r="L181" s="90">
        <f>+I181*0.1</f>
        <v>470000</v>
      </c>
      <c r="M181" s="63">
        <f>J181/F181</f>
        <v>7520</v>
      </c>
      <c r="N181" s="66">
        <f>J181-I181-K181-L181</f>
        <v>1974000</v>
      </c>
      <c r="O181" s="58">
        <f>N181/J181</f>
        <v>0.26250000000000001</v>
      </c>
    </row>
    <row r="182" spans="1:15" x14ac:dyDescent="0.3">
      <c r="A182" s="88"/>
      <c r="B182" s="3"/>
      <c r="C182" s="106"/>
      <c r="D182" s="3"/>
      <c r="E182" s="106"/>
      <c r="F182" s="107"/>
      <c r="I182" s="19"/>
      <c r="J182" s="68"/>
      <c r="K182" s="19"/>
      <c r="L182" s="90"/>
      <c r="M182" s="63"/>
      <c r="N182" s="66"/>
      <c r="O182" s="58"/>
    </row>
    <row r="183" spans="1:15" x14ac:dyDescent="0.3">
      <c r="A183" s="88">
        <v>45226</v>
      </c>
      <c r="B183" s="3" t="s">
        <v>145</v>
      </c>
      <c r="C183" s="106" t="s">
        <v>328</v>
      </c>
      <c r="D183" s="3" t="s">
        <v>331</v>
      </c>
      <c r="E183" s="106"/>
      <c r="F183" s="107">
        <v>1000</v>
      </c>
      <c r="G183" s="35">
        <f>21002*0.85</f>
        <v>17851.7</v>
      </c>
      <c r="I183" s="19">
        <f t="shared" ref="I183:I187" si="265">(F183*G183)+H183</f>
        <v>17851700</v>
      </c>
      <c r="J183" s="68">
        <f>+I183*1.6</f>
        <v>28562720</v>
      </c>
      <c r="K183" s="19">
        <f t="shared" ref="K183:K187" si="266">J183*0.05</f>
        <v>1428136</v>
      </c>
      <c r="L183" s="90">
        <f>+I183*0.2</f>
        <v>3570340</v>
      </c>
      <c r="M183" s="63">
        <f t="shared" ref="M183:M187" si="267">J183/F183</f>
        <v>28562.720000000001</v>
      </c>
      <c r="N183" s="66">
        <f t="shared" ref="N183:N187" si="268">J183-I183-K183-L183</f>
        <v>5712544</v>
      </c>
      <c r="O183" s="58">
        <f t="shared" ref="O183:O187" si="269">N183/J183</f>
        <v>0.2</v>
      </c>
    </row>
    <row r="184" spans="1:15" x14ac:dyDescent="0.3">
      <c r="A184" s="88">
        <v>45226</v>
      </c>
      <c r="B184" s="3" t="s">
        <v>145</v>
      </c>
      <c r="C184" s="106" t="s">
        <v>313</v>
      </c>
      <c r="D184" s="3" t="s">
        <v>312</v>
      </c>
      <c r="E184" s="106"/>
      <c r="F184" s="107">
        <v>1000</v>
      </c>
      <c r="G184" s="35">
        <v>100</v>
      </c>
      <c r="H184" s="90"/>
      <c r="I184" s="19">
        <f t="shared" si="265"/>
        <v>100000</v>
      </c>
      <c r="J184" s="68">
        <f>160*F184</f>
        <v>160000</v>
      </c>
      <c r="K184" s="19">
        <f t="shared" si="266"/>
        <v>8000</v>
      </c>
      <c r="L184" s="90">
        <f>+I184*0.2</f>
        <v>20000</v>
      </c>
      <c r="M184" s="63">
        <f t="shared" si="267"/>
        <v>160</v>
      </c>
      <c r="N184" s="66">
        <f t="shared" si="268"/>
        <v>32000</v>
      </c>
      <c r="O184" s="58">
        <f t="shared" si="269"/>
        <v>0.2</v>
      </c>
    </row>
    <row r="185" spans="1:15" x14ac:dyDescent="0.3">
      <c r="A185" s="88">
        <v>45226</v>
      </c>
      <c r="B185" s="3" t="s">
        <v>145</v>
      </c>
      <c r="C185" s="106" t="s">
        <v>316</v>
      </c>
      <c r="D185" s="3" t="s">
        <v>317</v>
      </c>
      <c r="E185" s="141" t="s">
        <v>84</v>
      </c>
      <c r="F185" s="107">
        <v>1000</v>
      </c>
      <c r="G185" s="35">
        <v>1184</v>
      </c>
      <c r="I185" s="19">
        <f t="shared" ref="I185:I186" si="270">(F185*G185)+H185</f>
        <v>1184000</v>
      </c>
      <c r="J185" s="68">
        <f>+I185*1.6</f>
        <v>1894400</v>
      </c>
      <c r="K185" s="19">
        <f t="shared" ref="K185:K186" si="271">J185*0.05</f>
        <v>94720</v>
      </c>
      <c r="L185" s="90">
        <f>+I185*0.2</f>
        <v>236800</v>
      </c>
      <c r="M185" s="63">
        <f t="shared" ref="M185" si="272">J185/F185</f>
        <v>1894.4</v>
      </c>
      <c r="N185" s="66">
        <f t="shared" ref="N185" si="273">J185-I185-K185-L185</f>
        <v>378880</v>
      </c>
      <c r="O185" s="58">
        <f t="shared" ref="O185" si="274">N185/J185</f>
        <v>0.2</v>
      </c>
    </row>
    <row r="186" spans="1:15" x14ac:dyDescent="0.3">
      <c r="A186" s="88">
        <v>45226</v>
      </c>
      <c r="B186" s="3" t="s">
        <v>145</v>
      </c>
      <c r="C186" s="106" t="s">
        <v>161</v>
      </c>
      <c r="D186" s="3" t="s">
        <v>314</v>
      </c>
      <c r="E186" s="106"/>
      <c r="F186" s="107">
        <v>1000</v>
      </c>
      <c r="G186" s="35">
        <v>240</v>
      </c>
      <c r="H186" s="35">
        <f>20000+90000</f>
        <v>110000</v>
      </c>
      <c r="I186" s="19">
        <f t="shared" si="270"/>
        <v>350000</v>
      </c>
      <c r="J186" s="68">
        <f>560*F186</f>
        <v>560000</v>
      </c>
      <c r="K186" s="19">
        <f t="shared" si="271"/>
        <v>28000</v>
      </c>
      <c r="L186" s="90"/>
      <c r="M186" s="63">
        <f t="shared" si="267"/>
        <v>560</v>
      </c>
      <c r="N186" s="66">
        <f t="shared" si="268"/>
        <v>182000</v>
      </c>
      <c r="O186" s="58">
        <f t="shared" si="269"/>
        <v>0.32500000000000001</v>
      </c>
    </row>
    <row r="187" spans="1:15" x14ac:dyDescent="0.3">
      <c r="A187" s="88">
        <v>45226</v>
      </c>
      <c r="B187" s="109" t="s">
        <v>145</v>
      </c>
      <c r="C187" s="110"/>
      <c r="D187" s="111" t="s">
        <v>329</v>
      </c>
      <c r="E187" s="110"/>
      <c r="F187" s="119">
        <v>1000</v>
      </c>
      <c r="G187" s="112">
        <f>+G183+G184+G185+G186</f>
        <v>19375.7</v>
      </c>
      <c r="H187" s="112">
        <f>+H183+H184+H185+H186</f>
        <v>110000</v>
      </c>
      <c r="I187" s="114">
        <f t="shared" si="265"/>
        <v>19485700</v>
      </c>
      <c r="J187" s="115">
        <f>+I187*1.6</f>
        <v>31177120</v>
      </c>
      <c r="K187" s="114">
        <f t="shared" si="266"/>
        <v>1558856</v>
      </c>
      <c r="L187" s="112">
        <f>+L183+L184+L185+L186</f>
        <v>3827140</v>
      </c>
      <c r="M187" s="116">
        <f t="shared" si="267"/>
        <v>31177.119999999999</v>
      </c>
      <c r="N187" s="117">
        <f t="shared" si="268"/>
        <v>6305424</v>
      </c>
      <c r="O187" s="118">
        <f t="shared" si="269"/>
        <v>0.20224523625017321</v>
      </c>
    </row>
    <row r="188" spans="1:15" x14ac:dyDescent="0.3">
      <c r="A188" s="88">
        <v>45226</v>
      </c>
      <c r="B188" s="3" t="s">
        <v>145</v>
      </c>
      <c r="C188" s="106" t="s">
        <v>328</v>
      </c>
      <c r="D188" s="3" t="s">
        <v>327</v>
      </c>
      <c r="E188" s="106"/>
      <c r="F188" s="107">
        <v>1000</v>
      </c>
      <c r="G188" s="35">
        <f>22640*0.85</f>
        <v>19244</v>
      </c>
      <c r="I188" s="19">
        <f t="shared" ref="I188" si="275">(F188*G188)+H188</f>
        <v>19244000</v>
      </c>
      <c r="J188" s="68">
        <f>+I188*1.6</f>
        <v>30790400</v>
      </c>
      <c r="K188" s="19">
        <f t="shared" ref="K188" si="276">J188*0.05</f>
        <v>1539520</v>
      </c>
      <c r="L188" s="90">
        <f>+I188*0.2</f>
        <v>3848800</v>
      </c>
      <c r="M188" s="63">
        <f t="shared" ref="M188" si="277">J188/F188</f>
        <v>30790.400000000001</v>
      </c>
      <c r="N188" s="66">
        <f t="shared" ref="N188" si="278">J188-I188-K188-L188</f>
        <v>6158080</v>
      </c>
      <c r="O188" s="58">
        <f t="shared" ref="O188" si="279">N188/J188</f>
        <v>0.2</v>
      </c>
    </row>
    <row r="189" spans="1:15" x14ac:dyDescent="0.3">
      <c r="A189" s="108">
        <v>45226</v>
      </c>
      <c r="B189" s="109" t="s">
        <v>145</v>
      </c>
      <c r="C189" s="110" t="s">
        <v>328</v>
      </c>
      <c r="D189" s="109" t="s">
        <v>330</v>
      </c>
      <c r="E189" s="110"/>
      <c r="F189" s="119">
        <v>1000</v>
      </c>
      <c r="G189" s="112">
        <f>20194*0.85</f>
        <v>17164.899999999998</v>
      </c>
      <c r="H189" s="112"/>
      <c r="I189" s="114">
        <f t="shared" ref="I189:I202" si="280">(F189*G189)+H189</f>
        <v>17164899.999999996</v>
      </c>
      <c r="J189" s="68">
        <f>+I189*1.6</f>
        <v>27463839.999999996</v>
      </c>
      <c r="K189" s="114">
        <f t="shared" ref="K189:K202" si="281">J189*0.05</f>
        <v>1373192</v>
      </c>
      <c r="L189" s="113">
        <f>+I189*0.2</f>
        <v>3432979.9999999995</v>
      </c>
      <c r="M189" s="116">
        <f t="shared" ref="M189:M202" si="282">J189/F189</f>
        <v>27463.839999999997</v>
      </c>
      <c r="N189" s="117">
        <f t="shared" ref="N189:N202" si="283">J189-I189-K189-L189</f>
        <v>5492768</v>
      </c>
      <c r="O189" s="118">
        <f t="shared" ref="O189:O202" si="284">N189/J189</f>
        <v>0.20000000000000004</v>
      </c>
    </row>
    <row r="190" spans="1:15" x14ac:dyDescent="0.3">
      <c r="A190" s="122"/>
      <c r="B190" s="121"/>
      <c r="C190" s="123"/>
      <c r="D190" s="121"/>
      <c r="E190" s="123"/>
      <c r="F190" s="124"/>
      <c r="G190" s="125"/>
      <c r="H190" s="125"/>
      <c r="I190" s="19"/>
      <c r="J190" s="68"/>
      <c r="K190" s="19"/>
      <c r="L190" s="90"/>
      <c r="M190" s="63"/>
      <c r="N190" s="66"/>
      <c r="O190" s="126"/>
    </row>
    <row r="191" spans="1:15" x14ac:dyDescent="0.3">
      <c r="A191" s="88">
        <v>45226</v>
      </c>
      <c r="B191" s="3" t="s">
        <v>145</v>
      </c>
      <c r="C191" s="106" t="s">
        <v>324</v>
      </c>
      <c r="D191" s="3" t="s">
        <v>325</v>
      </c>
      <c r="E191" s="106" t="s">
        <v>154</v>
      </c>
      <c r="F191" s="107">
        <v>500</v>
      </c>
      <c r="G191" s="35">
        <v>1400</v>
      </c>
      <c r="I191" s="19">
        <f>(F191*G191)+H191</f>
        <v>700000</v>
      </c>
      <c r="J191" s="68">
        <f>+I191*1.645</f>
        <v>1151500</v>
      </c>
      <c r="K191" s="19">
        <f>J191*0.05</f>
        <v>57575</v>
      </c>
      <c r="L191" s="90">
        <f>+I191*0.5*0.2+I191*0.5*0.1</f>
        <v>105000</v>
      </c>
      <c r="M191" s="63">
        <f>J191/F191</f>
        <v>2303</v>
      </c>
      <c r="N191" s="66">
        <f>J191-I191-K191-L191</f>
        <v>288925</v>
      </c>
      <c r="O191" s="58">
        <f>N191/J191</f>
        <v>0.25091185410334349</v>
      </c>
    </row>
    <row r="192" spans="1:15" x14ac:dyDescent="0.3">
      <c r="A192" s="88">
        <v>45226</v>
      </c>
      <c r="B192" s="3" t="s">
        <v>145</v>
      </c>
      <c r="C192" s="106" t="s">
        <v>161</v>
      </c>
      <c r="D192" s="3" t="s">
        <v>314</v>
      </c>
      <c r="E192" s="106"/>
      <c r="F192" s="107">
        <v>500</v>
      </c>
      <c r="H192" s="35">
        <v>20000</v>
      </c>
      <c r="I192" s="19">
        <f>(F192*G192)+H192</f>
        <v>20000</v>
      </c>
      <c r="J192" s="68">
        <f>+I192*1.7</f>
        <v>34000</v>
      </c>
      <c r="K192" s="19">
        <f>J192*0.05</f>
        <v>1700</v>
      </c>
      <c r="L192" s="90">
        <f>+I192*0.2</f>
        <v>4000</v>
      </c>
      <c r="M192" s="63">
        <f>J192/F192</f>
        <v>68</v>
      </c>
      <c r="N192" s="66">
        <f>J192-I192-K192-L192</f>
        <v>8300</v>
      </c>
      <c r="O192" s="58">
        <f>N192/J192</f>
        <v>0.24411764705882352</v>
      </c>
    </row>
    <row r="193" spans="1:15" x14ac:dyDescent="0.3">
      <c r="A193" s="108">
        <v>45226</v>
      </c>
      <c r="B193" s="109" t="s">
        <v>145</v>
      </c>
      <c r="C193" s="110"/>
      <c r="D193" s="111" t="s">
        <v>326</v>
      </c>
      <c r="E193" s="110"/>
      <c r="F193" s="119">
        <v>500</v>
      </c>
      <c r="G193" s="112">
        <f>+G191+G192</f>
        <v>1400</v>
      </c>
      <c r="H193" s="112">
        <f>+H191+H192</f>
        <v>20000</v>
      </c>
      <c r="I193" s="114">
        <f>(F193*G193)+H193</f>
        <v>720000</v>
      </c>
      <c r="J193" s="115">
        <f>2371*F193</f>
        <v>1185500</v>
      </c>
      <c r="K193" s="114">
        <f>J193*0.05</f>
        <v>59275</v>
      </c>
      <c r="L193" s="112">
        <f>+L191+L192</f>
        <v>109000</v>
      </c>
      <c r="M193" s="116">
        <f>J193/F193</f>
        <v>2371</v>
      </c>
      <c r="N193" s="117">
        <f>J193-I193-K193-L193</f>
        <v>297225</v>
      </c>
      <c r="O193" s="118">
        <f>N193/J193</f>
        <v>0.25071699704765921</v>
      </c>
    </row>
    <row r="194" spans="1:15" x14ac:dyDescent="0.3">
      <c r="A194" s="122"/>
      <c r="B194" s="121"/>
      <c r="C194" s="123"/>
      <c r="D194" s="127"/>
      <c r="E194" s="123"/>
      <c r="F194" s="124"/>
      <c r="G194" s="125"/>
      <c r="H194" s="125"/>
      <c r="I194" s="19"/>
      <c r="J194" s="68"/>
      <c r="K194" s="19"/>
      <c r="L194" s="125"/>
      <c r="M194" s="63"/>
      <c r="N194" s="66"/>
      <c r="O194" s="126"/>
    </row>
    <row r="195" spans="1:15" x14ac:dyDescent="0.3">
      <c r="A195" s="88">
        <v>45226</v>
      </c>
      <c r="B195" s="3" t="s">
        <v>145</v>
      </c>
      <c r="C195" s="106" t="s">
        <v>324</v>
      </c>
      <c r="D195" s="3" t="s">
        <v>366</v>
      </c>
      <c r="E195" s="141" t="s">
        <v>84</v>
      </c>
      <c r="F195" s="107">
        <v>500</v>
      </c>
      <c r="G195" s="35">
        <v>2200</v>
      </c>
      <c r="I195" s="19">
        <f>(F195*G195)+H195</f>
        <v>1100000</v>
      </c>
      <c r="J195" s="68">
        <f>+I195*1.645</f>
        <v>1809500</v>
      </c>
      <c r="K195" s="19">
        <f>J195*0.05</f>
        <v>90475</v>
      </c>
      <c r="L195" s="90">
        <f>+I195*0.5*0.2+I195*0.5*0.1</f>
        <v>165000</v>
      </c>
      <c r="M195" s="63">
        <f>J195/F195</f>
        <v>3619</v>
      </c>
      <c r="N195" s="66">
        <f>J195-I195-K195-L195</f>
        <v>454025</v>
      </c>
      <c r="O195" s="58">
        <f>N195/J195</f>
        <v>0.25091185410334349</v>
      </c>
    </row>
    <row r="196" spans="1:15" x14ac:dyDescent="0.3">
      <c r="A196" s="88">
        <v>45226</v>
      </c>
      <c r="B196" s="3" t="s">
        <v>145</v>
      </c>
      <c r="C196" s="106" t="s">
        <v>161</v>
      </c>
      <c r="D196" s="3" t="s">
        <v>314</v>
      </c>
      <c r="E196" s="106"/>
      <c r="F196" s="107">
        <v>500</v>
      </c>
      <c r="H196" s="35">
        <v>20000</v>
      </c>
      <c r="I196" s="19">
        <f>(F196*G196)+H196</f>
        <v>20000</v>
      </c>
      <c r="J196" s="68">
        <f>+I196*1.7</f>
        <v>34000</v>
      </c>
      <c r="K196" s="19">
        <f>J196*0.05</f>
        <v>1700</v>
      </c>
      <c r="L196" s="90">
        <f>+I196*0.2</f>
        <v>4000</v>
      </c>
      <c r="M196" s="63">
        <f>J196/F196</f>
        <v>68</v>
      </c>
      <c r="N196" s="66">
        <f>J196-I196-K196-L196</f>
        <v>8300</v>
      </c>
      <c r="O196" s="58">
        <f>N196/J196</f>
        <v>0.24411764705882352</v>
      </c>
    </row>
    <row r="197" spans="1:15" x14ac:dyDescent="0.3">
      <c r="A197" s="108">
        <v>45226</v>
      </c>
      <c r="B197" s="109" t="s">
        <v>145</v>
      </c>
      <c r="C197" s="110"/>
      <c r="D197" s="111" t="s">
        <v>326</v>
      </c>
      <c r="E197" s="110"/>
      <c r="F197" s="119">
        <v>500</v>
      </c>
      <c r="G197" s="112">
        <f>+G195+G196</f>
        <v>2200</v>
      </c>
      <c r="H197" s="112">
        <f>+H195+H196</f>
        <v>20000</v>
      </c>
      <c r="I197" s="114">
        <f>(F197*G197)+H197</f>
        <v>1120000</v>
      </c>
      <c r="J197" s="115">
        <f>2371*F197</f>
        <v>1185500</v>
      </c>
      <c r="K197" s="114">
        <f>J197*0.05</f>
        <v>59275</v>
      </c>
      <c r="L197" s="112">
        <f>+L195+L196</f>
        <v>169000</v>
      </c>
      <c r="M197" s="116">
        <f>J197/F197</f>
        <v>2371</v>
      </c>
      <c r="N197" s="117">
        <f>J197-I197-K197-L197</f>
        <v>-162775</v>
      </c>
      <c r="O197" s="118">
        <f>N197/J197</f>
        <v>-0.13730493462673976</v>
      </c>
    </row>
    <row r="198" spans="1:15" x14ac:dyDescent="0.3">
      <c r="A198" s="122"/>
      <c r="B198" s="121"/>
      <c r="C198" s="123"/>
      <c r="D198" s="127"/>
      <c r="E198" s="123"/>
      <c r="F198" s="124"/>
      <c r="G198" s="125"/>
      <c r="H198" s="125"/>
      <c r="I198" s="19"/>
      <c r="J198" s="68"/>
      <c r="K198" s="19"/>
      <c r="L198" s="125"/>
      <c r="M198" s="63"/>
      <c r="N198" s="66"/>
      <c r="O198" s="126"/>
    </row>
    <row r="199" spans="1:15" x14ac:dyDescent="0.3">
      <c r="A199" s="88">
        <v>45226</v>
      </c>
      <c r="B199" s="3" t="s">
        <v>145</v>
      </c>
      <c r="C199" s="106" t="s">
        <v>310</v>
      </c>
      <c r="D199" s="3" t="s">
        <v>332</v>
      </c>
      <c r="E199" s="106"/>
      <c r="F199" s="107">
        <v>1000</v>
      </c>
      <c r="G199" s="35">
        <f>40.124*368.5</f>
        <v>14785.694000000001</v>
      </c>
      <c r="I199" s="19">
        <f t="shared" si="280"/>
        <v>14785694.000000002</v>
      </c>
      <c r="J199" s="68">
        <f>+I199*1.535</f>
        <v>22696040.290000003</v>
      </c>
      <c r="K199" s="19">
        <f t="shared" si="281"/>
        <v>1134802.0145000003</v>
      </c>
      <c r="L199" s="90">
        <f>+I199*0.5*0.1+I199*0.5*0.2</f>
        <v>2217854.1000000006</v>
      </c>
      <c r="M199" s="63">
        <f t="shared" si="282"/>
        <v>22696.040290000004</v>
      </c>
      <c r="N199" s="66">
        <f t="shared" si="283"/>
        <v>4557690.1754999999</v>
      </c>
      <c r="O199" s="58">
        <f t="shared" si="284"/>
        <v>0.20081433224755699</v>
      </c>
    </row>
    <row r="200" spans="1:15" x14ac:dyDescent="0.3">
      <c r="A200" s="88">
        <v>45226</v>
      </c>
      <c r="B200" s="3" t="s">
        <v>145</v>
      </c>
      <c r="C200" s="106" t="s">
        <v>333</v>
      </c>
      <c r="D200" s="3" t="s">
        <v>334</v>
      </c>
      <c r="E200" s="106"/>
      <c r="F200" s="107">
        <v>1000</v>
      </c>
      <c r="G200" s="35">
        <f>200*3</f>
        <v>600</v>
      </c>
      <c r="H200" s="90"/>
      <c r="I200" s="19">
        <f t="shared" si="280"/>
        <v>600000</v>
      </c>
      <c r="J200" s="68">
        <f>+I200*1.6</f>
        <v>960000</v>
      </c>
      <c r="K200" s="19">
        <f t="shared" si="281"/>
        <v>48000</v>
      </c>
      <c r="L200" s="90">
        <f>+I200*0.2</f>
        <v>120000</v>
      </c>
      <c r="M200" s="63">
        <f t="shared" si="282"/>
        <v>960</v>
      </c>
      <c r="N200" s="66">
        <f t="shared" si="283"/>
        <v>192000</v>
      </c>
      <c r="O200" s="58">
        <f t="shared" si="284"/>
        <v>0.2</v>
      </c>
    </row>
    <row r="201" spans="1:15" x14ac:dyDescent="0.3">
      <c r="A201" s="88">
        <v>45226</v>
      </c>
      <c r="B201" s="3" t="s">
        <v>145</v>
      </c>
      <c r="C201" s="106" t="s">
        <v>161</v>
      </c>
      <c r="D201" s="3" t="s">
        <v>314</v>
      </c>
      <c r="E201" s="106"/>
      <c r="F201" s="107">
        <v>1000</v>
      </c>
      <c r="G201" s="35">
        <v>200</v>
      </c>
      <c r="H201" s="35">
        <f>20000+90000</f>
        <v>110000</v>
      </c>
      <c r="I201" s="19">
        <f t="shared" si="280"/>
        <v>310000</v>
      </c>
      <c r="J201" s="68">
        <f>+I201*1.42</f>
        <v>440200</v>
      </c>
      <c r="K201" s="19">
        <f t="shared" si="281"/>
        <v>22010</v>
      </c>
      <c r="L201" s="90"/>
      <c r="M201" s="63">
        <f t="shared" si="282"/>
        <v>440.2</v>
      </c>
      <c r="N201" s="66">
        <f t="shared" si="283"/>
        <v>108190</v>
      </c>
      <c r="O201" s="58">
        <f t="shared" si="284"/>
        <v>0.24577464788732395</v>
      </c>
    </row>
    <row r="202" spans="1:15" x14ac:dyDescent="0.3">
      <c r="A202" s="88">
        <v>45226</v>
      </c>
      <c r="B202" s="3" t="s">
        <v>145</v>
      </c>
      <c r="C202" s="106"/>
      <c r="D202" s="76" t="s">
        <v>364</v>
      </c>
      <c r="E202" s="106"/>
      <c r="F202" s="107">
        <v>1000</v>
      </c>
      <c r="G202" s="35">
        <f>+G199+G200+G201</f>
        <v>15585.694000000001</v>
      </c>
      <c r="H202" s="35">
        <f>+H199+H200+H201</f>
        <v>110000</v>
      </c>
      <c r="I202" s="19">
        <f t="shared" si="280"/>
        <v>15695694.000000002</v>
      </c>
      <c r="J202" s="68">
        <f>+J199+J200+J201</f>
        <v>24096240.290000003</v>
      </c>
      <c r="K202" s="19">
        <f t="shared" si="281"/>
        <v>1204812.0145000003</v>
      </c>
      <c r="L202" s="35">
        <f>+L199+L200+L201</f>
        <v>2337854.1000000006</v>
      </c>
      <c r="M202" s="63">
        <f t="shared" si="282"/>
        <v>24096.240290000002</v>
      </c>
      <c r="N202" s="66">
        <f t="shared" si="283"/>
        <v>4857880.1754999999</v>
      </c>
      <c r="O202" s="58">
        <f t="shared" si="284"/>
        <v>0.20160324254053991</v>
      </c>
    </row>
    <row r="203" spans="1:15" x14ac:dyDescent="0.3">
      <c r="A203" s="88"/>
      <c r="B203" s="3"/>
      <c r="C203" s="106"/>
      <c r="D203" s="76"/>
      <c r="E203" s="106"/>
      <c r="F203" s="107"/>
      <c r="I203" s="19"/>
      <c r="J203" s="68"/>
      <c r="K203" s="19"/>
      <c r="L203" s="35"/>
      <c r="M203" s="63"/>
      <c r="N203" s="66"/>
      <c r="O203" s="58"/>
    </row>
    <row r="204" spans="1:15" x14ac:dyDescent="0.3">
      <c r="A204" s="88">
        <v>45226</v>
      </c>
      <c r="B204" s="3" t="s">
        <v>145</v>
      </c>
      <c r="C204" s="106" t="s">
        <v>42</v>
      </c>
      <c r="D204" s="3" t="s">
        <v>335</v>
      </c>
      <c r="E204" s="106"/>
      <c r="F204" s="107">
        <v>1000</v>
      </c>
      <c r="G204" s="35">
        <f>98.28*0.9*368.5</f>
        <v>32594.561999999998</v>
      </c>
      <c r="I204" s="19">
        <f t="shared" ref="I204:I207" si="285">(F204*G204)+H204</f>
        <v>32594561.999999996</v>
      </c>
      <c r="J204" s="68">
        <f>47785*F204</f>
        <v>47785000</v>
      </c>
      <c r="K204" s="19">
        <f t="shared" ref="K204:K207" si="286">J204*0.05</f>
        <v>2389250</v>
      </c>
      <c r="L204" s="90">
        <f>+I204*0.1</f>
        <v>3259456.1999999997</v>
      </c>
      <c r="M204" s="63">
        <f t="shared" ref="M204:M207" si="287">J204/F204</f>
        <v>47785</v>
      </c>
      <c r="N204" s="66">
        <f t="shared" ref="N204:N207" si="288">J204-I204-K204-L204</f>
        <v>9541731.8000000045</v>
      </c>
      <c r="O204" s="58">
        <f t="shared" ref="O204:O207" si="289">N204/J204</f>
        <v>0.19968048132259086</v>
      </c>
    </row>
    <row r="205" spans="1:15" x14ac:dyDescent="0.3">
      <c r="A205" s="88">
        <v>45226</v>
      </c>
      <c r="B205" s="3" t="s">
        <v>145</v>
      </c>
      <c r="C205" s="106" t="s">
        <v>333</v>
      </c>
      <c r="D205" s="3" t="s">
        <v>334</v>
      </c>
      <c r="E205" s="106"/>
      <c r="F205" s="107">
        <v>1000</v>
      </c>
      <c r="G205" s="35">
        <v>200</v>
      </c>
      <c r="H205" s="90"/>
      <c r="I205" s="19">
        <f t="shared" si="285"/>
        <v>200000</v>
      </c>
      <c r="J205" s="68">
        <f>+I205*1.6</f>
        <v>320000</v>
      </c>
      <c r="K205" s="19">
        <f t="shared" si="286"/>
        <v>16000</v>
      </c>
      <c r="L205" s="90">
        <f>+I205*0.2</f>
        <v>40000</v>
      </c>
      <c r="M205" s="63">
        <f t="shared" si="287"/>
        <v>320</v>
      </c>
      <c r="N205" s="66">
        <f t="shared" si="288"/>
        <v>64000</v>
      </c>
      <c r="O205" s="58">
        <f t="shared" si="289"/>
        <v>0.2</v>
      </c>
    </row>
    <row r="206" spans="1:15" x14ac:dyDescent="0.3">
      <c r="A206" s="88">
        <v>45226</v>
      </c>
      <c r="B206" s="3" t="s">
        <v>145</v>
      </c>
      <c r="C206" s="106" t="s">
        <v>161</v>
      </c>
      <c r="D206" s="3" t="s">
        <v>314</v>
      </c>
      <c r="E206" s="106"/>
      <c r="F206" s="107">
        <v>1000</v>
      </c>
      <c r="G206" s="35">
        <v>200</v>
      </c>
      <c r="H206" s="35">
        <f>20000+90000</f>
        <v>110000</v>
      </c>
      <c r="I206" s="19">
        <f t="shared" si="285"/>
        <v>310000</v>
      </c>
      <c r="J206" s="68">
        <f>+I206*1.42</f>
        <v>440200</v>
      </c>
      <c r="K206" s="19">
        <f t="shared" si="286"/>
        <v>22010</v>
      </c>
      <c r="L206" s="90"/>
      <c r="M206" s="63">
        <f t="shared" si="287"/>
        <v>440.2</v>
      </c>
      <c r="N206" s="66">
        <f t="shared" si="288"/>
        <v>108190</v>
      </c>
      <c r="O206" s="58">
        <f t="shared" si="289"/>
        <v>0.24577464788732395</v>
      </c>
    </row>
    <row r="207" spans="1:15" x14ac:dyDescent="0.3">
      <c r="A207" s="88">
        <v>45226</v>
      </c>
      <c r="B207" s="109" t="s">
        <v>145</v>
      </c>
      <c r="C207" s="110"/>
      <c r="D207" s="111" t="s">
        <v>346</v>
      </c>
      <c r="E207" s="110"/>
      <c r="F207" s="119">
        <v>1000</v>
      </c>
      <c r="G207" s="112">
        <f>+G204+G205+G206</f>
        <v>32994.561999999998</v>
      </c>
      <c r="H207" s="112">
        <f>+H204+H205+H206</f>
        <v>110000</v>
      </c>
      <c r="I207" s="114">
        <f t="shared" si="285"/>
        <v>33104561.999999996</v>
      </c>
      <c r="J207" s="115">
        <f>+J204+J205+J206</f>
        <v>48545200</v>
      </c>
      <c r="K207" s="114">
        <f t="shared" si="286"/>
        <v>2427260</v>
      </c>
      <c r="L207" s="112">
        <f>+L204+L205+L206</f>
        <v>3299456.1999999997</v>
      </c>
      <c r="M207" s="116">
        <f t="shared" si="287"/>
        <v>48545.2</v>
      </c>
      <c r="N207" s="117">
        <f t="shared" si="288"/>
        <v>9713921.8000000045</v>
      </c>
      <c r="O207" s="118">
        <f t="shared" si="289"/>
        <v>0.20010056195051218</v>
      </c>
    </row>
    <row r="208" spans="1:15" x14ac:dyDescent="0.3">
      <c r="A208" s="88">
        <v>45226</v>
      </c>
      <c r="B208" s="3" t="s">
        <v>145</v>
      </c>
      <c r="C208" s="106" t="s">
        <v>42</v>
      </c>
      <c r="D208" s="3" t="s">
        <v>336</v>
      </c>
      <c r="E208" s="106"/>
      <c r="F208" s="107">
        <v>1000</v>
      </c>
      <c r="G208" s="35">
        <f>91.21*0.9*368.5</f>
        <v>30249.7965</v>
      </c>
      <c r="I208" s="19">
        <f t="shared" ref="I208" si="290">(F208*G208)+H208</f>
        <v>30249796.5</v>
      </c>
      <c r="J208" s="68">
        <f>+I208*1.465</f>
        <v>44315951.872500002</v>
      </c>
      <c r="K208" s="19">
        <f t="shared" ref="K208" si="291">J208*0.05</f>
        <v>2215797.5936250002</v>
      </c>
      <c r="L208" s="90">
        <f>+I208*0.1</f>
        <v>3024979.6500000004</v>
      </c>
      <c r="M208" s="63">
        <f t="shared" ref="M208" si="292">J208/F208</f>
        <v>44315.951872500002</v>
      </c>
      <c r="N208" s="66">
        <f t="shared" ref="N208" si="293">J208-I208-K208-L208</f>
        <v>8825378.1288750023</v>
      </c>
      <c r="O208" s="58">
        <f t="shared" ref="O208" si="294">N208/J208</f>
        <v>0.19914675767918094</v>
      </c>
    </row>
    <row r="209" spans="1:15" x14ac:dyDescent="0.3">
      <c r="A209" s="122">
        <v>45226</v>
      </c>
      <c r="B209" s="109" t="s">
        <v>145</v>
      </c>
      <c r="C209" s="110" t="s">
        <v>42</v>
      </c>
      <c r="D209" s="109" t="s">
        <v>337</v>
      </c>
      <c r="E209" s="110"/>
      <c r="F209" s="119">
        <v>1000</v>
      </c>
      <c r="G209" s="112">
        <f>48.24*0.9*368.5</f>
        <v>15998.796000000002</v>
      </c>
      <c r="H209" s="112"/>
      <c r="I209" s="114">
        <f t="shared" ref="I209:I220" si="295">(F209*G209)+H209</f>
        <v>15998796.000000002</v>
      </c>
      <c r="J209" s="115">
        <f>+I209*1.465</f>
        <v>23438236.140000004</v>
      </c>
      <c r="K209" s="114">
        <f t="shared" ref="K209:K220" si="296">J209*0.05</f>
        <v>1171911.8070000003</v>
      </c>
      <c r="L209" s="113">
        <f>+I209*0.1</f>
        <v>1599879.6000000003</v>
      </c>
      <c r="M209" s="129">
        <f t="shared" ref="M209:M220" si="297">J209/F209</f>
        <v>23438.236140000005</v>
      </c>
      <c r="N209" s="117">
        <f t="shared" ref="N209:N220" si="298">J209-I209-K209-L209</f>
        <v>4667648.7330000019</v>
      </c>
      <c r="O209" s="118">
        <f t="shared" ref="O209:O220" si="299">N209/J209</f>
        <v>0.19914675767918094</v>
      </c>
    </row>
    <row r="210" spans="1:15" x14ac:dyDescent="0.3">
      <c r="A210" s="88">
        <v>45226</v>
      </c>
      <c r="B210" s="3" t="s">
        <v>145</v>
      </c>
      <c r="C210" s="106" t="s">
        <v>49</v>
      </c>
      <c r="D210" s="3" t="s">
        <v>347</v>
      </c>
      <c r="E210" s="106"/>
      <c r="F210" s="107">
        <v>1000</v>
      </c>
      <c r="G210" s="35">
        <v>10723</v>
      </c>
      <c r="I210" s="19">
        <f>(F210*G210)+H210</f>
        <v>10723000</v>
      </c>
      <c r="J210" s="68">
        <f>+I210*1.47</f>
        <v>15762810</v>
      </c>
      <c r="K210" s="19">
        <f>J210*0.05</f>
        <v>788140.5</v>
      </c>
      <c r="L210" s="90">
        <f>+I210*0.1</f>
        <v>1072300</v>
      </c>
      <c r="M210" s="63">
        <f>J210/F210</f>
        <v>15762.81</v>
      </c>
      <c r="N210" s="66">
        <f>J210-I210-K210-L210</f>
        <v>3179369.5</v>
      </c>
      <c r="O210" s="58">
        <f>N210/J210</f>
        <v>0.20170068027210886</v>
      </c>
    </row>
    <row r="211" spans="1:15" x14ac:dyDescent="0.3">
      <c r="A211" s="88">
        <v>45226</v>
      </c>
      <c r="B211" s="3" t="s">
        <v>145</v>
      </c>
      <c r="C211" s="106" t="s">
        <v>333</v>
      </c>
      <c r="D211" s="3" t="s">
        <v>334</v>
      </c>
      <c r="E211" s="106"/>
      <c r="F211" s="107">
        <v>1000</v>
      </c>
      <c r="G211" s="35">
        <v>200</v>
      </c>
      <c r="H211" s="90"/>
      <c r="I211" s="19">
        <f t="shared" ref="I211:I213" si="300">(F211*G211)+H211</f>
        <v>200000</v>
      </c>
      <c r="J211" s="68">
        <f>+I211*1.6</f>
        <v>320000</v>
      </c>
      <c r="K211" s="19">
        <f t="shared" ref="K211:K213" si="301">J211*0.05</f>
        <v>16000</v>
      </c>
      <c r="L211" s="90">
        <f>+I211*0.2</f>
        <v>40000</v>
      </c>
      <c r="M211" s="63">
        <f t="shared" ref="M211:M213" si="302">J211/F211</f>
        <v>320</v>
      </c>
      <c r="N211" s="66">
        <f t="shared" ref="N211:N213" si="303">J211-I211-K211-L211</f>
        <v>64000</v>
      </c>
      <c r="O211" s="58">
        <f t="shared" ref="O211:O213" si="304">N211/J211</f>
        <v>0.2</v>
      </c>
    </row>
    <row r="212" spans="1:15" x14ac:dyDescent="0.3">
      <c r="A212" s="88">
        <v>45226</v>
      </c>
      <c r="B212" s="3" t="s">
        <v>145</v>
      </c>
      <c r="C212" s="106" t="s">
        <v>161</v>
      </c>
      <c r="D212" s="3" t="s">
        <v>314</v>
      </c>
      <c r="E212" s="106"/>
      <c r="F212" s="107">
        <v>1000</v>
      </c>
      <c r="G212" s="35">
        <v>240</v>
      </c>
      <c r="H212" s="35">
        <f>20000+90000</f>
        <v>110000</v>
      </c>
      <c r="I212" s="19">
        <f t="shared" si="300"/>
        <v>350000</v>
      </c>
      <c r="J212" s="68">
        <f>495*F212</f>
        <v>495000</v>
      </c>
      <c r="K212" s="19">
        <f t="shared" si="301"/>
        <v>24750</v>
      </c>
      <c r="L212" s="90"/>
      <c r="M212" s="63">
        <f t="shared" si="302"/>
        <v>495</v>
      </c>
      <c r="N212" s="66">
        <f t="shared" si="303"/>
        <v>120250</v>
      </c>
      <c r="O212" s="58">
        <f t="shared" si="304"/>
        <v>0.24292929292929294</v>
      </c>
    </row>
    <row r="213" spans="1:15" x14ac:dyDescent="0.3">
      <c r="A213" s="88">
        <v>45226</v>
      </c>
      <c r="B213" s="109" t="s">
        <v>145</v>
      </c>
      <c r="C213" s="110"/>
      <c r="D213" s="111" t="s">
        <v>346</v>
      </c>
      <c r="E213" s="110"/>
      <c r="F213" s="119">
        <v>1000</v>
      </c>
      <c r="G213" s="112">
        <f>+G210+G211+G212</f>
        <v>11163</v>
      </c>
      <c r="H213" s="112">
        <f>+H210+H211+H212</f>
        <v>110000</v>
      </c>
      <c r="I213" s="114">
        <f t="shared" si="300"/>
        <v>11273000</v>
      </c>
      <c r="J213" s="115">
        <f>16513*F213</f>
        <v>16513000</v>
      </c>
      <c r="K213" s="114">
        <f t="shared" si="301"/>
        <v>825650</v>
      </c>
      <c r="L213" s="112">
        <f>+L210+L211+L212</f>
        <v>1112300</v>
      </c>
      <c r="M213" s="116">
        <f t="shared" si="302"/>
        <v>16513</v>
      </c>
      <c r="N213" s="117">
        <f t="shared" si="303"/>
        <v>3302050</v>
      </c>
      <c r="O213" s="118">
        <f t="shared" si="304"/>
        <v>0.19996669290861746</v>
      </c>
    </row>
    <row r="214" spans="1:15" x14ac:dyDescent="0.3">
      <c r="A214" s="88">
        <v>45226</v>
      </c>
      <c r="B214" s="3" t="s">
        <v>145</v>
      </c>
      <c r="C214" s="106" t="s">
        <v>49</v>
      </c>
      <c r="D214" s="3" t="s">
        <v>348</v>
      </c>
      <c r="E214" s="106"/>
      <c r="F214" s="107">
        <v>1000</v>
      </c>
      <c r="G214" s="35">
        <v>24293</v>
      </c>
      <c r="I214" s="19">
        <f>(F214*G214)+H214</f>
        <v>24293000</v>
      </c>
      <c r="J214" s="68">
        <f>+I214*1.47</f>
        <v>35710710</v>
      </c>
      <c r="K214" s="19">
        <f>J214*0.05</f>
        <v>1785535.5</v>
      </c>
      <c r="L214" s="90">
        <f>+I214*0.1</f>
        <v>2429300</v>
      </c>
      <c r="M214" s="63">
        <f>J214/F214</f>
        <v>35710.71</v>
      </c>
      <c r="N214" s="66">
        <f>J214-I214-K214-L214</f>
        <v>7202874.5</v>
      </c>
      <c r="O214" s="58">
        <f>N214/J214</f>
        <v>0.20170068027210886</v>
      </c>
    </row>
    <row r="215" spans="1:15" x14ac:dyDescent="0.3">
      <c r="A215" s="88">
        <v>45226</v>
      </c>
      <c r="B215" s="3" t="s">
        <v>145</v>
      </c>
      <c r="C215" s="106" t="s">
        <v>49</v>
      </c>
      <c r="D215" s="3" t="s">
        <v>345</v>
      </c>
      <c r="E215" s="106"/>
      <c r="F215" s="107">
        <v>1000</v>
      </c>
      <c r="G215" s="35">
        <v>22433</v>
      </c>
      <c r="I215" s="19">
        <f>(F215*G215)+H215</f>
        <v>22433000</v>
      </c>
      <c r="J215" s="68">
        <f>+I215*1.47</f>
        <v>32976510</v>
      </c>
      <c r="K215" s="19">
        <f>J215*0.05</f>
        <v>1648825.5</v>
      </c>
      <c r="L215" s="90">
        <f>+I215*0.1</f>
        <v>2243300</v>
      </c>
      <c r="M215" s="63">
        <f>J215/F215</f>
        <v>32976.51</v>
      </c>
      <c r="N215" s="66">
        <f>J215-I215-K215-L215</f>
        <v>6651384.5</v>
      </c>
      <c r="O215" s="58">
        <f>N215/J215</f>
        <v>0.20170068027210886</v>
      </c>
    </row>
    <row r="216" spans="1:15" x14ac:dyDescent="0.3">
      <c r="A216" s="122"/>
      <c r="B216" s="121"/>
      <c r="C216" s="123"/>
      <c r="D216" s="121"/>
      <c r="E216" s="123"/>
      <c r="F216" s="124"/>
      <c r="G216" s="125"/>
      <c r="H216" s="125"/>
      <c r="I216" s="19"/>
      <c r="J216" s="68"/>
      <c r="K216" s="19"/>
      <c r="L216" s="90"/>
      <c r="M216" s="63"/>
      <c r="N216" s="66"/>
      <c r="O216" s="126"/>
    </row>
    <row r="217" spans="1:15" x14ac:dyDescent="0.3">
      <c r="A217" s="88">
        <v>45226</v>
      </c>
      <c r="B217" s="3" t="s">
        <v>145</v>
      </c>
      <c r="C217" s="106" t="s">
        <v>338</v>
      </c>
      <c r="D217" s="121" t="s">
        <v>339</v>
      </c>
      <c r="E217" s="106"/>
      <c r="F217" s="107">
        <v>500</v>
      </c>
      <c r="G217" s="35">
        <v>298</v>
      </c>
      <c r="I217" s="19">
        <f t="shared" si="295"/>
        <v>149000</v>
      </c>
      <c r="J217" s="68">
        <f>534*F217</f>
        <v>267000</v>
      </c>
      <c r="K217" s="19">
        <f t="shared" si="296"/>
        <v>13350</v>
      </c>
      <c r="L217" s="90">
        <f>+I217*0.2</f>
        <v>29800</v>
      </c>
      <c r="M217" s="63">
        <f t="shared" si="297"/>
        <v>534</v>
      </c>
      <c r="N217" s="66">
        <f t="shared" si="298"/>
        <v>74850</v>
      </c>
      <c r="O217" s="58">
        <f t="shared" si="299"/>
        <v>0.28033707865168539</v>
      </c>
    </row>
    <row r="218" spans="1:15" x14ac:dyDescent="0.3">
      <c r="A218" s="88">
        <v>45226</v>
      </c>
      <c r="B218" s="3" t="s">
        <v>145</v>
      </c>
      <c r="C218" s="106" t="s">
        <v>316</v>
      </c>
      <c r="D218" s="3" t="s">
        <v>340</v>
      </c>
      <c r="E218" s="106" t="s">
        <v>84</v>
      </c>
      <c r="F218" s="107">
        <v>500</v>
      </c>
      <c r="G218" s="35">
        <v>200</v>
      </c>
      <c r="I218" s="19">
        <f t="shared" si="295"/>
        <v>100000</v>
      </c>
      <c r="J218" s="68">
        <f>359*F218</f>
        <v>179500</v>
      </c>
      <c r="K218" s="19">
        <f t="shared" si="296"/>
        <v>8975</v>
      </c>
      <c r="L218" s="90">
        <f>+I218*0.2</f>
        <v>20000</v>
      </c>
      <c r="M218" s="63">
        <f t="shared" si="297"/>
        <v>359</v>
      </c>
      <c r="N218" s="66">
        <f t="shared" si="298"/>
        <v>50525</v>
      </c>
      <c r="O218" s="58">
        <f t="shared" si="299"/>
        <v>0.28147632311977716</v>
      </c>
    </row>
    <row r="219" spans="1:15" x14ac:dyDescent="0.3">
      <c r="A219" s="88">
        <v>45226</v>
      </c>
      <c r="B219" s="3" t="s">
        <v>145</v>
      </c>
      <c r="C219" s="106" t="s">
        <v>362</v>
      </c>
      <c r="D219" s="3" t="s">
        <v>314</v>
      </c>
      <c r="E219" s="106"/>
      <c r="F219" s="107">
        <v>500</v>
      </c>
      <c r="G219" s="35">
        <v>150</v>
      </c>
      <c r="H219" s="35">
        <v>20000</v>
      </c>
      <c r="I219" s="19">
        <f t="shared" si="295"/>
        <v>95000</v>
      </c>
      <c r="J219" s="68">
        <f>312*F219</f>
        <v>156000</v>
      </c>
      <c r="K219" s="19">
        <f t="shared" si="296"/>
        <v>7800</v>
      </c>
      <c r="L219" s="90">
        <f>+I219*0.1</f>
        <v>9500</v>
      </c>
      <c r="M219" s="63">
        <f t="shared" si="297"/>
        <v>312</v>
      </c>
      <c r="N219" s="66">
        <f t="shared" si="298"/>
        <v>43700</v>
      </c>
      <c r="O219" s="58">
        <f t="shared" si="299"/>
        <v>0.28012820512820513</v>
      </c>
    </row>
    <row r="220" spans="1:15" x14ac:dyDescent="0.3">
      <c r="A220" s="88">
        <v>45226</v>
      </c>
      <c r="B220" s="109" t="s">
        <v>145</v>
      </c>
      <c r="C220" s="110"/>
      <c r="D220" s="111" t="s">
        <v>371</v>
      </c>
      <c r="E220" s="110"/>
      <c r="F220" s="119">
        <v>500</v>
      </c>
      <c r="G220" s="112">
        <f>+G217+G218+G219</f>
        <v>648</v>
      </c>
      <c r="H220" s="112">
        <f>+H217+H218+H219</f>
        <v>20000</v>
      </c>
      <c r="I220" s="114">
        <f t="shared" si="295"/>
        <v>344000</v>
      </c>
      <c r="J220" s="115">
        <f>1205*F220</f>
        <v>602500</v>
      </c>
      <c r="K220" s="114">
        <f t="shared" si="296"/>
        <v>30125</v>
      </c>
      <c r="L220" s="112">
        <f>+L217+L218+L219</f>
        <v>59300</v>
      </c>
      <c r="M220" s="116">
        <f t="shared" si="297"/>
        <v>1205</v>
      </c>
      <c r="N220" s="117">
        <f t="shared" si="298"/>
        <v>169075</v>
      </c>
      <c r="O220" s="118">
        <f t="shared" si="299"/>
        <v>0.28062240663900417</v>
      </c>
    </row>
    <row r="221" spans="1:15" x14ac:dyDescent="0.3">
      <c r="A221" s="88">
        <v>45226</v>
      </c>
      <c r="B221" s="3" t="s">
        <v>145</v>
      </c>
      <c r="C221" s="106" t="s">
        <v>338</v>
      </c>
      <c r="D221" s="3" t="s">
        <v>341</v>
      </c>
      <c r="E221" s="106"/>
      <c r="F221" s="107">
        <v>500</v>
      </c>
      <c r="G221" s="35">
        <v>586</v>
      </c>
      <c r="I221" s="19">
        <f t="shared" ref="I221:I228" si="305">(F221*G221)+H221</f>
        <v>293000</v>
      </c>
      <c r="J221" s="68">
        <f>1050*F221</f>
        <v>525000</v>
      </c>
      <c r="K221" s="19">
        <f t="shared" ref="K221:K228" si="306">J221*0.05</f>
        <v>26250</v>
      </c>
      <c r="L221" s="90">
        <f>+I221*0.2</f>
        <v>58600</v>
      </c>
      <c r="M221" s="63">
        <f t="shared" ref="M221:M228" si="307">J221/F221</f>
        <v>1050</v>
      </c>
      <c r="N221" s="66">
        <f t="shared" ref="N221:N228" si="308">J221-I221-K221-L221</f>
        <v>147150</v>
      </c>
      <c r="O221" s="58">
        <f t="shared" ref="O221:O228" si="309">N221/J221</f>
        <v>0.2802857142857143</v>
      </c>
    </row>
    <row r="222" spans="1:15" x14ac:dyDescent="0.3">
      <c r="A222" s="88">
        <v>45226</v>
      </c>
      <c r="B222" s="3" t="s">
        <v>145</v>
      </c>
      <c r="C222" s="106" t="s">
        <v>316</v>
      </c>
      <c r="D222" s="3" t="s">
        <v>340</v>
      </c>
      <c r="E222" s="106" t="s">
        <v>84</v>
      </c>
      <c r="F222" s="107">
        <v>500</v>
      </c>
      <c r="G222" s="35">
        <v>230</v>
      </c>
      <c r="I222" s="19">
        <f t="shared" si="305"/>
        <v>115000</v>
      </c>
      <c r="J222" s="68">
        <f>412*F222</f>
        <v>206000</v>
      </c>
      <c r="K222" s="19">
        <f t="shared" si="306"/>
        <v>10300</v>
      </c>
      <c r="L222" s="90">
        <f>+I222*0.2</f>
        <v>23000</v>
      </c>
      <c r="M222" s="63">
        <f t="shared" si="307"/>
        <v>412</v>
      </c>
      <c r="N222" s="66">
        <f t="shared" si="308"/>
        <v>57700</v>
      </c>
      <c r="O222" s="58">
        <f t="shared" si="309"/>
        <v>0.28009708737864075</v>
      </c>
    </row>
    <row r="223" spans="1:15" x14ac:dyDescent="0.3">
      <c r="A223" s="88">
        <v>45226</v>
      </c>
      <c r="B223" s="3" t="s">
        <v>145</v>
      </c>
      <c r="C223" s="106" t="s">
        <v>362</v>
      </c>
      <c r="D223" s="3" t="s">
        <v>314</v>
      </c>
      <c r="E223" s="106"/>
      <c r="F223" s="107">
        <v>500</v>
      </c>
      <c r="G223" s="35">
        <v>150</v>
      </c>
      <c r="H223" s="35">
        <v>20000</v>
      </c>
      <c r="I223" s="19">
        <f t="shared" si="305"/>
        <v>95000</v>
      </c>
      <c r="J223" s="68">
        <f>312*F223</f>
        <v>156000</v>
      </c>
      <c r="K223" s="19">
        <f t="shared" si="306"/>
        <v>7800</v>
      </c>
      <c r="L223" s="90">
        <f>+I223*0.1</f>
        <v>9500</v>
      </c>
      <c r="M223" s="63">
        <f t="shared" si="307"/>
        <v>312</v>
      </c>
      <c r="N223" s="66">
        <f t="shared" si="308"/>
        <v>43700</v>
      </c>
      <c r="O223" s="58">
        <f t="shared" si="309"/>
        <v>0.28012820512820513</v>
      </c>
    </row>
    <row r="224" spans="1:15" x14ac:dyDescent="0.3">
      <c r="A224" s="88">
        <v>45226</v>
      </c>
      <c r="B224" s="3" t="s">
        <v>145</v>
      </c>
      <c r="C224" s="106"/>
      <c r="D224" s="76" t="s">
        <v>370</v>
      </c>
      <c r="E224" s="106"/>
      <c r="F224" s="107">
        <v>500</v>
      </c>
      <c r="G224" s="35">
        <f>+G221+G222+G223</f>
        <v>966</v>
      </c>
      <c r="H224" s="35">
        <f>+H221+H222+H223</f>
        <v>20000</v>
      </c>
      <c r="I224" s="19">
        <f t="shared" si="305"/>
        <v>503000</v>
      </c>
      <c r="J224" s="68">
        <f>1774*F224</f>
        <v>887000</v>
      </c>
      <c r="K224" s="19">
        <f t="shared" si="306"/>
        <v>44350</v>
      </c>
      <c r="L224" s="35">
        <f>+L221+L222+L223</f>
        <v>91100</v>
      </c>
      <c r="M224" s="63">
        <f t="shared" si="307"/>
        <v>1774</v>
      </c>
      <c r="N224" s="66">
        <f t="shared" si="308"/>
        <v>248550</v>
      </c>
      <c r="O224" s="58">
        <f t="shared" si="309"/>
        <v>0.2802142051860203</v>
      </c>
    </row>
    <row r="225" spans="1:15" x14ac:dyDescent="0.3">
      <c r="A225" s="122"/>
      <c r="B225" s="121"/>
      <c r="C225" s="123"/>
      <c r="D225" s="121"/>
      <c r="E225" s="123"/>
      <c r="F225" s="124"/>
      <c r="G225" s="125"/>
      <c r="H225" s="125"/>
      <c r="I225" s="19"/>
      <c r="J225" s="68"/>
      <c r="K225" s="19"/>
      <c r="L225" s="90"/>
      <c r="M225" s="63"/>
      <c r="N225" s="66"/>
      <c r="O225" s="126"/>
    </row>
    <row r="226" spans="1:15" x14ac:dyDescent="0.3">
      <c r="A226" s="88">
        <v>45226</v>
      </c>
      <c r="B226" s="3" t="s">
        <v>145</v>
      </c>
      <c r="C226" s="106" t="s">
        <v>126</v>
      </c>
      <c r="D226" s="121" t="s">
        <v>252</v>
      </c>
      <c r="E226" s="106"/>
      <c r="F226" s="107">
        <v>1000</v>
      </c>
      <c r="G226" s="125">
        <v>2600</v>
      </c>
      <c r="I226" s="19">
        <f t="shared" si="305"/>
        <v>2600000</v>
      </c>
      <c r="J226" s="68">
        <f>+I226*1.405</f>
        <v>3653000</v>
      </c>
      <c r="K226" s="19">
        <f t="shared" si="306"/>
        <v>182650</v>
      </c>
      <c r="L226" s="90"/>
      <c r="M226" s="63">
        <f t="shared" si="307"/>
        <v>3653</v>
      </c>
      <c r="N226" s="66">
        <f t="shared" si="308"/>
        <v>870350</v>
      </c>
      <c r="O226" s="58">
        <f t="shared" si="309"/>
        <v>0.23825622775800712</v>
      </c>
    </row>
    <row r="227" spans="1:15" x14ac:dyDescent="0.3">
      <c r="A227" s="88">
        <v>45226</v>
      </c>
      <c r="B227" s="3" t="s">
        <v>145</v>
      </c>
      <c r="C227" s="106" t="s">
        <v>161</v>
      </c>
      <c r="D227" s="3" t="s">
        <v>314</v>
      </c>
      <c r="E227" s="106"/>
      <c r="F227" s="107">
        <v>1000</v>
      </c>
      <c r="G227" s="35">
        <v>100</v>
      </c>
      <c r="H227" s="35">
        <f>20000+90000</f>
        <v>110000</v>
      </c>
      <c r="I227" s="19">
        <f t="shared" si="305"/>
        <v>210000</v>
      </c>
      <c r="J227" s="68">
        <f>+I227*1.405</f>
        <v>295050</v>
      </c>
      <c r="K227" s="19">
        <f t="shared" si="306"/>
        <v>14752.5</v>
      </c>
      <c r="L227" s="90"/>
      <c r="M227" s="63">
        <f t="shared" si="307"/>
        <v>295.05</v>
      </c>
      <c r="N227" s="66">
        <f t="shared" si="308"/>
        <v>70297.5</v>
      </c>
      <c r="O227" s="58">
        <f t="shared" si="309"/>
        <v>0.23825622775800712</v>
      </c>
    </row>
    <row r="228" spans="1:15" x14ac:dyDescent="0.3">
      <c r="A228" s="108">
        <v>45226</v>
      </c>
      <c r="B228" s="109" t="s">
        <v>145</v>
      </c>
      <c r="C228" s="110"/>
      <c r="D228" s="111" t="s">
        <v>343</v>
      </c>
      <c r="E228" s="110"/>
      <c r="F228" s="119">
        <v>1000</v>
      </c>
      <c r="G228" s="112">
        <f>+G227+G226</f>
        <v>2700</v>
      </c>
      <c r="H228" s="112">
        <f>+H227+H226</f>
        <v>110000</v>
      </c>
      <c r="I228" s="114">
        <f t="shared" si="305"/>
        <v>2810000</v>
      </c>
      <c r="J228" s="115">
        <f>3959*F228</f>
        <v>3959000</v>
      </c>
      <c r="K228" s="114">
        <f t="shared" si="306"/>
        <v>197950</v>
      </c>
      <c r="L228" s="112"/>
      <c r="M228" s="116">
        <f t="shared" si="307"/>
        <v>3959</v>
      </c>
      <c r="N228" s="117">
        <f t="shared" si="308"/>
        <v>951050</v>
      </c>
      <c r="O228" s="118">
        <f t="shared" si="309"/>
        <v>0.24022480424349582</v>
      </c>
    </row>
    <row r="229" spans="1:15" x14ac:dyDescent="0.3">
      <c r="A229" s="88"/>
      <c r="B229" s="3"/>
      <c r="C229" s="106"/>
      <c r="D229" s="76"/>
      <c r="E229" s="106"/>
      <c r="F229" s="107"/>
      <c r="I229" s="19"/>
      <c r="J229" s="68"/>
      <c r="K229" s="19"/>
      <c r="L229" s="39"/>
      <c r="M229" s="63"/>
      <c r="N229" s="66"/>
      <c r="O229" s="58"/>
    </row>
    <row r="230" spans="1:15" x14ac:dyDescent="0.3">
      <c r="A230" s="88">
        <v>45226</v>
      </c>
      <c r="B230" s="3" t="s">
        <v>145</v>
      </c>
      <c r="C230" s="106" t="s">
        <v>49</v>
      </c>
      <c r="D230" s="3" t="s">
        <v>349</v>
      </c>
      <c r="E230" s="106"/>
      <c r="F230" s="107">
        <v>1000</v>
      </c>
      <c r="G230" s="35">
        <v>12281</v>
      </c>
      <c r="I230" s="19">
        <f>(F230*G230)+H230</f>
        <v>12281000</v>
      </c>
      <c r="J230" s="68">
        <f>18030*F230</f>
        <v>18030000</v>
      </c>
      <c r="K230" s="19">
        <f>J230*0.05</f>
        <v>901500</v>
      </c>
      <c r="L230" s="90">
        <f>+I230*0.1</f>
        <v>1228100</v>
      </c>
      <c r="M230" s="63">
        <f>J230/F230</f>
        <v>18030</v>
      </c>
      <c r="N230" s="66">
        <f>J230-I230-K230-L230</f>
        <v>3619400</v>
      </c>
      <c r="O230" s="58">
        <f>N230/J230</f>
        <v>0.20074320576816418</v>
      </c>
    </row>
    <row r="231" spans="1:15" x14ac:dyDescent="0.3">
      <c r="A231" s="88">
        <v>45226</v>
      </c>
      <c r="B231" s="3" t="s">
        <v>145</v>
      </c>
      <c r="C231" s="106" t="s">
        <v>333</v>
      </c>
      <c r="D231" s="3" t="s">
        <v>334</v>
      </c>
      <c r="E231" s="106"/>
      <c r="F231" s="107">
        <v>1000</v>
      </c>
      <c r="G231" s="35">
        <v>200</v>
      </c>
      <c r="H231" s="90"/>
      <c r="I231" s="19">
        <f t="shared" ref="I231:I233" si="310">(F231*G231)+H231</f>
        <v>200000</v>
      </c>
      <c r="J231" s="68">
        <f>+I231*1.6</f>
        <v>320000</v>
      </c>
      <c r="K231" s="19">
        <f t="shared" ref="K231:K233" si="311">J231*0.05</f>
        <v>16000</v>
      </c>
      <c r="L231" s="90">
        <f>+I231*0.2</f>
        <v>40000</v>
      </c>
      <c r="M231" s="63">
        <f t="shared" ref="M231:M233" si="312">J231/F231</f>
        <v>320</v>
      </c>
      <c r="N231" s="66">
        <f t="shared" ref="N231:N233" si="313">J231-I231-K231-L231</f>
        <v>64000</v>
      </c>
      <c r="O231" s="58">
        <f t="shared" ref="O231:O233" si="314">N231/J231</f>
        <v>0.2</v>
      </c>
    </row>
    <row r="232" spans="1:15" x14ac:dyDescent="0.3">
      <c r="A232" s="88">
        <v>45226</v>
      </c>
      <c r="B232" s="3" t="s">
        <v>145</v>
      </c>
      <c r="C232" s="106" t="s">
        <v>161</v>
      </c>
      <c r="D232" s="3" t="s">
        <v>314</v>
      </c>
      <c r="E232" s="106"/>
      <c r="F232" s="107">
        <v>1000</v>
      </c>
      <c r="G232" s="35">
        <v>150</v>
      </c>
      <c r="H232" s="35">
        <f>20000+90000</f>
        <v>110000</v>
      </c>
      <c r="I232" s="19">
        <f t="shared" si="310"/>
        <v>260000</v>
      </c>
      <c r="J232" s="68">
        <f>+I232*1.42</f>
        <v>369200</v>
      </c>
      <c r="K232" s="19">
        <f t="shared" si="311"/>
        <v>18460</v>
      </c>
      <c r="L232" s="90"/>
      <c r="M232" s="63">
        <f t="shared" si="312"/>
        <v>369.2</v>
      </c>
      <c r="N232" s="66">
        <f t="shared" si="313"/>
        <v>90740</v>
      </c>
      <c r="O232" s="58">
        <f t="shared" si="314"/>
        <v>0.24577464788732395</v>
      </c>
    </row>
    <row r="233" spans="1:15" x14ac:dyDescent="0.3">
      <c r="A233" s="88">
        <v>45226</v>
      </c>
      <c r="B233" s="3" t="s">
        <v>145</v>
      </c>
      <c r="C233" s="106"/>
      <c r="D233" s="76" t="s">
        <v>350</v>
      </c>
      <c r="E233" s="106"/>
      <c r="F233" s="107">
        <v>1000</v>
      </c>
      <c r="G233" s="35">
        <f>+G230+G231+G232</f>
        <v>12631</v>
      </c>
      <c r="H233" s="35">
        <f>+H230+H231+H232</f>
        <v>110000</v>
      </c>
      <c r="I233" s="19">
        <f t="shared" si="310"/>
        <v>12741000</v>
      </c>
      <c r="J233" s="68">
        <f>+J230+J231+J232</f>
        <v>18719200</v>
      </c>
      <c r="K233" s="19">
        <f t="shared" si="311"/>
        <v>935960</v>
      </c>
      <c r="L233" s="35">
        <f>+L230+L231+L232</f>
        <v>1268100</v>
      </c>
      <c r="M233" s="63">
        <f t="shared" si="312"/>
        <v>18719.2</v>
      </c>
      <c r="N233" s="66">
        <f t="shared" si="313"/>
        <v>3774140</v>
      </c>
      <c r="O233" s="58">
        <f t="shared" si="314"/>
        <v>0.20161865891704775</v>
      </c>
    </row>
    <row r="234" spans="1:15" x14ac:dyDescent="0.3">
      <c r="A234" s="88">
        <v>45226</v>
      </c>
      <c r="B234" s="3" t="s">
        <v>145</v>
      </c>
      <c r="C234" s="106" t="s">
        <v>49</v>
      </c>
      <c r="D234" s="3" t="s">
        <v>353</v>
      </c>
      <c r="E234" s="106"/>
      <c r="F234" s="107">
        <v>1000</v>
      </c>
      <c r="G234" s="35">
        <v>10819</v>
      </c>
      <c r="I234" s="19">
        <f>(F234*G234)+H234</f>
        <v>10819000</v>
      </c>
      <c r="J234" s="68">
        <f>+I234*1.4</f>
        <v>15146599.999999998</v>
      </c>
      <c r="K234" s="19">
        <f>J234*0.05</f>
        <v>757330</v>
      </c>
      <c r="L234" s="90">
        <f>+I234*0.1</f>
        <v>1081900</v>
      </c>
      <c r="M234" s="63">
        <f>J234/F234</f>
        <v>15146.599999999999</v>
      </c>
      <c r="N234" s="66">
        <f>J234-I234-K234-L234</f>
        <v>2488369.9999999981</v>
      </c>
      <c r="O234" s="58">
        <f>N234/J234</f>
        <v>0.16428571428571417</v>
      </c>
    </row>
    <row r="235" spans="1:15" x14ac:dyDescent="0.3">
      <c r="A235" s="88"/>
      <c r="B235" s="3"/>
      <c r="C235" s="106"/>
      <c r="D235" s="76"/>
      <c r="E235" s="106"/>
      <c r="F235" s="107"/>
      <c r="I235" s="19"/>
      <c r="J235" s="68"/>
      <c r="K235" s="19"/>
      <c r="L235" s="39"/>
      <c r="M235" s="63"/>
      <c r="N235" s="66"/>
      <c r="O235" s="58"/>
    </row>
    <row r="236" spans="1:15" x14ac:dyDescent="0.3">
      <c r="A236" s="88">
        <v>45226</v>
      </c>
      <c r="B236" s="3" t="s">
        <v>145</v>
      </c>
      <c r="C236" s="106" t="s">
        <v>82</v>
      </c>
      <c r="D236" s="3" t="s">
        <v>354</v>
      </c>
      <c r="E236" s="106" t="s">
        <v>86</v>
      </c>
      <c r="F236" s="107">
        <v>2000</v>
      </c>
      <c r="G236" s="35">
        <v>530.46</v>
      </c>
      <c r="I236" s="19">
        <f>(F236*G236)+H236</f>
        <v>1060920</v>
      </c>
      <c r="J236" s="68">
        <f>+I236*1.58</f>
        <v>1676253.6</v>
      </c>
      <c r="K236" s="19">
        <f>J236*0.05</f>
        <v>83812.680000000008</v>
      </c>
      <c r="L236" s="90">
        <f>+I236*0.5*0.2+I236*0.5*0.1</f>
        <v>159138</v>
      </c>
      <c r="M236" s="63">
        <f>J236/F236</f>
        <v>838.1268</v>
      </c>
      <c r="N236" s="66">
        <f>J236-I236-K236-L236</f>
        <v>372382.92000000004</v>
      </c>
      <c r="O236" s="58">
        <f>N236/J236</f>
        <v>0.22215189873417723</v>
      </c>
    </row>
    <row r="237" spans="1:15" x14ac:dyDescent="0.3">
      <c r="A237" s="88">
        <v>45226</v>
      </c>
      <c r="B237" s="3" t="s">
        <v>145</v>
      </c>
      <c r="C237" s="106" t="s">
        <v>362</v>
      </c>
      <c r="D237" s="3" t="s">
        <v>314</v>
      </c>
      <c r="E237" s="106"/>
      <c r="F237" s="107">
        <v>2000</v>
      </c>
      <c r="G237" s="35">
        <v>150</v>
      </c>
      <c r="H237" s="35">
        <v>20000</v>
      </c>
      <c r="I237" s="19">
        <f t="shared" ref="I237" si="315">(F237*G237)+H237</f>
        <v>320000</v>
      </c>
      <c r="J237" s="68">
        <f>217*F237</f>
        <v>434000</v>
      </c>
      <c r="K237" s="19">
        <f t="shared" ref="K237" si="316">J237*0.05</f>
        <v>21700</v>
      </c>
      <c r="L237" s="90"/>
      <c r="M237" s="63">
        <f t="shared" ref="M237:M242" si="317">J237/F237</f>
        <v>217</v>
      </c>
      <c r="N237" s="66">
        <f t="shared" ref="N237:N242" si="318">J237-I237-K237-L237</f>
        <v>92300</v>
      </c>
      <c r="O237" s="58">
        <f t="shared" ref="O237:O242" si="319">N237/J237</f>
        <v>0.21267281105990785</v>
      </c>
    </row>
    <row r="238" spans="1:15" x14ac:dyDescent="0.3">
      <c r="A238" s="88">
        <v>45226</v>
      </c>
      <c r="B238" s="3" t="s">
        <v>145</v>
      </c>
      <c r="C238" s="106"/>
      <c r="D238" s="76" t="s">
        <v>355</v>
      </c>
      <c r="E238" s="106"/>
      <c r="F238" s="107">
        <v>2000</v>
      </c>
      <c r="G238" s="35">
        <f>+G237+G236</f>
        <v>680.46</v>
      </c>
      <c r="H238" s="35">
        <f>+H237+H236</f>
        <v>20000</v>
      </c>
      <c r="I238" s="19">
        <f t="shared" ref="I238:I242" si="320">(F238*G238)+H238</f>
        <v>1380920</v>
      </c>
      <c r="J238" s="68">
        <f>1055*F238</f>
        <v>2110000</v>
      </c>
      <c r="K238" s="19">
        <f t="shared" ref="K238:K242" si="321">J238*0.05</f>
        <v>105500</v>
      </c>
      <c r="L238" s="35">
        <f>+L237+L236</f>
        <v>159138</v>
      </c>
      <c r="M238" s="63">
        <f t="shared" si="317"/>
        <v>1055</v>
      </c>
      <c r="N238" s="66">
        <f t="shared" si="318"/>
        <v>464442</v>
      </c>
      <c r="O238" s="58">
        <f t="shared" si="319"/>
        <v>0.22011469194312797</v>
      </c>
    </row>
    <row r="239" spans="1:15" x14ac:dyDescent="0.3">
      <c r="A239" s="88"/>
      <c r="B239" s="3"/>
      <c r="C239" s="106"/>
      <c r="D239" s="76"/>
      <c r="E239" s="106"/>
      <c r="F239" s="107"/>
      <c r="I239" s="19"/>
      <c r="J239" s="68"/>
      <c r="K239" s="19"/>
      <c r="L239" s="35"/>
      <c r="M239" s="63"/>
      <c r="N239" s="66"/>
      <c r="O239" s="58"/>
    </row>
    <row r="240" spans="1:15" x14ac:dyDescent="0.3">
      <c r="A240" s="88">
        <v>45226</v>
      </c>
      <c r="B240" s="3" t="s">
        <v>145</v>
      </c>
      <c r="C240" s="106" t="s">
        <v>358</v>
      </c>
      <c r="D240" s="3" t="s">
        <v>359</v>
      </c>
      <c r="E240" s="106"/>
      <c r="F240" s="107">
        <v>750</v>
      </c>
      <c r="G240" s="35">
        <v>12560</v>
      </c>
      <c r="I240" s="19">
        <f t="shared" si="320"/>
        <v>9420000</v>
      </c>
      <c r="J240" s="68">
        <f>19273*F240</f>
        <v>14454750</v>
      </c>
      <c r="K240" s="19">
        <f t="shared" si="321"/>
        <v>722737.5</v>
      </c>
      <c r="L240" s="90">
        <f>+I240*0.5*0.2+I240*0.5*0.1</f>
        <v>1413000</v>
      </c>
      <c r="M240" s="63">
        <f t="shared" si="317"/>
        <v>19273</v>
      </c>
      <c r="N240" s="66">
        <f t="shared" si="318"/>
        <v>2899012.5</v>
      </c>
      <c r="O240" s="58">
        <f t="shared" si="319"/>
        <v>0.20055777512582368</v>
      </c>
    </row>
    <row r="241" spans="1:15" x14ac:dyDescent="0.3">
      <c r="A241" s="88">
        <v>45226</v>
      </c>
      <c r="B241" s="3" t="s">
        <v>145</v>
      </c>
      <c r="C241" s="106" t="s">
        <v>161</v>
      </c>
      <c r="D241" s="3" t="s">
        <v>314</v>
      </c>
      <c r="E241" s="106"/>
      <c r="F241" s="107">
        <v>750</v>
      </c>
      <c r="G241" s="35">
        <v>150</v>
      </c>
      <c r="H241" s="35">
        <f>20000+90000</f>
        <v>110000</v>
      </c>
      <c r="I241" s="19">
        <f t="shared" si="320"/>
        <v>222500</v>
      </c>
      <c r="J241" s="68">
        <f>396*F241</f>
        <v>297000</v>
      </c>
      <c r="K241" s="19">
        <f t="shared" si="321"/>
        <v>14850</v>
      </c>
      <c r="L241" s="90"/>
      <c r="M241" s="63">
        <f t="shared" si="317"/>
        <v>396</v>
      </c>
      <c r="N241" s="66">
        <f t="shared" si="318"/>
        <v>59650</v>
      </c>
      <c r="O241" s="58">
        <f t="shared" si="319"/>
        <v>0.20084175084175085</v>
      </c>
    </row>
    <row r="242" spans="1:15" x14ac:dyDescent="0.3">
      <c r="A242" s="88">
        <v>45226</v>
      </c>
      <c r="B242" s="3" t="s">
        <v>145</v>
      </c>
      <c r="C242" s="106"/>
      <c r="D242" s="76" t="s">
        <v>367</v>
      </c>
      <c r="E242" s="106"/>
      <c r="F242" s="107">
        <v>750</v>
      </c>
      <c r="G242" s="35">
        <f>+G240+G241</f>
        <v>12710</v>
      </c>
      <c r="H242" s="35">
        <f>+H240+H241</f>
        <v>110000</v>
      </c>
      <c r="I242" s="19">
        <f t="shared" si="320"/>
        <v>9642500</v>
      </c>
      <c r="J242" s="68">
        <f>19669*F242</f>
        <v>14751750</v>
      </c>
      <c r="K242" s="19">
        <f t="shared" si="321"/>
        <v>737587.5</v>
      </c>
      <c r="L242" s="35">
        <f>+L240+L241</f>
        <v>1413000</v>
      </c>
      <c r="M242" s="63">
        <f t="shared" si="317"/>
        <v>19669</v>
      </c>
      <c r="N242" s="66">
        <f t="shared" si="318"/>
        <v>2958662.5</v>
      </c>
      <c r="O242" s="58">
        <f t="shared" si="319"/>
        <v>0.20056349246699545</v>
      </c>
    </row>
    <row r="243" spans="1:15" x14ac:dyDescent="0.3">
      <c r="A243" s="88"/>
      <c r="B243" s="3"/>
      <c r="C243" s="106"/>
      <c r="D243" s="76"/>
      <c r="E243" s="106"/>
      <c r="F243" s="107"/>
      <c r="I243" s="19"/>
      <c r="J243" s="68"/>
      <c r="K243" s="19"/>
      <c r="L243" s="35"/>
      <c r="M243" s="63"/>
      <c r="N243" s="66"/>
      <c r="O243" s="58"/>
    </row>
    <row r="244" spans="1:15" x14ac:dyDescent="0.3">
      <c r="A244" s="88">
        <v>45226</v>
      </c>
      <c r="B244" s="3" t="s">
        <v>145</v>
      </c>
      <c r="C244" s="106" t="s">
        <v>358</v>
      </c>
      <c r="D244" s="3" t="s">
        <v>360</v>
      </c>
      <c r="E244" s="106"/>
      <c r="F244" s="107">
        <v>1000</v>
      </c>
      <c r="G244" s="35">
        <v>2377</v>
      </c>
      <c r="I244" s="19">
        <f t="shared" ref="I244:I246" si="322">(F244*G244)+H244</f>
        <v>2377000</v>
      </c>
      <c r="J244" s="68">
        <f>3642*F244</f>
        <v>3642000</v>
      </c>
      <c r="K244" s="19">
        <f t="shared" ref="K244:K246" si="323">J244*0.05</f>
        <v>182100</v>
      </c>
      <c r="L244" s="90">
        <f>+I244*0.5*0.2+I244*0.5*0.1</f>
        <v>356550</v>
      </c>
      <c r="M244" s="63">
        <f t="shared" ref="M244:M246" si="324">J244/F244</f>
        <v>3642</v>
      </c>
      <c r="N244" s="66">
        <f t="shared" ref="N244:N246" si="325">J244-I244-K244-L244</f>
        <v>726350</v>
      </c>
      <c r="O244" s="58">
        <f t="shared" ref="O244:O246" si="326">N244/J244</f>
        <v>0.19943712246018672</v>
      </c>
    </row>
    <row r="245" spans="1:15" x14ac:dyDescent="0.3">
      <c r="A245" s="88">
        <v>45226</v>
      </c>
      <c r="B245" s="3" t="s">
        <v>145</v>
      </c>
      <c r="C245" s="106" t="s">
        <v>362</v>
      </c>
      <c r="D245" s="3" t="s">
        <v>314</v>
      </c>
      <c r="E245" s="106"/>
      <c r="F245" s="107">
        <v>1000</v>
      </c>
      <c r="G245" s="35">
        <v>150</v>
      </c>
      <c r="H245" s="35">
        <v>20000</v>
      </c>
      <c r="I245" s="19">
        <f t="shared" si="322"/>
        <v>170000</v>
      </c>
      <c r="J245" s="68">
        <f>230*F245</f>
        <v>230000</v>
      </c>
      <c r="K245" s="19">
        <f t="shared" si="323"/>
        <v>11500</v>
      </c>
      <c r="L245" s="90"/>
      <c r="M245" s="63">
        <f t="shared" si="324"/>
        <v>230</v>
      </c>
      <c r="N245" s="66">
        <f t="shared" si="325"/>
        <v>48500</v>
      </c>
      <c r="O245" s="58">
        <f t="shared" si="326"/>
        <v>0.21086956521739131</v>
      </c>
    </row>
    <row r="246" spans="1:15" x14ac:dyDescent="0.3">
      <c r="A246" s="88">
        <v>45226</v>
      </c>
      <c r="B246" s="3" t="s">
        <v>145</v>
      </c>
      <c r="C246" s="106"/>
      <c r="D246" s="76" t="s">
        <v>368</v>
      </c>
      <c r="E246" s="106"/>
      <c r="F246" s="107">
        <v>1000</v>
      </c>
      <c r="G246" s="35">
        <f>+G244+G245</f>
        <v>2527</v>
      </c>
      <c r="H246" s="35">
        <f>+H244+H245</f>
        <v>20000</v>
      </c>
      <c r="I246" s="19">
        <f t="shared" si="322"/>
        <v>2547000</v>
      </c>
      <c r="J246" s="68">
        <f>3872*F246</f>
        <v>3872000</v>
      </c>
      <c r="K246" s="19">
        <f t="shared" si="323"/>
        <v>193600</v>
      </c>
      <c r="L246" s="35">
        <f>+L244+L245</f>
        <v>356550</v>
      </c>
      <c r="M246" s="63">
        <f t="shared" si="324"/>
        <v>3872</v>
      </c>
      <c r="N246" s="66">
        <f t="shared" si="325"/>
        <v>774850</v>
      </c>
      <c r="O246" s="58">
        <f t="shared" si="326"/>
        <v>0.20011621900826446</v>
      </c>
    </row>
    <row r="247" spans="1:15" x14ac:dyDescent="0.3">
      <c r="A247" s="88"/>
      <c r="B247" s="3"/>
      <c r="C247" s="106"/>
      <c r="D247" s="76"/>
      <c r="E247" s="106"/>
      <c r="F247" s="107"/>
      <c r="I247" s="19"/>
      <c r="J247" s="68"/>
      <c r="K247" s="19"/>
      <c r="L247" s="39"/>
      <c r="M247" s="63"/>
      <c r="N247" s="66"/>
      <c r="O247" s="58"/>
    </row>
    <row r="248" spans="1:15" x14ac:dyDescent="0.3">
      <c r="A248" s="88">
        <v>45226</v>
      </c>
      <c r="B248" s="3" t="s">
        <v>145</v>
      </c>
      <c r="C248" s="106" t="s">
        <v>358</v>
      </c>
      <c r="D248" s="3" t="s">
        <v>361</v>
      </c>
      <c r="E248" s="106"/>
      <c r="F248" s="107">
        <v>1000</v>
      </c>
      <c r="G248" s="35">
        <v>11330</v>
      </c>
      <c r="I248" s="19">
        <f t="shared" ref="I248:I250" si="327">(F248*G248)+H248</f>
        <v>11330000</v>
      </c>
      <c r="J248" s="68">
        <f>17376*F248</f>
        <v>17376000</v>
      </c>
      <c r="K248" s="19">
        <f t="shared" ref="K248:K250" si="328">J248*0.05</f>
        <v>868800</v>
      </c>
      <c r="L248" s="90">
        <f>+I248*0.5*0.2+I248*0.5*0.1</f>
        <v>1699500</v>
      </c>
      <c r="M248" s="63">
        <f t="shared" ref="M248:M250" si="329">J248/F248</f>
        <v>17376</v>
      </c>
      <c r="N248" s="66">
        <f t="shared" ref="N248:N250" si="330">J248-I248-K248-L248</f>
        <v>3477700</v>
      </c>
      <c r="O248" s="58">
        <f t="shared" ref="O248:O250" si="331">N248/J248</f>
        <v>0.20014387661141805</v>
      </c>
    </row>
    <row r="249" spans="1:15" x14ac:dyDescent="0.3">
      <c r="A249" s="88">
        <v>45226</v>
      </c>
      <c r="B249" s="3" t="s">
        <v>145</v>
      </c>
      <c r="C249" s="106" t="s">
        <v>161</v>
      </c>
      <c r="D249" s="3" t="s">
        <v>314</v>
      </c>
      <c r="E249" s="106"/>
      <c r="F249" s="107">
        <v>1000</v>
      </c>
      <c r="G249" s="35">
        <v>150</v>
      </c>
      <c r="H249" s="35">
        <f>20000+90000</f>
        <v>110000</v>
      </c>
      <c r="I249" s="19">
        <f t="shared" si="327"/>
        <v>260000</v>
      </c>
      <c r="J249" s="68">
        <f>396*F249</f>
        <v>396000</v>
      </c>
      <c r="K249" s="19">
        <f t="shared" si="328"/>
        <v>19800</v>
      </c>
      <c r="L249" s="90"/>
      <c r="M249" s="63">
        <f t="shared" si="329"/>
        <v>396</v>
      </c>
      <c r="N249" s="66">
        <f t="shared" si="330"/>
        <v>116200</v>
      </c>
      <c r="O249" s="58">
        <f t="shared" si="331"/>
        <v>0.29343434343434344</v>
      </c>
    </row>
    <row r="250" spans="1:15" x14ac:dyDescent="0.3">
      <c r="A250" s="88">
        <v>45226</v>
      </c>
      <c r="B250" s="3" t="s">
        <v>145</v>
      </c>
      <c r="C250" s="106"/>
      <c r="D250" s="76" t="s">
        <v>369</v>
      </c>
      <c r="E250" s="106"/>
      <c r="F250" s="107">
        <v>1000</v>
      </c>
      <c r="G250" s="35">
        <f>+G248+G249</f>
        <v>11480</v>
      </c>
      <c r="H250" s="35">
        <f>+H248+H249</f>
        <v>110000</v>
      </c>
      <c r="I250" s="19">
        <f t="shared" si="327"/>
        <v>11590000</v>
      </c>
      <c r="J250" s="68">
        <f>17772*F250</f>
        <v>17772000</v>
      </c>
      <c r="K250" s="19">
        <f t="shared" si="328"/>
        <v>888600</v>
      </c>
      <c r="L250" s="35">
        <f>+L248+L249</f>
        <v>1699500</v>
      </c>
      <c r="M250" s="63">
        <f t="shared" si="329"/>
        <v>17772</v>
      </c>
      <c r="N250" s="66">
        <f t="shared" si="330"/>
        <v>3593900</v>
      </c>
      <c r="O250" s="58">
        <f t="shared" si="331"/>
        <v>0.20222259734413683</v>
      </c>
    </row>
    <row r="251" spans="1:15" x14ac:dyDescent="0.3">
      <c r="I251" s="19">
        <f t="shared" si="5"/>
        <v>0</v>
      </c>
      <c r="J251" s="68">
        <f t="shared" si="172"/>
        <v>0</v>
      </c>
      <c r="K251" s="19">
        <f t="shared" si="0"/>
        <v>0</v>
      </c>
      <c r="L251" s="39"/>
      <c r="M251" s="63" t="e">
        <f t="shared" si="6"/>
        <v>#DIV/0!</v>
      </c>
      <c r="N251" s="66">
        <f t="shared" si="7"/>
        <v>0</v>
      </c>
      <c r="O251" s="58" t="e">
        <f t="shared" si="8"/>
        <v>#DIV/0!</v>
      </c>
    </row>
    <row r="252" spans="1:15" x14ac:dyDescent="0.3">
      <c r="B252" s="21" t="s">
        <v>31</v>
      </c>
      <c r="I252" s="19"/>
      <c r="J252" s="68"/>
      <c r="K252" s="19">
        <f t="shared" si="0"/>
        <v>0</v>
      </c>
      <c r="L252" s="39"/>
      <c r="M252" s="63"/>
      <c r="N252" s="66"/>
      <c r="O252" s="58"/>
    </row>
    <row r="253" spans="1:15" x14ac:dyDescent="0.3">
      <c r="B253" s="72">
        <v>0</v>
      </c>
      <c r="C253" s="73">
        <v>0.3</v>
      </c>
      <c r="D253" s="74">
        <f>Variables!C3*C$258</f>
        <v>67755.102040816331</v>
      </c>
      <c r="I253" s="5"/>
      <c r="J253" s="69"/>
      <c r="K253" s="5"/>
      <c r="L253" s="39"/>
    </row>
    <row r="254" spans="1:15" x14ac:dyDescent="0.3">
      <c r="B254" s="72">
        <f>Variables!A4*C$258</f>
        <v>338778.89795918367</v>
      </c>
      <c r="C254" s="73">
        <v>0.28000000000000003</v>
      </c>
      <c r="D254" s="74">
        <f>Variables!C4*C$258</f>
        <v>101260</v>
      </c>
      <c r="I254" s="5"/>
      <c r="J254" s="69"/>
      <c r="K254" s="5"/>
      <c r="L254" s="39"/>
    </row>
    <row r="255" spans="1:15" x14ac:dyDescent="0.3">
      <c r="B255" s="72">
        <f>Variables!A5*C$258</f>
        <v>1185717.6734693877</v>
      </c>
      <c r="C255" s="73">
        <v>0.25</v>
      </c>
      <c r="D255" s="74">
        <f>Variables!C5*C$258</f>
        <v>332000</v>
      </c>
      <c r="I255" s="5"/>
      <c r="J255" s="69"/>
      <c r="K255" s="5"/>
      <c r="L255" s="39"/>
    </row>
    <row r="256" spans="1:15" x14ac:dyDescent="0.3">
      <c r="B256" s="72">
        <f>Variables!A6*C$258</f>
        <v>1693880.9387755101</v>
      </c>
      <c r="C256" s="73">
        <v>0.22</v>
      </c>
      <c r="D256" s="74">
        <f>Variables!C6*C$258</f>
        <v>423300</v>
      </c>
      <c r="I256" s="5"/>
      <c r="J256" s="69"/>
      <c r="K256" s="5"/>
      <c r="L256" s="39"/>
    </row>
    <row r="257" spans="2:12" x14ac:dyDescent="0.3">
      <c r="B257" s="72">
        <f>Variables!A8*C$258</f>
        <v>4540100</v>
      </c>
      <c r="C257" s="73">
        <v>0.2</v>
      </c>
      <c r="D257" s="74">
        <f>Variables!C8*C$258</f>
        <v>908020</v>
      </c>
      <c r="I257" s="5"/>
      <c r="J257" s="69"/>
      <c r="K257" s="5"/>
      <c r="L257" s="39"/>
    </row>
    <row r="258" spans="2:12" x14ac:dyDescent="0.3">
      <c r="B258" s="70" t="s">
        <v>30</v>
      </c>
      <c r="C258" s="71">
        <f>Variables!B22</f>
        <v>830</v>
      </c>
      <c r="I258" s="5"/>
      <c r="J258" s="69"/>
      <c r="K258" s="5"/>
      <c r="L258" s="39"/>
    </row>
    <row r="259" spans="2:12" x14ac:dyDescent="0.3">
      <c r="I259" s="5"/>
      <c r="J259" s="69"/>
      <c r="K259" s="5"/>
      <c r="L259" s="39"/>
    </row>
    <row r="260" spans="2:12" x14ac:dyDescent="0.3">
      <c r="I260" s="5"/>
      <c r="J260" s="69"/>
      <c r="K260" s="5"/>
      <c r="L260" s="39"/>
    </row>
    <row r="261" spans="2:12" x14ac:dyDescent="0.3">
      <c r="I261" s="5"/>
      <c r="J261" s="69"/>
      <c r="K261" s="5"/>
      <c r="L261" s="39"/>
    </row>
    <row r="262" spans="2:12" x14ac:dyDescent="0.3">
      <c r="I262" s="5"/>
      <c r="J262" s="69"/>
      <c r="K262" s="5"/>
      <c r="L262" s="39"/>
    </row>
    <row r="263" spans="2:12" x14ac:dyDescent="0.3">
      <c r="I263" s="5"/>
      <c r="J263" s="69"/>
      <c r="K263" s="5"/>
      <c r="L263" s="39"/>
    </row>
    <row r="264" spans="2:12" x14ac:dyDescent="0.3">
      <c r="I264" s="5"/>
      <c r="J264" s="69"/>
      <c r="K264" s="5"/>
      <c r="L264" s="39"/>
    </row>
    <row r="265" spans="2:12" x14ac:dyDescent="0.3">
      <c r="I265" s="5"/>
      <c r="J265" s="69"/>
      <c r="K265" s="5"/>
      <c r="L265" s="39"/>
    </row>
    <row r="266" spans="2:12" x14ac:dyDescent="0.3">
      <c r="I266" s="5"/>
      <c r="J266" s="69"/>
      <c r="K266" s="5"/>
      <c r="L266" s="39"/>
    </row>
    <row r="267" spans="2:12" x14ac:dyDescent="0.3">
      <c r="I267" s="5"/>
      <c r="J267" s="69"/>
      <c r="K267" s="5"/>
      <c r="L267" s="39"/>
    </row>
    <row r="268" spans="2:12" x14ac:dyDescent="0.3">
      <c r="I268" s="5"/>
      <c r="J268" s="69"/>
      <c r="K268" s="5"/>
      <c r="L268" s="39"/>
    </row>
    <row r="269" spans="2:12" x14ac:dyDescent="0.3">
      <c r="I269" s="5"/>
      <c r="J269" s="69"/>
      <c r="K269" s="5"/>
      <c r="L269" s="39"/>
    </row>
    <row r="270" spans="2:12" x14ac:dyDescent="0.3">
      <c r="I270" s="5"/>
      <c r="J270" s="69"/>
      <c r="K270" s="5"/>
      <c r="L270" s="39"/>
    </row>
    <row r="271" spans="2:12" x14ac:dyDescent="0.3">
      <c r="I271" s="5"/>
      <c r="J271" s="69"/>
      <c r="K271" s="5"/>
      <c r="L271" s="39"/>
    </row>
    <row r="272" spans="2:12" x14ac:dyDescent="0.3">
      <c r="I272" s="5"/>
      <c r="J272" s="69"/>
      <c r="K272" s="5"/>
      <c r="L272" s="39"/>
    </row>
    <row r="273" spans="9:12" x14ac:dyDescent="0.3">
      <c r="I273" s="5"/>
      <c r="J273" s="69"/>
      <c r="K273" s="5"/>
      <c r="L273" s="39"/>
    </row>
    <row r="274" spans="9:12" x14ac:dyDescent="0.3">
      <c r="I274" s="5"/>
      <c r="J274" s="69"/>
      <c r="K274" s="5"/>
      <c r="L274" s="39"/>
    </row>
    <row r="275" spans="9:12" x14ac:dyDescent="0.3">
      <c r="I275" s="5"/>
      <c r="J275" s="69"/>
      <c r="K275" s="5"/>
      <c r="L275" s="39"/>
    </row>
    <row r="276" spans="9:12" x14ac:dyDescent="0.3">
      <c r="I276" s="5"/>
      <c r="J276" s="69"/>
      <c r="K276" s="5"/>
      <c r="L276" s="39"/>
    </row>
    <row r="277" spans="9:12" x14ac:dyDescent="0.3">
      <c r="I277" s="5"/>
      <c r="J277" s="69"/>
      <c r="K277" s="5"/>
      <c r="L277" s="39"/>
    </row>
    <row r="278" spans="9:12" x14ac:dyDescent="0.3">
      <c r="I278" s="5"/>
      <c r="J278" s="69"/>
      <c r="K278" s="5"/>
      <c r="L278" s="39"/>
    </row>
    <row r="279" spans="9:12" x14ac:dyDescent="0.3">
      <c r="I279" s="5"/>
      <c r="J279" s="69"/>
      <c r="K279" s="5"/>
      <c r="L279" s="39"/>
    </row>
    <row r="280" spans="9:12" x14ac:dyDescent="0.3">
      <c r="I280" s="5"/>
      <c r="J280" s="69"/>
      <c r="K280" s="5"/>
      <c r="L280" s="39"/>
    </row>
    <row r="281" spans="9:12" x14ac:dyDescent="0.3">
      <c r="I281" s="5"/>
      <c r="J281" s="69"/>
      <c r="K281" s="5"/>
      <c r="L281" s="39"/>
    </row>
    <row r="282" spans="9:12" x14ac:dyDescent="0.3">
      <c r="I282" s="5"/>
      <c r="J282" s="69"/>
      <c r="K282" s="5"/>
      <c r="L282" s="39"/>
    </row>
    <row r="283" spans="9:12" x14ac:dyDescent="0.3">
      <c r="I283" s="5"/>
      <c r="J283" s="69"/>
      <c r="K283" s="5"/>
      <c r="L283" s="39"/>
    </row>
    <row r="284" spans="9:12" x14ac:dyDescent="0.3">
      <c r="I284" s="5"/>
      <c r="J284" s="69"/>
      <c r="K284" s="5"/>
      <c r="L284" s="39"/>
    </row>
    <row r="285" spans="9:12" x14ac:dyDescent="0.3">
      <c r="I285" s="5"/>
      <c r="J285" s="69"/>
      <c r="K285" s="5"/>
      <c r="L285" s="39"/>
    </row>
    <row r="286" spans="9:12" x14ac:dyDescent="0.3">
      <c r="I286" s="5"/>
      <c r="J286" s="69"/>
      <c r="K286" s="5"/>
      <c r="L286" s="39"/>
    </row>
    <row r="287" spans="9:12" x14ac:dyDescent="0.3">
      <c r="I287" s="5"/>
      <c r="J287" s="69"/>
      <c r="K287" s="5"/>
      <c r="L287" s="39"/>
    </row>
    <row r="288" spans="9:12" x14ac:dyDescent="0.3">
      <c r="I288" s="5"/>
      <c r="J288" s="69"/>
      <c r="K288" s="5"/>
      <c r="L288" s="39"/>
    </row>
    <row r="289" spans="1:30" x14ac:dyDescent="0.3">
      <c r="I289" s="5"/>
      <c r="J289" s="69"/>
      <c r="K289" s="5"/>
      <c r="L289" s="39"/>
    </row>
    <row r="290" spans="1:30" x14ac:dyDescent="0.3">
      <c r="I290" s="5"/>
      <c r="J290" s="69"/>
      <c r="K290" s="5"/>
      <c r="L290" s="39"/>
    </row>
    <row r="291" spans="1:30" x14ac:dyDescent="0.3">
      <c r="I291" s="5"/>
      <c r="J291" s="69"/>
      <c r="K291" s="5"/>
      <c r="L291" s="39"/>
    </row>
    <row r="292" spans="1:30" x14ac:dyDescent="0.3">
      <c r="I292" s="5"/>
      <c r="J292" s="69"/>
      <c r="K292" s="5"/>
      <c r="L292" s="39"/>
    </row>
    <row r="293" spans="1:30" x14ac:dyDescent="0.3">
      <c r="I293" s="5"/>
      <c r="J293" s="69"/>
      <c r="K293" s="5"/>
      <c r="L293" s="39"/>
    </row>
    <row r="294" spans="1:30" x14ac:dyDescent="0.3">
      <c r="I294" s="5"/>
      <c r="J294" s="69"/>
      <c r="K294" s="5"/>
      <c r="L294" s="39"/>
    </row>
    <row r="295" spans="1:30" x14ac:dyDescent="0.3">
      <c r="I295" s="5"/>
      <c r="J295" s="69"/>
      <c r="K295" s="5"/>
      <c r="L295" s="39"/>
    </row>
    <row r="296" spans="1:30" x14ac:dyDescent="0.3">
      <c r="I296" s="5"/>
      <c r="J296" s="69"/>
      <c r="K296" s="5"/>
      <c r="L296" s="39"/>
    </row>
    <row r="297" spans="1:30" x14ac:dyDescent="0.3">
      <c r="A297" s="88">
        <v>45201</v>
      </c>
      <c r="B297" s="3" t="s">
        <v>110</v>
      </c>
      <c r="C297" s="3"/>
      <c r="D297" s="3" t="s">
        <v>197</v>
      </c>
      <c r="E297" s="3" t="s">
        <v>198</v>
      </c>
      <c r="F297" s="57" t="s">
        <v>154</v>
      </c>
      <c r="G297" s="3">
        <v>1000</v>
      </c>
      <c r="H297">
        <f>0.38*368.5+76.5</f>
        <v>216.53</v>
      </c>
      <c r="I297" s="36"/>
      <c r="J297" s="89">
        <f t="shared" ref="J297:J300" si="332">G297*H297+I297</f>
        <v>216530</v>
      </c>
      <c r="K297" s="68">
        <f>315*G297</f>
        <v>315000</v>
      </c>
      <c r="L297" s="97">
        <f t="shared" ref="L297:L300" si="333">K297*0.05</f>
        <v>15750</v>
      </c>
      <c r="M297" s="39">
        <v>3000</v>
      </c>
      <c r="N297" s="98">
        <f t="shared" ref="N297:N300" si="334">K297/G297</f>
        <v>315</v>
      </c>
      <c r="O297" s="99">
        <f t="shared" ref="O297:O300" si="335">K297-J297-L297-M297</f>
        <v>79720</v>
      </c>
      <c r="P297" s="100">
        <f t="shared" ref="P297:P300" si="336">O297/K297</f>
        <v>0.25307936507936507</v>
      </c>
      <c r="Q297" s="101"/>
      <c r="R297" s="102"/>
      <c r="S297" s="57"/>
      <c r="T297" s="61"/>
      <c r="U297" s="103"/>
      <c r="V297" s="101"/>
      <c r="W297" s="104"/>
      <c r="X297" s="104"/>
      <c r="Y297" s="104"/>
      <c r="Z297" s="105"/>
      <c r="AA297" s="57" t="s">
        <v>211</v>
      </c>
      <c r="AB297" s="57"/>
      <c r="AC297" s="57"/>
      <c r="AD297" s="57" t="s">
        <v>212</v>
      </c>
    </row>
    <row r="298" spans="1:30" x14ac:dyDescent="0.3">
      <c r="A298" s="88">
        <v>45201</v>
      </c>
      <c r="B298" s="3" t="s">
        <v>110</v>
      </c>
      <c r="C298" s="3"/>
      <c r="D298" s="3" t="s">
        <v>176</v>
      </c>
      <c r="E298" s="3" t="s">
        <v>177</v>
      </c>
      <c r="F298" s="57" t="s">
        <v>61</v>
      </c>
      <c r="G298" s="3">
        <v>50</v>
      </c>
      <c r="I298" s="36">
        <v>528000</v>
      </c>
      <c r="J298" s="89">
        <f t="shared" si="332"/>
        <v>528000</v>
      </c>
      <c r="K298" s="68">
        <f>14478*G298</f>
        <v>723900</v>
      </c>
      <c r="L298" s="97">
        <f t="shared" si="333"/>
        <v>36195</v>
      </c>
      <c r="M298" s="39">
        <v>3000</v>
      </c>
      <c r="N298" s="98">
        <f t="shared" si="334"/>
        <v>14478</v>
      </c>
      <c r="O298" s="99">
        <f t="shared" si="335"/>
        <v>156705</v>
      </c>
      <c r="P298" s="100">
        <f t="shared" si="336"/>
        <v>0.21647326978864484</v>
      </c>
      <c r="Q298" s="101"/>
      <c r="R298" s="102"/>
      <c r="S298" s="57"/>
      <c r="T298" s="61"/>
      <c r="U298" s="103"/>
      <c r="V298" s="101"/>
      <c r="W298" s="104"/>
      <c r="X298" s="104"/>
      <c r="Y298" s="104"/>
      <c r="Z298" s="105"/>
      <c r="AA298" s="57" t="s">
        <v>211</v>
      </c>
      <c r="AB298" s="57"/>
      <c r="AC298" s="57"/>
      <c r="AD298" s="57" t="s">
        <v>212</v>
      </c>
    </row>
    <row r="299" spans="1:30" x14ac:dyDescent="0.3">
      <c r="A299" s="88">
        <v>45201</v>
      </c>
      <c r="B299" s="3" t="s">
        <v>110</v>
      </c>
      <c r="C299" s="3"/>
      <c r="D299" s="3" t="s">
        <v>176</v>
      </c>
      <c r="E299" s="3" t="s">
        <v>192</v>
      </c>
      <c r="F299" s="57" t="s">
        <v>61</v>
      </c>
      <c r="G299" s="3">
        <v>50</v>
      </c>
      <c r="I299" s="36">
        <v>335000</v>
      </c>
      <c r="J299" s="89">
        <f t="shared" si="332"/>
        <v>335000</v>
      </c>
      <c r="K299" s="68">
        <f>9283*G299</f>
        <v>464150</v>
      </c>
      <c r="L299" s="97">
        <f t="shared" si="333"/>
        <v>23207.5</v>
      </c>
      <c r="M299" s="39">
        <v>2000</v>
      </c>
      <c r="N299" s="98">
        <f t="shared" si="334"/>
        <v>9283</v>
      </c>
      <c r="O299" s="99">
        <f t="shared" si="335"/>
        <v>103942.5</v>
      </c>
      <c r="P299" s="100">
        <f t="shared" si="336"/>
        <v>0.22394161370246687</v>
      </c>
      <c r="Q299" s="101"/>
      <c r="R299" s="102"/>
      <c r="S299" s="57"/>
      <c r="T299" s="61"/>
      <c r="U299" s="103"/>
      <c r="V299" s="101"/>
      <c r="W299" s="104"/>
      <c r="X299" s="104"/>
      <c r="Y299" s="104"/>
      <c r="Z299" s="105"/>
      <c r="AA299" s="57" t="s">
        <v>211</v>
      </c>
      <c r="AB299" s="57"/>
      <c r="AC299" s="57"/>
      <c r="AD299" s="57" t="s">
        <v>212</v>
      </c>
    </row>
    <row r="300" spans="1:30" x14ac:dyDescent="0.3">
      <c r="A300" s="88">
        <v>45201</v>
      </c>
      <c r="B300" s="3" t="s">
        <v>110</v>
      </c>
      <c r="C300" s="3"/>
      <c r="D300" s="3" t="s">
        <v>176</v>
      </c>
      <c r="E300" s="76" t="s">
        <v>213</v>
      </c>
      <c r="F300" s="57" t="s">
        <v>61</v>
      </c>
      <c r="G300" s="3">
        <v>1</v>
      </c>
      <c r="I300" s="36">
        <f>+I298+I299+(0.38*368.5+76.5)*1000</f>
        <v>1079530</v>
      </c>
      <c r="J300" s="89">
        <f t="shared" si="332"/>
        <v>1079530</v>
      </c>
      <c r="K300" s="68">
        <f>315*1000+14478*50+9283*50</f>
        <v>1503050</v>
      </c>
      <c r="L300" s="97">
        <f t="shared" si="333"/>
        <v>75152.5</v>
      </c>
      <c r="M300" s="90">
        <f>3000+5000</f>
        <v>8000</v>
      </c>
      <c r="N300" s="98">
        <f t="shared" si="334"/>
        <v>1503050</v>
      </c>
      <c r="O300" s="99">
        <f t="shared" si="335"/>
        <v>340367.5</v>
      </c>
      <c r="P300" s="100">
        <f t="shared" si="336"/>
        <v>0.22645121586108247</v>
      </c>
      <c r="Q300" s="101"/>
      <c r="R300" s="102"/>
      <c r="S300" s="57"/>
      <c r="T300" s="61"/>
      <c r="U300" s="103"/>
      <c r="V300" s="101"/>
      <c r="W300" s="104"/>
      <c r="X300" s="104"/>
      <c r="Y300" s="104"/>
      <c r="Z300" s="105"/>
      <c r="AA300" s="57" t="s">
        <v>211</v>
      </c>
      <c r="AB300" s="57"/>
      <c r="AC300" s="57"/>
      <c r="AD300" s="57" t="s">
        <v>212</v>
      </c>
    </row>
    <row r="301" spans="1:30" x14ac:dyDescent="0.3">
      <c r="I301" s="5"/>
      <c r="J301" s="69"/>
      <c r="K301" s="5"/>
      <c r="L301" s="39"/>
    </row>
    <row r="302" spans="1:30" x14ac:dyDescent="0.3">
      <c r="I302" s="5"/>
      <c r="J302" s="69"/>
      <c r="K302" s="5"/>
      <c r="L302" s="39"/>
    </row>
    <row r="303" spans="1:30" x14ac:dyDescent="0.3">
      <c r="I303" s="5"/>
      <c r="J303" s="69"/>
      <c r="K303" s="5"/>
      <c r="L303" s="39"/>
    </row>
    <row r="304" spans="1:30" x14ac:dyDescent="0.3">
      <c r="I304" s="5"/>
      <c r="J304" s="69"/>
      <c r="K304" s="5"/>
      <c r="L304" s="39"/>
    </row>
    <row r="305" spans="9:12" x14ac:dyDescent="0.3">
      <c r="I305" s="5"/>
      <c r="J305" s="69"/>
      <c r="K305" s="5"/>
      <c r="L305" s="39"/>
    </row>
    <row r="306" spans="9:12" x14ac:dyDescent="0.3">
      <c r="I306" s="5"/>
      <c r="J306" s="69"/>
      <c r="K306" s="5"/>
      <c r="L306" s="39"/>
    </row>
    <row r="307" spans="9:12" x14ac:dyDescent="0.3">
      <c r="I307" s="5"/>
      <c r="J307" s="69"/>
      <c r="K307" s="5"/>
      <c r="L307" s="39"/>
    </row>
    <row r="308" spans="9:12" x14ac:dyDescent="0.3">
      <c r="I308" s="5"/>
      <c r="J308" s="69"/>
      <c r="K308" s="5"/>
      <c r="L308" s="39"/>
    </row>
    <row r="309" spans="9:12" x14ac:dyDescent="0.3">
      <c r="I309" s="5"/>
      <c r="J309" s="69"/>
      <c r="K309" s="5"/>
      <c r="L309" s="39"/>
    </row>
    <row r="310" spans="9:12" x14ac:dyDescent="0.3">
      <c r="I310" s="5"/>
      <c r="J310" s="69"/>
      <c r="K310" s="5"/>
      <c r="L310" s="39"/>
    </row>
    <row r="311" spans="9:12" x14ac:dyDescent="0.3">
      <c r="I311" s="5"/>
      <c r="J311" s="69"/>
      <c r="K311" s="5"/>
      <c r="L311" s="39"/>
    </row>
    <row r="312" spans="9:12" x14ac:dyDescent="0.3">
      <c r="I312" s="5"/>
      <c r="J312" s="69"/>
      <c r="K312" s="5"/>
      <c r="L312" s="39"/>
    </row>
    <row r="313" spans="9:12" x14ac:dyDescent="0.3">
      <c r="I313" s="5"/>
      <c r="J313" s="69"/>
      <c r="K313" s="5"/>
      <c r="L313" s="39"/>
    </row>
    <row r="314" spans="9:12" x14ac:dyDescent="0.3">
      <c r="I314" s="5"/>
      <c r="J314" s="69"/>
      <c r="K314" s="5"/>
      <c r="L314" s="39"/>
    </row>
    <row r="315" spans="9:12" x14ac:dyDescent="0.3">
      <c r="I315" s="5"/>
      <c r="J315" s="69"/>
      <c r="K315" s="5"/>
      <c r="L315" s="39"/>
    </row>
    <row r="316" spans="9:12" x14ac:dyDescent="0.3">
      <c r="I316" s="5"/>
      <c r="J316" s="69"/>
      <c r="K316" s="5"/>
      <c r="L316" s="39"/>
    </row>
    <row r="317" spans="9:12" x14ac:dyDescent="0.3">
      <c r="I317" s="5"/>
      <c r="J317" s="69"/>
      <c r="K317" s="5"/>
      <c r="L317" s="39"/>
    </row>
    <row r="318" spans="9:12" x14ac:dyDescent="0.3">
      <c r="I318" s="5"/>
      <c r="J318" s="69"/>
      <c r="K318" s="5"/>
      <c r="L318" s="39"/>
    </row>
    <row r="319" spans="9:12" x14ac:dyDescent="0.3">
      <c r="I319" s="5"/>
      <c r="J319" s="69"/>
      <c r="K319" s="5"/>
      <c r="L319" s="39"/>
    </row>
    <row r="320" spans="9:12" x14ac:dyDescent="0.3">
      <c r="I320" s="5"/>
      <c r="J320" s="69"/>
      <c r="K320" s="5"/>
      <c r="L320" s="39"/>
    </row>
    <row r="321" spans="9:12" x14ac:dyDescent="0.3">
      <c r="I321" s="5"/>
      <c r="J321" s="69"/>
      <c r="K321" s="5"/>
      <c r="L321" s="39"/>
    </row>
    <row r="322" spans="9:12" x14ac:dyDescent="0.3">
      <c r="I322" s="5"/>
      <c r="J322" s="69"/>
      <c r="K322" s="5"/>
      <c r="L322" s="39"/>
    </row>
    <row r="323" spans="9:12" x14ac:dyDescent="0.3">
      <c r="I323" s="5"/>
      <c r="J323" s="69"/>
      <c r="K323" s="5"/>
      <c r="L323" s="39"/>
    </row>
    <row r="324" spans="9:12" x14ac:dyDescent="0.3">
      <c r="I324" s="5"/>
      <c r="J324" s="69"/>
      <c r="K324" s="5"/>
      <c r="L324" s="39"/>
    </row>
    <row r="325" spans="9:12" x14ac:dyDescent="0.3">
      <c r="I325" s="5"/>
      <c r="J325" s="69"/>
      <c r="K325" s="5"/>
      <c r="L325" s="39"/>
    </row>
    <row r="326" spans="9:12" x14ac:dyDescent="0.3">
      <c r="I326" s="5"/>
      <c r="J326" s="69"/>
      <c r="K326" s="5"/>
      <c r="L326" s="39"/>
    </row>
    <row r="327" spans="9:12" x14ac:dyDescent="0.3">
      <c r="I327" s="5"/>
      <c r="J327" s="69"/>
      <c r="K327" s="5"/>
      <c r="L327" s="39"/>
    </row>
    <row r="328" spans="9:12" x14ac:dyDescent="0.3">
      <c r="I328" s="5"/>
      <c r="J328" s="69"/>
      <c r="K328" s="5"/>
      <c r="L328" s="39"/>
    </row>
    <row r="329" spans="9:12" x14ac:dyDescent="0.3">
      <c r="I329" s="5"/>
      <c r="J329" s="69"/>
      <c r="K329" s="5"/>
      <c r="L329" s="39"/>
    </row>
    <row r="330" spans="9:12" x14ac:dyDescent="0.3">
      <c r="I330" s="5"/>
      <c r="J330" s="69"/>
      <c r="K330" s="5"/>
      <c r="L330" s="39"/>
    </row>
    <row r="331" spans="9:12" x14ac:dyDescent="0.3">
      <c r="I331" s="5"/>
      <c r="J331" s="69"/>
      <c r="K331" s="5"/>
      <c r="L331" s="39"/>
    </row>
    <row r="332" spans="9:12" x14ac:dyDescent="0.3">
      <c r="I332" s="5"/>
      <c r="J332" s="69"/>
      <c r="K332" s="5"/>
      <c r="L332" s="39"/>
    </row>
    <row r="333" spans="9:12" x14ac:dyDescent="0.3">
      <c r="I333" s="5"/>
      <c r="J333" s="69"/>
      <c r="K333" s="5"/>
      <c r="L333" s="39"/>
    </row>
    <row r="334" spans="9:12" x14ac:dyDescent="0.3">
      <c r="I334" s="5"/>
      <c r="J334" s="69"/>
      <c r="K334" s="5"/>
      <c r="L334" s="39"/>
    </row>
    <row r="335" spans="9:12" x14ac:dyDescent="0.3">
      <c r="I335" s="5"/>
      <c r="J335" s="69"/>
      <c r="K335" s="5"/>
      <c r="L335" s="39"/>
    </row>
    <row r="336" spans="9:12" x14ac:dyDescent="0.3">
      <c r="I336" s="5"/>
      <c r="J336" s="69"/>
      <c r="K336" s="5"/>
      <c r="L336" s="39"/>
    </row>
    <row r="337" spans="9:12" x14ac:dyDescent="0.3">
      <c r="I337" s="5"/>
      <c r="J337" s="69"/>
      <c r="K337" s="5"/>
      <c r="L337" s="39"/>
    </row>
    <row r="338" spans="9:12" x14ac:dyDescent="0.3">
      <c r="I338" s="5"/>
      <c r="J338" s="69"/>
      <c r="K338" s="5"/>
      <c r="L338" s="39"/>
    </row>
    <row r="339" spans="9:12" x14ac:dyDescent="0.3">
      <c r="I339" s="5"/>
      <c r="J339" s="69"/>
      <c r="K339" s="5"/>
      <c r="L339" s="39"/>
    </row>
    <row r="340" spans="9:12" x14ac:dyDescent="0.3">
      <c r="I340" s="5"/>
      <c r="J340" s="69"/>
      <c r="K340" s="5"/>
      <c r="L340" s="39"/>
    </row>
    <row r="341" spans="9:12" x14ac:dyDescent="0.3">
      <c r="I341" s="5"/>
      <c r="J341" s="69"/>
      <c r="K341" s="5"/>
      <c r="L341" s="39"/>
    </row>
    <row r="342" spans="9:12" x14ac:dyDescent="0.3">
      <c r="I342" s="5"/>
      <c r="J342" s="69"/>
      <c r="K342" s="5"/>
      <c r="L342" s="39"/>
    </row>
    <row r="343" spans="9:12" x14ac:dyDescent="0.3">
      <c r="I343" s="5"/>
      <c r="J343" s="69"/>
      <c r="K343" s="5"/>
      <c r="L343" s="39"/>
    </row>
    <row r="344" spans="9:12" x14ac:dyDescent="0.3">
      <c r="I344" s="5"/>
      <c r="J344" s="69"/>
      <c r="K344" s="5"/>
      <c r="L344" s="39"/>
    </row>
    <row r="345" spans="9:12" x14ac:dyDescent="0.3">
      <c r="I345" s="5"/>
      <c r="J345" s="69"/>
      <c r="K345" s="5"/>
      <c r="L345" s="39"/>
    </row>
    <row r="346" spans="9:12" x14ac:dyDescent="0.3">
      <c r="I346" s="5"/>
      <c r="J346" s="69"/>
      <c r="K346" s="5"/>
      <c r="L346" s="39"/>
    </row>
    <row r="347" spans="9:12" x14ac:dyDescent="0.3">
      <c r="I347" s="5"/>
      <c r="J347" s="69"/>
      <c r="K347" s="5"/>
      <c r="L347" s="39"/>
    </row>
    <row r="348" spans="9:12" x14ac:dyDescent="0.3">
      <c r="I348" s="5"/>
      <c r="J348" s="69"/>
      <c r="K348" s="5"/>
      <c r="L348" s="39"/>
    </row>
    <row r="349" spans="9:12" x14ac:dyDescent="0.3">
      <c r="I349" s="5"/>
      <c r="J349" s="69"/>
      <c r="K349" s="5"/>
      <c r="L349" s="39"/>
    </row>
    <row r="350" spans="9:12" x14ac:dyDescent="0.3">
      <c r="I350" s="5"/>
      <c r="J350" s="69"/>
      <c r="K350" s="5"/>
      <c r="L350" s="39"/>
    </row>
    <row r="351" spans="9:12" x14ac:dyDescent="0.3">
      <c r="I351" s="5"/>
      <c r="J351" s="69"/>
      <c r="K351" s="5"/>
      <c r="L351" s="39"/>
    </row>
    <row r="352" spans="9:12" x14ac:dyDescent="0.3">
      <c r="I352" s="5"/>
      <c r="J352" s="69"/>
      <c r="K352" s="5"/>
      <c r="L352" s="39"/>
    </row>
    <row r="353" spans="9:12" x14ac:dyDescent="0.3">
      <c r="I353" s="5"/>
      <c r="J353" s="69"/>
      <c r="K353" s="5"/>
      <c r="L353" s="39"/>
    </row>
    <row r="354" spans="9:12" x14ac:dyDescent="0.3">
      <c r="I354" s="5"/>
      <c r="J354" s="69"/>
      <c r="K354" s="5"/>
      <c r="L354" s="39"/>
    </row>
    <row r="355" spans="9:12" x14ac:dyDescent="0.3">
      <c r="I355" s="5"/>
      <c r="J355" s="69"/>
      <c r="K355" s="5"/>
      <c r="L355" s="39"/>
    </row>
    <row r="356" spans="9:12" x14ac:dyDescent="0.3">
      <c r="I356" s="5"/>
      <c r="J356" s="69"/>
      <c r="K356" s="5"/>
      <c r="L356" s="39"/>
    </row>
    <row r="357" spans="9:12" x14ac:dyDescent="0.3">
      <c r="I357" s="5"/>
      <c r="J357" s="69"/>
      <c r="K357" s="5"/>
      <c r="L357" s="39"/>
    </row>
    <row r="358" spans="9:12" x14ac:dyDescent="0.3">
      <c r="I358" s="5"/>
      <c r="J358" s="69"/>
      <c r="K358" s="5"/>
      <c r="L358" s="39"/>
    </row>
    <row r="359" spans="9:12" x14ac:dyDescent="0.3">
      <c r="I359" s="5"/>
      <c r="J359" s="69"/>
      <c r="K359" s="5"/>
      <c r="L359" s="39"/>
    </row>
    <row r="360" spans="9:12" x14ac:dyDescent="0.3">
      <c r="I360" s="5"/>
      <c r="J360" s="69"/>
      <c r="K360" s="5"/>
      <c r="L360" s="39"/>
    </row>
    <row r="361" spans="9:12" x14ac:dyDescent="0.3">
      <c r="I361" s="5"/>
      <c r="J361" s="69"/>
      <c r="K361" s="5"/>
      <c r="L361" s="39"/>
    </row>
    <row r="362" spans="9:12" x14ac:dyDescent="0.3">
      <c r="I362" s="5"/>
      <c r="J362" s="69"/>
      <c r="K362" s="5"/>
      <c r="L362" s="39"/>
    </row>
    <row r="363" spans="9:12" x14ac:dyDescent="0.3">
      <c r="I363" s="5"/>
      <c r="J363" s="69"/>
      <c r="K363" s="5"/>
      <c r="L363" s="39"/>
    </row>
    <row r="364" spans="9:12" x14ac:dyDescent="0.3">
      <c r="I364" s="5"/>
      <c r="J364" s="69"/>
      <c r="K364" s="5"/>
      <c r="L364" s="39"/>
    </row>
    <row r="365" spans="9:12" x14ac:dyDescent="0.3">
      <c r="I365" s="5"/>
      <c r="J365" s="69"/>
      <c r="K365" s="5"/>
      <c r="L365" s="39"/>
    </row>
    <row r="366" spans="9:12" x14ac:dyDescent="0.3">
      <c r="I366" s="5"/>
      <c r="J366" s="69"/>
      <c r="K366" s="5"/>
      <c r="L366" s="39"/>
    </row>
    <row r="367" spans="9:12" x14ac:dyDescent="0.3">
      <c r="I367" s="5"/>
      <c r="J367" s="69"/>
      <c r="K367" s="5"/>
      <c r="L367" s="39"/>
    </row>
    <row r="368" spans="9:12" x14ac:dyDescent="0.3">
      <c r="I368" s="5"/>
      <c r="J368" s="69"/>
      <c r="K368" s="5"/>
      <c r="L368" s="39"/>
    </row>
    <row r="369" spans="9:12" x14ac:dyDescent="0.3">
      <c r="I369" s="5"/>
      <c r="J369" s="69"/>
      <c r="K369" s="5"/>
      <c r="L369" s="39"/>
    </row>
    <row r="370" spans="9:12" x14ac:dyDescent="0.3">
      <c r="I370" s="5"/>
      <c r="J370" s="69"/>
      <c r="K370" s="5"/>
      <c r="L370" s="39"/>
    </row>
    <row r="371" spans="9:12" x14ac:dyDescent="0.3">
      <c r="I371" s="5"/>
      <c r="J371" s="69"/>
      <c r="K371" s="5"/>
      <c r="L371" s="39"/>
    </row>
    <row r="372" spans="9:12" x14ac:dyDescent="0.3">
      <c r="I372" s="5"/>
      <c r="J372" s="69"/>
      <c r="K372" s="5"/>
      <c r="L372" s="39"/>
    </row>
    <row r="373" spans="9:12" x14ac:dyDescent="0.3">
      <c r="I373" s="5"/>
      <c r="J373" s="69"/>
      <c r="K373" s="5"/>
      <c r="L373" s="39"/>
    </row>
    <row r="374" spans="9:12" x14ac:dyDescent="0.3">
      <c r="I374" s="5"/>
      <c r="J374" s="69"/>
      <c r="K374" s="5"/>
      <c r="L374" s="39"/>
    </row>
    <row r="375" spans="9:12" x14ac:dyDescent="0.3">
      <c r="I375" s="5"/>
      <c r="J375" s="69"/>
      <c r="K375" s="5"/>
      <c r="L375" s="39"/>
    </row>
    <row r="376" spans="9:12" x14ac:dyDescent="0.3">
      <c r="I376" s="5"/>
      <c r="J376" s="69"/>
      <c r="K376" s="5"/>
      <c r="L376" s="39"/>
    </row>
    <row r="377" spans="9:12" x14ac:dyDescent="0.3">
      <c r="I377" s="5"/>
      <c r="J377" s="69"/>
      <c r="K377" s="5"/>
      <c r="L377" s="39"/>
    </row>
    <row r="378" spans="9:12" x14ac:dyDescent="0.3">
      <c r="I378" s="5"/>
      <c r="J378" s="69"/>
      <c r="K378" s="5"/>
      <c r="L378" s="39"/>
    </row>
    <row r="379" spans="9:12" x14ac:dyDescent="0.3">
      <c r="I379" s="5"/>
      <c r="J379" s="69"/>
      <c r="K379" s="5"/>
      <c r="L379" s="39"/>
    </row>
    <row r="380" spans="9:12" x14ac:dyDescent="0.3">
      <c r="I380" s="5"/>
      <c r="J380" s="69"/>
      <c r="K380" s="5"/>
      <c r="L380" s="39"/>
    </row>
    <row r="381" spans="9:12" x14ac:dyDescent="0.3">
      <c r="I381" s="5"/>
      <c r="J381" s="69"/>
      <c r="K381" s="5"/>
      <c r="L381" s="39"/>
    </row>
    <row r="382" spans="9:12" x14ac:dyDescent="0.3">
      <c r="I382" s="5"/>
      <c r="J382" s="69"/>
      <c r="K382" s="5"/>
      <c r="L382" s="39"/>
    </row>
    <row r="383" spans="9:12" x14ac:dyDescent="0.3">
      <c r="I383" s="5"/>
      <c r="J383" s="69"/>
      <c r="K383" s="5"/>
      <c r="L383" s="39"/>
    </row>
    <row r="384" spans="9:12" x14ac:dyDescent="0.3">
      <c r="I384" s="5"/>
      <c r="J384" s="69"/>
      <c r="K384" s="5"/>
      <c r="L384" s="39"/>
    </row>
    <row r="385" spans="9:12" x14ac:dyDescent="0.3">
      <c r="I385" s="5"/>
      <c r="J385" s="69"/>
      <c r="K385" s="5"/>
      <c r="L385" s="39"/>
    </row>
    <row r="386" spans="9:12" x14ac:dyDescent="0.3">
      <c r="I386" s="5"/>
      <c r="J386" s="69"/>
      <c r="K386" s="5"/>
      <c r="L386" s="39"/>
    </row>
    <row r="387" spans="9:12" x14ac:dyDescent="0.3">
      <c r="I387" s="5"/>
      <c r="J387" s="69"/>
      <c r="K387" s="5"/>
      <c r="L387" s="39"/>
    </row>
    <row r="388" spans="9:12" x14ac:dyDescent="0.3">
      <c r="I388" s="5"/>
      <c r="J388" s="69"/>
      <c r="K388" s="5"/>
      <c r="L388" s="39"/>
    </row>
    <row r="389" spans="9:12" x14ac:dyDescent="0.3">
      <c r="I389" s="5"/>
      <c r="J389" s="69"/>
      <c r="K389" s="5"/>
      <c r="L389" s="39"/>
    </row>
    <row r="390" spans="9:12" x14ac:dyDescent="0.3">
      <c r="I390" s="5"/>
      <c r="J390" s="69"/>
      <c r="K390" s="5"/>
      <c r="L390" s="39"/>
    </row>
    <row r="391" spans="9:12" x14ac:dyDescent="0.3">
      <c r="I391" s="5"/>
      <c r="J391" s="69"/>
      <c r="K391" s="5"/>
      <c r="L391" s="39"/>
    </row>
    <row r="392" spans="9:12" x14ac:dyDescent="0.3">
      <c r="I392" s="5"/>
      <c r="J392" s="69"/>
      <c r="K392" s="5"/>
      <c r="L392" s="39"/>
    </row>
    <row r="393" spans="9:12" x14ac:dyDescent="0.3">
      <c r="I393" s="5"/>
      <c r="J393" s="69"/>
      <c r="K393" s="5"/>
      <c r="L393" s="39"/>
    </row>
    <row r="394" spans="9:12" x14ac:dyDescent="0.3">
      <c r="I394" s="5"/>
      <c r="J394" s="69"/>
      <c r="K394" s="5"/>
      <c r="L394" s="39"/>
    </row>
    <row r="395" spans="9:12" x14ac:dyDescent="0.3">
      <c r="I395" s="5"/>
      <c r="J395" s="69"/>
      <c r="K395" s="5"/>
      <c r="L395" s="39"/>
    </row>
    <row r="396" spans="9:12" x14ac:dyDescent="0.3">
      <c r="I396" s="5"/>
      <c r="J396" s="69"/>
      <c r="K396" s="5"/>
      <c r="L396" s="39"/>
    </row>
    <row r="397" spans="9:12" x14ac:dyDescent="0.3">
      <c r="I397" s="5"/>
      <c r="J397" s="69"/>
      <c r="K397" s="5"/>
      <c r="L397" s="39"/>
    </row>
    <row r="398" spans="9:12" x14ac:dyDescent="0.3">
      <c r="I398" s="5"/>
      <c r="J398" s="69"/>
      <c r="K398" s="5"/>
      <c r="L398" s="39"/>
    </row>
    <row r="399" spans="9:12" x14ac:dyDescent="0.3">
      <c r="I399" s="5"/>
      <c r="J399" s="69"/>
      <c r="K399" s="5"/>
      <c r="L399" s="39"/>
    </row>
    <row r="400" spans="9:12" x14ac:dyDescent="0.3">
      <c r="I400" s="5"/>
      <c r="J400" s="69"/>
      <c r="K400" s="5"/>
      <c r="L400" s="39"/>
    </row>
    <row r="401" spans="9:12" x14ac:dyDescent="0.3">
      <c r="I401" s="5"/>
      <c r="J401" s="69"/>
      <c r="K401" s="5"/>
      <c r="L401" s="39"/>
    </row>
    <row r="402" spans="9:12" x14ac:dyDescent="0.3">
      <c r="I402" s="5"/>
      <c r="J402" s="69"/>
      <c r="K402" s="5"/>
      <c r="L402" s="39"/>
    </row>
    <row r="403" spans="9:12" x14ac:dyDescent="0.3">
      <c r="I403" s="5"/>
      <c r="J403" s="69"/>
      <c r="K403" s="5"/>
      <c r="L403" s="39"/>
    </row>
    <row r="404" spans="9:12" x14ac:dyDescent="0.3">
      <c r="I404" s="5"/>
      <c r="J404" s="69"/>
      <c r="K404" s="5"/>
      <c r="L404" s="39"/>
    </row>
    <row r="405" spans="9:12" x14ac:dyDescent="0.3">
      <c r="I405" s="5"/>
      <c r="J405" s="69"/>
      <c r="K405" s="5"/>
      <c r="L405" s="39"/>
    </row>
    <row r="406" spans="9:12" x14ac:dyDescent="0.3">
      <c r="I406" s="5"/>
      <c r="J406" s="69"/>
      <c r="K406" s="5"/>
      <c r="L406" s="39"/>
    </row>
    <row r="407" spans="9:12" x14ac:dyDescent="0.3">
      <c r="I407" s="5"/>
      <c r="J407" s="69"/>
      <c r="K407" s="5"/>
      <c r="L407" s="39"/>
    </row>
    <row r="408" spans="9:12" x14ac:dyDescent="0.3">
      <c r="I408" s="5"/>
      <c r="J408" s="69"/>
      <c r="K408" s="5"/>
      <c r="L408" s="39"/>
    </row>
    <row r="409" spans="9:12" x14ac:dyDescent="0.3">
      <c r="I409" s="5"/>
      <c r="J409" s="69"/>
      <c r="K409" s="5"/>
      <c r="L409" s="39"/>
    </row>
    <row r="410" spans="9:12" x14ac:dyDescent="0.3">
      <c r="I410" s="5"/>
      <c r="J410" s="69"/>
      <c r="K410" s="5"/>
      <c r="L410" s="39"/>
    </row>
    <row r="411" spans="9:12" x14ac:dyDescent="0.3">
      <c r="I411" s="5"/>
      <c r="J411" s="69"/>
      <c r="K411" s="5"/>
      <c r="L411" s="39"/>
    </row>
    <row r="412" spans="9:12" x14ac:dyDescent="0.3">
      <c r="I412" s="5"/>
      <c r="J412" s="69"/>
      <c r="K412" s="5"/>
      <c r="L412" s="39"/>
    </row>
    <row r="413" spans="9:12" x14ac:dyDescent="0.3">
      <c r="I413" s="5"/>
      <c r="J413" s="69"/>
      <c r="K413" s="5"/>
      <c r="L413" s="39"/>
    </row>
    <row r="414" spans="9:12" x14ac:dyDescent="0.3">
      <c r="I414" s="5"/>
      <c r="J414" s="69"/>
      <c r="K414" s="5"/>
      <c r="L414" s="39"/>
    </row>
    <row r="415" spans="9:12" x14ac:dyDescent="0.3">
      <c r="I415" s="5"/>
      <c r="J415" s="69"/>
      <c r="K415" s="5"/>
      <c r="L415" s="39"/>
    </row>
    <row r="416" spans="9:12" x14ac:dyDescent="0.3">
      <c r="I416" s="5"/>
      <c r="J416" s="69"/>
      <c r="K416" s="5"/>
      <c r="L416" s="39"/>
    </row>
    <row r="417" spans="9:12" x14ac:dyDescent="0.3">
      <c r="I417" s="5"/>
      <c r="J417" s="69"/>
      <c r="K417" s="5"/>
      <c r="L417" s="39"/>
    </row>
    <row r="418" spans="9:12" x14ac:dyDescent="0.3">
      <c r="I418" s="5"/>
      <c r="J418" s="69"/>
      <c r="K418" s="5"/>
      <c r="L418" s="39"/>
    </row>
    <row r="419" spans="9:12" x14ac:dyDescent="0.3">
      <c r="I419" s="5"/>
      <c r="J419" s="69"/>
      <c r="K419" s="5"/>
      <c r="L419" s="39"/>
    </row>
    <row r="420" spans="9:12" x14ac:dyDescent="0.3">
      <c r="I420" s="5"/>
      <c r="J420" s="69"/>
      <c r="K420" s="5"/>
      <c r="L420" s="39"/>
    </row>
    <row r="421" spans="9:12" x14ac:dyDescent="0.3">
      <c r="I421" s="5"/>
      <c r="J421" s="69"/>
      <c r="K421" s="5"/>
      <c r="L421" s="39"/>
    </row>
    <row r="422" spans="9:12" x14ac:dyDescent="0.3">
      <c r="I422" s="5"/>
      <c r="J422" s="69"/>
      <c r="K422" s="5"/>
      <c r="L422" s="39"/>
    </row>
    <row r="423" spans="9:12" x14ac:dyDescent="0.3">
      <c r="I423" s="5"/>
      <c r="J423" s="69"/>
      <c r="K423" s="5"/>
      <c r="L423" s="39"/>
    </row>
    <row r="424" spans="9:12" x14ac:dyDescent="0.3">
      <c r="I424" s="5"/>
      <c r="J424" s="69"/>
      <c r="K424" s="5"/>
      <c r="L424" s="39"/>
    </row>
    <row r="425" spans="9:12" x14ac:dyDescent="0.3">
      <c r="I425" s="5"/>
      <c r="J425" s="69"/>
      <c r="K425" s="5"/>
      <c r="L425" s="39"/>
    </row>
    <row r="426" spans="9:12" x14ac:dyDescent="0.3">
      <c r="I426" s="5"/>
      <c r="J426" s="69"/>
      <c r="K426" s="5"/>
      <c r="L426" s="39"/>
    </row>
    <row r="427" spans="9:12" x14ac:dyDescent="0.3">
      <c r="I427" s="5"/>
      <c r="J427" s="69"/>
      <c r="K427" s="5"/>
      <c r="L427" s="39"/>
    </row>
    <row r="428" spans="9:12" x14ac:dyDescent="0.3">
      <c r="I428" s="5"/>
      <c r="J428" s="69"/>
      <c r="K428" s="5"/>
      <c r="L428" s="39"/>
    </row>
    <row r="429" spans="9:12" x14ac:dyDescent="0.3">
      <c r="I429" s="5"/>
      <c r="J429" s="69"/>
      <c r="K429" s="5"/>
      <c r="L429" s="39"/>
    </row>
    <row r="430" spans="9:12" x14ac:dyDescent="0.3">
      <c r="I430" s="5"/>
      <c r="J430" s="69"/>
      <c r="K430" s="5"/>
      <c r="L430" s="39"/>
    </row>
    <row r="431" spans="9:12" x14ac:dyDescent="0.3">
      <c r="I431" s="5"/>
      <c r="J431" s="69"/>
      <c r="K431" s="5"/>
      <c r="L431" s="39"/>
    </row>
    <row r="432" spans="9:12" x14ac:dyDescent="0.3">
      <c r="I432" s="5"/>
      <c r="J432" s="69"/>
      <c r="K432" s="5"/>
      <c r="L432" s="39"/>
    </row>
    <row r="433" spans="9:12" x14ac:dyDescent="0.3">
      <c r="I433" s="5"/>
      <c r="J433" s="69"/>
      <c r="K433" s="5"/>
      <c r="L433" s="39"/>
    </row>
    <row r="434" spans="9:12" x14ac:dyDescent="0.3">
      <c r="I434" s="5"/>
      <c r="J434" s="69"/>
      <c r="K434" s="5"/>
      <c r="L434" s="39"/>
    </row>
    <row r="435" spans="9:12" x14ac:dyDescent="0.3">
      <c r="I435" s="5"/>
      <c r="J435" s="69"/>
      <c r="K435" s="5"/>
      <c r="L435" s="39"/>
    </row>
    <row r="436" spans="9:12" x14ac:dyDescent="0.3">
      <c r="I436" s="5"/>
      <c r="J436" s="69"/>
      <c r="K436" s="5"/>
      <c r="L436" s="39"/>
    </row>
    <row r="437" spans="9:12" x14ac:dyDescent="0.3">
      <c r="I437" s="5"/>
      <c r="J437" s="69"/>
      <c r="K437" s="5"/>
      <c r="L437" s="39"/>
    </row>
    <row r="438" spans="9:12" x14ac:dyDescent="0.3">
      <c r="I438" s="5"/>
      <c r="J438" s="69"/>
      <c r="K438" s="5"/>
      <c r="L438" s="39"/>
    </row>
    <row r="439" spans="9:12" x14ac:dyDescent="0.3">
      <c r="I439" s="5"/>
      <c r="J439" s="69"/>
      <c r="K439" s="5"/>
      <c r="L439" s="39"/>
    </row>
    <row r="440" spans="9:12" x14ac:dyDescent="0.3">
      <c r="I440" s="5"/>
      <c r="J440" s="69"/>
      <c r="K440" s="5"/>
      <c r="L440" s="39"/>
    </row>
    <row r="441" spans="9:12" x14ac:dyDescent="0.3">
      <c r="I441" s="5"/>
      <c r="J441" s="69"/>
      <c r="K441" s="5"/>
      <c r="L441" s="39"/>
    </row>
    <row r="442" spans="9:12" x14ac:dyDescent="0.3">
      <c r="I442" s="5"/>
      <c r="J442" s="69"/>
      <c r="K442" s="5"/>
      <c r="L442" s="39"/>
    </row>
    <row r="443" spans="9:12" x14ac:dyDescent="0.3">
      <c r="I443" s="5"/>
      <c r="J443" s="69"/>
      <c r="K443" s="5"/>
      <c r="L443" s="39"/>
    </row>
    <row r="444" spans="9:12" x14ac:dyDescent="0.3">
      <c r="I444" s="5"/>
      <c r="J444" s="69"/>
      <c r="K444" s="5"/>
      <c r="L444" s="39"/>
    </row>
    <row r="445" spans="9:12" x14ac:dyDescent="0.3">
      <c r="I445" s="5"/>
      <c r="J445" s="69"/>
      <c r="K445" s="5"/>
      <c r="L445" s="39"/>
    </row>
    <row r="446" spans="9:12" x14ac:dyDescent="0.3">
      <c r="I446" s="5"/>
      <c r="J446" s="69"/>
      <c r="K446" s="5"/>
      <c r="L446" s="39"/>
    </row>
    <row r="447" spans="9:12" x14ac:dyDescent="0.3">
      <c r="I447" s="5"/>
      <c r="J447" s="69"/>
      <c r="K447" s="5"/>
      <c r="L447" s="39"/>
    </row>
    <row r="448" spans="9:12" x14ac:dyDescent="0.3">
      <c r="I448" s="5"/>
      <c r="J448" s="69"/>
      <c r="K448" s="5"/>
      <c r="L448" s="39"/>
    </row>
    <row r="449" spans="9:12" x14ac:dyDescent="0.3">
      <c r="I449" s="5"/>
      <c r="J449" s="69"/>
      <c r="K449" s="5"/>
      <c r="L449" s="39"/>
    </row>
    <row r="450" spans="9:12" x14ac:dyDescent="0.3">
      <c r="I450" s="5"/>
      <c r="J450" s="69"/>
      <c r="K450" s="5"/>
      <c r="L450" s="39"/>
    </row>
    <row r="451" spans="9:12" x14ac:dyDescent="0.3">
      <c r="I451" s="5"/>
      <c r="J451" s="69"/>
      <c r="K451" s="5"/>
      <c r="L451" s="39"/>
    </row>
    <row r="452" spans="9:12" x14ac:dyDescent="0.3">
      <c r="I452" s="5"/>
      <c r="J452" s="69"/>
      <c r="K452" s="5"/>
      <c r="L452" s="39"/>
    </row>
    <row r="453" spans="9:12" x14ac:dyDescent="0.3">
      <c r="I453" s="5"/>
      <c r="J453" s="69"/>
      <c r="K453" s="5"/>
      <c r="L453" s="39"/>
    </row>
    <row r="454" spans="9:12" x14ac:dyDescent="0.3">
      <c r="I454" s="5"/>
      <c r="J454" s="69"/>
      <c r="K454" s="5"/>
      <c r="L454" s="39"/>
    </row>
    <row r="455" spans="9:12" x14ac:dyDescent="0.3">
      <c r="I455" s="5"/>
      <c r="J455" s="69"/>
      <c r="K455" s="5"/>
      <c r="L455" s="39"/>
    </row>
    <row r="456" spans="9:12" x14ac:dyDescent="0.3">
      <c r="I456" s="5"/>
      <c r="J456" s="69"/>
      <c r="K456" s="5"/>
      <c r="L456" s="39"/>
    </row>
    <row r="457" spans="9:12" x14ac:dyDescent="0.3">
      <c r="I457" s="5"/>
      <c r="J457" s="69"/>
      <c r="K457" s="5"/>
      <c r="L457" s="39"/>
    </row>
    <row r="458" spans="9:12" x14ac:dyDescent="0.3">
      <c r="I458" s="5"/>
      <c r="J458" s="69"/>
      <c r="K458" s="5"/>
      <c r="L458" s="39"/>
    </row>
    <row r="459" spans="9:12" x14ac:dyDescent="0.3">
      <c r="I459" s="5"/>
      <c r="J459" s="69"/>
      <c r="K459" s="5"/>
      <c r="L459" s="39"/>
    </row>
    <row r="460" spans="9:12" x14ac:dyDescent="0.3">
      <c r="I460" s="5"/>
      <c r="J460" s="69"/>
      <c r="K460" s="5"/>
      <c r="L460" s="39"/>
    </row>
    <row r="461" spans="9:12" x14ac:dyDescent="0.3">
      <c r="I461" s="5"/>
      <c r="J461" s="69"/>
      <c r="K461" s="5"/>
      <c r="L461" s="39"/>
    </row>
    <row r="462" spans="9:12" x14ac:dyDescent="0.3">
      <c r="I462" s="5"/>
      <c r="J462" s="69"/>
      <c r="K462" s="5"/>
      <c r="L462" s="39"/>
    </row>
    <row r="463" spans="9:12" x14ac:dyDescent="0.3">
      <c r="I463" s="5"/>
      <c r="J463" s="69"/>
      <c r="K463" s="5"/>
      <c r="L463" s="39"/>
    </row>
    <row r="464" spans="9:12" x14ac:dyDescent="0.3">
      <c r="I464" s="5"/>
      <c r="J464" s="69"/>
      <c r="K464" s="5"/>
      <c r="L464" s="39"/>
    </row>
    <row r="465" spans="9:12" x14ac:dyDescent="0.3">
      <c r="I465" s="5"/>
      <c r="J465" s="69"/>
      <c r="K465" s="5"/>
      <c r="L465" s="39"/>
    </row>
    <row r="466" spans="9:12" x14ac:dyDescent="0.3">
      <c r="I466" s="5"/>
      <c r="J466" s="69"/>
      <c r="K466" s="5"/>
      <c r="L466" s="39"/>
    </row>
    <row r="467" spans="9:12" x14ac:dyDescent="0.3">
      <c r="I467" s="5"/>
      <c r="J467" s="69"/>
      <c r="K467" s="5"/>
      <c r="L467" s="39"/>
    </row>
    <row r="468" spans="9:12" x14ac:dyDescent="0.3">
      <c r="I468" s="5"/>
      <c r="J468" s="69"/>
      <c r="K468" s="5"/>
      <c r="L468" s="39"/>
    </row>
    <row r="469" spans="9:12" x14ac:dyDescent="0.3">
      <c r="I469" s="5"/>
      <c r="J469" s="69"/>
      <c r="K469" s="5"/>
      <c r="L469" s="39"/>
    </row>
    <row r="470" spans="9:12" x14ac:dyDescent="0.3">
      <c r="I470" s="5"/>
      <c r="J470" s="69"/>
      <c r="K470" s="5"/>
      <c r="L470" s="39"/>
    </row>
    <row r="471" spans="9:12" x14ac:dyDescent="0.3">
      <c r="I471" s="5"/>
      <c r="J471" s="69"/>
      <c r="K471" s="5"/>
      <c r="L471" s="39"/>
    </row>
    <row r="472" spans="9:12" x14ac:dyDescent="0.3">
      <c r="I472" s="5"/>
      <c r="J472" s="69"/>
      <c r="K472" s="5"/>
      <c r="L472" s="39"/>
    </row>
    <row r="473" spans="9:12" x14ac:dyDescent="0.3">
      <c r="I473" s="5"/>
      <c r="J473" s="69"/>
      <c r="K473" s="5"/>
      <c r="L473" s="39"/>
    </row>
    <row r="474" spans="9:12" x14ac:dyDescent="0.3">
      <c r="I474" s="5"/>
      <c r="J474" s="69"/>
      <c r="K474" s="5"/>
      <c r="L474" s="39"/>
    </row>
    <row r="475" spans="9:12" x14ac:dyDescent="0.3">
      <c r="I475" s="5"/>
      <c r="J475" s="69"/>
      <c r="K475" s="5"/>
      <c r="L475" s="39"/>
    </row>
    <row r="476" spans="9:12" x14ac:dyDescent="0.3">
      <c r="I476" s="5"/>
      <c r="J476" s="69"/>
      <c r="K476" s="5"/>
      <c r="L476" s="39"/>
    </row>
    <row r="477" spans="9:12" x14ac:dyDescent="0.3">
      <c r="I477" s="5"/>
      <c r="J477" s="69"/>
      <c r="K477" s="5"/>
      <c r="L477" s="39"/>
    </row>
    <row r="478" spans="9:12" x14ac:dyDescent="0.3">
      <c r="I478" s="5"/>
      <c r="J478" s="69"/>
      <c r="K478" s="5"/>
      <c r="L478" s="39"/>
    </row>
    <row r="479" spans="9:12" x14ac:dyDescent="0.3">
      <c r="I479" s="5"/>
      <c r="J479" s="69"/>
      <c r="K479" s="5"/>
      <c r="L479" s="39"/>
    </row>
    <row r="480" spans="9:12" x14ac:dyDescent="0.3">
      <c r="I480" s="5"/>
      <c r="J480" s="69"/>
      <c r="K480" s="5"/>
      <c r="L480" s="39"/>
    </row>
    <row r="481" spans="9:12" x14ac:dyDescent="0.3">
      <c r="I481" s="5"/>
      <c r="J481" s="69"/>
      <c r="K481" s="5"/>
      <c r="L481" s="39"/>
    </row>
    <row r="482" spans="9:12" x14ac:dyDescent="0.3">
      <c r="I482" s="5"/>
      <c r="J482" s="69"/>
      <c r="K482" s="5"/>
      <c r="L482" s="39"/>
    </row>
    <row r="483" spans="9:12" x14ac:dyDescent="0.3">
      <c r="I483" s="5"/>
      <c r="J483" s="69"/>
      <c r="K483" s="5"/>
      <c r="L483" s="39"/>
    </row>
    <row r="484" spans="9:12" x14ac:dyDescent="0.3">
      <c r="I484" s="5"/>
      <c r="J484" s="69"/>
      <c r="K484" s="5"/>
      <c r="L484" s="39"/>
    </row>
    <row r="485" spans="9:12" x14ac:dyDescent="0.3">
      <c r="I485" s="5"/>
      <c r="J485" s="69"/>
      <c r="K485" s="5"/>
      <c r="L485" s="39"/>
    </row>
    <row r="486" spans="9:12" x14ac:dyDescent="0.3">
      <c r="I486" s="5"/>
      <c r="J486" s="69"/>
      <c r="K486" s="5"/>
      <c r="L486" s="39"/>
    </row>
    <row r="487" spans="9:12" x14ac:dyDescent="0.3">
      <c r="I487" s="5"/>
      <c r="J487" s="69"/>
      <c r="K487" s="5"/>
      <c r="L487" s="39"/>
    </row>
    <row r="488" spans="9:12" x14ac:dyDescent="0.3">
      <c r="I488" s="5"/>
      <c r="J488" s="69"/>
      <c r="K488" s="5"/>
      <c r="L488" s="39"/>
    </row>
    <row r="489" spans="9:12" x14ac:dyDescent="0.3">
      <c r="I489" s="5"/>
      <c r="J489" s="69"/>
      <c r="K489" s="5"/>
      <c r="L489" s="39"/>
    </row>
    <row r="490" spans="9:12" x14ac:dyDescent="0.3">
      <c r="I490" s="5"/>
      <c r="J490" s="69"/>
      <c r="K490" s="5"/>
      <c r="L490" s="39"/>
    </row>
    <row r="491" spans="9:12" x14ac:dyDescent="0.3">
      <c r="I491" s="5"/>
      <c r="J491" s="69"/>
      <c r="K491" s="5"/>
      <c r="L491" s="39"/>
    </row>
    <row r="492" spans="9:12" x14ac:dyDescent="0.3">
      <c r="I492" s="5"/>
      <c r="J492" s="69"/>
      <c r="K492" s="5"/>
      <c r="L492" s="39"/>
    </row>
    <row r="493" spans="9:12" x14ac:dyDescent="0.3">
      <c r="I493" s="5"/>
      <c r="J493" s="69"/>
      <c r="K493" s="5"/>
      <c r="L493" s="39"/>
    </row>
    <row r="494" spans="9:12" x14ac:dyDescent="0.3">
      <c r="I494" s="5"/>
      <c r="J494" s="69"/>
      <c r="K494" s="5"/>
      <c r="L494" s="39"/>
    </row>
    <row r="495" spans="9:12" x14ac:dyDescent="0.3">
      <c r="I495" s="5"/>
      <c r="J495" s="69"/>
      <c r="K495" s="5"/>
      <c r="L495" s="39"/>
    </row>
    <row r="496" spans="9:12" x14ac:dyDescent="0.3">
      <c r="I496" s="5"/>
      <c r="J496" s="69"/>
      <c r="K496" s="5"/>
      <c r="L496" s="39"/>
    </row>
    <row r="497" spans="9:12" x14ac:dyDescent="0.3">
      <c r="I497" s="5"/>
      <c r="J497" s="69"/>
      <c r="K497" s="5"/>
      <c r="L497" s="39"/>
    </row>
    <row r="498" spans="9:12" x14ac:dyDescent="0.3">
      <c r="I498" s="5"/>
      <c r="J498" s="69"/>
      <c r="K498" s="5"/>
      <c r="L498" s="39"/>
    </row>
    <row r="499" spans="9:12" x14ac:dyDescent="0.3">
      <c r="I499" s="5"/>
      <c r="J499" s="69"/>
      <c r="K499" s="5"/>
      <c r="L499" s="39"/>
    </row>
    <row r="500" spans="9:12" x14ac:dyDescent="0.3">
      <c r="I500" s="5"/>
      <c r="J500" s="69"/>
      <c r="K500" s="5"/>
      <c r="L500" s="39"/>
    </row>
    <row r="501" spans="9:12" x14ac:dyDescent="0.3">
      <c r="I501" s="5"/>
      <c r="J501" s="69"/>
      <c r="K501" s="5"/>
      <c r="L501" s="39"/>
    </row>
    <row r="502" spans="9:12" x14ac:dyDescent="0.3">
      <c r="I502" s="5"/>
      <c r="J502" s="69"/>
      <c r="K502" s="5"/>
      <c r="L502" s="39"/>
    </row>
    <row r="503" spans="9:12" x14ac:dyDescent="0.3">
      <c r="I503" s="5"/>
      <c r="J503" s="69"/>
      <c r="K503" s="5"/>
      <c r="L503" s="39"/>
    </row>
    <row r="504" spans="9:12" x14ac:dyDescent="0.3">
      <c r="I504" s="5"/>
      <c r="J504" s="69"/>
      <c r="K504" s="5"/>
      <c r="L504" s="39"/>
    </row>
    <row r="505" spans="9:12" x14ac:dyDescent="0.3">
      <c r="I505" s="5"/>
      <c r="J505" s="69"/>
      <c r="K505" s="5"/>
      <c r="L505" s="39"/>
    </row>
    <row r="506" spans="9:12" x14ac:dyDescent="0.3">
      <c r="I506" s="5"/>
      <c r="J506" s="69"/>
      <c r="K506" s="5"/>
      <c r="L506" s="39"/>
    </row>
    <row r="507" spans="9:12" x14ac:dyDescent="0.3">
      <c r="I507" s="5"/>
      <c r="J507" s="69"/>
      <c r="K507" s="5"/>
      <c r="L507" s="39"/>
    </row>
    <row r="508" spans="9:12" x14ac:dyDescent="0.3">
      <c r="I508" s="5"/>
      <c r="J508" s="69"/>
      <c r="K508" s="5"/>
      <c r="L508" s="39"/>
    </row>
    <row r="509" spans="9:12" x14ac:dyDescent="0.3">
      <c r="I509" s="5"/>
      <c r="J509" s="69"/>
      <c r="K509" s="5"/>
      <c r="L509" s="39"/>
    </row>
    <row r="510" spans="9:12" x14ac:dyDescent="0.3">
      <c r="I510" s="5"/>
      <c r="J510" s="69"/>
      <c r="K510" s="5"/>
      <c r="L510" s="39"/>
    </row>
    <row r="511" spans="9:12" x14ac:dyDescent="0.3">
      <c r="I511" s="5"/>
      <c r="J511" s="69"/>
      <c r="K511" s="5"/>
      <c r="L511" s="39"/>
    </row>
    <row r="512" spans="9:12" x14ac:dyDescent="0.3">
      <c r="I512" s="5"/>
      <c r="J512" s="69"/>
      <c r="K512" s="5"/>
      <c r="L512" s="39"/>
    </row>
    <row r="513" spans="9:12" x14ac:dyDescent="0.3">
      <c r="I513" s="5"/>
      <c r="J513" s="69"/>
      <c r="K513" s="5"/>
      <c r="L513" s="39"/>
    </row>
    <row r="514" spans="9:12" x14ac:dyDescent="0.3">
      <c r="I514" s="5"/>
      <c r="J514" s="69"/>
      <c r="K514" s="5"/>
      <c r="L514" s="39"/>
    </row>
    <row r="515" spans="9:12" x14ac:dyDescent="0.3">
      <c r="I515" s="5"/>
      <c r="J515" s="69"/>
      <c r="K515" s="5"/>
      <c r="L515" s="39"/>
    </row>
    <row r="516" spans="9:12" x14ac:dyDescent="0.3">
      <c r="I516" s="5"/>
      <c r="J516" s="69"/>
      <c r="K516" s="5"/>
      <c r="L516" s="39"/>
    </row>
    <row r="517" spans="9:12" x14ac:dyDescent="0.3">
      <c r="I517" s="5"/>
      <c r="J517" s="69"/>
      <c r="K517" s="5"/>
      <c r="L517" s="39"/>
    </row>
    <row r="518" spans="9:12" x14ac:dyDescent="0.3">
      <c r="I518" s="5"/>
      <c r="J518" s="69"/>
      <c r="K518" s="5"/>
      <c r="L518" s="39"/>
    </row>
    <row r="519" spans="9:12" x14ac:dyDescent="0.3">
      <c r="I519" s="5"/>
      <c r="J519" s="69"/>
      <c r="K519" s="5"/>
      <c r="L519" s="39"/>
    </row>
    <row r="520" spans="9:12" x14ac:dyDescent="0.3">
      <c r="I520" s="5"/>
      <c r="J520" s="69"/>
      <c r="K520" s="5"/>
      <c r="L520" s="39"/>
    </row>
    <row r="521" spans="9:12" x14ac:dyDescent="0.3">
      <c r="I521" s="5"/>
      <c r="J521" s="69"/>
      <c r="K521" s="5"/>
      <c r="L521" s="39"/>
    </row>
    <row r="522" spans="9:12" x14ac:dyDescent="0.3">
      <c r="I522" s="5"/>
      <c r="J522" s="69"/>
      <c r="K522" s="5"/>
      <c r="L522" s="39"/>
    </row>
    <row r="523" spans="9:12" x14ac:dyDescent="0.3">
      <c r="I523" s="5"/>
      <c r="J523" s="69"/>
      <c r="K523" s="5"/>
      <c r="L523" s="39"/>
    </row>
    <row r="524" spans="9:12" x14ac:dyDescent="0.3">
      <c r="I524" s="5"/>
      <c r="J524" s="69"/>
      <c r="K524" s="5"/>
      <c r="L524" s="39"/>
    </row>
    <row r="525" spans="9:12" x14ac:dyDescent="0.3">
      <c r="I525" s="5"/>
      <c r="J525" s="69"/>
      <c r="K525" s="5"/>
      <c r="L525" s="39"/>
    </row>
    <row r="526" spans="9:12" x14ac:dyDescent="0.3">
      <c r="I526" s="5"/>
      <c r="J526" s="69"/>
      <c r="K526" s="5"/>
      <c r="L526" s="39"/>
    </row>
    <row r="527" spans="9:12" x14ac:dyDescent="0.3">
      <c r="I527" s="5"/>
      <c r="J527" s="69"/>
      <c r="K527" s="5"/>
      <c r="L527" s="39"/>
    </row>
    <row r="528" spans="9:12" x14ac:dyDescent="0.3">
      <c r="I528" s="5"/>
      <c r="J528" s="69"/>
      <c r="K528" s="5"/>
      <c r="L528" s="39"/>
    </row>
    <row r="529" spans="9:12" x14ac:dyDescent="0.3">
      <c r="I529" s="5"/>
      <c r="J529" s="69"/>
      <c r="K529" s="5"/>
      <c r="L529" s="39"/>
    </row>
    <row r="530" spans="9:12" x14ac:dyDescent="0.3">
      <c r="I530" s="5"/>
      <c r="J530" s="69"/>
      <c r="K530" s="5"/>
      <c r="L530" s="39"/>
    </row>
    <row r="531" spans="9:12" x14ac:dyDescent="0.3">
      <c r="I531" s="5"/>
      <c r="J531" s="69"/>
      <c r="K531" s="5"/>
      <c r="L531" s="39"/>
    </row>
    <row r="532" spans="9:12" x14ac:dyDescent="0.3">
      <c r="I532" s="5"/>
      <c r="J532" s="69"/>
      <c r="K532" s="5"/>
      <c r="L532" s="39"/>
    </row>
    <row r="533" spans="9:12" x14ac:dyDescent="0.3">
      <c r="I533" s="5"/>
      <c r="J533" s="69"/>
      <c r="K533" s="5"/>
      <c r="L533" s="39"/>
    </row>
    <row r="534" spans="9:12" x14ac:dyDescent="0.3">
      <c r="I534" s="5"/>
      <c r="J534" s="69"/>
      <c r="K534" s="5"/>
      <c r="L534" s="39"/>
    </row>
    <row r="535" spans="9:12" x14ac:dyDescent="0.3">
      <c r="I535" s="5"/>
      <c r="J535" s="69"/>
      <c r="K535" s="5"/>
      <c r="L535" s="39"/>
    </row>
    <row r="536" spans="9:12" x14ac:dyDescent="0.3">
      <c r="I536" s="5"/>
      <c r="J536" s="69"/>
      <c r="K536" s="5"/>
      <c r="L536" s="39"/>
    </row>
    <row r="537" spans="9:12" x14ac:dyDescent="0.3">
      <c r="I537" s="5"/>
      <c r="J537" s="69"/>
      <c r="K537" s="5"/>
      <c r="L537" s="39"/>
    </row>
    <row r="538" spans="9:12" x14ac:dyDescent="0.3">
      <c r="I538" s="5"/>
      <c r="J538" s="69"/>
      <c r="K538" s="5"/>
      <c r="L538" s="39"/>
    </row>
    <row r="539" spans="9:12" x14ac:dyDescent="0.3">
      <c r="I539" s="5"/>
      <c r="J539" s="69"/>
      <c r="K539" s="5"/>
      <c r="L539" s="39"/>
    </row>
    <row r="540" spans="9:12" x14ac:dyDescent="0.3">
      <c r="I540" s="5"/>
      <c r="J540" s="69"/>
      <c r="K540" s="5"/>
      <c r="L540" s="39"/>
    </row>
    <row r="541" spans="9:12" x14ac:dyDescent="0.3">
      <c r="I541" s="5"/>
      <c r="J541" s="69"/>
      <c r="K541" s="5"/>
      <c r="L541" s="39"/>
    </row>
    <row r="542" spans="9:12" x14ac:dyDescent="0.3">
      <c r="I542" s="5"/>
      <c r="J542" s="69"/>
      <c r="K542" s="5"/>
      <c r="L542" s="39"/>
    </row>
    <row r="543" spans="9:12" x14ac:dyDescent="0.3">
      <c r="I543" s="5"/>
      <c r="J543" s="69"/>
      <c r="K543" s="5"/>
      <c r="L543" s="39"/>
    </row>
    <row r="544" spans="9:12" x14ac:dyDescent="0.3">
      <c r="I544" s="5"/>
      <c r="J544" s="69"/>
      <c r="K544" s="5"/>
      <c r="L544" s="39"/>
    </row>
    <row r="545" spans="9:12" x14ac:dyDescent="0.3">
      <c r="I545" s="5"/>
      <c r="J545" s="69"/>
      <c r="K545" s="5"/>
      <c r="L545" s="39"/>
    </row>
    <row r="546" spans="9:12" x14ac:dyDescent="0.3">
      <c r="I546" s="5"/>
      <c r="J546" s="69"/>
      <c r="K546" s="5"/>
      <c r="L546" s="39"/>
    </row>
    <row r="547" spans="9:12" x14ac:dyDescent="0.3">
      <c r="I547" s="5"/>
      <c r="J547" s="69"/>
      <c r="K547" s="5"/>
      <c r="L547" s="39"/>
    </row>
    <row r="548" spans="9:12" x14ac:dyDescent="0.3">
      <c r="I548" s="5"/>
      <c r="J548" s="69"/>
      <c r="K548" s="5"/>
      <c r="L548" s="39"/>
    </row>
    <row r="549" spans="9:12" x14ac:dyDescent="0.3">
      <c r="I549" s="5"/>
      <c r="J549" s="69"/>
      <c r="K549" s="5"/>
      <c r="L549" s="39"/>
    </row>
    <row r="550" spans="9:12" x14ac:dyDescent="0.3">
      <c r="I550" s="5"/>
      <c r="J550" s="69"/>
      <c r="K550" s="5"/>
      <c r="L550" s="39"/>
    </row>
    <row r="551" spans="9:12" x14ac:dyDescent="0.3">
      <c r="I551" s="5"/>
      <c r="J551" s="69"/>
      <c r="K551" s="5"/>
      <c r="L551" s="39"/>
    </row>
    <row r="552" spans="9:12" x14ac:dyDescent="0.3">
      <c r="I552" s="5"/>
      <c r="J552" s="69"/>
      <c r="K552" s="5"/>
      <c r="L552" s="39"/>
    </row>
    <row r="553" spans="9:12" x14ac:dyDescent="0.3">
      <c r="I553" s="5"/>
      <c r="J553" s="69"/>
      <c r="K553" s="5"/>
      <c r="L553" s="39"/>
    </row>
    <row r="554" spans="9:12" x14ac:dyDescent="0.3">
      <c r="I554" s="5"/>
      <c r="J554" s="69"/>
      <c r="K554" s="5"/>
      <c r="L554" s="39"/>
    </row>
    <row r="555" spans="9:12" x14ac:dyDescent="0.3">
      <c r="I555" s="5"/>
      <c r="J555" s="69"/>
      <c r="K555" s="5"/>
      <c r="L555" s="39"/>
    </row>
    <row r="556" spans="9:12" x14ac:dyDescent="0.3">
      <c r="I556" s="5"/>
      <c r="J556" s="69"/>
      <c r="K556" s="5"/>
      <c r="L556" s="39"/>
    </row>
    <row r="557" spans="9:12" x14ac:dyDescent="0.3">
      <c r="I557" s="5"/>
      <c r="J557" s="69"/>
      <c r="K557" s="5"/>
      <c r="L557" s="39"/>
    </row>
    <row r="558" spans="9:12" x14ac:dyDescent="0.3">
      <c r="I558" s="5"/>
      <c r="J558" s="69"/>
      <c r="K558" s="5"/>
      <c r="L558" s="39"/>
    </row>
    <row r="559" spans="9:12" x14ac:dyDescent="0.3">
      <c r="I559" s="5"/>
      <c r="J559" s="69"/>
      <c r="K559" s="5"/>
      <c r="L559" s="39"/>
    </row>
    <row r="560" spans="9:12" x14ac:dyDescent="0.3">
      <c r="I560" s="5"/>
      <c r="J560" s="69"/>
      <c r="K560" s="5"/>
      <c r="L560" s="39"/>
    </row>
    <row r="561" spans="9:12" x14ac:dyDescent="0.3">
      <c r="I561" s="5"/>
      <c r="J561" s="69"/>
      <c r="K561" s="5"/>
      <c r="L561" s="39"/>
    </row>
    <row r="562" spans="9:12" x14ac:dyDescent="0.3">
      <c r="I562" s="5"/>
      <c r="J562" s="69"/>
      <c r="K562" s="5"/>
      <c r="L562" s="39"/>
    </row>
    <row r="563" spans="9:12" x14ac:dyDescent="0.3">
      <c r="I563" s="5"/>
      <c r="J563" s="69"/>
      <c r="K563" s="5"/>
      <c r="L563" s="39"/>
    </row>
    <row r="564" spans="9:12" x14ac:dyDescent="0.3">
      <c r="I564" s="5"/>
      <c r="J564" s="69"/>
      <c r="K564" s="5"/>
      <c r="L564" s="39"/>
    </row>
    <row r="565" spans="9:12" x14ac:dyDescent="0.3">
      <c r="I565" s="5"/>
      <c r="J565" s="69"/>
      <c r="K565" s="5"/>
      <c r="L565" s="39"/>
    </row>
    <row r="566" spans="9:12" x14ac:dyDescent="0.3">
      <c r="I566" s="5"/>
      <c r="J566" s="69"/>
      <c r="K566" s="5"/>
      <c r="L566" s="39"/>
    </row>
    <row r="567" spans="9:12" x14ac:dyDescent="0.3">
      <c r="I567" s="5"/>
      <c r="J567" s="69"/>
      <c r="K567" s="5"/>
      <c r="L567" s="39"/>
    </row>
    <row r="568" spans="9:12" x14ac:dyDescent="0.3">
      <c r="I568" s="5"/>
      <c r="J568" s="69"/>
      <c r="K568" s="5"/>
      <c r="L568" s="39"/>
    </row>
    <row r="569" spans="9:12" x14ac:dyDescent="0.3">
      <c r="I569" s="5"/>
      <c r="J569" s="69"/>
      <c r="K569" s="5"/>
      <c r="L569" s="39"/>
    </row>
    <row r="570" spans="9:12" x14ac:dyDescent="0.3">
      <c r="I570" s="5"/>
      <c r="J570" s="69"/>
      <c r="K570" s="5"/>
      <c r="L570" s="39"/>
    </row>
    <row r="571" spans="9:12" x14ac:dyDescent="0.3">
      <c r="I571" s="5"/>
      <c r="J571" s="69"/>
      <c r="K571" s="5"/>
      <c r="L571" s="39"/>
    </row>
    <row r="572" spans="9:12" x14ac:dyDescent="0.3">
      <c r="I572" s="5"/>
      <c r="J572" s="69"/>
      <c r="K572" s="5"/>
      <c r="L572" s="39"/>
    </row>
    <row r="573" spans="9:12" x14ac:dyDescent="0.3">
      <c r="I573" s="5"/>
      <c r="J573" s="69"/>
      <c r="K573" s="5"/>
      <c r="L573" s="39"/>
    </row>
    <row r="574" spans="9:12" x14ac:dyDescent="0.3">
      <c r="I574" s="5"/>
      <c r="J574" s="69"/>
      <c r="K574" s="5"/>
      <c r="L574" s="39"/>
    </row>
    <row r="575" spans="9:12" x14ac:dyDescent="0.3">
      <c r="I575" s="5"/>
      <c r="J575" s="69"/>
      <c r="K575" s="5"/>
      <c r="L575" s="39"/>
    </row>
    <row r="576" spans="9:12" x14ac:dyDescent="0.3">
      <c r="I576" s="5"/>
      <c r="J576" s="69"/>
      <c r="K576" s="5"/>
      <c r="L576" s="39"/>
    </row>
    <row r="577" spans="9:12" x14ac:dyDescent="0.3">
      <c r="I577" s="5"/>
      <c r="J577" s="69"/>
      <c r="K577" s="5"/>
      <c r="L577" s="39"/>
    </row>
    <row r="578" spans="9:12" x14ac:dyDescent="0.3">
      <c r="I578" s="5"/>
      <c r="J578" s="69"/>
      <c r="K578" s="5"/>
      <c r="L578" s="39"/>
    </row>
    <row r="579" spans="9:12" x14ac:dyDescent="0.3">
      <c r="I579" s="5"/>
      <c r="J579" s="69"/>
      <c r="K579" s="5"/>
      <c r="L579" s="39"/>
    </row>
    <row r="580" spans="9:12" x14ac:dyDescent="0.3">
      <c r="I580" s="5"/>
      <c r="J580" s="69"/>
      <c r="K580" s="5"/>
      <c r="L580" s="39"/>
    </row>
    <row r="581" spans="9:12" x14ac:dyDescent="0.3">
      <c r="I581" s="5"/>
      <c r="J581" s="69"/>
      <c r="K581" s="5"/>
      <c r="L581" s="39"/>
    </row>
    <row r="582" spans="9:12" x14ac:dyDescent="0.3">
      <c r="I582" s="5"/>
      <c r="J582" s="69"/>
      <c r="K582" s="5"/>
      <c r="L582" s="39"/>
    </row>
    <row r="583" spans="9:12" x14ac:dyDescent="0.3">
      <c r="I583" s="5"/>
      <c r="J583" s="69"/>
      <c r="K583" s="5"/>
      <c r="L583" s="39"/>
    </row>
    <row r="584" spans="9:12" x14ac:dyDescent="0.3">
      <c r="I584" s="5"/>
      <c r="J584" s="69"/>
      <c r="K584" s="5"/>
      <c r="L584" s="39"/>
    </row>
    <row r="585" spans="9:12" x14ac:dyDescent="0.3">
      <c r="I585" s="5"/>
      <c r="J585" s="69"/>
      <c r="K585" s="5"/>
      <c r="L585" s="39"/>
    </row>
    <row r="586" spans="9:12" x14ac:dyDescent="0.3">
      <c r="I586" s="5"/>
      <c r="J586" s="69"/>
      <c r="K586" s="5"/>
      <c r="L586" s="39"/>
    </row>
    <row r="587" spans="9:12" x14ac:dyDescent="0.3">
      <c r="I587" s="5"/>
      <c r="J587" s="69"/>
      <c r="K587" s="5"/>
      <c r="L587" s="39"/>
    </row>
    <row r="588" spans="9:12" x14ac:dyDescent="0.3">
      <c r="I588" s="5"/>
      <c r="J588" s="69"/>
      <c r="K588" s="5"/>
      <c r="L588" s="39"/>
    </row>
    <row r="589" spans="9:12" x14ac:dyDescent="0.3">
      <c r="I589" s="5"/>
      <c r="J589" s="69"/>
      <c r="K589" s="5"/>
      <c r="L589" s="39"/>
    </row>
    <row r="590" spans="9:12" x14ac:dyDescent="0.3">
      <c r="I590" s="5"/>
      <c r="J590" s="69"/>
      <c r="K590" s="5"/>
      <c r="L590" s="39"/>
    </row>
    <row r="591" spans="9:12" x14ac:dyDescent="0.3">
      <c r="I591" s="5"/>
      <c r="J591" s="69"/>
      <c r="K591" s="5"/>
      <c r="L591" s="39"/>
    </row>
    <row r="592" spans="9:12" x14ac:dyDescent="0.3">
      <c r="I592" s="5"/>
      <c r="J592" s="69"/>
      <c r="K592" s="5"/>
      <c r="L592" s="39"/>
    </row>
    <row r="593" spans="9:12" x14ac:dyDescent="0.3">
      <c r="I593" s="5"/>
      <c r="J593" s="69"/>
      <c r="K593" s="5"/>
      <c r="L593" s="39"/>
    </row>
    <row r="594" spans="9:12" x14ac:dyDescent="0.3">
      <c r="I594" s="5"/>
      <c r="J594" s="69"/>
      <c r="K594" s="5"/>
      <c r="L594" s="39"/>
    </row>
    <row r="595" spans="9:12" x14ac:dyDescent="0.3">
      <c r="I595" s="5"/>
      <c r="J595" s="69"/>
      <c r="K595" s="5"/>
      <c r="L595" s="39"/>
    </row>
    <row r="596" spans="9:12" x14ac:dyDescent="0.3">
      <c r="I596" s="5"/>
      <c r="J596" s="69"/>
      <c r="K596" s="5"/>
      <c r="L596" s="39"/>
    </row>
    <row r="597" spans="9:12" x14ac:dyDescent="0.3">
      <c r="I597" s="5"/>
      <c r="J597" s="69"/>
      <c r="K597" s="5"/>
      <c r="L597" s="39"/>
    </row>
    <row r="598" spans="9:12" x14ac:dyDescent="0.3">
      <c r="I598" s="5"/>
      <c r="J598" s="69"/>
      <c r="K598" s="5"/>
      <c r="L598" s="39"/>
    </row>
    <row r="599" spans="9:12" x14ac:dyDescent="0.3">
      <c r="I599" s="5"/>
      <c r="J599" s="69"/>
      <c r="K599" s="5"/>
      <c r="L599" s="39"/>
    </row>
    <row r="600" spans="9:12" x14ac:dyDescent="0.3">
      <c r="I600" s="5"/>
      <c r="J600" s="69"/>
      <c r="K600" s="5"/>
      <c r="L600" s="39"/>
    </row>
    <row r="601" spans="9:12" x14ac:dyDescent="0.3">
      <c r="I601" s="5"/>
      <c r="J601" s="69"/>
      <c r="K601" s="5"/>
      <c r="L601" s="39"/>
    </row>
    <row r="602" spans="9:12" x14ac:dyDescent="0.3">
      <c r="I602" s="5"/>
      <c r="J602" s="69"/>
      <c r="K602" s="5"/>
      <c r="L602" s="39"/>
    </row>
    <row r="603" spans="9:12" x14ac:dyDescent="0.3">
      <c r="I603" s="5"/>
      <c r="J603" s="69"/>
      <c r="K603" s="5"/>
      <c r="L603" s="39"/>
    </row>
    <row r="604" spans="9:12" x14ac:dyDescent="0.3">
      <c r="I604" s="5"/>
      <c r="J604" s="69"/>
      <c r="K604" s="5"/>
      <c r="L604" s="39"/>
    </row>
    <row r="605" spans="9:12" x14ac:dyDescent="0.3">
      <c r="I605" s="5"/>
      <c r="J605" s="69"/>
      <c r="K605" s="5"/>
      <c r="L605" s="39"/>
    </row>
    <row r="606" spans="9:12" x14ac:dyDescent="0.3">
      <c r="I606" s="5"/>
      <c r="J606" s="69"/>
      <c r="K606" s="5"/>
      <c r="L606" s="39"/>
    </row>
    <row r="607" spans="9:12" x14ac:dyDescent="0.3">
      <c r="I607" s="5"/>
      <c r="J607" s="69"/>
      <c r="K607" s="5"/>
      <c r="L607" s="39"/>
    </row>
    <row r="608" spans="9:12" x14ac:dyDescent="0.3">
      <c r="I608" s="5"/>
      <c r="J608" s="69"/>
      <c r="K608" s="5"/>
      <c r="L608" s="39"/>
    </row>
    <row r="609" spans="9:12" x14ac:dyDescent="0.3">
      <c r="I609" s="5"/>
      <c r="J609" s="69"/>
      <c r="K609" s="5"/>
      <c r="L609" s="39"/>
    </row>
    <row r="610" spans="9:12" x14ac:dyDescent="0.3">
      <c r="I610" s="5"/>
      <c r="J610" s="69"/>
      <c r="K610" s="5"/>
      <c r="L610" s="39"/>
    </row>
    <row r="611" spans="9:12" x14ac:dyDescent="0.3">
      <c r="I611" s="5"/>
      <c r="J611" s="69"/>
      <c r="K611" s="5"/>
      <c r="L611" s="39"/>
    </row>
    <row r="612" spans="9:12" x14ac:dyDescent="0.3">
      <c r="I612" s="5"/>
      <c r="J612" s="69"/>
      <c r="K612" s="5"/>
      <c r="L612" s="39"/>
    </row>
    <row r="613" spans="9:12" x14ac:dyDescent="0.3">
      <c r="I613" s="5"/>
      <c r="J613" s="69"/>
      <c r="K613" s="5"/>
      <c r="L613" s="39"/>
    </row>
    <row r="614" spans="9:12" x14ac:dyDescent="0.3">
      <c r="I614" s="5"/>
      <c r="J614" s="69"/>
      <c r="K614" s="5"/>
      <c r="L614" s="39"/>
    </row>
    <row r="615" spans="9:12" x14ac:dyDescent="0.3">
      <c r="I615" s="5"/>
      <c r="J615" s="69"/>
      <c r="K615" s="5"/>
      <c r="L615" s="39"/>
    </row>
    <row r="616" spans="9:12" x14ac:dyDescent="0.3">
      <c r="I616" s="5"/>
      <c r="J616" s="69"/>
      <c r="K616" s="5"/>
      <c r="L616" s="39"/>
    </row>
    <row r="617" spans="9:12" x14ac:dyDescent="0.3">
      <c r="I617" s="5"/>
      <c r="J617" s="69"/>
      <c r="K617" s="5"/>
      <c r="L617" s="39"/>
    </row>
    <row r="618" spans="9:12" x14ac:dyDescent="0.3">
      <c r="I618" s="5"/>
      <c r="J618" s="69"/>
      <c r="K618" s="5"/>
      <c r="L618" s="39"/>
    </row>
    <row r="619" spans="9:12" x14ac:dyDescent="0.3">
      <c r="I619" s="5"/>
      <c r="J619" s="69"/>
      <c r="K619" s="5"/>
      <c r="L619" s="39"/>
    </row>
    <row r="620" spans="9:12" x14ac:dyDescent="0.3">
      <c r="I620" s="5"/>
      <c r="J620" s="69"/>
      <c r="K620" s="5"/>
      <c r="L620" s="39"/>
    </row>
    <row r="621" spans="9:12" x14ac:dyDescent="0.3">
      <c r="I621" s="5"/>
      <c r="J621" s="69"/>
      <c r="K621" s="5"/>
      <c r="L621" s="39"/>
    </row>
    <row r="622" spans="9:12" x14ac:dyDescent="0.3">
      <c r="I622" s="5"/>
      <c r="J622" s="69"/>
      <c r="K622" s="5"/>
      <c r="L622" s="39"/>
    </row>
    <row r="623" spans="9:12" x14ac:dyDescent="0.3">
      <c r="I623" s="5"/>
      <c r="J623" s="69"/>
      <c r="K623" s="5"/>
      <c r="L623" s="39"/>
    </row>
    <row r="624" spans="9:12" x14ac:dyDescent="0.3">
      <c r="I624" s="5"/>
      <c r="J624" s="69"/>
      <c r="K624" s="5"/>
      <c r="L624" s="39"/>
    </row>
    <row r="625" spans="9:12" x14ac:dyDescent="0.3">
      <c r="I625" s="5"/>
      <c r="J625" s="69"/>
      <c r="K625" s="5"/>
      <c r="L625" s="39"/>
    </row>
    <row r="626" spans="9:12" x14ac:dyDescent="0.3">
      <c r="I626" s="5"/>
      <c r="J626" s="69"/>
      <c r="K626" s="5"/>
      <c r="L626" s="39"/>
    </row>
    <row r="627" spans="9:12" x14ac:dyDescent="0.3">
      <c r="I627" s="5"/>
      <c r="J627" s="69"/>
      <c r="K627" s="5"/>
      <c r="L627" s="39"/>
    </row>
    <row r="628" spans="9:12" x14ac:dyDescent="0.3">
      <c r="I628" s="5"/>
      <c r="J628" s="69"/>
      <c r="K628" s="5"/>
      <c r="L628" s="39"/>
    </row>
    <row r="629" spans="9:12" x14ac:dyDescent="0.3">
      <c r="I629" s="5"/>
      <c r="J629" s="69"/>
      <c r="K629" s="5"/>
      <c r="L629" s="39"/>
    </row>
    <row r="630" spans="9:12" x14ac:dyDescent="0.3">
      <c r="I630" s="5"/>
      <c r="J630" s="69"/>
      <c r="K630" s="5"/>
      <c r="L630" s="39"/>
    </row>
    <row r="631" spans="9:12" x14ac:dyDescent="0.3">
      <c r="I631" s="5"/>
      <c r="J631" s="69"/>
      <c r="K631" s="5"/>
      <c r="L631" s="39"/>
    </row>
    <row r="632" spans="9:12" x14ac:dyDescent="0.3">
      <c r="I632" s="5"/>
      <c r="J632" s="69"/>
      <c r="K632" s="5"/>
      <c r="L632" s="39"/>
    </row>
    <row r="633" spans="9:12" x14ac:dyDescent="0.3">
      <c r="I633" s="5"/>
      <c r="J633" s="69"/>
      <c r="K633" s="5"/>
      <c r="L633" s="39"/>
    </row>
    <row r="634" spans="9:12" x14ac:dyDescent="0.3">
      <c r="I634" s="5"/>
      <c r="J634" s="69"/>
      <c r="K634" s="5"/>
      <c r="L634" s="39"/>
    </row>
    <row r="635" spans="9:12" x14ac:dyDescent="0.3">
      <c r="I635" s="5"/>
      <c r="J635" s="69"/>
      <c r="K635" s="5"/>
      <c r="L635" s="39"/>
    </row>
    <row r="636" spans="9:12" x14ac:dyDescent="0.3">
      <c r="I636" s="5"/>
      <c r="J636" s="69"/>
      <c r="K636" s="5"/>
      <c r="L636" s="39"/>
    </row>
    <row r="637" spans="9:12" x14ac:dyDescent="0.3">
      <c r="I637" s="5"/>
      <c r="J637" s="69"/>
      <c r="K637" s="5"/>
      <c r="L637" s="39"/>
    </row>
    <row r="638" spans="9:12" x14ac:dyDescent="0.3">
      <c r="I638" s="5"/>
      <c r="J638" s="69"/>
      <c r="K638" s="5"/>
      <c r="L638" s="39"/>
    </row>
    <row r="639" spans="9:12" x14ac:dyDescent="0.3">
      <c r="I639" s="5"/>
      <c r="J639" s="69"/>
      <c r="K639" s="5"/>
      <c r="L639" s="39"/>
    </row>
    <row r="640" spans="9:12" x14ac:dyDescent="0.3">
      <c r="I640" s="5"/>
      <c r="J640" s="69"/>
      <c r="K640" s="5"/>
      <c r="L640" s="39"/>
    </row>
    <row r="641" spans="9:12" x14ac:dyDescent="0.3">
      <c r="I641" s="5"/>
      <c r="J641" s="69"/>
      <c r="K641" s="5"/>
      <c r="L641" s="39"/>
    </row>
    <row r="642" spans="9:12" x14ac:dyDescent="0.3">
      <c r="I642" s="5"/>
      <c r="J642" s="69"/>
      <c r="K642" s="5"/>
      <c r="L642" s="39"/>
    </row>
    <row r="643" spans="9:12" x14ac:dyDescent="0.3">
      <c r="I643" s="5"/>
      <c r="J643" s="69"/>
      <c r="K643" s="5"/>
      <c r="L643" s="39"/>
    </row>
    <row r="644" spans="9:12" x14ac:dyDescent="0.3">
      <c r="I644" s="5"/>
      <c r="J644" s="69"/>
      <c r="K644" s="5"/>
      <c r="L644" s="39"/>
    </row>
    <row r="645" spans="9:12" x14ac:dyDescent="0.3">
      <c r="I645" s="5"/>
      <c r="J645" s="69"/>
      <c r="K645" s="5"/>
      <c r="L645" s="39"/>
    </row>
    <row r="646" spans="9:12" x14ac:dyDescent="0.3">
      <c r="I646" s="5"/>
      <c r="J646" s="69"/>
      <c r="K646" s="5"/>
      <c r="L646" s="39"/>
    </row>
    <row r="647" spans="9:12" x14ac:dyDescent="0.3">
      <c r="I647" s="5"/>
      <c r="J647" s="69"/>
      <c r="K647" s="5"/>
      <c r="L647" s="39"/>
    </row>
    <row r="648" spans="9:12" x14ac:dyDescent="0.3">
      <c r="I648" s="5"/>
      <c r="J648" s="69"/>
      <c r="K648" s="5"/>
      <c r="L648" s="39"/>
    </row>
    <row r="649" spans="9:12" x14ac:dyDescent="0.3">
      <c r="I649" s="5"/>
      <c r="J649" s="69"/>
      <c r="K649" s="5"/>
      <c r="L649" s="39"/>
    </row>
    <row r="650" spans="9:12" x14ac:dyDescent="0.3">
      <c r="I650" s="5"/>
      <c r="J650" s="69"/>
      <c r="K650" s="5"/>
      <c r="L650" s="39"/>
    </row>
    <row r="651" spans="9:12" x14ac:dyDescent="0.3">
      <c r="I651" s="5"/>
      <c r="J651" s="69"/>
      <c r="K651" s="5"/>
      <c r="L651" s="39"/>
    </row>
    <row r="652" spans="9:12" x14ac:dyDescent="0.3">
      <c r="I652" s="5"/>
      <c r="J652" s="69"/>
      <c r="K652" s="5"/>
      <c r="L652" s="39"/>
    </row>
    <row r="653" spans="9:12" x14ac:dyDescent="0.3">
      <c r="I653" s="5"/>
      <c r="J653" s="69"/>
      <c r="K653" s="5"/>
      <c r="L653" s="39"/>
    </row>
    <row r="654" spans="9:12" x14ac:dyDescent="0.3">
      <c r="I654" s="5"/>
      <c r="J654" s="69"/>
      <c r="K654" s="5"/>
      <c r="L654" s="39"/>
    </row>
    <row r="655" spans="9:12" x14ac:dyDescent="0.3">
      <c r="I655" s="5"/>
      <c r="J655" s="69"/>
      <c r="K655" s="5"/>
      <c r="L655" s="39"/>
    </row>
    <row r="656" spans="9:12" x14ac:dyDescent="0.3">
      <c r="I656" s="5"/>
      <c r="J656" s="69"/>
      <c r="K656" s="5"/>
      <c r="L656" s="39"/>
    </row>
    <row r="657" spans="9:12" x14ac:dyDescent="0.3">
      <c r="I657" s="5"/>
      <c r="J657" s="69"/>
      <c r="K657" s="5"/>
      <c r="L657" s="39"/>
    </row>
    <row r="658" spans="9:12" x14ac:dyDescent="0.3">
      <c r="I658" s="5"/>
      <c r="J658" s="69"/>
      <c r="K658" s="5"/>
      <c r="L658" s="39"/>
    </row>
    <row r="659" spans="9:12" x14ac:dyDescent="0.3">
      <c r="I659" s="5"/>
      <c r="J659" s="69"/>
      <c r="K659" s="5"/>
      <c r="L659" s="39"/>
    </row>
    <row r="660" spans="9:12" x14ac:dyDescent="0.3">
      <c r="I660" s="5"/>
      <c r="J660" s="69"/>
      <c r="K660" s="5"/>
      <c r="L660" s="39"/>
    </row>
    <row r="661" spans="9:12" x14ac:dyDescent="0.3">
      <c r="I661" s="5"/>
      <c r="J661" s="69"/>
      <c r="K661" s="5"/>
      <c r="L661" s="39"/>
    </row>
    <row r="662" spans="9:12" x14ac:dyDescent="0.3">
      <c r="I662" s="5"/>
      <c r="J662" s="69"/>
      <c r="K662" s="5"/>
      <c r="L662" s="39"/>
    </row>
    <row r="663" spans="9:12" x14ac:dyDescent="0.3">
      <c r="I663" s="5"/>
      <c r="J663" s="69"/>
      <c r="K663" s="5"/>
      <c r="L663" s="39"/>
    </row>
    <row r="664" spans="9:12" x14ac:dyDescent="0.3">
      <c r="I664" s="5"/>
      <c r="J664" s="69"/>
      <c r="K664" s="5"/>
      <c r="L664" s="39"/>
    </row>
    <row r="665" spans="9:12" x14ac:dyDescent="0.3">
      <c r="I665" s="5"/>
      <c r="J665" s="69"/>
      <c r="K665" s="5"/>
      <c r="L665" s="39"/>
    </row>
    <row r="666" spans="9:12" x14ac:dyDescent="0.3">
      <c r="I666" s="5"/>
      <c r="J666" s="69"/>
      <c r="K666" s="5"/>
      <c r="L666" s="39"/>
    </row>
    <row r="667" spans="9:12" x14ac:dyDescent="0.3">
      <c r="I667" s="5"/>
      <c r="J667" s="69"/>
      <c r="K667" s="5"/>
      <c r="L667" s="39"/>
    </row>
    <row r="668" spans="9:12" x14ac:dyDescent="0.3">
      <c r="I668" s="5"/>
      <c r="J668" s="69"/>
      <c r="K668" s="5"/>
      <c r="L668" s="39"/>
    </row>
    <row r="669" spans="9:12" x14ac:dyDescent="0.3">
      <c r="I669" s="5"/>
      <c r="J669" s="69"/>
      <c r="K669" s="5"/>
      <c r="L669" s="39"/>
    </row>
    <row r="670" spans="9:12" x14ac:dyDescent="0.3">
      <c r="I670" s="5"/>
      <c r="J670" s="69"/>
      <c r="K670" s="5"/>
      <c r="L670" s="39"/>
    </row>
    <row r="671" spans="9:12" x14ac:dyDescent="0.3">
      <c r="I671" s="5"/>
      <c r="J671" s="69"/>
      <c r="K671" s="5"/>
      <c r="L671" s="39"/>
    </row>
    <row r="672" spans="9:12" x14ac:dyDescent="0.3">
      <c r="I672" s="5"/>
      <c r="J672" s="69"/>
      <c r="K672" s="5"/>
      <c r="L672" s="39"/>
    </row>
    <row r="673" spans="9:12" x14ac:dyDescent="0.3">
      <c r="I673" s="5"/>
      <c r="J673" s="69"/>
      <c r="K673" s="5"/>
      <c r="L673" s="39"/>
    </row>
    <row r="674" spans="9:12" x14ac:dyDescent="0.3">
      <c r="I674" s="5"/>
      <c r="J674" s="69"/>
      <c r="K674" s="5"/>
      <c r="L674" s="39"/>
    </row>
    <row r="675" spans="9:12" x14ac:dyDescent="0.3">
      <c r="I675" s="5"/>
      <c r="J675" s="69"/>
      <c r="K675" s="5"/>
      <c r="L675" s="39"/>
    </row>
    <row r="676" spans="9:12" x14ac:dyDescent="0.3">
      <c r="I676" s="5"/>
      <c r="J676" s="69"/>
      <c r="K676" s="5"/>
      <c r="L676" s="39"/>
    </row>
    <row r="677" spans="9:12" x14ac:dyDescent="0.3">
      <c r="I677" s="5"/>
      <c r="J677" s="69"/>
      <c r="K677" s="5"/>
      <c r="L677" s="39"/>
    </row>
    <row r="678" spans="9:12" x14ac:dyDescent="0.3">
      <c r="I678" s="5"/>
      <c r="J678" s="69"/>
      <c r="K678" s="5"/>
      <c r="L678" s="39"/>
    </row>
    <row r="679" spans="9:12" x14ac:dyDescent="0.3">
      <c r="I679" s="5"/>
      <c r="J679" s="69"/>
      <c r="K679" s="5"/>
      <c r="L679" s="39"/>
    </row>
    <row r="680" spans="9:12" x14ac:dyDescent="0.3">
      <c r="I680" s="5"/>
      <c r="J680" s="69"/>
      <c r="K680" s="5"/>
      <c r="L680" s="39"/>
    </row>
    <row r="681" spans="9:12" x14ac:dyDescent="0.3">
      <c r="I681" s="5"/>
      <c r="J681" s="69"/>
      <c r="K681" s="5"/>
      <c r="L681" s="39"/>
    </row>
    <row r="682" spans="9:12" x14ac:dyDescent="0.3">
      <c r="I682" s="5"/>
      <c r="J682" s="69"/>
      <c r="K682" s="5"/>
      <c r="L682" s="39"/>
    </row>
    <row r="683" spans="9:12" x14ac:dyDescent="0.3">
      <c r="I683" s="5"/>
      <c r="J683" s="69"/>
      <c r="K683" s="5"/>
      <c r="L683" s="39"/>
    </row>
    <row r="684" spans="9:12" x14ac:dyDescent="0.3">
      <c r="I684" s="5"/>
      <c r="J684" s="69"/>
      <c r="K684" s="5"/>
      <c r="L684" s="39"/>
    </row>
    <row r="685" spans="9:12" x14ac:dyDescent="0.3">
      <c r="I685" s="5"/>
      <c r="J685" s="69"/>
      <c r="K685" s="5"/>
      <c r="L685" s="39"/>
    </row>
    <row r="686" spans="9:12" x14ac:dyDescent="0.3">
      <c r="I686" s="5"/>
      <c r="J686" s="69"/>
      <c r="K686" s="5"/>
      <c r="L686" s="39"/>
    </row>
    <row r="687" spans="9:12" x14ac:dyDescent="0.3">
      <c r="I687" s="5"/>
      <c r="J687" s="69"/>
      <c r="K687" s="5"/>
      <c r="L687" s="39"/>
    </row>
    <row r="688" spans="9:12" x14ac:dyDescent="0.3">
      <c r="I688" s="5"/>
      <c r="J688" s="69"/>
      <c r="K688" s="5"/>
      <c r="L688" s="39"/>
    </row>
    <row r="689" spans="9:12" x14ac:dyDescent="0.3">
      <c r="I689" s="5"/>
      <c r="J689" s="69"/>
      <c r="K689" s="5"/>
      <c r="L689" s="39"/>
    </row>
    <row r="690" spans="9:12" x14ac:dyDescent="0.3">
      <c r="I690" s="5"/>
      <c r="J690" s="69"/>
      <c r="K690" s="5"/>
      <c r="L690" s="39"/>
    </row>
    <row r="691" spans="9:12" x14ac:dyDescent="0.3">
      <c r="I691" s="5"/>
      <c r="J691" s="69"/>
      <c r="K691" s="5"/>
      <c r="L691" s="39"/>
    </row>
    <row r="692" spans="9:12" x14ac:dyDescent="0.3">
      <c r="I692" s="5"/>
      <c r="J692" s="69"/>
      <c r="K692" s="5"/>
      <c r="L692" s="39"/>
    </row>
    <row r="693" spans="9:12" x14ac:dyDescent="0.3">
      <c r="I693" s="5"/>
      <c r="J693" s="69"/>
      <c r="K693" s="5"/>
      <c r="L693" s="39"/>
    </row>
    <row r="694" spans="9:12" x14ac:dyDescent="0.3">
      <c r="I694" s="5"/>
      <c r="J694" s="69"/>
      <c r="K694" s="5"/>
      <c r="L694" s="39"/>
    </row>
    <row r="695" spans="9:12" x14ac:dyDescent="0.3">
      <c r="I695" s="5"/>
      <c r="J695" s="69"/>
      <c r="K695" s="5"/>
      <c r="L695" s="39"/>
    </row>
    <row r="696" spans="9:12" x14ac:dyDescent="0.3">
      <c r="I696" s="5"/>
      <c r="J696" s="69"/>
      <c r="K696" s="5"/>
      <c r="L696" s="39"/>
    </row>
    <row r="697" spans="9:12" x14ac:dyDescent="0.3">
      <c r="I697" s="5"/>
      <c r="J697" s="69"/>
      <c r="K697" s="5"/>
      <c r="L697" s="39"/>
    </row>
    <row r="698" spans="9:12" x14ac:dyDescent="0.3">
      <c r="I698" s="5"/>
      <c r="J698" s="69"/>
      <c r="K698" s="5"/>
      <c r="L698" s="39"/>
    </row>
    <row r="699" spans="9:12" x14ac:dyDescent="0.3">
      <c r="I699" s="5"/>
      <c r="J699" s="69"/>
      <c r="K699" s="5"/>
      <c r="L699" s="39"/>
    </row>
    <row r="700" spans="9:12" x14ac:dyDescent="0.3">
      <c r="I700" s="5"/>
      <c r="J700" s="69"/>
      <c r="K700" s="5"/>
      <c r="L700" s="39"/>
    </row>
    <row r="701" spans="9:12" x14ac:dyDescent="0.3">
      <c r="I701" s="5"/>
      <c r="J701" s="69"/>
      <c r="K701" s="5"/>
      <c r="L701" s="39"/>
    </row>
    <row r="702" spans="9:12" x14ac:dyDescent="0.3">
      <c r="I702" s="5"/>
      <c r="J702" s="69"/>
      <c r="K702" s="5"/>
      <c r="L702" s="39"/>
    </row>
    <row r="703" spans="9:12" x14ac:dyDescent="0.3">
      <c r="I703" s="5"/>
      <c r="J703" s="69"/>
      <c r="K703" s="5"/>
      <c r="L703" s="39"/>
    </row>
    <row r="704" spans="9:12" x14ac:dyDescent="0.3">
      <c r="I704" s="5"/>
      <c r="J704" s="69"/>
      <c r="K704" s="5"/>
      <c r="L704" s="39"/>
    </row>
    <row r="705" spans="9:12" x14ac:dyDescent="0.3">
      <c r="I705" s="5"/>
      <c r="J705" s="69"/>
      <c r="K705" s="5"/>
      <c r="L705" s="39"/>
    </row>
    <row r="706" spans="9:12" x14ac:dyDescent="0.3">
      <c r="I706" s="5"/>
      <c r="J706" s="69"/>
      <c r="K706" s="5"/>
      <c r="L706" s="39"/>
    </row>
    <row r="707" spans="9:12" x14ac:dyDescent="0.3">
      <c r="I707" s="5"/>
      <c r="J707" s="69"/>
      <c r="K707" s="5"/>
      <c r="L707" s="39"/>
    </row>
    <row r="708" spans="9:12" x14ac:dyDescent="0.3">
      <c r="I708" s="5"/>
      <c r="J708" s="69"/>
      <c r="K708" s="5"/>
      <c r="L708" s="39"/>
    </row>
    <row r="709" spans="9:12" x14ac:dyDescent="0.3">
      <c r="I709" s="5"/>
      <c r="J709" s="69"/>
      <c r="K709" s="5"/>
      <c r="L709" s="39"/>
    </row>
    <row r="710" spans="9:12" x14ac:dyDescent="0.3">
      <c r="I710" s="5"/>
      <c r="J710" s="69"/>
      <c r="K710" s="5"/>
      <c r="L710" s="39"/>
    </row>
    <row r="711" spans="9:12" x14ac:dyDescent="0.3">
      <c r="I711" s="5"/>
      <c r="J711" s="69"/>
      <c r="K711" s="5"/>
      <c r="L711" s="39"/>
    </row>
    <row r="712" spans="9:12" x14ac:dyDescent="0.3">
      <c r="I712" s="5"/>
      <c r="J712" s="69"/>
      <c r="K712" s="5"/>
      <c r="L712" s="39"/>
    </row>
    <row r="713" spans="9:12" x14ac:dyDescent="0.3">
      <c r="I713" s="5"/>
      <c r="J713" s="69"/>
      <c r="K713" s="5"/>
      <c r="L713" s="39"/>
    </row>
    <row r="714" spans="9:12" x14ac:dyDescent="0.3">
      <c r="I714" s="5"/>
      <c r="J714" s="69"/>
      <c r="K714" s="5"/>
      <c r="L714" s="39"/>
    </row>
    <row r="715" spans="9:12" x14ac:dyDescent="0.3">
      <c r="I715" s="5"/>
      <c r="J715" s="69"/>
      <c r="K715" s="5"/>
      <c r="L715" s="39"/>
    </row>
    <row r="716" spans="9:12" x14ac:dyDescent="0.3">
      <c r="I716" s="5"/>
      <c r="J716" s="69"/>
      <c r="K716" s="5"/>
      <c r="L716" s="39"/>
    </row>
    <row r="717" spans="9:12" x14ac:dyDescent="0.3">
      <c r="I717" s="5"/>
      <c r="J717" s="69"/>
      <c r="K717" s="5"/>
      <c r="L717" s="39"/>
    </row>
    <row r="718" spans="9:12" x14ac:dyDescent="0.3">
      <c r="I718" s="5"/>
      <c r="J718" s="69"/>
      <c r="K718" s="5"/>
      <c r="L718" s="39"/>
    </row>
    <row r="719" spans="9:12" x14ac:dyDescent="0.3">
      <c r="I719" s="5"/>
      <c r="J719" s="69"/>
      <c r="K719" s="5"/>
      <c r="L719" s="39"/>
    </row>
    <row r="720" spans="9:12" x14ac:dyDescent="0.3">
      <c r="I720" s="5"/>
      <c r="J720" s="69"/>
      <c r="K720" s="5"/>
      <c r="L720" s="39"/>
    </row>
    <row r="721" spans="9:12" x14ac:dyDescent="0.3">
      <c r="I721" s="5"/>
      <c r="J721" s="69"/>
      <c r="K721" s="5"/>
      <c r="L721" s="39"/>
    </row>
    <row r="722" spans="9:12" x14ac:dyDescent="0.3">
      <c r="I722" s="5"/>
      <c r="J722" s="69"/>
      <c r="K722" s="5"/>
      <c r="L722" s="39"/>
    </row>
    <row r="723" spans="9:12" x14ac:dyDescent="0.3">
      <c r="I723" s="5"/>
      <c r="J723" s="69"/>
      <c r="K723" s="5"/>
      <c r="L723" s="39"/>
    </row>
    <row r="724" spans="9:12" x14ac:dyDescent="0.3">
      <c r="I724" s="5"/>
      <c r="J724" s="69"/>
      <c r="K724" s="5"/>
      <c r="L724" s="39"/>
    </row>
    <row r="725" spans="9:12" x14ac:dyDescent="0.3">
      <c r="I725" s="5"/>
      <c r="J725" s="69"/>
      <c r="K725" s="5"/>
      <c r="L725" s="39"/>
    </row>
    <row r="726" spans="9:12" x14ac:dyDescent="0.3">
      <c r="I726" s="5"/>
      <c r="J726" s="69"/>
      <c r="K726" s="5"/>
      <c r="L726" s="39"/>
    </row>
    <row r="727" spans="9:12" x14ac:dyDescent="0.3">
      <c r="I727" s="5"/>
      <c r="J727" s="69"/>
      <c r="K727" s="5"/>
      <c r="L727" s="39"/>
    </row>
    <row r="728" spans="9:12" x14ac:dyDescent="0.3">
      <c r="I728" s="5"/>
      <c r="J728" s="69"/>
      <c r="K728" s="5"/>
      <c r="L728" s="39"/>
    </row>
    <row r="729" spans="9:12" x14ac:dyDescent="0.3">
      <c r="I729" s="5"/>
      <c r="J729" s="69"/>
      <c r="K729" s="5"/>
      <c r="L729" s="39"/>
    </row>
    <row r="730" spans="9:12" x14ac:dyDescent="0.3">
      <c r="I730" s="5"/>
      <c r="J730" s="69"/>
      <c r="K730" s="5"/>
      <c r="L730" s="39"/>
    </row>
    <row r="731" spans="9:12" x14ac:dyDescent="0.3">
      <c r="I731" s="5"/>
      <c r="J731" s="69"/>
      <c r="K731" s="5"/>
      <c r="L731" s="39"/>
    </row>
    <row r="732" spans="9:12" x14ac:dyDescent="0.3">
      <c r="I732" s="5"/>
      <c r="J732" s="69"/>
      <c r="K732" s="5"/>
      <c r="L732" s="39"/>
    </row>
    <row r="733" spans="9:12" x14ac:dyDescent="0.3">
      <c r="I733" s="5"/>
      <c r="J733" s="69"/>
      <c r="K733" s="5"/>
      <c r="L733" s="39"/>
    </row>
    <row r="734" spans="9:12" x14ac:dyDescent="0.3">
      <c r="I734" s="5"/>
      <c r="J734" s="69"/>
      <c r="K734" s="5"/>
      <c r="L734" s="39"/>
    </row>
    <row r="735" spans="9:12" x14ac:dyDescent="0.3">
      <c r="I735" s="5"/>
      <c r="J735" s="69"/>
      <c r="K735" s="5"/>
      <c r="L735" s="39"/>
    </row>
    <row r="736" spans="9:12" x14ac:dyDescent="0.3">
      <c r="I736" s="5"/>
      <c r="J736" s="69"/>
      <c r="K736" s="5"/>
      <c r="L736" s="39"/>
    </row>
    <row r="737" spans="9:12" x14ac:dyDescent="0.3">
      <c r="I737" s="5"/>
      <c r="J737" s="69"/>
      <c r="K737" s="5"/>
      <c r="L737" s="39"/>
    </row>
    <row r="738" spans="9:12" x14ac:dyDescent="0.3">
      <c r="I738" s="5"/>
      <c r="J738" s="69"/>
      <c r="K738" s="5"/>
      <c r="L738" s="39"/>
    </row>
    <row r="739" spans="9:12" x14ac:dyDescent="0.3">
      <c r="I739" s="5"/>
      <c r="J739" s="69"/>
      <c r="K739" s="5"/>
      <c r="L739" s="39"/>
    </row>
    <row r="740" spans="9:12" x14ac:dyDescent="0.3">
      <c r="I740" s="5"/>
      <c r="J740" s="69"/>
      <c r="K740" s="5"/>
      <c r="L740" s="39"/>
    </row>
    <row r="741" spans="9:12" x14ac:dyDescent="0.3">
      <c r="I741" s="5"/>
      <c r="J741" s="69"/>
      <c r="K741" s="5"/>
      <c r="L741" s="39"/>
    </row>
    <row r="742" spans="9:12" x14ac:dyDescent="0.3">
      <c r="I742" s="5"/>
      <c r="J742" s="69"/>
      <c r="K742" s="5"/>
      <c r="L742" s="39"/>
    </row>
    <row r="743" spans="9:12" x14ac:dyDescent="0.3">
      <c r="I743" s="5"/>
      <c r="J743" s="69"/>
      <c r="K743" s="5"/>
      <c r="L743" s="39"/>
    </row>
    <row r="744" spans="9:12" x14ac:dyDescent="0.3">
      <c r="I744" s="5"/>
      <c r="J744" s="69"/>
      <c r="K744" s="5"/>
      <c r="L744" s="39"/>
    </row>
    <row r="745" spans="9:12" x14ac:dyDescent="0.3">
      <c r="I745" s="5"/>
      <c r="J745" s="69"/>
      <c r="K745" s="5"/>
      <c r="L745" s="39"/>
    </row>
    <row r="746" spans="9:12" x14ac:dyDescent="0.3">
      <c r="I746" s="5"/>
      <c r="J746" s="69"/>
      <c r="K746" s="5"/>
      <c r="L746" s="39"/>
    </row>
    <row r="747" spans="9:12" x14ac:dyDescent="0.3">
      <c r="I747" s="5"/>
      <c r="J747" s="69"/>
      <c r="K747" s="5"/>
      <c r="L747" s="39"/>
    </row>
    <row r="748" spans="9:12" x14ac:dyDescent="0.3">
      <c r="I748" s="5"/>
      <c r="J748" s="69"/>
      <c r="K748" s="5"/>
      <c r="L748" s="39"/>
    </row>
    <row r="749" spans="9:12" x14ac:dyDescent="0.3">
      <c r="I749" s="5"/>
      <c r="J749" s="69"/>
      <c r="K749" s="5"/>
      <c r="L749" s="39"/>
    </row>
    <row r="750" spans="9:12" x14ac:dyDescent="0.3">
      <c r="I750" s="5"/>
      <c r="J750" s="69"/>
      <c r="K750" s="5"/>
      <c r="L750" s="39"/>
    </row>
    <row r="751" spans="9:12" x14ac:dyDescent="0.3">
      <c r="I751" s="5"/>
      <c r="J751" s="69"/>
      <c r="K751" s="5"/>
      <c r="L751" s="39"/>
    </row>
    <row r="752" spans="9:12" x14ac:dyDescent="0.3">
      <c r="I752" s="5"/>
      <c r="J752" s="69"/>
      <c r="K752" s="5"/>
      <c r="L752" s="39"/>
    </row>
    <row r="753" spans="9:12" x14ac:dyDescent="0.3">
      <c r="I753" s="5"/>
      <c r="J753" s="69"/>
      <c r="K753" s="5"/>
      <c r="L753" s="39"/>
    </row>
    <row r="754" spans="9:12" x14ac:dyDescent="0.3">
      <c r="I754" s="5"/>
      <c r="J754" s="69"/>
      <c r="K754" s="5"/>
      <c r="L754" s="39"/>
    </row>
    <row r="755" spans="9:12" x14ac:dyDescent="0.3">
      <c r="I755" s="5"/>
      <c r="J755" s="69"/>
      <c r="K755" s="5"/>
      <c r="L755" s="39"/>
    </row>
    <row r="756" spans="9:12" x14ac:dyDescent="0.3">
      <c r="I756" s="5"/>
      <c r="J756" s="69"/>
      <c r="K756" s="5"/>
      <c r="L756" s="39"/>
    </row>
    <row r="757" spans="9:12" x14ac:dyDescent="0.3">
      <c r="I757" s="5"/>
      <c r="J757" s="69"/>
      <c r="K757" s="5"/>
      <c r="L757" s="39"/>
    </row>
    <row r="758" spans="9:12" x14ac:dyDescent="0.3">
      <c r="I758" s="5"/>
      <c r="J758" s="69"/>
      <c r="K758" s="5"/>
      <c r="L758" s="39"/>
    </row>
    <row r="759" spans="9:12" x14ac:dyDescent="0.3">
      <c r="I759" s="5"/>
      <c r="J759" s="69"/>
      <c r="K759" s="5"/>
      <c r="L759" s="39"/>
    </row>
    <row r="760" spans="9:12" x14ac:dyDescent="0.3">
      <c r="I760" s="5"/>
      <c r="J760" s="69"/>
      <c r="K760" s="5"/>
      <c r="L760" s="39"/>
    </row>
    <row r="761" spans="9:12" x14ac:dyDescent="0.3">
      <c r="I761" s="5"/>
      <c r="J761" s="69"/>
      <c r="K761" s="5"/>
      <c r="L761" s="39"/>
    </row>
    <row r="762" spans="9:12" x14ac:dyDescent="0.3">
      <c r="I762" s="5"/>
      <c r="J762" s="69"/>
      <c r="K762" s="5"/>
      <c r="L762" s="39"/>
    </row>
    <row r="763" spans="9:12" x14ac:dyDescent="0.3">
      <c r="I763" s="5"/>
      <c r="J763" s="69"/>
      <c r="K763" s="5"/>
      <c r="L763" s="39"/>
    </row>
    <row r="764" spans="9:12" x14ac:dyDescent="0.3">
      <c r="I764" s="5"/>
      <c r="J764" s="69"/>
      <c r="K764" s="5"/>
      <c r="L764" s="39"/>
    </row>
    <row r="765" spans="9:12" x14ac:dyDescent="0.3">
      <c r="I765" s="5"/>
      <c r="J765" s="69"/>
      <c r="K765" s="5"/>
      <c r="L765" s="39"/>
    </row>
    <row r="766" spans="9:12" x14ac:dyDescent="0.3">
      <c r="I766" s="5"/>
      <c r="J766" s="69"/>
      <c r="K766" s="5"/>
      <c r="L766" s="39"/>
    </row>
    <row r="767" spans="9:12" x14ac:dyDescent="0.3">
      <c r="I767" s="5"/>
      <c r="J767" s="69"/>
      <c r="K767" s="5"/>
      <c r="L767" s="39"/>
    </row>
    <row r="768" spans="9:12" x14ac:dyDescent="0.3">
      <c r="I768" s="5"/>
      <c r="J768" s="69"/>
      <c r="K768" s="5"/>
      <c r="L768" s="39"/>
    </row>
    <row r="769" spans="9:12" x14ac:dyDescent="0.3">
      <c r="I769" s="5"/>
      <c r="J769" s="69"/>
      <c r="K769" s="5"/>
      <c r="L769" s="39"/>
    </row>
    <row r="770" spans="9:12" x14ac:dyDescent="0.3">
      <c r="I770" s="5"/>
      <c r="J770" s="69"/>
      <c r="K770" s="5"/>
      <c r="L770" s="39"/>
    </row>
    <row r="771" spans="9:12" x14ac:dyDescent="0.3">
      <c r="I771" s="5"/>
      <c r="J771" s="69"/>
      <c r="K771" s="5"/>
      <c r="L771" s="39"/>
    </row>
    <row r="772" spans="9:12" x14ac:dyDescent="0.3">
      <c r="I772" s="5"/>
      <c r="J772" s="69"/>
      <c r="K772" s="5"/>
      <c r="L772" s="39"/>
    </row>
    <row r="773" spans="9:12" x14ac:dyDescent="0.3">
      <c r="I773" s="5"/>
      <c r="J773" s="69"/>
      <c r="K773" s="5"/>
      <c r="L773" s="39"/>
    </row>
    <row r="774" spans="9:12" x14ac:dyDescent="0.3">
      <c r="I774" s="5"/>
      <c r="J774" s="69"/>
      <c r="K774" s="5"/>
      <c r="L774" s="39"/>
    </row>
    <row r="775" spans="9:12" x14ac:dyDescent="0.3">
      <c r="I775" s="5"/>
      <c r="J775" s="69"/>
      <c r="K775" s="5"/>
      <c r="L775" s="39"/>
    </row>
    <row r="776" spans="9:12" x14ac:dyDescent="0.3">
      <c r="I776" s="5"/>
      <c r="J776" s="69"/>
      <c r="K776" s="5"/>
      <c r="L776" s="39"/>
    </row>
    <row r="777" spans="9:12" x14ac:dyDescent="0.3">
      <c r="I777" s="5"/>
      <c r="J777" s="69"/>
      <c r="K777" s="5"/>
      <c r="L777" s="39"/>
    </row>
    <row r="778" spans="9:12" x14ac:dyDescent="0.3">
      <c r="I778" s="5"/>
      <c r="J778" s="69"/>
      <c r="K778" s="5"/>
      <c r="L778" s="39"/>
    </row>
    <row r="779" spans="9:12" x14ac:dyDescent="0.3">
      <c r="I779" s="5"/>
      <c r="J779" s="69"/>
      <c r="K779" s="5"/>
      <c r="L779" s="39"/>
    </row>
    <row r="780" spans="9:12" x14ac:dyDescent="0.3">
      <c r="I780" s="5"/>
      <c r="J780" s="69"/>
      <c r="K780" s="5"/>
      <c r="L780" s="39"/>
    </row>
    <row r="781" spans="9:12" x14ac:dyDescent="0.3">
      <c r="I781" s="5"/>
      <c r="J781" s="69"/>
      <c r="K781" s="5"/>
      <c r="L781" s="39"/>
    </row>
    <row r="782" spans="9:12" x14ac:dyDescent="0.3">
      <c r="I782" s="5"/>
      <c r="J782" s="69"/>
      <c r="K782" s="5"/>
      <c r="L782" s="39"/>
    </row>
    <row r="783" spans="9:12" x14ac:dyDescent="0.3">
      <c r="I783" s="5"/>
      <c r="J783" s="69"/>
      <c r="K783" s="5"/>
      <c r="L783" s="39"/>
    </row>
    <row r="784" spans="9:12" x14ac:dyDescent="0.3">
      <c r="I784" s="5"/>
      <c r="J784" s="69"/>
      <c r="K784" s="5"/>
      <c r="L784" s="39"/>
    </row>
    <row r="785" spans="9:12" x14ac:dyDescent="0.3">
      <c r="I785" s="5"/>
      <c r="J785" s="69"/>
      <c r="K785" s="5"/>
      <c r="L785" s="39"/>
    </row>
    <row r="786" spans="9:12" x14ac:dyDescent="0.3">
      <c r="I786" s="5"/>
      <c r="J786" s="69"/>
      <c r="K786" s="5"/>
      <c r="L786" s="39"/>
    </row>
    <row r="787" spans="9:12" x14ac:dyDescent="0.3">
      <c r="I787" s="5"/>
      <c r="J787" s="69"/>
      <c r="K787" s="5"/>
      <c r="L787" s="39"/>
    </row>
    <row r="788" spans="9:12" x14ac:dyDescent="0.3">
      <c r="I788" s="5"/>
      <c r="J788" s="69"/>
      <c r="K788" s="5"/>
      <c r="L788" s="39"/>
    </row>
    <row r="789" spans="9:12" x14ac:dyDescent="0.3">
      <c r="I789" s="5"/>
      <c r="J789" s="69"/>
      <c r="K789" s="5"/>
      <c r="L789" s="39"/>
    </row>
    <row r="790" spans="9:12" x14ac:dyDescent="0.3">
      <c r="I790" s="5"/>
      <c r="J790" s="69"/>
      <c r="K790" s="5"/>
      <c r="L790" s="39"/>
    </row>
    <row r="791" spans="9:12" x14ac:dyDescent="0.3">
      <c r="I791" s="5"/>
      <c r="J791" s="69"/>
      <c r="K791" s="5"/>
      <c r="L791" s="39"/>
    </row>
    <row r="792" spans="9:12" x14ac:dyDescent="0.3">
      <c r="I792" s="5"/>
      <c r="J792" s="69"/>
      <c r="K792" s="5"/>
      <c r="L792" s="39"/>
    </row>
    <row r="793" spans="9:12" x14ac:dyDescent="0.3">
      <c r="I793" s="5"/>
      <c r="J793" s="69"/>
      <c r="K793" s="5"/>
      <c r="L793" s="39"/>
    </row>
    <row r="794" spans="9:12" x14ac:dyDescent="0.3">
      <c r="I794" s="5"/>
      <c r="J794" s="69"/>
      <c r="K794" s="5"/>
      <c r="L794" s="39"/>
    </row>
    <row r="795" spans="9:12" x14ac:dyDescent="0.3">
      <c r="I795" s="5"/>
      <c r="J795" s="69"/>
      <c r="K795" s="5"/>
      <c r="L795" s="39"/>
    </row>
    <row r="796" spans="9:12" x14ac:dyDescent="0.3">
      <c r="I796" s="5"/>
      <c r="J796" s="69"/>
      <c r="K796" s="5"/>
      <c r="L796" s="39"/>
    </row>
    <row r="797" spans="9:12" x14ac:dyDescent="0.3">
      <c r="I797" s="5"/>
      <c r="J797" s="69"/>
      <c r="K797" s="5"/>
      <c r="L797" s="39"/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781"/>
  <sheetViews>
    <sheetView workbookViewId="0">
      <pane xSplit="7" ySplit="2" topLeftCell="H168" activePane="bottomRight" state="frozen"/>
      <selection pane="topRight" activeCell="H1" sqref="H1"/>
      <selection pane="bottomLeft" activeCell="A2" sqref="A2"/>
      <selection pane="bottomRight" activeCell="A182" sqref="A182:XFD183"/>
    </sheetView>
  </sheetViews>
  <sheetFormatPr defaultColWidth="14.44140625" defaultRowHeight="15" customHeight="1" x14ac:dyDescent="0.3"/>
  <cols>
    <col min="1" max="1" width="5.6640625" style="43" customWidth="1"/>
    <col min="2" max="2" width="11.88671875" style="37" customWidth="1"/>
    <col min="3" max="3" width="5.33203125" style="29" customWidth="1"/>
    <col min="4" max="4" width="12.109375" style="29" customWidth="1"/>
    <col min="5" max="5" width="13.77734375" style="29" customWidth="1"/>
    <col min="6" max="6" width="10.6640625" style="29" customWidth="1"/>
    <col min="7" max="7" width="7.44140625" style="29" customWidth="1"/>
    <col min="8" max="8" width="14.6640625" style="83" customWidth="1"/>
    <col min="9" max="9" width="9.5546875" style="35" customWidth="1"/>
    <col min="10" max="10" width="15.44140625" customWidth="1"/>
    <col min="11" max="11" width="15.77734375" style="29" customWidth="1"/>
    <col min="12" max="12" width="15.44140625" style="151" customWidth="1"/>
    <col min="13" max="13" width="14.88671875" customWidth="1"/>
    <col min="14" max="14" width="13.33203125" customWidth="1"/>
    <col min="15" max="15" width="3.5546875" style="17" customWidth="1"/>
    <col min="16" max="16" width="7.77734375" style="29" customWidth="1"/>
    <col min="17" max="17" width="12" customWidth="1"/>
    <col min="18" max="18" width="13.21875" customWidth="1"/>
    <col min="19" max="19" width="12.44140625" style="26" customWidth="1"/>
    <col min="20" max="20" width="12.5546875" style="26" customWidth="1"/>
    <col min="21" max="21" width="10.44140625" customWidth="1"/>
    <col min="22" max="22" width="14.88671875" customWidth="1"/>
    <col min="23" max="28" width="9.109375" customWidth="1"/>
  </cols>
  <sheetData>
    <row r="1" spans="1:39" ht="15" customHeight="1" x14ac:dyDescent="0.3">
      <c r="G1" s="153" t="s">
        <v>421</v>
      </c>
      <c r="H1" s="159" t="s">
        <v>426</v>
      </c>
      <c r="I1" s="154" t="s">
        <v>420</v>
      </c>
      <c r="J1" s="157" t="s">
        <v>419</v>
      </c>
      <c r="K1" s="153" t="s">
        <v>422</v>
      </c>
      <c r="N1" s="155" t="s">
        <v>423</v>
      </c>
      <c r="R1" s="155" t="s">
        <v>424</v>
      </c>
      <c r="S1" s="156" t="s">
        <v>425</v>
      </c>
      <c r="T1" s="158" t="s">
        <v>428</v>
      </c>
      <c r="U1" s="155" t="s">
        <v>427</v>
      </c>
    </row>
    <row r="2" spans="1:39" s="48" customFormat="1" ht="30" customHeight="1" x14ac:dyDescent="0.3">
      <c r="A2" s="56" t="s">
        <v>22</v>
      </c>
      <c r="B2" s="56" t="s">
        <v>0</v>
      </c>
      <c r="C2" s="44" t="s">
        <v>1</v>
      </c>
      <c r="D2" s="44" t="s">
        <v>2</v>
      </c>
      <c r="E2" s="44" t="s">
        <v>3</v>
      </c>
      <c r="F2" s="44" t="s">
        <v>4</v>
      </c>
      <c r="G2" s="44" t="s">
        <v>5</v>
      </c>
      <c r="H2" s="78" t="s">
        <v>6</v>
      </c>
      <c r="I2" s="45" t="s">
        <v>7</v>
      </c>
      <c r="J2" s="54" t="s">
        <v>8</v>
      </c>
      <c r="K2" s="47" t="s">
        <v>24</v>
      </c>
      <c r="L2" s="148" t="s">
        <v>25</v>
      </c>
      <c r="M2" s="46" t="s">
        <v>9</v>
      </c>
      <c r="N2" s="53" t="s">
        <v>26</v>
      </c>
      <c r="O2" s="53" t="s">
        <v>27</v>
      </c>
      <c r="P2" s="44"/>
      <c r="Q2" s="50" t="s">
        <v>10</v>
      </c>
      <c r="R2" s="50" t="s">
        <v>11</v>
      </c>
      <c r="S2" s="51" t="s">
        <v>12</v>
      </c>
      <c r="T2" s="51" t="s">
        <v>13</v>
      </c>
      <c r="U2" s="52" t="s">
        <v>14</v>
      </c>
      <c r="V2" s="46" t="s">
        <v>23</v>
      </c>
      <c r="W2" s="49"/>
      <c r="X2" s="49"/>
      <c r="Y2" s="49"/>
      <c r="Z2" s="49"/>
      <c r="AA2" s="49"/>
      <c r="AB2" s="49"/>
    </row>
    <row r="3" spans="1:39" ht="15" customHeight="1" x14ac:dyDescent="0.3">
      <c r="A3" s="43">
        <v>249</v>
      </c>
      <c r="B3" s="30">
        <v>45078</v>
      </c>
      <c r="C3" s="31" t="s">
        <v>32</v>
      </c>
      <c r="D3" s="32" t="s">
        <v>33</v>
      </c>
      <c r="E3" s="67" t="s">
        <v>35</v>
      </c>
      <c r="F3" s="33" t="s">
        <v>34</v>
      </c>
      <c r="G3" s="34">
        <v>50</v>
      </c>
      <c r="H3" s="79">
        <f>(68.07*0.9)*251+190</f>
        <v>15567.012999999999</v>
      </c>
      <c r="I3" s="36"/>
      <c r="J3" s="19">
        <f>(G3*H3)+I3</f>
        <v>778350.64999999991</v>
      </c>
      <c r="K3" s="38">
        <f>7000+J3*0.07</f>
        <v>61484.5455</v>
      </c>
      <c r="L3" s="149">
        <f t="shared" ref="L3:L34" si="0">ROUND(IF((U3*A3*G3)&gt;(J3+(T3*A3)+K3+(Q3*A3)),(U3*A3),((J3+(T3*A3)+K3+(Q3*A3))/G3)),1)</f>
        <v>23009.200000000001</v>
      </c>
      <c r="M3" s="5">
        <f>+L3*G3</f>
        <v>1150460</v>
      </c>
      <c r="N3" s="8">
        <f>VLOOKUP((J3/A3),Variables!$A$3:$C$8,2,TRUE())</f>
        <v>0.22</v>
      </c>
      <c r="O3" s="42">
        <f t="shared" ref="O3:O34" si="1">+Q3*A3</f>
        <v>253101.01782191778</v>
      </c>
      <c r="P3" s="40"/>
      <c r="Q3" s="27">
        <f t="shared" ref="Q3:Q34" si="2">+IF(((U3*G3)-S3-T3)&lt;R3,R3,((U3*G3)-S3-T3))</f>
        <v>1016.4699510920393</v>
      </c>
      <c r="R3" s="27">
        <f>VLOOKUP((J3/A3),Variables!$A$3:$C$8,3,TRUE())</f>
        <v>510</v>
      </c>
      <c r="S3" s="27">
        <f t="shared" ref="S3:S34" si="3">+(J3+K3)/A3</f>
        <v>3372.8321104417669</v>
      </c>
      <c r="T3" s="24">
        <f>+V3/A3*Variables!$B$10</f>
        <v>231.0158979754635</v>
      </c>
      <c r="U3" s="28">
        <f>+(S3/(1-(N3+Variables!$B$10)))/G3</f>
        <v>92.406359190185398</v>
      </c>
      <c r="V3" s="5">
        <f t="shared" ref="V3:V34" si="4">+U3*G3*A3</f>
        <v>1150459.1719178082</v>
      </c>
      <c r="AI3" s="18"/>
      <c r="AJ3" s="18"/>
      <c r="AK3" s="18"/>
      <c r="AL3" s="18"/>
      <c r="AM3" s="18"/>
    </row>
    <row r="4" spans="1:39" ht="15" customHeight="1" x14ac:dyDescent="0.3">
      <c r="A4" s="43">
        <f t="shared" ref="A4:A18" si="5">+A3</f>
        <v>249</v>
      </c>
      <c r="B4" s="30">
        <v>45078</v>
      </c>
      <c r="C4" s="31" t="s">
        <v>32</v>
      </c>
      <c r="D4" s="32" t="s">
        <v>33</v>
      </c>
      <c r="E4" s="67" t="s">
        <v>35</v>
      </c>
      <c r="F4" s="33" t="s">
        <v>34</v>
      </c>
      <c r="G4" s="34">
        <v>30</v>
      </c>
      <c r="H4" s="79">
        <f>(68.07*0.9)*251+190</f>
        <v>15567.012999999999</v>
      </c>
      <c r="I4" s="36"/>
      <c r="J4" s="19">
        <f>(G4*H4)+I4</f>
        <v>467010.38999999996</v>
      </c>
      <c r="K4" s="38">
        <f>7000+J4*0.07</f>
        <v>39690.727299999999</v>
      </c>
      <c r="L4" s="149">
        <f t="shared" si="0"/>
        <v>24128.6</v>
      </c>
      <c r="M4" s="5">
        <f>+L4*G4</f>
        <v>723858</v>
      </c>
      <c r="N4" s="8">
        <f>VLOOKUP((J4/A4),Variables!$A$3:$C$8,2,TRUE())</f>
        <v>0.25</v>
      </c>
      <c r="O4" s="42">
        <f t="shared" si="1"/>
        <v>180964.68474999996</v>
      </c>
      <c r="P4" s="40"/>
      <c r="Q4" s="27">
        <f t="shared" si="2"/>
        <v>726.76580220883523</v>
      </c>
      <c r="R4" s="27">
        <f>VLOOKUP((J4/A4),Variables!$A$3:$C$8,3,TRUE())</f>
        <v>400</v>
      </c>
      <c r="S4" s="27">
        <f t="shared" si="3"/>
        <v>2034.9442461847386</v>
      </c>
      <c r="T4" s="24">
        <f>+V4/A4*Variables!$B$10</f>
        <v>145.35316044176702</v>
      </c>
      <c r="U4" s="28">
        <f>+(S4/(1-(N4+Variables!$B$10)))/G4</f>
        <v>96.902106961178035</v>
      </c>
      <c r="V4" s="5">
        <f t="shared" si="4"/>
        <v>723858.73899999983</v>
      </c>
      <c r="AI4" s="18"/>
      <c r="AJ4" s="18"/>
      <c r="AK4" s="18"/>
      <c r="AL4" s="18"/>
      <c r="AM4" s="18"/>
    </row>
    <row r="5" spans="1:39" ht="15" customHeight="1" x14ac:dyDescent="0.3">
      <c r="A5" s="43">
        <f t="shared" si="5"/>
        <v>249</v>
      </c>
      <c r="B5" s="30">
        <v>45086</v>
      </c>
      <c r="C5" s="31" t="s">
        <v>44</v>
      </c>
      <c r="D5" s="32" t="s">
        <v>45</v>
      </c>
      <c r="E5" s="32" t="s">
        <v>46</v>
      </c>
      <c r="F5" s="33" t="s">
        <v>47</v>
      </c>
      <c r="G5" s="34">
        <v>50</v>
      </c>
      <c r="H5" s="80">
        <v>1400</v>
      </c>
      <c r="I5" s="36"/>
      <c r="J5" s="19">
        <f t="shared" ref="J5:J68" si="6">(G5*H5)+I5</f>
        <v>70000</v>
      </c>
      <c r="K5" s="38">
        <v>3000</v>
      </c>
      <c r="L5" s="149">
        <f t="shared" si="0"/>
        <v>2246.1999999999998</v>
      </c>
      <c r="M5" s="5">
        <f t="shared" ref="M5:M68" si="7">+L5*G5</f>
        <v>112309.99999999999</v>
      </c>
      <c r="N5" s="8">
        <f>VLOOKUP((J5/A5),Variables!$A$3:$C$8,2,TRUE())</f>
        <v>0.3</v>
      </c>
      <c r="O5" s="42">
        <f t="shared" si="1"/>
        <v>33692.307692307666</v>
      </c>
      <c r="P5" s="40"/>
      <c r="Q5" s="27">
        <f t="shared" si="2"/>
        <v>135.31047265987016</v>
      </c>
      <c r="R5" s="27">
        <f>VLOOKUP((J5/A5),Variables!$A$3:$C$8,3,TRUE())</f>
        <v>81.632653061224488</v>
      </c>
      <c r="S5" s="27">
        <f t="shared" si="3"/>
        <v>293.17269076305223</v>
      </c>
      <c r="T5" s="24">
        <f>+V5/A5*Variables!$B$10</f>
        <v>22.551745443311706</v>
      </c>
      <c r="U5" s="28">
        <f>+(S5/(1-(N5+Variables!$B$10)))/G5</f>
        <v>9.0206981773246824</v>
      </c>
      <c r="V5" s="5">
        <f t="shared" si="4"/>
        <v>112307.6923076923</v>
      </c>
      <c r="AI5" s="18"/>
      <c r="AJ5" s="18"/>
      <c r="AK5" s="18"/>
      <c r="AL5" s="18"/>
      <c r="AM5" s="18"/>
    </row>
    <row r="6" spans="1:39" ht="15" customHeight="1" x14ac:dyDescent="0.3">
      <c r="A6" s="43">
        <f t="shared" si="5"/>
        <v>249</v>
      </c>
      <c r="B6" s="30">
        <v>45086</v>
      </c>
      <c r="C6" s="31" t="s">
        <v>44</v>
      </c>
      <c r="D6" s="32" t="s">
        <v>45</v>
      </c>
      <c r="E6" s="32" t="s">
        <v>46</v>
      </c>
      <c r="F6" s="33" t="s">
        <v>47</v>
      </c>
      <c r="G6" s="34">
        <v>100</v>
      </c>
      <c r="H6" s="80">
        <v>1300</v>
      </c>
      <c r="I6" s="36"/>
      <c r="J6" s="19">
        <f t="shared" si="6"/>
        <v>130000</v>
      </c>
      <c r="K6" s="38">
        <v>3000</v>
      </c>
      <c r="L6" s="149">
        <f t="shared" si="0"/>
        <v>1985.1</v>
      </c>
      <c r="M6" s="5">
        <f t="shared" si="7"/>
        <v>198510</v>
      </c>
      <c r="N6" s="8">
        <f>VLOOKUP((J6/A6),Variables!$A$3:$C$8,2,TRUE())</f>
        <v>0.28000000000000003</v>
      </c>
      <c r="O6" s="42">
        <f t="shared" si="1"/>
        <v>55582.089552238831</v>
      </c>
      <c r="P6" s="40"/>
      <c r="Q6" s="27">
        <f t="shared" si="2"/>
        <v>223.22124318168204</v>
      </c>
      <c r="R6" s="27">
        <f>VLOOKUP((J6/A6),Variables!$A$3:$C$8,3,TRUE())</f>
        <v>122</v>
      </c>
      <c r="S6" s="27">
        <f t="shared" si="3"/>
        <v>534.1365461847389</v>
      </c>
      <c r="T6" s="24">
        <f>+V6/A6*Variables!$B$10</f>
        <v>39.860936282443213</v>
      </c>
      <c r="U6" s="28">
        <f>+(S6/(1-(N6+Variables!$B$10)))/G6</f>
        <v>7.9721872564886418</v>
      </c>
      <c r="V6" s="5">
        <f t="shared" si="4"/>
        <v>198507.46268656719</v>
      </c>
      <c r="AI6" s="18"/>
      <c r="AJ6" s="18"/>
      <c r="AK6" s="18"/>
      <c r="AL6" s="18"/>
      <c r="AM6" s="18"/>
    </row>
    <row r="7" spans="1:39" ht="15" customHeight="1" x14ac:dyDescent="0.3">
      <c r="A7" s="43">
        <f t="shared" si="5"/>
        <v>249</v>
      </c>
      <c r="B7" s="30">
        <v>45104</v>
      </c>
      <c r="C7" s="31" t="s">
        <v>50</v>
      </c>
      <c r="D7" s="32" t="s">
        <v>49</v>
      </c>
      <c r="E7" s="32" t="s">
        <v>48</v>
      </c>
      <c r="F7" s="33" t="s">
        <v>34</v>
      </c>
      <c r="G7" s="34">
        <v>20</v>
      </c>
      <c r="H7" s="80">
        <v>17577.189999999999</v>
      </c>
      <c r="I7" s="36"/>
      <c r="J7" s="19">
        <f t="shared" si="6"/>
        <v>351543.8</v>
      </c>
      <c r="K7" s="38">
        <v>5000</v>
      </c>
      <c r="L7" s="149">
        <f t="shared" si="0"/>
        <v>26607.7</v>
      </c>
      <c r="M7" s="5">
        <f t="shared" si="7"/>
        <v>532154</v>
      </c>
      <c r="N7" s="8">
        <f>VLOOKUP((J7/A7),Variables!$A$3:$C$8,2,TRUE())</f>
        <v>0.28000000000000003</v>
      </c>
      <c r="O7" s="42">
        <f t="shared" si="1"/>
        <v>149003.37910447764</v>
      </c>
      <c r="P7" s="40"/>
      <c r="Q7" s="27">
        <f t="shared" si="2"/>
        <v>598.40714499790215</v>
      </c>
      <c r="R7" s="27">
        <f>VLOOKUP((J7/A7),Variables!$A$3:$C$8,3,TRUE())</f>
        <v>122</v>
      </c>
      <c r="S7" s="27">
        <f t="shared" si="3"/>
        <v>1431.9028112449798</v>
      </c>
      <c r="T7" s="24">
        <f>+V7/A7*Variables!$B$10</f>
        <v>106.85841874962537</v>
      </c>
      <c r="U7" s="28">
        <f>+(S7/(1-(N7+Variables!$B$10)))/G7</f>
        <v>106.85841874962537</v>
      </c>
      <c r="V7" s="5">
        <f t="shared" si="4"/>
        <v>532154.92537313432</v>
      </c>
      <c r="AI7" s="18"/>
      <c r="AJ7" s="18"/>
      <c r="AK7" s="18"/>
      <c r="AL7" s="18"/>
      <c r="AM7" s="18"/>
    </row>
    <row r="8" spans="1:39" ht="15" customHeight="1" x14ac:dyDescent="0.3">
      <c r="A8" s="43">
        <f t="shared" si="5"/>
        <v>249</v>
      </c>
      <c r="B8" s="30">
        <v>45104</v>
      </c>
      <c r="C8" s="31" t="s">
        <v>50</v>
      </c>
      <c r="D8" s="32" t="s">
        <v>52</v>
      </c>
      <c r="E8" s="32" t="s">
        <v>51</v>
      </c>
      <c r="F8" s="33" t="s">
        <v>34</v>
      </c>
      <c r="G8" s="34">
        <v>15</v>
      </c>
      <c r="H8" s="80">
        <f>29.1*1.1*269+300</f>
        <v>8910.69</v>
      </c>
      <c r="I8" s="36"/>
      <c r="J8" s="19">
        <f t="shared" si="6"/>
        <v>133660.35</v>
      </c>
      <c r="K8" s="38">
        <f>3000+3000</f>
        <v>6000</v>
      </c>
      <c r="L8" s="149">
        <f t="shared" si="0"/>
        <v>13896.6</v>
      </c>
      <c r="M8" s="5">
        <f t="shared" si="7"/>
        <v>208449</v>
      </c>
      <c r="N8" s="8">
        <f>VLOOKUP((J8/A8),Variables!$A$3:$C$8,2,TRUE())</f>
        <v>0.28000000000000003</v>
      </c>
      <c r="O8" s="42">
        <f t="shared" si="1"/>
        <v>58365.51940298509</v>
      </c>
      <c r="P8" s="40"/>
      <c r="Q8" s="27">
        <f t="shared" si="2"/>
        <v>234.39967631720918</v>
      </c>
      <c r="R8" s="27">
        <f>VLOOKUP((J8/A8),Variables!$A$3:$C$8,3,TRUE())</f>
        <v>122</v>
      </c>
      <c r="S8" s="27">
        <f t="shared" si="3"/>
        <v>560.88493975903611</v>
      </c>
      <c r="T8" s="24">
        <f>+V8/A8*Variables!$B$10</f>
        <v>41.857085056644493</v>
      </c>
      <c r="U8" s="28">
        <f>+(S8/(1-(N8+Variables!$B$10)))/G8</f>
        <v>55.809446742192655</v>
      </c>
      <c r="V8" s="5">
        <f t="shared" si="4"/>
        <v>208448.28358208956</v>
      </c>
      <c r="AI8" s="18"/>
      <c r="AJ8" s="18"/>
      <c r="AK8" s="18"/>
      <c r="AL8" s="18"/>
      <c r="AM8" s="18"/>
    </row>
    <row r="9" spans="1:39" ht="15" customHeight="1" x14ac:dyDescent="0.3">
      <c r="A9" s="43">
        <v>269</v>
      </c>
      <c r="B9" s="30">
        <v>45111</v>
      </c>
      <c r="C9" s="31" t="s">
        <v>53</v>
      </c>
      <c r="D9" s="32" t="s">
        <v>54</v>
      </c>
      <c r="E9" s="32" t="s">
        <v>55</v>
      </c>
      <c r="F9" s="33" t="s">
        <v>47</v>
      </c>
      <c r="G9" s="34">
        <v>200</v>
      </c>
      <c r="H9" s="80">
        <f>3100+150</f>
        <v>3250</v>
      </c>
      <c r="I9" s="36"/>
      <c r="J9" s="19">
        <f t="shared" si="6"/>
        <v>650000</v>
      </c>
      <c r="K9" s="38">
        <f>+J9*0.105+5000+5000</f>
        <v>78250</v>
      </c>
      <c r="L9" s="149">
        <f t="shared" si="0"/>
        <v>4988</v>
      </c>
      <c r="M9" s="5">
        <f t="shared" si="7"/>
        <v>997600</v>
      </c>
      <c r="N9" s="8">
        <f>VLOOKUP((J9/A9),Variables!$A$3:$C$8,2,TRUE())</f>
        <v>0.22</v>
      </c>
      <c r="O9" s="42">
        <f t="shared" si="1"/>
        <v>219472.60273972608</v>
      </c>
      <c r="P9" s="40"/>
      <c r="Q9" s="27">
        <f t="shared" si="2"/>
        <v>815.88328156032003</v>
      </c>
      <c r="R9" s="27">
        <f>VLOOKUP((J9/A9),Variables!$A$3:$C$8,3,TRUE())</f>
        <v>510</v>
      </c>
      <c r="S9" s="27">
        <f t="shared" si="3"/>
        <v>2707.2490706319704</v>
      </c>
      <c r="T9" s="24">
        <f>+V9/A9*Variables!$B$10</f>
        <v>185.42801853643635</v>
      </c>
      <c r="U9" s="28">
        <f>+(S9/(1-(N9+Variables!$B$10)))/G9</f>
        <v>18.542801853643635</v>
      </c>
      <c r="V9" s="5">
        <f t="shared" si="4"/>
        <v>997602.73972602747</v>
      </c>
      <c r="AI9" s="18"/>
      <c r="AJ9" s="18"/>
      <c r="AK9" s="18"/>
      <c r="AL9" s="18"/>
      <c r="AM9" s="18"/>
    </row>
    <row r="10" spans="1:39" ht="15" customHeight="1" x14ac:dyDescent="0.3">
      <c r="A10" s="43">
        <v>269</v>
      </c>
      <c r="B10" s="30">
        <v>45113</v>
      </c>
      <c r="C10" s="31" t="s">
        <v>56</v>
      </c>
      <c r="D10" s="3" t="s">
        <v>59</v>
      </c>
      <c r="E10" s="3" t="s">
        <v>60</v>
      </c>
      <c r="F10" s="75" t="s">
        <v>61</v>
      </c>
      <c r="G10" s="3">
        <v>150</v>
      </c>
      <c r="H10" s="81">
        <v>2295</v>
      </c>
      <c r="I10" s="36"/>
      <c r="J10" s="19">
        <f t="shared" si="6"/>
        <v>344250</v>
      </c>
      <c r="K10" s="38">
        <v>6000</v>
      </c>
      <c r="L10" s="149">
        <f t="shared" si="0"/>
        <v>3485.1</v>
      </c>
      <c r="M10" s="5">
        <f t="shared" si="7"/>
        <v>522765</v>
      </c>
      <c r="N10" s="8">
        <f>VLOOKUP((J10/A10),Variables!$A$3:$C$8,2,TRUE())</f>
        <v>0.28000000000000003</v>
      </c>
      <c r="O10" s="42">
        <f t="shared" si="1"/>
        <v>146373.13432835825</v>
      </c>
      <c r="P10" s="40"/>
      <c r="Q10" s="27">
        <f t="shared" si="2"/>
        <v>544.13804583032811</v>
      </c>
      <c r="R10" s="27">
        <f>VLOOKUP((J10/A10),Variables!$A$3:$C$8,3,TRUE())</f>
        <v>122</v>
      </c>
      <c r="S10" s="27">
        <f t="shared" si="3"/>
        <v>1302.0446096654275</v>
      </c>
      <c r="T10" s="24">
        <f>+V10/A10*Variables!$B$10</f>
        <v>97.167508183987138</v>
      </c>
      <c r="U10" s="28">
        <f>+(S10/(1-(N10+Variables!$B$10)))/G10</f>
        <v>12.955667757864951</v>
      </c>
      <c r="V10" s="5">
        <f t="shared" si="4"/>
        <v>522761.19402985083</v>
      </c>
      <c r="AI10" s="18"/>
      <c r="AJ10" s="18"/>
      <c r="AK10" s="18"/>
      <c r="AL10" s="18"/>
      <c r="AM10" s="18"/>
    </row>
    <row r="11" spans="1:39" ht="15" customHeight="1" x14ac:dyDescent="0.3">
      <c r="A11" s="43">
        <v>269</v>
      </c>
      <c r="B11" s="30">
        <v>45113</v>
      </c>
      <c r="C11" s="31" t="s">
        <v>56</v>
      </c>
      <c r="D11" s="3" t="s">
        <v>57</v>
      </c>
      <c r="E11" s="3" t="s">
        <v>58</v>
      </c>
      <c r="F11" s="75" t="s">
        <v>47</v>
      </c>
      <c r="G11" s="3">
        <v>150</v>
      </c>
      <c r="H11" s="81">
        <f>1.94*273.5+100</f>
        <v>630.59</v>
      </c>
      <c r="I11" s="36"/>
      <c r="J11" s="19">
        <f t="shared" si="6"/>
        <v>94588.5</v>
      </c>
      <c r="K11" s="38">
        <v>3000</v>
      </c>
      <c r="L11" s="149">
        <f t="shared" si="0"/>
        <v>1000.9</v>
      </c>
      <c r="M11" s="5">
        <f t="shared" si="7"/>
        <v>150135</v>
      </c>
      <c r="N11" s="8">
        <f>VLOOKUP((J11/A11),Variables!$A$3:$C$8,2,TRUE())</f>
        <v>0.3</v>
      </c>
      <c r="O11" s="42">
        <f t="shared" si="1"/>
        <v>45040.846153846134</v>
      </c>
      <c r="P11" s="40"/>
      <c r="Q11" s="27">
        <f t="shared" si="2"/>
        <v>167.43808979124958</v>
      </c>
      <c r="R11" s="27">
        <f>VLOOKUP((J11/A11),Variables!$A$3:$C$8,3,TRUE())</f>
        <v>81.632653061224488</v>
      </c>
      <c r="S11" s="27">
        <f t="shared" si="3"/>
        <v>362.78252788104089</v>
      </c>
      <c r="T11" s="24">
        <f>+V11/A11*Variables!$B$10</f>
        <v>27.906348298541605</v>
      </c>
      <c r="U11" s="28">
        <f>+(S11/(1-(N11+Variables!$B$10)))/G11</f>
        <v>3.7208464398055474</v>
      </c>
      <c r="V11" s="5">
        <f t="shared" si="4"/>
        <v>150136.15384615384</v>
      </c>
      <c r="AI11" s="18"/>
      <c r="AJ11" s="18"/>
      <c r="AK11" s="18"/>
      <c r="AL11" s="18"/>
      <c r="AM11" s="18"/>
    </row>
    <row r="12" spans="1:39" ht="15" customHeight="1" x14ac:dyDescent="0.3">
      <c r="A12" s="43">
        <f t="shared" si="5"/>
        <v>269</v>
      </c>
      <c r="B12" s="30">
        <v>45113</v>
      </c>
      <c r="C12" s="31" t="s">
        <v>56</v>
      </c>
      <c r="D12" s="3" t="s">
        <v>62</v>
      </c>
      <c r="E12" s="76" t="s">
        <v>63</v>
      </c>
      <c r="F12" s="75" t="s">
        <v>47</v>
      </c>
      <c r="G12" s="3">
        <v>150</v>
      </c>
      <c r="H12" s="81">
        <f>2295+1.94*273.5+100</f>
        <v>2925.59</v>
      </c>
      <c r="I12" s="36"/>
      <c r="J12" s="19">
        <f t="shared" si="6"/>
        <v>438838.5</v>
      </c>
      <c r="K12" s="38">
        <f>6000+3000</f>
        <v>9000</v>
      </c>
      <c r="L12" s="149">
        <f t="shared" si="0"/>
        <v>4265.1000000000004</v>
      </c>
      <c r="M12" s="5">
        <f t="shared" si="7"/>
        <v>639765</v>
      </c>
      <c r="N12" s="8">
        <f>VLOOKUP((J12/A12),Variables!$A$3:$C$8,2,TRUE())</f>
        <v>0.25</v>
      </c>
      <c r="O12" s="42">
        <f t="shared" si="1"/>
        <v>159942.32142857145</v>
      </c>
      <c r="P12" s="40"/>
      <c r="Q12" s="27">
        <f t="shared" si="2"/>
        <v>594.58112055231027</v>
      </c>
      <c r="R12" s="27">
        <f>VLOOKUP((J12/A12),Variables!$A$3:$C$8,3,TRUE())</f>
        <v>400</v>
      </c>
      <c r="S12" s="27">
        <f t="shared" si="3"/>
        <v>1664.8271375464683</v>
      </c>
      <c r="T12" s="24">
        <f>+V12/A12*Variables!$B$10</f>
        <v>118.91622411046204</v>
      </c>
      <c r="U12" s="28">
        <f>+(S12/(1-(N12+Variables!$B$10)))/G12</f>
        <v>15.855496548061604</v>
      </c>
      <c r="V12" s="5">
        <f t="shared" si="4"/>
        <v>639769.28571428568</v>
      </c>
      <c r="AI12" s="18"/>
      <c r="AJ12" s="18"/>
      <c r="AK12" s="18"/>
      <c r="AL12" s="18"/>
      <c r="AM12" s="18"/>
    </row>
    <row r="13" spans="1:39" ht="15" customHeight="1" x14ac:dyDescent="0.3">
      <c r="A13" s="43">
        <f t="shared" si="5"/>
        <v>269</v>
      </c>
      <c r="B13" s="30">
        <v>45114</v>
      </c>
      <c r="C13" s="31" t="s">
        <v>64</v>
      </c>
      <c r="D13" s="32" t="s">
        <v>65</v>
      </c>
      <c r="E13" s="32" t="s">
        <v>66</v>
      </c>
      <c r="F13" s="33" t="s">
        <v>67</v>
      </c>
      <c r="G13" s="34">
        <v>100</v>
      </c>
      <c r="H13" s="80">
        <f>205+30+10</f>
        <v>245</v>
      </c>
      <c r="I13" s="36"/>
      <c r="J13" s="19">
        <f t="shared" si="6"/>
        <v>24500</v>
      </c>
      <c r="K13" s="38"/>
      <c r="L13" s="149">
        <f t="shared" si="0"/>
        <v>483.4</v>
      </c>
      <c r="M13" s="5">
        <f t="shared" si="7"/>
        <v>48340</v>
      </c>
      <c r="N13" s="8">
        <f>VLOOKUP((J13/A13),Variables!$A$3:$C$8,2,TRUE())</f>
        <v>0.3</v>
      </c>
      <c r="O13" s="42">
        <f t="shared" si="1"/>
        <v>21959.183673469386</v>
      </c>
      <c r="P13" s="40"/>
      <c r="Q13" s="27">
        <f t="shared" si="2"/>
        <v>81.632653061224488</v>
      </c>
      <c r="R13" s="27">
        <f>VLOOKUP((J13/A13),Variables!$A$3:$C$8,3,TRUE())</f>
        <v>81.632653061224488</v>
      </c>
      <c r="S13" s="27">
        <f t="shared" si="3"/>
        <v>91.078066914498137</v>
      </c>
      <c r="T13" s="24">
        <f>+V13/A13*Variables!$B$10</f>
        <v>7.0060051472690876</v>
      </c>
      <c r="U13" s="28">
        <f>+(S13/(1-(N13+Variables!$B$10)))/G13</f>
        <v>1.4012010294538175</v>
      </c>
      <c r="V13" s="5">
        <f t="shared" si="4"/>
        <v>37692.307692307688</v>
      </c>
      <c r="AI13" s="18"/>
      <c r="AJ13" s="18"/>
      <c r="AK13" s="18"/>
      <c r="AL13" s="18"/>
      <c r="AM13" s="18"/>
    </row>
    <row r="14" spans="1:39" ht="15" customHeight="1" x14ac:dyDescent="0.3">
      <c r="A14" s="43">
        <f t="shared" si="5"/>
        <v>269</v>
      </c>
      <c r="B14" s="30">
        <v>45114</v>
      </c>
      <c r="C14" s="31" t="s">
        <v>68</v>
      </c>
      <c r="D14" s="32" t="s">
        <v>69</v>
      </c>
      <c r="E14" s="32" t="s">
        <v>70</v>
      </c>
      <c r="F14" s="33" t="s">
        <v>71</v>
      </c>
      <c r="G14" s="34">
        <v>180</v>
      </c>
      <c r="H14" s="82">
        <v>19833.734</v>
      </c>
      <c r="I14">
        <f>100*310+80*260</f>
        <v>51800</v>
      </c>
      <c r="J14" s="19">
        <f t="shared" si="6"/>
        <v>3621872.12</v>
      </c>
      <c r="K14" s="77">
        <f>8000+23100+2400+(J14*0.5*0.105)+(J14*0.5*0.07)</f>
        <v>350413.81050000002</v>
      </c>
      <c r="L14" s="149">
        <f t="shared" si="0"/>
        <v>28660.1</v>
      </c>
      <c r="M14" s="5">
        <f t="shared" si="7"/>
        <v>5158818</v>
      </c>
      <c r="N14" s="8">
        <f>VLOOKUP((J14/A14),Variables!$A$3:$C$8,2,TRUE())</f>
        <v>0.18</v>
      </c>
      <c r="O14" s="42">
        <f t="shared" si="1"/>
        <v>928586.3214155843</v>
      </c>
      <c r="P14" s="40"/>
      <c r="Q14" s="27">
        <f t="shared" si="2"/>
        <v>3451.9937599092355</v>
      </c>
      <c r="R14" s="27">
        <f>VLOOKUP((J14/A14),Variables!$A$3:$C$8,3,TRUE())</f>
        <v>1094</v>
      </c>
      <c r="S14" s="27">
        <f t="shared" si="3"/>
        <v>14766.862195167287</v>
      </c>
      <c r="T14" s="24">
        <f>+V14/A14*Variables!$B$10</f>
        <v>958.88715553034331</v>
      </c>
      <c r="U14" s="28">
        <f>+(S14/(1-(N14+Variables!$B$10)))/G14</f>
        <v>106.54301728114925</v>
      </c>
      <c r="V14" s="5">
        <f t="shared" si="4"/>
        <v>5158812.8967532469</v>
      </c>
      <c r="AI14" s="18"/>
      <c r="AJ14" s="18"/>
      <c r="AK14" s="18"/>
      <c r="AL14" s="18"/>
      <c r="AM14" s="18"/>
    </row>
    <row r="15" spans="1:39" ht="15" customHeight="1" x14ac:dyDescent="0.3">
      <c r="A15" s="43">
        <f t="shared" si="5"/>
        <v>269</v>
      </c>
      <c r="B15" s="30">
        <v>45117</v>
      </c>
      <c r="C15" s="31" t="s">
        <v>41</v>
      </c>
      <c r="D15" s="32" t="s">
        <v>49</v>
      </c>
      <c r="E15" s="32" t="s">
        <v>40</v>
      </c>
      <c r="F15" s="33" t="s">
        <v>47</v>
      </c>
      <c r="G15" s="34">
        <v>50</v>
      </c>
      <c r="H15" s="80">
        <v>2063.1799999999998</v>
      </c>
      <c r="I15" s="36"/>
      <c r="J15" s="19">
        <f t="shared" si="6"/>
        <v>103158.99999999999</v>
      </c>
      <c r="K15" s="38">
        <v>15000</v>
      </c>
      <c r="L15" s="149">
        <f t="shared" si="0"/>
        <v>3635.7</v>
      </c>
      <c r="M15" s="5">
        <f t="shared" si="7"/>
        <v>181785</v>
      </c>
      <c r="N15" s="8">
        <f>VLOOKUP((J15/A15),Variables!$A$3:$C$8,2,TRUE())</f>
        <v>0.3</v>
      </c>
      <c r="O15" s="42">
        <f t="shared" si="1"/>
        <v>54534.923076923071</v>
      </c>
      <c r="P15" s="40"/>
      <c r="Q15" s="27">
        <f t="shared" si="2"/>
        <v>202.73205604804116</v>
      </c>
      <c r="R15" s="27">
        <f>VLOOKUP((J15/A15),Variables!$A$3:$C$8,3,TRUE())</f>
        <v>81.632653061224488</v>
      </c>
      <c r="S15" s="27">
        <f t="shared" si="3"/>
        <v>439.25278810408918</v>
      </c>
      <c r="T15" s="24">
        <f>+V15/A15*Variables!$B$10</f>
        <v>33.78867600800686</v>
      </c>
      <c r="U15" s="28">
        <f>+(S15/(1-(N15+Variables!$B$10)))/G15</f>
        <v>13.515470403202745</v>
      </c>
      <c r="V15" s="5">
        <f t="shared" si="4"/>
        <v>181783.07692307691</v>
      </c>
      <c r="AI15" s="18"/>
      <c r="AJ15" s="18"/>
      <c r="AK15" s="18"/>
      <c r="AL15" s="18"/>
      <c r="AM15" s="18"/>
    </row>
    <row r="16" spans="1:39" ht="15" customHeight="1" x14ac:dyDescent="0.3">
      <c r="A16" s="43">
        <f t="shared" si="5"/>
        <v>269</v>
      </c>
      <c r="B16" s="30">
        <v>45124</v>
      </c>
      <c r="C16" s="31" t="s">
        <v>72</v>
      </c>
      <c r="D16" s="32" t="s">
        <v>54</v>
      </c>
      <c r="E16" s="32" t="s">
        <v>73</v>
      </c>
      <c r="F16" s="33" t="s">
        <v>47</v>
      </c>
      <c r="G16" s="34">
        <v>600</v>
      </c>
      <c r="H16" s="80">
        <f>990*1.1+200</f>
        <v>1289</v>
      </c>
      <c r="I16" s="36"/>
      <c r="J16" s="19">
        <f t="shared" si="6"/>
        <v>773400</v>
      </c>
      <c r="K16" s="38">
        <v>8000</v>
      </c>
      <c r="L16" s="149">
        <f t="shared" si="0"/>
        <v>1784</v>
      </c>
      <c r="M16" s="5">
        <f t="shared" si="7"/>
        <v>1070400</v>
      </c>
      <c r="N16" s="8">
        <f>VLOOKUP((J16/A16),Variables!$A$3:$C$8,2,TRUE())</f>
        <v>0.22</v>
      </c>
      <c r="O16" s="42">
        <f t="shared" si="1"/>
        <v>235490.4109589041</v>
      </c>
      <c r="P16" s="40"/>
      <c r="Q16" s="27">
        <f t="shared" si="2"/>
        <v>875.42903702194837</v>
      </c>
      <c r="R16" s="27">
        <f>VLOOKUP((J16/A16),Variables!$A$3:$C$8,3,TRUE())</f>
        <v>510</v>
      </c>
      <c r="S16" s="27">
        <f t="shared" si="3"/>
        <v>2904.8327137546466</v>
      </c>
      <c r="T16" s="24">
        <f>+V16/A16*Variables!$B$10</f>
        <v>198.9611447777155</v>
      </c>
      <c r="U16" s="28">
        <f>+(S16/(1-(N16+Variables!$B$10)))/G16</f>
        <v>6.632038159257184</v>
      </c>
      <c r="V16" s="5">
        <f t="shared" si="4"/>
        <v>1070410.9589041094</v>
      </c>
      <c r="AI16" s="18"/>
      <c r="AJ16" s="18"/>
      <c r="AK16" s="18"/>
      <c r="AL16" s="18"/>
      <c r="AM16" s="18"/>
    </row>
    <row r="17" spans="1:39" ht="15" customHeight="1" x14ac:dyDescent="0.3">
      <c r="A17" s="43">
        <f t="shared" si="5"/>
        <v>269</v>
      </c>
      <c r="B17" s="30">
        <v>45131</v>
      </c>
      <c r="C17" s="31" t="s">
        <v>74</v>
      </c>
      <c r="D17" s="32" t="s">
        <v>75</v>
      </c>
      <c r="E17" s="32" t="s">
        <v>77</v>
      </c>
      <c r="F17" s="33" t="s">
        <v>76</v>
      </c>
      <c r="G17" s="34">
        <v>300</v>
      </c>
      <c r="H17" s="80">
        <f>6400+150</f>
        <v>6550</v>
      </c>
      <c r="I17" s="36"/>
      <c r="J17" s="19">
        <f t="shared" si="6"/>
        <v>1965000</v>
      </c>
      <c r="K17" s="38">
        <v>4000</v>
      </c>
      <c r="L17" s="149">
        <f t="shared" si="0"/>
        <v>8523.7999999999993</v>
      </c>
      <c r="M17" s="5">
        <f t="shared" si="7"/>
        <v>2557140</v>
      </c>
      <c r="N17" s="8">
        <f>VLOOKUP((J17/A17),Variables!$A$3:$C$8,2,TRUE())</f>
        <v>0.18</v>
      </c>
      <c r="O17" s="42">
        <f t="shared" si="1"/>
        <v>460285.71428571432</v>
      </c>
      <c r="P17" s="40"/>
      <c r="Q17" s="27">
        <f t="shared" si="2"/>
        <v>1711.0993096123209</v>
      </c>
      <c r="R17" s="27">
        <f>VLOOKUP((J17/A17),Variables!$A$3:$C$8,3,TRUE())</f>
        <v>1094</v>
      </c>
      <c r="S17" s="27">
        <f t="shared" si="3"/>
        <v>7319.7026022304835</v>
      </c>
      <c r="T17" s="24">
        <f>+V17/A17*Variables!$B$10</f>
        <v>475.30536378120024</v>
      </c>
      <c r="U17" s="28">
        <f>+(S17/(1-(N17+Variables!$B$10)))/G17</f>
        <v>31.687024252080015</v>
      </c>
      <c r="V17" s="5">
        <f t="shared" si="4"/>
        <v>2557142.8571428573</v>
      </c>
      <c r="AI17" s="18"/>
      <c r="AJ17" s="18"/>
      <c r="AK17" s="18"/>
      <c r="AL17" s="18"/>
      <c r="AM17" s="18"/>
    </row>
    <row r="18" spans="1:39" ht="15" customHeight="1" x14ac:dyDescent="0.3">
      <c r="A18" s="43">
        <f t="shared" si="5"/>
        <v>269</v>
      </c>
      <c r="B18" s="30">
        <v>45131</v>
      </c>
      <c r="C18" s="31" t="s">
        <v>74</v>
      </c>
      <c r="D18" s="32" t="s">
        <v>78</v>
      </c>
      <c r="E18" s="32" t="s">
        <v>79</v>
      </c>
      <c r="F18" s="33" t="s">
        <v>76</v>
      </c>
      <c r="G18" s="34">
        <v>500</v>
      </c>
      <c r="H18" s="80">
        <f>21.72*285.5*0.85*0.98*0.98*1.075+58.33*2</f>
        <v>5558.4963194299989</v>
      </c>
      <c r="I18" s="36"/>
      <c r="J18" s="19">
        <f t="shared" si="6"/>
        <v>2779248.1597149996</v>
      </c>
      <c r="K18" s="38">
        <f>4000+J18*0.4*0.07</f>
        <v>81818.948472019998</v>
      </c>
      <c r="L18" s="149">
        <f t="shared" si="0"/>
        <v>7431.3</v>
      </c>
      <c r="M18" s="5">
        <f t="shared" si="7"/>
        <v>3715650</v>
      </c>
      <c r="N18" s="8">
        <f>VLOOKUP((J18/A18),Variables!$A$3:$C$8,2,TRUE())</f>
        <v>0.18</v>
      </c>
      <c r="O18" s="42">
        <f t="shared" si="1"/>
        <v>668820.88243332924</v>
      </c>
      <c r="P18" s="40"/>
      <c r="Q18" s="27">
        <f t="shared" si="2"/>
        <v>2486.3229830235286</v>
      </c>
      <c r="R18" s="27">
        <f>VLOOKUP((J18/A18),Variables!$A$3:$C$8,3,TRUE())</f>
        <v>1094</v>
      </c>
      <c r="S18" s="27">
        <f t="shared" si="3"/>
        <v>10635.937205156208</v>
      </c>
      <c r="T18" s="24">
        <f>+V18/A18*Variables!$B$10</f>
        <v>690.64527306209141</v>
      </c>
      <c r="U18" s="28">
        <f>+(S18/(1-(N18+Variables!$B$10)))/G18</f>
        <v>27.625810922483655</v>
      </c>
      <c r="V18" s="5">
        <f t="shared" si="4"/>
        <v>3715671.5690740515</v>
      </c>
      <c r="AI18" s="18"/>
      <c r="AJ18" s="18"/>
      <c r="AK18" s="18"/>
      <c r="AL18" s="18"/>
      <c r="AM18" s="18"/>
    </row>
    <row r="19" spans="1:39" ht="15" customHeight="1" x14ac:dyDescent="0.3">
      <c r="A19" s="43">
        <v>269</v>
      </c>
      <c r="B19" s="30">
        <v>45131</v>
      </c>
      <c r="C19" s="31" t="s">
        <v>74</v>
      </c>
      <c r="D19" s="32" t="s">
        <v>80</v>
      </c>
      <c r="E19" s="32" t="s">
        <v>81</v>
      </c>
      <c r="F19" s="33" t="s">
        <v>76</v>
      </c>
      <c r="G19" s="34">
        <v>500</v>
      </c>
      <c r="H19" s="80">
        <f>150*2</f>
        <v>300</v>
      </c>
      <c r="I19" s="36">
        <v>999500</v>
      </c>
      <c r="J19" s="19">
        <f t="shared" si="6"/>
        <v>1149500</v>
      </c>
      <c r="K19" s="38">
        <v>4000</v>
      </c>
      <c r="L19" s="149">
        <f t="shared" si="0"/>
        <v>3076</v>
      </c>
      <c r="M19" s="5">
        <f t="shared" si="7"/>
        <v>1538000</v>
      </c>
      <c r="N19" s="8">
        <f>VLOOKUP((J19/A19),Variables!$A$3:$C$8,2,TRUE())</f>
        <v>0.2</v>
      </c>
      <c r="O19" s="42">
        <f t="shared" si="1"/>
        <v>307599.99999999994</v>
      </c>
      <c r="P19" s="40"/>
      <c r="Q19" s="27">
        <f t="shared" si="2"/>
        <v>1143.4944237918214</v>
      </c>
      <c r="R19" s="27">
        <f>VLOOKUP((J19/A19),Variables!$A$3:$C$8,3,TRUE())</f>
        <v>898</v>
      </c>
      <c r="S19" s="27">
        <f t="shared" si="3"/>
        <v>4288.1040892193305</v>
      </c>
      <c r="T19" s="24">
        <f>+V19/A19*Variables!$B$10</f>
        <v>285.87360594795535</v>
      </c>
      <c r="U19" s="28">
        <f>+(S19/(1-(N19+Variables!$B$10)))/G19</f>
        <v>11.434944237918215</v>
      </c>
      <c r="V19" s="5">
        <f t="shared" si="4"/>
        <v>1537999.9999999998</v>
      </c>
      <c r="AI19" s="18"/>
      <c r="AJ19" s="18"/>
      <c r="AK19" s="18"/>
      <c r="AL19" s="18"/>
      <c r="AM19" s="18"/>
    </row>
    <row r="20" spans="1:39" ht="15" customHeight="1" x14ac:dyDescent="0.3">
      <c r="A20" s="43">
        <v>269</v>
      </c>
      <c r="B20" s="30">
        <v>45131</v>
      </c>
      <c r="C20" s="31" t="s">
        <v>85</v>
      </c>
      <c r="D20" s="32" t="s">
        <v>82</v>
      </c>
      <c r="E20" s="32" t="s">
        <v>83</v>
      </c>
      <c r="F20" s="33" t="s">
        <v>84</v>
      </c>
      <c r="G20" s="34">
        <v>300</v>
      </c>
      <c r="H20" s="80">
        <v>319.8</v>
      </c>
      <c r="I20" s="36"/>
      <c r="J20" s="19">
        <f t="shared" si="6"/>
        <v>95940</v>
      </c>
      <c r="K20" s="38">
        <v>5000</v>
      </c>
      <c r="L20" s="149">
        <f t="shared" si="0"/>
        <v>517.6</v>
      </c>
      <c r="M20" s="5">
        <f t="shared" si="7"/>
        <v>155280</v>
      </c>
      <c r="N20" s="8">
        <f>VLOOKUP((J20/A20),Variables!$A$3:$C$8,2,TRUE())</f>
        <v>0.3</v>
      </c>
      <c r="O20" s="42">
        <f t="shared" si="1"/>
        <v>46587.692307692298</v>
      </c>
      <c r="P20" s="40"/>
      <c r="Q20" s="27">
        <f t="shared" si="2"/>
        <v>173.18844724049183</v>
      </c>
      <c r="R20" s="27">
        <f>VLOOKUP((J20/A20),Variables!$A$3:$C$8,3,TRUE())</f>
        <v>81.632653061224488</v>
      </c>
      <c r="S20" s="27">
        <f t="shared" si="3"/>
        <v>375.24163568773236</v>
      </c>
      <c r="T20" s="24">
        <f>+V20/A20*Variables!$B$10</f>
        <v>28.864741206748644</v>
      </c>
      <c r="U20" s="28">
        <f>+(S20/(1-(N20+Variables!$B$10)))/G20</f>
        <v>1.9243160804499093</v>
      </c>
      <c r="V20" s="5">
        <f t="shared" si="4"/>
        <v>155292.30769230769</v>
      </c>
      <c r="AI20" s="18"/>
      <c r="AJ20" s="18"/>
      <c r="AK20" s="18"/>
      <c r="AL20" s="18"/>
      <c r="AM20" s="18"/>
    </row>
    <row r="21" spans="1:39" ht="15" customHeight="1" x14ac:dyDescent="0.3">
      <c r="A21" s="43">
        <v>269</v>
      </c>
      <c r="B21" s="30">
        <v>45131</v>
      </c>
      <c r="C21" s="31" t="s">
        <v>85</v>
      </c>
      <c r="D21" s="32" t="s">
        <v>82</v>
      </c>
      <c r="E21" s="32" t="s">
        <v>83</v>
      </c>
      <c r="F21" s="33" t="s">
        <v>84</v>
      </c>
      <c r="G21" s="34">
        <v>500</v>
      </c>
      <c r="H21" s="80">
        <v>304.57</v>
      </c>
      <c r="I21" s="36"/>
      <c r="J21" s="19">
        <f t="shared" si="6"/>
        <v>152285</v>
      </c>
      <c r="K21" s="38">
        <v>5000</v>
      </c>
      <c r="L21" s="149">
        <f t="shared" si="0"/>
        <v>469.5</v>
      </c>
      <c r="M21" s="5">
        <f t="shared" si="7"/>
        <v>234750</v>
      </c>
      <c r="N21" s="8">
        <f>VLOOKUP((J21/A21),Variables!$A$3:$C$8,2,TRUE())</f>
        <v>0.28000000000000003</v>
      </c>
      <c r="O21" s="42">
        <f t="shared" si="1"/>
        <v>65731.044776119423</v>
      </c>
      <c r="P21" s="40"/>
      <c r="Q21" s="27">
        <f t="shared" si="2"/>
        <v>244.35332630527665</v>
      </c>
      <c r="R21" s="27">
        <f>VLOOKUP((J21/A21),Variables!$A$3:$C$8,3,TRUE())</f>
        <v>122</v>
      </c>
      <c r="S21" s="27">
        <f t="shared" si="3"/>
        <v>584.70260223048331</v>
      </c>
      <c r="T21" s="24">
        <f>+V21/A21*Variables!$B$10</f>
        <v>43.634522554513687</v>
      </c>
      <c r="U21" s="28">
        <f>+(S21/(1-(N21+Variables!$B$10)))/G21</f>
        <v>1.7453809021805473</v>
      </c>
      <c r="V21" s="5">
        <f t="shared" si="4"/>
        <v>234753.73134328361</v>
      </c>
      <c r="AI21" s="18"/>
      <c r="AJ21" s="18"/>
      <c r="AK21" s="18"/>
      <c r="AL21" s="18"/>
      <c r="AM21" s="18"/>
    </row>
    <row r="22" spans="1:39" ht="15" customHeight="1" x14ac:dyDescent="0.3">
      <c r="A22" s="43">
        <v>269</v>
      </c>
      <c r="B22" s="30">
        <v>45131</v>
      </c>
      <c r="C22" s="31" t="s">
        <v>85</v>
      </c>
      <c r="D22" s="32" t="s">
        <v>82</v>
      </c>
      <c r="E22" s="32" t="s">
        <v>83</v>
      </c>
      <c r="F22" s="33" t="s">
        <v>86</v>
      </c>
      <c r="G22" s="34">
        <v>300</v>
      </c>
      <c r="H22" s="80">
        <v>345.8</v>
      </c>
      <c r="I22" s="36"/>
      <c r="J22" s="19">
        <f t="shared" si="6"/>
        <v>103740</v>
      </c>
      <c r="K22" s="38">
        <v>5000</v>
      </c>
      <c r="L22" s="149">
        <f t="shared" si="0"/>
        <v>557.6</v>
      </c>
      <c r="M22" s="5">
        <f t="shared" si="7"/>
        <v>167280</v>
      </c>
      <c r="N22" s="8">
        <f>VLOOKUP((J22/A22),Variables!$A$3:$C$8,2,TRUE())</f>
        <v>0.3</v>
      </c>
      <c r="O22" s="42">
        <f t="shared" si="1"/>
        <v>50187.692307692305</v>
      </c>
      <c r="P22" s="40"/>
      <c r="Q22" s="27">
        <f t="shared" si="2"/>
        <v>186.57134686874463</v>
      </c>
      <c r="R22" s="27">
        <f>VLOOKUP((J22/A22),Variables!$A$3:$C$8,3,TRUE())</f>
        <v>81.632653061224488</v>
      </c>
      <c r="S22" s="27">
        <f t="shared" si="3"/>
        <v>404.23791821561338</v>
      </c>
      <c r="T22" s="24">
        <f>+V22/A22*Variables!$B$10</f>
        <v>31.095224478124109</v>
      </c>
      <c r="U22" s="28">
        <f>+(S22/(1-(N22+Variables!$B$10)))/G22</f>
        <v>2.0730149652082739</v>
      </c>
      <c r="V22" s="5">
        <f t="shared" si="4"/>
        <v>167292.30769230769</v>
      </c>
      <c r="AI22" s="18"/>
      <c r="AJ22" s="18"/>
      <c r="AK22" s="18"/>
      <c r="AL22" s="18"/>
      <c r="AM22" s="18"/>
    </row>
    <row r="23" spans="1:39" ht="15" customHeight="1" x14ac:dyDescent="0.3">
      <c r="A23" s="43">
        <v>269</v>
      </c>
      <c r="B23" s="30">
        <v>45131</v>
      </c>
      <c r="C23" s="31" t="s">
        <v>85</v>
      </c>
      <c r="D23" s="32" t="s">
        <v>82</v>
      </c>
      <c r="E23" s="32" t="s">
        <v>83</v>
      </c>
      <c r="F23" s="33" t="s">
        <v>86</v>
      </c>
      <c r="G23" s="34">
        <v>500</v>
      </c>
      <c r="H23" s="80">
        <v>329.33</v>
      </c>
      <c r="I23" s="36"/>
      <c r="J23" s="19">
        <f t="shared" si="6"/>
        <v>164665</v>
      </c>
      <c r="K23" s="38">
        <v>5000</v>
      </c>
      <c r="L23" s="149">
        <f t="shared" si="0"/>
        <v>506.5</v>
      </c>
      <c r="M23" s="5">
        <f t="shared" si="7"/>
        <v>253250</v>
      </c>
      <c r="N23" s="8">
        <f>VLOOKUP((J23/A23),Variables!$A$3:$C$8,2,TRUE())</f>
        <v>0.28000000000000003</v>
      </c>
      <c r="O23" s="42">
        <f t="shared" si="1"/>
        <v>70904.776119403017</v>
      </c>
      <c r="P23" s="40"/>
      <c r="Q23" s="27">
        <f t="shared" si="2"/>
        <v>263.58652832491828</v>
      </c>
      <c r="R23" s="27">
        <f>VLOOKUP((J23/A23),Variables!$A$3:$C$8,3,TRUE())</f>
        <v>122</v>
      </c>
      <c r="S23" s="27">
        <f t="shared" si="3"/>
        <v>630.72490706319707</v>
      </c>
      <c r="T23" s="24">
        <f>+V23/A23*Variables!$B$10</f>
        <v>47.06902291516397</v>
      </c>
      <c r="U23" s="28">
        <f>+(S23/(1-(N23+Variables!$B$10)))/G23</f>
        <v>1.8827609166065586</v>
      </c>
      <c r="V23" s="5">
        <f t="shared" si="4"/>
        <v>253231.34328358213</v>
      </c>
      <c r="AI23" s="18"/>
      <c r="AJ23" s="18"/>
      <c r="AK23" s="18"/>
      <c r="AL23" s="18"/>
      <c r="AM23" s="18"/>
    </row>
    <row r="24" spans="1:39" ht="15" customHeight="1" x14ac:dyDescent="0.3">
      <c r="A24" s="43">
        <v>269</v>
      </c>
      <c r="B24" s="30">
        <v>45132</v>
      </c>
      <c r="C24" s="31" t="s">
        <v>87</v>
      </c>
      <c r="D24" s="84" t="s">
        <v>88</v>
      </c>
      <c r="E24" s="84" t="s">
        <v>89</v>
      </c>
      <c r="F24" s="84" t="s">
        <v>34</v>
      </c>
      <c r="G24" s="84">
        <v>50</v>
      </c>
      <c r="H24" s="160">
        <f>11.88*1.1*286.5</f>
        <v>3743.9820000000004</v>
      </c>
      <c r="I24" s="85">
        <f>300*50</f>
        <v>15000</v>
      </c>
      <c r="J24" s="19">
        <f t="shared" si="6"/>
        <v>202199.10000000003</v>
      </c>
      <c r="K24" s="38">
        <v>6000</v>
      </c>
      <c r="L24" s="149">
        <f t="shared" si="0"/>
        <v>6214.9</v>
      </c>
      <c r="M24" s="5">
        <f t="shared" si="7"/>
        <v>310745</v>
      </c>
      <c r="N24" s="8">
        <f>VLOOKUP((J24/A24),Variables!$A$3:$C$8,2,TRUE())</f>
        <v>0.28000000000000003</v>
      </c>
      <c r="O24" s="42">
        <f t="shared" si="1"/>
        <v>87008.579104477671</v>
      </c>
      <c r="P24" s="40"/>
      <c r="Q24" s="27">
        <f t="shared" si="2"/>
        <v>323.45196693114377</v>
      </c>
      <c r="R24" s="27">
        <f>VLOOKUP((J24/A24),Variables!$A$3:$C$8,3,TRUE())</f>
        <v>122</v>
      </c>
      <c r="S24" s="27">
        <f t="shared" si="3"/>
        <v>773.97434944237932</v>
      </c>
      <c r="T24" s="24">
        <f>+V24/A24*Variables!$B$10</f>
        <v>57.759279809132799</v>
      </c>
      <c r="U24" s="28">
        <f>+(S24/(1-(N24+Variables!$B$10)))/G24</f>
        <v>23.103711923653119</v>
      </c>
      <c r="V24" s="5">
        <f t="shared" si="4"/>
        <v>310744.92537313444</v>
      </c>
      <c r="AI24" s="18"/>
      <c r="AJ24" s="18"/>
      <c r="AK24" s="18"/>
      <c r="AL24" s="18"/>
      <c r="AM24" s="18"/>
    </row>
    <row r="25" spans="1:39" ht="15" customHeight="1" x14ac:dyDescent="0.3">
      <c r="A25" s="43">
        <v>269</v>
      </c>
      <c r="B25" s="30">
        <v>45138</v>
      </c>
      <c r="C25" s="31" t="s">
        <v>102</v>
      </c>
      <c r="D25" s="32" t="s">
        <v>103</v>
      </c>
      <c r="E25" s="87" t="s">
        <v>104</v>
      </c>
      <c r="F25" s="67"/>
      <c r="G25" s="29">
        <v>200</v>
      </c>
      <c r="H25" s="81">
        <f>+(1870+1840)*0.75+0.66*289+100</f>
        <v>3073.24</v>
      </c>
      <c r="I25" s="85"/>
      <c r="J25" s="19">
        <f t="shared" si="6"/>
        <v>614648</v>
      </c>
      <c r="K25" s="77">
        <f>5000+1500</f>
        <v>6500</v>
      </c>
      <c r="L25" s="149">
        <f t="shared" si="0"/>
        <v>4254.3999999999996</v>
      </c>
      <c r="M25" s="5">
        <f t="shared" si="7"/>
        <v>850879.99999999988</v>
      </c>
      <c r="N25" s="8">
        <f>VLOOKUP((J25/A25),Variables!$A$3:$C$8,2,TRUE())</f>
        <v>0.22</v>
      </c>
      <c r="O25" s="42">
        <f t="shared" si="1"/>
        <v>187195.28767123292</v>
      </c>
      <c r="P25" s="40"/>
      <c r="Q25" s="27">
        <f t="shared" si="2"/>
        <v>695.89326271833795</v>
      </c>
      <c r="R25" s="27">
        <f>VLOOKUP((J25/A25),Variables!$A$3:$C$8,3,TRUE())</f>
        <v>510</v>
      </c>
      <c r="S25" s="27">
        <f t="shared" si="3"/>
        <v>2309.1003717472117</v>
      </c>
      <c r="T25" s="24">
        <f>+V25/A25*Variables!$B$10</f>
        <v>158.15755970871317</v>
      </c>
      <c r="U25" s="28">
        <f>+(S25/(1-(N25+Variables!$B$10)))/G25</f>
        <v>15.815755970871315</v>
      </c>
      <c r="V25" s="5">
        <f t="shared" si="4"/>
        <v>850887.67123287672</v>
      </c>
      <c r="AI25" s="18"/>
      <c r="AJ25" s="18"/>
      <c r="AK25" s="18"/>
      <c r="AL25" s="18"/>
      <c r="AM25" s="18"/>
    </row>
    <row r="26" spans="1:39" ht="15" customHeight="1" x14ac:dyDescent="0.3">
      <c r="A26" s="43">
        <v>286.5</v>
      </c>
      <c r="B26" s="86">
        <v>45139</v>
      </c>
      <c r="C26" s="31" t="s">
        <v>68</v>
      </c>
      <c r="D26" s="32" t="s">
        <v>90</v>
      </c>
      <c r="E26" s="32" t="s">
        <v>91</v>
      </c>
      <c r="F26" s="67" t="s">
        <v>34</v>
      </c>
      <c r="G26" s="29">
        <v>15</v>
      </c>
      <c r="H26" s="81">
        <v>13566</v>
      </c>
      <c r="I26" s="36"/>
      <c r="J26" s="19">
        <f t="shared" si="6"/>
        <v>203490</v>
      </c>
      <c r="K26" s="77">
        <f>8000+2400+3000+(J26*0.5*0.21)+(J26*0.5*0.245)</f>
        <v>59693.974999999991</v>
      </c>
      <c r="L26" s="149">
        <f t="shared" si="0"/>
        <v>26187.5</v>
      </c>
      <c r="M26" s="5">
        <f t="shared" si="7"/>
        <v>392812.5</v>
      </c>
      <c r="N26" s="8">
        <f>VLOOKUP((J26/A26),Variables!$A$3:$C$8,2,TRUE())</f>
        <v>0.28000000000000003</v>
      </c>
      <c r="O26" s="42">
        <f t="shared" si="1"/>
        <v>109987.3328358209</v>
      </c>
      <c r="P26" s="40"/>
      <c r="Q26" s="27">
        <f t="shared" si="2"/>
        <v>383.89994009012531</v>
      </c>
      <c r="R26" s="27">
        <f>VLOOKUP((J26/A26),Variables!$A$3:$C$8,3,TRUE())</f>
        <v>122</v>
      </c>
      <c r="S26" s="27">
        <f t="shared" si="3"/>
        <v>918.61771378708545</v>
      </c>
      <c r="T26" s="24">
        <f>+V26/A26*Variables!$B$10</f>
        <v>68.553560730379516</v>
      </c>
      <c r="U26" s="28">
        <f>+(S26/(1-(N26+Variables!$B$10)))/G26</f>
        <v>91.404747640506017</v>
      </c>
      <c r="V26" s="5">
        <f t="shared" si="4"/>
        <v>392811.90298507462</v>
      </c>
      <c r="AI26" s="18"/>
      <c r="AJ26" s="18"/>
      <c r="AK26" s="18"/>
      <c r="AL26" s="18"/>
      <c r="AM26" s="18"/>
    </row>
    <row r="27" spans="1:39" ht="15" customHeight="1" x14ac:dyDescent="0.3">
      <c r="A27" s="43">
        <f t="shared" ref="A27:A31" si="8">+A26</f>
        <v>286.5</v>
      </c>
      <c r="B27" s="86">
        <v>45139</v>
      </c>
      <c r="C27" s="31" t="s">
        <v>68</v>
      </c>
      <c r="D27" s="32" t="s">
        <v>90</v>
      </c>
      <c r="E27" s="32" t="s">
        <v>91</v>
      </c>
      <c r="F27" s="67" t="s">
        <v>34</v>
      </c>
      <c r="G27" s="29">
        <v>13</v>
      </c>
      <c r="H27" s="81">
        <v>13566</v>
      </c>
      <c r="I27" s="36"/>
      <c r="J27" s="19">
        <f t="shared" si="6"/>
        <v>176358</v>
      </c>
      <c r="K27" s="77">
        <f>15000+2400+3000+(J27*0.5*0.21)+(J27*0.5*0.245)</f>
        <v>60521.444999999992</v>
      </c>
      <c r="L27" s="149">
        <f t="shared" si="0"/>
        <v>27196.3</v>
      </c>
      <c r="M27" s="5">
        <f t="shared" si="7"/>
        <v>353551.89999999997</v>
      </c>
      <c r="N27" s="8">
        <f>VLOOKUP((J27/A27),Variables!$A$3:$C$8,2,TRUE())</f>
        <v>0.28000000000000003</v>
      </c>
      <c r="O27" s="42">
        <f t="shared" si="1"/>
        <v>98994.39492537317</v>
      </c>
      <c r="P27" s="40"/>
      <c r="Q27" s="27">
        <f t="shared" si="2"/>
        <v>345.53017425959223</v>
      </c>
      <c r="R27" s="27">
        <f>VLOOKUP((J27/A27),Variables!$A$3:$C$8,3,TRUE())</f>
        <v>122</v>
      </c>
      <c r="S27" s="27">
        <f t="shared" si="3"/>
        <v>826.80434554973829</v>
      </c>
      <c r="T27" s="24">
        <f>+V27/A27*Variables!$B$10</f>
        <v>61.70181683207003</v>
      </c>
      <c r="U27" s="28">
        <f>+(S27/(1-(N27+Variables!$B$10)))/G27</f>
        <v>94.925872049338508</v>
      </c>
      <c r="V27" s="5">
        <f t="shared" si="4"/>
        <v>353551.41044776124</v>
      </c>
      <c r="AI27" s="18"/>
      <c r="AJ27" s="18"/>
      <c r="AK27" s="18"/>
      <c r="AL27" s="18"/>
      <c r="AM27" s="18"/>
    </row>
    <row r="28" spans="1:39" ht="15" customHeight="1" x14ac:dyDescent="0.3">
      <c r="A28" s="43">
        <f t="shared" si="8"/>
        <v>286.5</v>
      </c>
      <c r="B28" s="86">
        <v>45140</v>
      </c>
      <c r="C28" s="31" t="s">
        <v>92</v>
      </c>
      <c r="D28" s="32" t="s">
        <v>93</v>
      </c>
      <c r="E28" s="32" t="s">
        <v>94</v>
      </c>
      <c r="F28" s="67" t="s">
        <v>34</v>
      </c>
      <c r="G28" s="29">
        <v>100</v>
      </c>
      <c r="H28" s="81">
        <f>5400*1.15+170</f>
        <v>6379.9999999999991</v>
      </c>
      <c r="I28" s="36"/>
      <c r="J28" s="19">
        <f t="shared" si="6"/>
        <v>637999.99999999988</v>
      </c>
      <c r="K28" s="77">
        <f>4000+4000+J28*0.4*0.035</f>
        <v>16932</v>
      </c>
      <c r="L28" s="149">
        <f t="shared" si="0"/>
        <v>8971.7000000000007</v>
      </c>
      <c r="M28" s="5">
        <f t="shared" si="7"/>
        <v>897170.00000000012</v>
      </c>
      <c r="N28" s="8">
        <f>VLOOKUP((J28/A28),Variables!$A$3:$C$8,2,TRUE())</f>
        <v>0.22</v>
      </c>
      <c r="O28" s="42">
        <f t="shared" si="1"/>
        <v>197376.76712328763</v>
      </c>
      <c r="P28" s="40"/>
      <c r="Q28" s="27">
        <f t="shared" si="2"/>
        <v>688.92414353678055</v>
      </c>
      <c r="R28" s="27">
        <f>VLOOKUP((J28/A28),Variables!$A$3:$C$8,3,TRUE())</f>
        <v>510</v>
      </c>
      <c r="S28" s="27">
        <f t="shared" si="3"/>
        <v>2285.9755671902267</v>
      </c>
      <c r="T28" s="24">
        <f>+V28/A28*Variables!$B$10</f>
        <v>156.57366898563197</v>
      </c>
      <c r="U28" s="28">
        <f>+(S28/(1-(N28+Variables!$B$10)))/G28</f>
        <v>31.31473379712639</v>
      </c>
      <c r="V28" s="5">
        <f t="shared" si="4"/>
        <v>897167.12328767113</v>
      </c>
      <c r="AI28" s="18"/>
      <c r="AJ28" s="18"/>
      <c r="AK28" s="18"/>
      <c r="AL28" s="18"/>
      <c r="AM28" s="18"/>
    </row>
    <row r="29" spans="1:39" ht="15" customHeight="1" x14ac:dyDescent="0.3">
      <c r="A29" s="43">
        <f t="shared" si="8"/>
        <v>286.5</v>
      </c>
      <c r="B29" s="86">
        <v>45140</v>
      </c>
      <c r="C29" s="31" t="s">
        <v>92</v>
      </c>
      <c r="D29" s="32" t="s">
        <v>65</v>
      </c>
      <c r="E29" s="32" t="s">
        <v>95</v>
      </c>
      <c r="F29" s="67" t="s">
        <v>86</v>
      </c>
      <c r="G29" s="29">
        <v>100</v>
      </c>
      <c r="H29" s="81">
        <f>205+10+30</f>
        <v>245</v>
      </c>
      <c r="I29" s="36"/>
      <c r="J29" s="19">
        <f t="shared" si="6"/>
        <v>24500</v>
      </c>
      <c r="K29" s="77">
        <f>3000+3000</f>
        <v>6000</v>
      </c>
      <c r="L29" s="149">
        <f t="shared" si="0"/>
        <v>562.29999999999995</v>
      </c>
      <c r="M29" s="5">
        <f t="shared" si="7"/>
        <v>56229.999999999993</v>
      </c>
      <c r="N29" s="8">
        <f>VLOOKUP((J29/A29),Variables!$A$3:$C$8,2,TRUE())</f>
        <v>0.3</v>
      </c>
      <c r="O29" s="42">
        <f t="shared" si="1"/>
        <v>23387.755102040817</v>
      </c>
      <c r="P29" s="40"/>
      <c r="Q29" s="27">
        <f t="shared" si="2"/>
        <v>81.632653061224488</v>
      </c>
      <c r="R29" s="27">
        <f>VLOOKUP((J29/A29),Variables!$A$3:$C$8,3,TRUE())</f>
        <v>81.632653061224488</v>
      </c>
      <c r="S29" s="27">
        <f t="shared" si="3"/>
        <v>106.45724258289704</v>
      </c>
      <c r="T29" s="24">
        <f>+V29/A29*Variables!$B$10</f>
        <v>8.1890186602228479</v>
      </c>
      <c r="U29" s="28">
        <f>+(S29/(1-(N29+Variables!$B$10)))/G29</f>
        <v>1.6378037320445697</v>
      </c>
      <c r="V29" s="5">
        <f t="shared" si="4"/>
        <v>46923.076923076922</v>
      </c>
      <c r="AI29" s="18"/>
      <c r="AJ29" s="18"/>
      <c r="AK29" s="18"/>
      <c r="AL29" s="18"/>
      <c r="AM29" s="18"/>
    </row>
    <row r="30" spans="1:39" ht="15" customHeight="1" x14ac:dyDescent="0.3">
      <c r="A30" s="43">
        <f t="shared" si="8"/>
        <v>286.5</v>
      </c>
      <c r="B30" s="86">
        <v>45140</v>
      </c>
      <c r="C30" s="31" t="s">
        <v>92</v>
      </c>
      <c r="D30" s="32" t="s">
        <v>96</v>
      </c>
      <c r="E30" s="32" t="s">
        <v>97</v>
      </c>
      <c r="F30" s="67" t="s">
        <v>98</v>
      </c>
      <c r="G30" s="29">
        <v>100</v>
      </c>
      <c r="H30" s="81">
        <f>2500*1.05</f>
        <v>2625</v>
      </c>
      <c r="I30" s="36"/>
      <c r="J30" s="19">
        <f t="shared" si="6"/>
        <v>262500</v>
      </c>
      <c r="K30" s="77">
        <f>4000+4000</f>
        <v>8000</v>
      </c>
      <c r="L30" s="149">
        <f t="shared" si="0"/>
        <v>4037.3</v>
      </c>
      <c r="M30" s="5">
        <f t="shared" si="7"/>
        <v>403730</v>
      </c>
      <c r="N30" s="8">
        <f>VLOOKUP((J30/A30),Variables!$A$3:$C$8,2,TRUE())</f>
        <v>0.28000000000000003</v>
      </c>
      <c r="O30" s="42">
        <f t="shared" si="1"/>
        <v>113044.776119403</v>
      </c>
      <c r="P30" s="40"/>
      <c r="Q30" s="27">
        <f t="shared" si="2"/>
        <v>394.57164439582198</v>
      </c>
      <c r="R30" s="27">
        <f>VLOOKUP((J30/A30),Variables!$A$3:$C$8,3,TRUE())</f>
        <v>122</v>
      </c>
      <c r="S30" s="27">
        <f t="shared" si="3"/>
        <v>944.15357766143109</v>
      </c>
      <c r="T30" s="24">
        <f>+V30/A30*Variables!$B$10</f>
        <v>70.459222213539633</v>
      </c>
      <c r="U30" s="28">
        <f>+(S30/(1-(N30+Variables!$B$10)))/G30</f>
        <v>14.091844442707927</v>
      </c>
      <c r="V30" s="5">
        <f t="shared" si="4"/>
        <v>403731.34328358213</v>
      </c>
      <c r="AI30" s="18"/>
      <c r="AJ30" s="18"/>
      <c r="AK30" s="18"/>
      <c r="AL30" s="18"/>
      <c r="AM30" s="18"/>
    </row>
    <row r="31" spans="1:39" ht="15" customHeight="1" x14ac:dyDescent="0.3">
      <c r="A31" s="43">
        <f t="shared" si="8"/>
        <v>286.5</v>
      </c>
      <c r="B31" s="86">
        <v>45140</v>
      </c>
      <c r="C31" s="31" t="s">
        <v>92</v>
      </c>
      <c r="D31" s="32"/>
      <c r="E31" s="87" t="s">
        <v>99</v>
      </c>
      <c r="F31" s="67" t="s">
        <v>98</v>
      </c>
      <c r="G31" s="29">
        <v>100</v>
      </c>
      <c r="H31" s="81">
        <f>5400*1.15+170+205+10+30+2500*1.05</f>
        <v>9250</v>
      </c>
      <c r="I31" s="36"/>
      <c r="J31" s="19">
        <f t="shared" si="6"/>
        <v>925000</v>
      </c>
      <c r="K31" s="77">
        <f>16932+6000+8000</f>
        <v>30932</v>
      </c>
      <c r="L31" s="149">
        <f t="shared" si="0"/>
        <v>13095</v>
      </c>
      <c r="M31" s="5">
        <f t="shared" si="7"/>
        <v>1309500</v>
      </c>
      <c r="N31" s="8">
        <f>VLOOKUP((J31/A31),Variables!$A$3:$C$8,2,TRUE())</f>
        <v>0.22</v>
      </c>
      <c r="O31" s="42">
        <f t="shared" si="1"/>
        <v>288089.09589041106</v>
      </c>
      <c r="P31" s="40"/>
      <c r="Q31" s="27">
        <f t="shared" si="2"/>
        <v>1005.5465825145237</v>
      </c>
      <c r="R31" s="27">
        <f>VLOOKUP((J31/A31),Variables!$A$3:$C$8,3,TRUE())</f>
        <v>510</v>
      </c>
      <c r="S31" s="27">
        <f t="shared" si="3"/>
        <v>3336.586387434555</v>
      </c>
      <c r="T31" s="24">
        <f>+V31/A31*Variables!$B$10</f>
        <v>228.53331420784627</v>
      </c>
      <c r="U31" s="28">
        <f>+(S31/(1-(N31+Variables!$B$10)))/G31</f>
        <v>45.706662841569248</v>
      </c>
      <c r="V31" s="5">
        <f t="shared" si="4"/>
        <v>1309495.890410959</v>
      </c>
      <c r="AI31" s="18"/>
      <c r="AJ31" s="18"/>
      <c r="AK31" s="18"/>
      <c r="AL31" s="18"/>
      <c r="AM31" s="18"/>
    </row>
    <row r="32" spans="1:39" ht="15" customHeight="1" x14ac:dyDescent="0.3">
      <c r="A32" s="43">
        <f>+A30</f>
        <v>286.5</v>
      </c>
      <c r="B32" s="86">
        <v>45140</v>
      </c>
      <c r="C32" s="31" t="s">
        <v>92</v>
      </c>
      <c r="D32" s="32" t="s">
        <v>93</v>
      </c>
      <c r="E32" s="32" t="s">
        <v>94</v>
      </c>
      <c r="F32" s="67" t="s">
        <v>34</v>
      </c>
      <c r="G32" s="29">
        <v>100</v>
      </c>
      <c r="H32" s="81">
        <f>5400*1.15+170</f>
        <v>6379.9999999999991</v>
      </c>
      <c r="I32" s="36"/>
      <c r="J32" s="19">
        <f t="shared" si="6"/>
        <v>637999.99999999988</v>
      </c>
      <c r="K32" s="77">
        <f>4000+4000+J32*0.14</f>
        <v>97319.999999999985</v>
      </c>
      <c r="L32" s="149">
        <f t="shared" si="0"/>
        <v>10072.9</v>
      </c>
      <c r="M32" s="5">
        <f t="shared" si="7"/>
        <v>1007290</v>
      </c>
      <c r="N32" s="8">
        <f>VLOOKUP((J32/A32),Variables!$A$3:$C$8,2,TRUE())</f>
        <v>0.22</v>
      </c>
      <c r="O32" s="42">
        <f t="shared" si="1"/>
        <v>221603.28767123286</v>
      </c>
      <c r="P32" s="40"/>
      <c r="Q32" s="27">
        <f t="shared" si="2"/>
        <v>773.48442468144106</v>
      </c>
      <c r="R32" s="27">
        <f>VLOOKUP((J32/A32),Variables!$A$3:$C$8,3,TRUE())</f>
        <v>510</v>
      </c>
      <c r="S32" s="27">
        <f t="shared" si="3"/>
        <v>2566.5619546247813</v>
      </c>
      <c r="T32" s="24">
        <f>+V32/A32*Variables!$B$10</f>
        <v>175.79191470032751</v>
      </c>
      <c r="U32" s="28">
        <f>+(S32/(1-(N32+Variables!$B$10)))/G32</f>
        <v>35.158382940065501</v>
      </c>
      <c r="V32" s="5">
        <f t="shared" si="4"/>
        <v>1007287.6712328765</v>
      </c>
      <c r="AI32" s="18"/>
      <c r="AJ32" s="18"/>
      <c r="AK32" s="18"/>
      <c r="AL32" s="18"/>
      <c r="AM32" s="18"/>
    </row>
    <row r="33" spans="1:39" ht="15" customHeight="1" x14ac:dyDescent="0.3">
      <c r="A33" s="43">
        <f>+A32</f>
        <v>286.5</v>
      </c>
      <c r="B33" s="86">
        <v>45140</v>
      </c>
      <c r="C33" s="31" t="s">
        <v>92</v>
      </c>
      <c r="D33" s="32" t="s">
        <v>65</v>
      </c>
      <c r="E33" s="32" t="s">
        <v>95</v>
      </c>
      <c r="F33" s="67" t="s">
        <v>86</v>
      </c>
      <c r="G33" s="29">
        <v>100</v>
      </c>
      <c r="H33" s="81">
        <f>205+10+30</f>
        <v>245</v>
      </c>
      <c r="I33" s="36"/>
      <c r="J33" s="19">
        <f t="shared" si="6"/>
        <v>24500</v>
      </c>
      <c r="K33" s="77">
        <f>3000+3000+J33*0.105</f>
        <v>8572.5</v>
      </c>
      <c r="L33" s="149">
        <f t="shared" si="0"/>
        <v>590</v>
      </c>
      <c r="M33" s="5">
        <f t="shared" si="7"/>
        <v>59000</v>
      </c>
      <c r="N33" s="8">
        <f>VLOOKUP((J33/A33),Variables!$A$3:$C$8,2,TRUE())</f>
        <v>0.3</v>
      </c>
      <c r="O33" s="42">
        <f t="shared" si="1"/>
        <v>23387.755102040817</v>
      </c>
      <c r="P33" s="40"/>
      <c r="Q33" s="27">
        <f t="shared" si="2"/>
        <v>81.632653061224488</v>
      </c>
      <c r="R33" s="27">
        <f>VLOOKUP((J33/A33),Variables!$A$3:$C$8,3,TRUE())</f>
        <v>81.632653061224488</v>
      </c>
      <c r="S33" s="27">
        <f t="shared" si="3"/>
        <v>115.43630017452007</v>
      </c>
      <c r="T33" s="24">
        <f>+V33/A33*Variables!$B$10</f>
        <v>8.8797153980400054</v>
      </c>
      <c r="U33" s="28">
        <f>+(S33/(1-(N33+Variables!$B$10)))/G33</f>
        <v>1.7759430796080011</v>
      </c>
      <c r="V33" s="5">
        <f t="shared" si="4"/>
        <v>50880.769230769234</v>
      </c>
      <c r="AI33" s="18"/>
      <c r="AJ33" s="18"/>
      <c r="AK33" s="18"/>
      <c r="AL33" s="18"/>
      <c r="AM33" s="18"/>
    </row>
    <row r="34" spans="1:39" ht="15" customHeight="1" x14ac:dyDescent="0.3">
      <c r="A34" s="43">
        <f>+A33</f>
        <v>286.5</v>
      </c>
      <c r="B34" s="86">
        <v>45140</v>
      </c>
      <c r="C34" s="31" t="s">
        <v>92</v>
      </c>
      <c r="D34" s="32" t="s">
        <v>96</v>
      </c>
      <c r="E34" s="32" t="s">
        <v>97</v>
      </c>
      <c r="F34" s="67" t="s">
        <v>98</v>
      </c>
      <c r="G34" s="29">
        <v>100</v>
      </c>
      <c r="H34" s="81">
        <f>2500*1.05</f>
        <v>2625</v>
      </c>
      <c r="I34" s="36"/>
      <c r="J34" s="19">
        <f t="shared" si="6"/>
        <v>262500</v>
      </c>
      <c r="K34" s="77">
        <f>4000+4000+J34*0.5*0.14+J34*0.5*0.105</f>
        <v>40156.25</v>
      </c>
      <c r="L34" s="149">
        <f t="shared" si="0"/>
        <v>4517.3</v>
      </c>
      <c r="M34" s="5">
        <f t="shared" si="7"/>
        <v>451730</v>
      </c>
      <c r="N34" s="8">
        <f>VLOOKUP((J34/A34),Variables!$A$3:$C$8,2,TRUE())</f>
        <v>0.28000000000000003</v>
      </c>
      <c r="O34" s="42">
        <f t="shared" si="1"/>
        <v>126483.20895522392</v>
      </c>
      <c r="P34" s="40"/>
      <c r="Q34" s="27">
        <f t="shared" si="2"/>
        <v>441.47716912818123</v>
      </c>
      <c r="R34" s="27">
        <f>VLOOKUP((J34/A34),Variables!$A$3:$C$8,3,TRUE())</f>
        <v>122</v>
      </c>
      <c r="S34" s="27">
        <f t="shared" si="3"/>
        <v>1056.391797556719</v>
      </c>
      <c r="T34" s="24">
        <f>+V34/A34*Variables!$B$10</f>
        <v>78.835208772889487</v>
      </c>
      <c r="U34" s="28">
        <f>+(S34/(1-(N34+Variables!$B$10)))/G34</f>
        <v>15.767041754577896</v>
      </c>
      <c r="V34" s="5">
        <f t="shared" si="4"/>
        <v>451725.74626865675</v>
      </c>
      <c r="AI34" s="18"/>
      <c r="AJ34" s="18"/>
      <c r="AK34" s="18"/>
      <c r="AL34" s="18"/>
      <c r="AM34" s="18"/>
    </row>
    <row r="35" spans="1:39" ht="15" customHeight="1" x14ac:dyDescent="0.3">
      <c r="A35" s="43">
        <f>+A34</f>
        <v>286.5</v>
      </c>
      <c r="B35" s="86">
        <v>45140</v>
      </c>
      <c r="C35" s="31" t="s">
        <v>92</v>
      </c>
      <c r="D35" s="32"/>
      <c r="E35" s="87" t="s">
        <v>99</v>
      </c>
      <c r="F35" s="67" t="s">
        <v>98</v>
      </c>
      <c r="G35" s="29">
        <v>100</v>
      </c>
      <c r="H35" s="81">
        <f>5400*1.15+170+205+10+30+2500*1.05</f>
        <v>9250</v>
      </c>
      <c r="I35" s="36"/>
      <c r="J35" s="19">
        <f t="shared" si="6"/>
        <v>925000</v>
      </c>
      <c r="K35" s="77">
        <f>97320+8573+40156</f>
        <v>146049</v>
      </c>
      <c r="L35" s="149">
        <f t="shared" ref="L35:L66" si="9">ROUND(IF((U35*A35*G35)&gt;(J35+(T35*A35)+K35+(Q35*A35)),(U35*A35),((J35+(T35*A35)+K35+(Q35*A35))/G35)),1)</f>
        <v>14671.9</v>
      </c>
      <c r="M35" s="5">
        <f t="shared" si="7"/>
        <v>1467190</v>
      </c>
      <c r="N35" s="8">
        <f>VLOOKUP((J35/A35),Variables!$A$3:$C$8,2,TRUE())</f>
        <v>0.22</v>
      </c>
      <c r="O35" s="42">
        <f t="shared" ref="O35:O66" si="10">+Q35*A35</f>
        <v>322781.89041095891</v>
      </c>
      <c r="P35" s="40"/>
      <c r="Q35" s="27">
        <f t="shared" ref="Q35:Q66" si="11">+IF(((U35*G35)-S35-T35)&lt;R35,R35,((U35*G35)-S35-T35))</f>
        <v>1126.6383609457553</v>
      </c>
      <c r="R35" s="27">
        <f>VLOOKUP((J35/A35),Variables!$A$3:$C$8,3,TRUE())</f>
        <v>510</v>
      </c>
      <c r="S35" s="27">
        <f t="shared" ref="S35:S66" si="12">+(J35+K35)/A35</f>
        <v>3738.3909249563699</v>
      </c>
      <c r="T35" s="24">
        <f>+V35/A35*Variables!$B$10</f>
        <v>256.05417294221712</v>
      </c>
      <c r="U35" s="28">
        <f>+(S35/(1-(N35+Variables!$B$10)))/G35</f>
        <v>51.210834588443419</v>
      </c>
      <c r="V35" s="5">
        <f t="shared" ref="V35:V66" si="13">+U35*G35*A35</f>
        <v>1467190.4109589041</v>
      </c>
      <c r="AI35" s="18"/>
      <c r="AJ35" s="18"/>
      <c r="AK35" s="18"/>
      <c r="AL35" s="18"/>
      <c r="AM35" s="18"/>
    </row>
    <row r="36" spans="1:39" ht="15" customHeight="1" x14ac:dyDescent="0.3">
      <c r="A36" s="43">
        <f>+A35</f>
        <v>286.5</v>
      </c>
      <c r="B36" s="86">
        <v>45140</v>
      </c>
      <c r="C36" s="31" t="s">
        <v>100</v>
      </c>
      <c r="D36" s="32" t="s">
        <v>90</v>
      </c>
      <c r="E36" s="32" t="s">
        <v>101</v>
      </c>
      <c r="F36" s="67" t="s">
        <v>34</v>
      </c>
      <c r="G36" s="29">
        <v>30</v>
      </c>
      <c r="H36" s="81">
        <v>5608</v>
      </c>
      <c r="I36" s="36"/>
      <c r="J36" s="19">
        <f t="shared" si="6"/>
        <v>168240</v>
      </c>
      <c r="K36" s="77">
        <f>4000+J36*0.035</f>
        <v>9888.4000000000015</v>
      </c>
      <c r="L36" s="149">
        <f t="shared" si="9"/>
        <v>8862.1</v>
      </c>
      <c r="M36" s="5">
        <f t="shared" si="7"/>
        <v>265863</v>
      </c>
      <c r="N36" s="8">
        <f>VLOOKUP((J36/A36),Variables!$A$3:$C$8,2,TRUE())</f>
        <v>0.28000000000000003</v>
      </c>
      <c r="O36" s="42">
        <f t="shared" si="10"/>
        <v>74441.719402985094</v>
      </c>
      <c r="P36" s="40"/>
      <c r="Q36" s="27">
        <f t="shared" si="11"/>
        <v>259.83148133677173</v>
      </c>
      <c r="R36" s="27">
        <f>VLOOKUP((J36/A36),Variables!$A$3:$C$8,3,TRUE())</f>
        <v>122</v>
      </c>
      <c r="S36" s="27">
        <f t="shared" si="12"/>
        <v>621.73961605584645</v>
      </c>
      <c r="T36" s="24">
        <f>+V36/A36*Variables!$B$10</f>
        <v>46.398478810137803</v>
      </c>
      <c r="U36" s="28">
        <f>+(S36/(1-(N36+Variables!$B$10)))/G36</f>
        <v>30.932319206758532</v>
      </c>
      <c r="V36" s="5">
        <f t="shared" si="13"/>
        <v>265863.28358208959</v>
      </c>
      <c r="AI36" s="18"/>
      <c r="AJ36" s="18"/>
      <c r="AK36" s="18"/>
      <c r="AL36" s="18"/>
      <c r="AM36" s="18"/>
    </row>
    <row r="37" spans="1:39" ht="15" customHeight="1" x14ac:dyDescent="0.3">
      <c r="A37" s="43">
        <f>+A35</f>
        <v>286.5</v>
      </c>
      <c r="B37" s="86">
        <v>45140</v>
      </c>
      <c r="C37" s="31" t="s">
        <v>92</v>
      </c>
      <c r="D37" s="32" t="s">
        <v>93</v>
      </c>
      <c r="E37" s="32" t="s">
        <v>94</v>
      </c>
      <c r="F37" s="67" t="s">
        <v>34</v>
      </c>
      <c r="G37" s="29">
        <v>100</v>
      </c>
      <c r="H37" s="81">
        <f>5400*1.15+170</f>
        <v>6379.9999999999991</v>
      </c>
      <c r="I37" s="36"/>
      <c r="J37" s="19">
        <f t="shared" si="6"/>
        <v>637999.99999999988</v>
      </c>
      <c r="K37" s="77">
        <f>4000+4000+J37*0.14</f>
        <v>97319.999999999985</v>
      </c>
      <c r="L37" s="149">
        <f t="shared" si="9"/>
        <v>10072.9</v>
      </c>
      <c r="M37" s="5">
        <f t="shared" si="7"/>
        <v>1007290</v>
      </c>
      <c r="N37" s="8">
        <f>VLOOKUP((J37/A37),Variables!$A$3:$C$8,2,TRUE())</f>
        <v>0.22</v>
      </c>
      <c r="O37" s="42">
        <f t="shared" si="10"/>
        <v>221603.28767123286</v>
      </c>
      <c r="P37" s="40"/>
      <c r="Q37" s="27">
        <f t="shared" si="11"/>
        <v>773.48442468144106</v>
      </c>
      <c r="R37" s="27">
        <f>VLOOKUP((J37/A37),Variables!$A$3:$C$8,3,TRUE())</f>
        <v>510</v>
      </c>
      <c r="S37" s="27">
        <f t="shared" si="12"/>
        <v>2566.5619546247813</v>
      </c>
      <c r="T37" s="24">
        <f>+V37/A37*Variables!$B$10</f>
        <v>175.79191470032751</v>
      </c>
      <c r="U37" s="28">
        <f>+(S37/(1-(N37+Variables!$B$10)))/G37</f>
        <v>35.158382940065501</v>
      </c>
      <c r="V37" s="5">
        <f t="shared" si="13"/>
        <v>1007287.6712328765</v>
      </c>
      <c r="AI37" s="18"/>
      <c r="AJ37" s="18"/>
      <c r="AK37" s="18"/>
      <c r="AL37" s="18"/>
      <c r="AM37" s="18"/>
    </row>
    <row r="38" spans="1:39" ht="15" customHeight="1" x14ac:dyDescent="0.3">
      <c r="A38" s="43">
        <f>+A36</f>
        <v>286.5</v>
      </c>
      <c r="B38" s="88">
        <v>45146</v>
      </c>
      <c r="C38" s="3" t="s">
        <v>105</v>
      </c>
      <c r="D38" s="3" t="s">
        <v>65</v>
      </c>
      <c r="E38" s="3" t="s">
        <v>106</v>
      </c>
      <c r="F38" s="3" t="s">
        <v>86</v>
      </c>
      <c r="G38" s="3">
        <v>300</v>
      </c>
      <c r="H38" s="161">
        <f>170+20+10</f>
        <v>200</v>
      </c>
      <c r="I38" s="89"/>
      <c r="J38" s="19">
        <f t="shared" si="6"/>
        <v>60000</v>
      </c>
      <c r="K38" s="90">
        <f>4000+J38*0.07</f>
        <v>8200</v>
      </c>
      <c r="L38" s="149">
        <f t="shared" si="9"/>
        <v>349.7</v>
      </c>
      <c r="M38" s="5">
        <f t="shared" si="7"/>
        <v>104910</v>
      </c>
      <c r="N38" s="8">
        <f>VLOOKUP((J38/A38),Variables!$A$3:$C$8,2,TRUE())</f>
        <v>0.3</v>
      </c>
      <c r="O38" s="42">
        <f t="shared" si="10"/>
        <v>31476.923076923067</v>
      </c>
      <c r="P38" s="40"/>
      <c r="Q38" s="27">
        <f t="shared" si="11"/>
        <v>109.86709625453078</v>
      </c>
      <c r="R38" s="27">
        <f>VLOOKUP((J38/A38),Variables!$A$3:$C$8,3,TRUE())</f>
        <v>81.632653061224488</v>
      </c>
      <c r="S38" s="27">
        <f t="shared" si="12"/>
        <v>238.0453752181501</v>
      </c>
      <c r="T38" s="24">
        <f>+V38/A38*Variables!$B$10</f>
        <v>18.311182709088467</v>
      </c>
      <c r="U38" s="28">
        <f>+(S38/(1-(N38+Variables!$B$10)))/G38</f>
        <v>1.2207455139392311</v>
      </c>
      <c r="V38" s="5">
        <f t="shared" si="13"/>
        <v>104923.07692307692</v>
      </c>
      <c r="AI38" s="18"/>
      <c r="AJ38" s="18"/>
      <c r="AK38" s="18"/>
      <c r="AL38" s="18"/>
      <c r="AM38" s="18"/>
    </row>
    <row r="39" spans="1:39" ht="15" customHeight="1" x14ac:dyDescent="0.3">
      <c r="A39" s="43">
        <f>+A27</f>
        <v>286.5</v>
      </c>
      <c r="B39" s="88">
        <v>45146</v>
      </c>
      <c r="C39" s="3" t="s">
        <v>105</v>
      </c>
      <c r="D39" s="3" t="s">
        <v>49</v>
      </c>
      <c r="E39" s="3" t="s">
        <v>107</v>
      </c>
      <c r="F39" s="3" t="s">
        <v>34</v>
      </c>
      <c r="G39" s="3">
        <v>90</v>
      </c>
      <c r="H39" s="161">
        <f>9933.86</f>
        <v>9933.86</v>
      </c>
      <c r="I39" s="89"/>
      <c r="J39" s="19">
        <f t="shared" si="6"/>
        <v>894047.4</v>
      </c>
      <c r="K39" s="90">
        <f>5000+J39*0.105</f>
        <v>98874.976999999999</v>
      </c>
      <c r="L39" s="149">
        <f t="shared" si="9"/>
        <v>15113</v>
      </c>
      <c r="M39" s="5">
        <f t="shared" si="7"/>
        <v>1360170</v>
      </c>
      <c r="N39" s="8">
        <f>VLOOKUP((J39/A39),Variables!$A$3:$C$8,2,TRUE())</f>
        <v>0.22</v>
      </c>
      <c r="O39" s="42">
        <f t="shared" si="10"/>
        <v>299236.88073972601</v>
      </c>
      <c r="P39" s="40"/>
      <c r="Q39" s="27">
        <f t="shared" si="11"/>
        <v>1044.4568263166702</v>
      </c>
      <c r="R39" s="27">
        <f>VLOOKUP((J39/A39),Variables!$A$3:$C$8,3,TRUE())</f>
        <v>510</v>
      </c>
      <c r="S39" s="27">
        <f t="shared" si="12"/>
        <v>3465.6976509598603</v>
      </c>
      <c r="T39" s="24">
        <f>+V39/A39*Variables!$B$10</f>
        <v>237.37655143560687</v>
      </c>
      <c r="U39" s="28">
        <f>+(S39/(1-(N39+Variables!$B$10)))/G39</f>
        <v>52.750344763468192</v>
      </c>
      <c r="V39" s="5">
        <f t="shared" si="13"/>
        <v>1360167.6397260274</v>
      </c>
      <c r="AI39" s="18"/>
      <c r="AJ39" s="18"/>
      <c r="AK39" s="18"/>
      <c r="AL39" s="18"/>
      <c r="AM39" s="18"/>
    </row>
    <row r="40" spans="1:39" ht="15" customHeight="1" x14ac:dyDescent="0.3">
      <c r="A40" s="43">
        <f>+A39</f>
        <v>286.5</v>
      </c>
      <c r="B40" s="88">
        <v>45146</v>
      </c>
      <c r="C40" s="3" t="s">
        <v>105</v>
      </c>
      <c r="D40" s="3" t="s">
        <v>108</v>
      </c>
      <c r="E40" s="76" t="s">
        <v>109</v>
      </c>
      <c r="F40"/>
      <c r="G40" s="3">
        <v>1</v>
      </c>
      <c r="H40" s="161">
        <f>(170+20+10)*300+9933.86*90</f>
        <v>954047.4</v>
      </c>
      <c r="I40" s="89"/>
      <c r="J40" s="19">
        <f t="shared" si="6"/>
        <v>954047.4</v>
      </c>
      <c r="K40" s="91">
        <f>+K39+K38</f>
        <v>107074.977</v>
      </c>
      <c r="L40" s="149">
        <f t="shared" si="9"/>
        <v>1453592.3</v>
      </c>
      <c r="M40" s="5">
        <f t="shared" si="7"/>
        <v>1453592.3</v>
      </c>
      <c r="N40" s="8">
        <f>VLOOKUP((J40/A40),Variables!$A$3:$C$8,2,TRUE())</f>
        <v>0.22</v>
      </c>
      <c r="O40" s="42">
        <f t="shared" si="10"/>
        <v>319790.30539726041</v>
      </c>
      <c r="P40" s="40"/>
      <c r="Q40" s="27">
        <f t="shared" si="11"/>
        <v>1116.1965284372091</v>
      </c>
      <c r="R40" s="27">
        <f>VLOOKUP((J40/A40),Variables!$A$3:$C$8,3,TRUE())</f>
        <v>510</v>
      </c>
      <c r="S40" s="27">
        <f t="shared" si="12"/>
        <v>3703.743026178011</v>
      </c>
      <c r="T40" s="24">
        <f>+V40/A40*Variables!$B$10</f>
        <v>253.68102919027476</v>
      </c>
      <c r="U40" s="28">
        <f>+(S40/(1-(N40+Variables!$B$10)))/G40</f>
        <v>5073.6205838054948</v>
      </c>
      <c r="V40" s="5">
        <f t="shared" si="13"/>
        <v>1453592.2972602742</v>
      </c>
      <c r="AI40" s="18"/>
      <c r="AJ40" s="18"/>
      <c r="AK40" s="18"/>
      <c r="AL40" s="18"/>
      <c r="AM40" s="18"/>
    </row>
    <row r="41" spans="1:39" ht="15" customHeight="1" x14ac:dyDescent="0.3">
      <c r="A41" s="43">
        <f t="shared" ref="A41:A46" si="14">+A29</f>
        <v>286.5</v>
      </c>
      <c r="B41" s="88">
        <v>45147</v>
      </c>
      <c r="C41" s="3" t="s">
        <v>110</v>
      </c>
      <c r="D41" s="3" t="s">
        <v>111</v>
      </c>
      <c r="E41" s="3" t="s">
        <v>112</v>
      </c>
      <c r="F41" s="3" t="s">
        <v>34</v>
      </c>
      <c r="G41" s="3">
        <v>120</v>
      </c>
      <c r="H41" s="161">
        <f>42840*1.05+200</f>
        <v>45182</v>
      </c>
      <c r="I41" s="89"/>
      <c r="J41" s="19">
        <f t="shared" si="6"/>
        <v>5421840</v>
      </c>
      <c r="K41" s="90">
        <v>5000</v>
      </c>
      <c r="L41" s="149">
        <f t="shared" si="9"/>
        <v>58732</v>
      </c>
      <c r="M41" s="5">
        <f t="shared" si="7"/>
        <v>7047840</v>
      </c>
      <c r="N41" s="8">
        <f>VLOOKUP((J41/A41),Variables!$A$3:$C$8,2,TRUE())</f>
        <v>0.18</v>
      </c>
      <c r="O41" s="42">
        <f t="shared" si="10"/>
        <v>1268611.9480519474</v>
      </c>
      <c r="P41" s="40"/>
      <c r="Q41" s="27">
        <f t="shared" si="11"/>
        <v>4427.9649146664833</v>
      </c>
      <c r="R41" s="27">
        <f>VLOOKUP((J41/A41),Variables!$A$3:$C$8,3,TRUE())</f>
        <v>1094</v>
      </c>
      <c r="S41" s="27">
        <f t="shared" si="12"/>
        <v>18941.849912739966</v>
      </c>
      <c r="T41" s="24">
        <f>+V41/A41*Variables!$B$10</f>
        <v>1229.9902540740238</v>
      </c>
      <c r="U41" s="28">
        <f>+(S41/(1-(N41+Variables!$B$10)))/G41</f>
        <v>204.99837567900394</v>
      </c>
      <c r="V41" s="5">
        <f t="shared" si="13"/>
        <v>7047844.1558441557</v>
      </c>
      <c r="AI41" s="18"/>
      <c r="AJ41" s="18"/>
      <c r="AK41" s="18"/>
      <c r="AL41" s="18"/>
      <c r="AM41" s="18"/>
    </row>
    <row r="42" spans="1:39" ht="15" customHeight="1" x14ac:dyDescent="0.3">
      <c r="A42" s="43">
        <f t="shared" si="14"/>
        <v>286.5</v>
      </c>
      <c r="B42" s="88">
        <v>45147</v>
      </c>
      <c r="C42" s="3" t="s">
        <v>110</v>
      </c>
      <c r="D42" s="3" t="s">
        <v>111</v>
      </c>
      <c r="E42" s="3" t="s">
        <v>113</v>
      </c>
      <c r="F42" s="3" t="s">
        <v>34</v>
      </c>
      <c r="G42" s="3">
        <v>120</v>
      </c>
      <c r="H42" s="161">
        <f>34190*1.05+200</f>
        <v>36099.5</v>
      </c>
      <c r="I42" s="89"/>
      <c r="J42" s="19">
        <f t="shared" si="6"/>
        <v>4331940</v>
      </c>
      <c r="K42" s="90">
        <v>5000</v>
      </c>
      <c r="L42" s="149">
        <f t="shared" si="9"/>
        <v>46936.6</v>
      </c>
      <c r="M42" s="5">
        <f t="shared" si="7"/>
        <v>5632392</v>
      </c>
      <c r="N42" s="8">
        <f>VLOOKUP((J42/A42),Variables!$A$3:$C$8,2,TRUE())</f>
        <v>0.18</v>
      </c>
      <c r="O42" s="42">
        <f t="shared" si="10"/>
        <v>1013830.1298701302</v>
      </c>
      <c r="P42" s="40"/>
      <c r="Q42" s="27">
        <f t="shared" si="11"/>
        <v>3538.6741007683427</v>
      </c>
      <c r="R42" s="27">
        <f>VLOOKUP((J42/A42),Variables!$A$3:$C$8,3,TRUE())</f>
        <v>1094</v>
      </c>
      <c r="S42" s="27">
        <f t="shared" si="12"/>
        <v>15137.661431064573</v>
      </c>
      <c r="T42" s="24">
        <f>+V42/A42*Variables!$B$10</f>
        <v>982.96502799120617</v>
      </c>
      <c r="U42" s="28">
        <f>+(S42/(1-(N42+Variables!$B$10)))/G42</f>
        <v>163.82750466520102</v>
      </c>
      <c r="V42" s="5">
        <f t="shared" si="13"/>
        <v>5632389.6103896108</v>
      </c>
      <c r="AI42" s="18"/>
      <c r="AJ42" s="18"/>
      <c r="AK42" s="18"/>
      <c r="AL42" s="18"/>
      <c r="AM42" s="18"/>
    </row>
    <row r="43" spans="1:39" ht="15" customHeight="1" x14ac:dyDescent="0.3">
      <c r="A43" s="43">
        <f t="shared" si="14"/>
        <v>286.5</v>
      </c>
      <c r="B43" s="88">
        <v>45147</v>
      </c>
      <c r="C43" s="3" t="s">
        <v>110</v>
      </c>
      <c r="D43" s="3" t="s">
        <v>115</v>
      </c>
      <c r="E43" s="3" t="s">
        <v>114</v>
      </c>
      <c r="F43" s="3" t="s">
        <v>34</v>
      </c>
      <c r="G43" s="3">
        <v>120</v>
      </c>
      <c r="H43" s="161">
        <f>54210*1.05+200</f>
        <v>57120.5</v>
      </c>
      <c r="I43" s="89"/>
      <c r="J43" s="19">
        <f t="shared" si="6"/>
        <v>6854460</v>
      </c>
      <c r="K43" s="90">
        <v>5000</v>
      </c>
      <c r="L43" s="149">
        <f t="shared" si="9"/>
        <v>74236.600000000006</v>
      </c>
      <c r="M43" s="5">
        <f t="shared" si="7"/>
        <v>8908392</v>
      </c>
      <c r="N43" s="8">
        <f>VLOOKUP((J43/A43),Variables!$A$3:$C$8,2,TRUE())</f>
        <v>0.18</v>
      </c>
      <c r="O43" s="42">
        <f t="shared" si="10"/>
        <v>1603510.1298701293</v>
      </c>
      <c r="P43" s="40"/>
      <c r="Q43" s="27">
        <f t="shared" si="11"/>
        <v>5596.8939960562975</v>
      </c>
      <c r="R43" s="27">
        <f>VLOOKUP((J43/A43),Variables!$A$3:$C$8,3,TRUE())</f>
        <v>1094</v>
      </c>
      <c r="S43" s="27">
        <f t="shared" si="12"/>
        <v>23942.268760907504</v>
      </c>
      <c r="T43" s="24">
        <f>+V43/A43*Variables!$B$10</f>
        <v>1554.6927766823053</v>
      </c>
      <c r="U43" s="28">
        <f>+(S43/(1-(N43+Variables!$B$10)))/G43</f>
        <v>259.11546278038423</v>
      </c>
      <c r="V43" s="5">
        <f t="shared" si="13"/>
        <v>8908389.6103896089</v>
      </c>
      <c r="AI43" s="18"/>
      <c r="AJ43" s="18"/>
      <c r="AK43" s="18"/>
      <c r="AL43" s="18"/>
      <c r="AM43" s="18"/>
    </row>
    <row r="44" spans="1:39" ht="15" customHeight="1" x14ac:dyDescent="0.3">
      <c r="A44" s="43">
        <f t="shared" si="14"/>
        <v>286.5</v>
      </c>
      <c r="B44" s="88">
        <v>45147</v>
      </c>
      <c r="C44" s="3" t="s">
        <v>110</v>
      </c>
      <c r="D44" s="3" t="s">
        <v>115</v>
      </c>
      <c r="E44" s="3" t="s">
        <v>116</v>
      </c>
      <c r="F44" s="3" t="s">
        <v>34</v>
      </c>
      <c r="G44" s="3">
        <v>120</v>
      </c>
      <c r="H44" s="161">
        <f>52259.65*1.05+200</f>
        <v>55072.632500000007</v>
      </c>
      <c r="I44" s="89"/>
      <c r="J44" s="19">
        <f t="shared" si="6"/>
        <v>6608715.9000000004</v>
      </c>
      <c r="K44" s="90">
        <v>5000</v>
      </c>
      <c r="L44" s="149">
        <f t="shared" si="9"/>
        <v>71577</v>
      </c>
      <c r="M44" s="5">
        <f t="shared" si="7"/>
        <v>8589240</v>
      </c>
      <c r="N44" s="8">
        <f>VLOOKUP((J44/A44),Variables!$A$3:$C$8,2,TRUE())</f>
        <v>0.18</v>
      </c>
      <c r="O44" s="42">
        <f t="shared" si="10"/>
        <v>1546063.4571428571</v>
      </c>
      <c r="P44" s="40"/>
      <c r="Q44" s="27">
        <f t="shared" si="11"/>
        <v>5396.3820493642479</v>
      </c>
      <c r="R44" s="27">
        <f>VLOOKUP((J44/A44),Variables!$A$3:$C$8,3,TRUE())</f>
        <v>1094</v>
      </c>
      <c r="S44" s="27">
        <f t="shared" si="12"/>
        <v>23084.523211169286</v>
      </c>
      <c r="T44" s="24">
        <f>+V44/A44*Variables!$B$10</f>
        <v>1498.9950137122914</v>
      </c>
      <c r="U44" s="28">
        <f>+(S44/(1-(N44+Variables!$B$10)))/G44</f>
        <v>249.83250228538188</v>
      </c>
      <c r="V44" s="5">
        <f t="shared" si="13"/>
        <v>8589241.4285714291</v>
      </c>
      <c r="AI44" s="18"/>
      <c r="AJ44" s="18"/>
      <c r="AK44" s="18"/>
      <c r="AL44" s="18"/>
      <c r="AM44" s="18"/>
    </row>
    <row r="45" spans="1:39" ht="15" customHeight="1" x14ac:dyDescent="0.3">
      <c r="A45" s="43">
        <f t="shared" si="14"/>
        <v>286.5</v>
      </c>
      <c r="B45" s="88">
        <v>45147</v>
      </c>
      <c r="C45" s="3" t="s">
        <v>110</v>
      </c>
      <c r="D45" s="3" t="s">
        <v>115</v>
      </c>
      <c r="E45" s="3" t="s">
        <v>117</v>
      </c>
      <c r="F45" s="3" t="s">
        <v>34</v>
      </c>
      <c r="G45" s="3">
        <v>120</v>
      </c>
      <c r="H45" s="161">
        <f>54210*1.05+200</f>
        <v>57120.5</v>
      </c>
      <c r="I45" s="89"/>
      <c r="J45" s="19">
        <f t="shared" si="6"/>
        <v>6854460</v>
      </c>
      <c r="K45" s="90">
        <v>5000</v>
      </c>
      <c r="L45" s="149">
        <f t="shared" si="9"/>
        <v>74236.600000000006</v>
      </c>
      <c r="M45" s="5">
        <f t="shared" si="7"/>
        <v>8908392</v>
      </c>
      <c r="N45" s="8">
        <f>VLOOKUP((J45/A45),Variables!$A$3:$C$8,2,TRUE())</f>
        <v>0.18</v>
      </c>
      <c r="O45" s="42">
        <f t="shared" si="10"/>
        <v>1603510.1298701293</v>
      </c>
      <c r="P45" s="40"/>
      <c r="Q45" s="27">
        <f t="shared" si="11"/>
        <v>5596.8939960562975</v>
      </c>
      <c r="R45" s="27">
        <f>VLOOKUP((J45/A45),Variables!$A$3:$C$8,3,TRUE())</f>
        <v>1094</v>
      </c>
      <c r="S45" s="27">
        <f t="shared" si="12"/>
        <v>23942.268760907504</v>
      </c>
      <c r="T45" s="24">
        <f>+V45/A45*Variables!$B$10</f>
        <v>1554.6927766823053</v>
      </c>
      <c r="U45" s="28">
        <f>+(S45/(1-(N45+Variables!$B$10)))/G45</f>
        <v>259.11546278038423</v>
      </c>
      <c r="V45" s="5">
        <f t="shared" si="13"/>
        <v>8908389.6103896089</v>
      </c>
      <c r="AI45" s="18"/>
      <c r="AJ45" s="18"/>
      <c r="AK45" s="18"/>
      <c r="AL45" s="18"/>
      <c r="AM45" s="18"/>
    </row>
    <row r="46" spans="1:39" ht="15" customHeight="1" x14ac:dyDescent="0.3">
      <c r="A46" s="43">
        <f t="shared" si="14"/>
        <v>286.5</v>
      </c>
      <c r="B46" s="88">
        <v>45147</v>
      </c>
      <c r="C46" s="3" t="s">
        <v>110</v>
      </c>
      <c r="D46" s="3" t="s">
        <v>115</v>
      </c>
      <c r="E46" s="3" t="s">
        <v>118</v>
      </c>
      <c r="F46" s="3" t="s">
        <v>34</v>
      </c>
      <c r="G46" s="3">
        <v>120</v>
      </c>
      <c r="H46" s="161">
        <f>52259.65*1.05+200</f>
        <v>55072.632500000007</v>
      </c>
      <c r="I46" s="89"/>
      <c r="J46" s="19">
        <f t="shared" si="6"/>
        <v>6608715.9000000004</v>
      </c>
      <c r="K46" s="90">
        <v>5000</v>
      </c>
      <c r="L46" s="149">
        <f t="shared" si="9"/>
        <v>71577</v>
      </c>
      <c r="M46" s="5">
        <f t="shared" si="7"/>
        <v>8589240</v>
      </c>
      <c r="N46" s="8">
        <f>VLOOKUP((J46/A46),Variables!$A$3:$C$8,2,TRUE())</f>
        <v>0.18</v>
      </c>
      <c r="O46" s="42">
        <f t="shared" si="10"/>
        <v>1546063.4571428571</v>
      </c>
      <c r="P46" s="40"/>
      <c r="Q46" s="27">
        <f t="shared" si="11"/>
        <v>5396.3820493642479</v>
      </c>
      <c r="R46" s="27">
        <f>VLOOKUP((J46/A46),Variables!$A$3:$C$8,3,TRUE())</f>
        <v>1094</v>
      </c>
      <c r="S46" s="27">
        <f t="shared" si="12"/>
        <v>23084.523211169286</v>
      </c>
      <c r="T46" s="24">
        <f>+V46/A46*Variables!$B$10</f>
        <v>1498.9950137122914</v>
      </c>
      <c r="U46" s="28">
        <f>+(S46/(1-(N46+Variables!$B$10)))/G46</f>
        <v>249.83250228538188</v>
      </c>
      <c r="V46" s="5">
        <f t="shared" si="13"/>
        <v>8589241.4285714291</v>
      </c>
      <c r="AI46" s="18"/>
      <c r="AJ46" s="18"/>
      <c r="AK46" s="18"/>
      <c r="AL46" s="18"/>
      <c r="AM46" s="18"/>
    </row>
    <row r="47" spans="1:39" ht="15" customHeight="1" x14ac:dyDescent="0.3">
      <c r="A47" s="43">
        <v>365</v>
      </c>
      <c r="B47" s="88">
        <v>45147</v>
      </c>
      <c r="C47" s="3" t="s">
        <v>110</v>
      </c>
      <c r="D47" s="3" t="s">
        <v>115</v>
      </c>
      <c r="E47" s="3" t="s">
        <v>118</v>
      </c>
      <c r="F47" s="3" t="s">
        <v>34</v>
      </c>
      <c r="G47" s="3">
        <v>120</v>
      </c>
      <c r="H47" s="161">
        <f>52259.65*1.05+200</f>
        <v>55072.632500000007</v>
      </c>
      <c r="I47" s="89"/>
      <c r="J47" s="19">
        <f t="shared" si="6"/>
        <v>6608715.9000000004</v>
      </c>
      <c r="K47" s="90">
        <v>5000</v>
      </c>
      <c r="L47" s="149">
        <f t="shared" si="9"/>
        <v>71577</v>
      </c>
      <c r="M47" s="5">
        <f t="shared" si="7"/>
        <v>8589240</v>
      </c>
      <c r="N47" s="8">
        <f>VLOOKUP((J47/A47),Variables!$A$3:$C$8,2,TRUE())</f>
        <v>0.18</v>
      </c>
      <c r="O47" s="42">
        <f t="shared" si="10"/>
        <v>1546063.4571428569</v>
      </c>
      <c r="P47" s="40"/>
      <c r="Q47" s="27">
        <f t="shared" si="11"/>
        <v>4235.7902935420734</v>
      </c>
      <c r="R47" s="27">
        <f>VLOOKUP((J47/A47),Variables!$A$3:$C$8,3,TRUE())</f>
        <v>1094</v>
      </c>
      <c r="S47" s="27">
        <f t="shared" si="12"/>
        <v>18119.769589041098</v>
      </c>
      <c r="T47" s="24">
        <f>+V47/A47*Variables!$B$10</f>
        <v>1176.6084148727984</v>
      </c>
      <c r="U47" s="28">
        <f>+(S47/(1-(N47+Variables!$B$10)))/G47</f>
        <v>196.10140247879974</v>
      </c>
      <c r="V47" s="5">
        <f t="shared" si="13"/>
        <v>8589241.4285714291</v>
      </c>
      <c r="AI47" s="18"/>
      <c r="AJ47" s="18"/>
      <c r="AK47" s="18"/>
      <c r="AL47" s="18"/>
      <c r="AM47" s="18"/>
    </row>
    <row r="48" spans="1:39" ht="15" customHeight="1" x14ac:dyDescent="0.3">
      <c r="A48" s="43">
        <v>365</v>
      </c>
      <c r="B48" s="88">
        <v>45166</v>
      </c>
      <c r="C48" s="3" t="s">
        <v>121</v>
      </c>
      <c r="D48" s="3" t="s">
        <v>123</v>
      </c>
      <c r="E48" s="76" t="s">
        <v>122</v>
      </c>
      <c r="F48" s="3" t="s">
        <v>47</v>
      </c>
      <c r="G48" s="3">
        <v>50</v>
      </c>
      <c r="H48" s="161">
        <f>13.9*368.5+200+4.4*368.5+280+17608.39</f>
        <v>24831.940000000002</v>
      </c>
      <c r="I48" s="89">
        <v>30555.37</v>
      </c>
      <c r="J48" s="19">
        <f t="shared" si="6"/>
        <v>1272152.3700000001</v>
      </c>
      <c r="K48" s="90">
        <f>10000+7000+4000+4000+4000</f>
        <v>29000</v>
      </c>
      <c r="L48" s="149">
        <f t="shared" si="9"/>
        <v>35648</v>
      </c>
      <c r="M48" s="5">
        <f t="shared" si="7"/>
        <v>1782400</v>
      </c>
      <c r="N48" s="8">
        <f>VLOOKUP((J48/A48),Variables!$A$3:$C$8,2,TRUE())</f>
        <v>0.22</v>
      </c>
      <c r="O48" s="42">
        <f t="shared" si="10"/>
        <v>392128.11150684935</v>
      </c>
      <c r="P48" s="40"/>
      <c r="Q48" s="27">
        <f t="shared" si="11"/>
        <v>1074.3235931694503</v>
      </c>
      <c r="R48" s="27">
        <f>VLOOKUP((J48/A48),Variables!$A$3:$C$8,3,TRUE())</f>
        <v>510</v>
      </c>
      <c r="S48" s="27">
        <f t="shared" si="12"/>
        <v>3564.8010136986304</v>
      </c>
      <c r="T48" s="24">
        <f>+V48/A48*Variables!$B$10</f>
        <v>244.1644529930569</v>
      </c>
      <c r="U48" s="28">
        <f>+(S48/(1-(N48+Variables!$B$10)))/G48</f>
        <v>97.665781197222756</v>
      </c>
      <c r="V48" s="5">
        <f t="shared" si="13"/>
        <v>1782400.5068493153</v>
      </c>
      <c r="AI48" s="18"/>
      <c r="AJ48" s="18"/>
      <c r="AK48" s="18"/>
      <c r="AL48" s="18"/>
      <c r="AM48" s="18"/>
    </row>
    <row r="49" spans="1:39" ht="15" customHeight="1" x14ac:dyDescent="0.3">
      <c r="A49" s="43">
        <v>365</v>
      </c>
      <c r="B49" s="88">
        <v>45166</v>
      </c>
      <c r="C49" s="3" t="s">
        <v>124</v>
      </c>
      <c r="D49" s="3"/>
      <c r="E49" s="76" t="s">
        <v>134</v>
      </c>
      <c r="F49" s="57"/>
      <c r="G49" s="3">
        <v>100</v>
      </c>
      <c r="H49" s="92">
        <f>Kits!G13</f>
        <v>16539.16</v>
      </c>
      <c r="I49" s="36"/>
      <c r="J49" s="19">
        <f t="shared" si="6"/>
        <v>1653916</v>
      </c>
      <c r="K49" s="90">
        <f>Kits!L13</f>
        <v>29000</v>
      </c>
      <c r="L49" s="149">
        <f t="shared" si="9"/>
        <v>22438.9</v>
      </c>
      <c r="M49" s="5">
        <f t="shared" si="7"/>
        <v>2243890</v>
      </c>
      <c r="N49" s="8">
        <f>VLOOKUP((J49/A49),Variables!$A$3:$C$8,2,TRUE())</f>
        <v>0.2</v>
      </c>
      <c r="O49" s="42">
        <f t="shared" si="10"/>
        <v>448777.60000000015</v>
      </c>
      <c r="P49" s="40"/>
      <c r="Q49" s="27">
        <f t="shared" si="11"/>
        <v>1229.5276712328771</v>
      </c>
      <c r="R49" s="27">
        <f>VLOOKUP((J49/A49),Variables!$A$3:$C$8,3,TRUE())</f>
        <v>898</v>
      </c>
      <c r="S49" s="27">
        <f t="shared" si="12"/>
        <v>4610.728767123288</v>
      </c>
      <c r="T49" s="24">
        <f>+V49/A49*Variables!$B$10</f>
        <v>307.38191780821927</v>
      </c>
      <c r="U49" s="28">
        <f>+(S49/(1-(N49+Variables!$B$10)))/G49</f>
        <v>61.476383561643843</v>
      </c>
      <c r="V49" s="5">
        <f t="shared" si="13"/>
        <v>2243888.0000000005</v>
      </c>
      <c r="AI49" s="18"/>
      <c r="AJ49" s="18"/>
      <c r="AK49" s="18"/>
      <c r="AL49" s="18"/>
      <c r="AM49" s="18"/>
    </row>
    <row r="50" spans="1:39" ht="15" customHeight="1" x14ac:dyDescent="0.3">
      <c r="A50" s="43">
        <v>365</v>
      </c>
      <c r="B50" s="88">
        <v>45166</v>
      </c>
      <c r="C50" s="3" t="s">
        <v>124</v>
      </c>
      <c r="D50" s="3"/>
      <c r="E50" s="76" t="s">
        <v>135</v>
      </c>
      <c r="F50" s="57"/>
      <c r="G50" s="3">
        <v>100</v>
      </c>
      <c r="H50" s="92">
        <f>Kits!G20</f>
        <v>15121.74</v>
      </c>
      <c r="I50" s="36"/>
      <c r="J50" s="19">
        <f t="shared" si="6"/>
        <v>1512174</v>
      </c>
      <c r="K50" s="90">
        <f>Kits!L20</f>
        <v>22000</v>
      </c>
      <c r="L50" s="149">
        <f t="shared" si="9"/>
        <v>20455.7</v>
      </c>
      <c r="M50" s="5">
        <f t="shared" si="7"/>
        <v>2045570</v>
      </c>
      <c r="N50" s="8">
        <f>VLOOKUP((J50/A50),Variables!$A$3:$C$8,2,TRUE())</f>
        <v>0.2</v>
      </c>
      <c r="O50" s="42">
        <f t="shared" si="10"/>
        <v>409113.06666666665</v>
      </c>
      <c r="P50" s="40"/>
      <c r="Q50" s="27">
        <f t="shared" si="11"/>
        <v>1120.8577168949771</v>
      </c>
      <c r="R50" s="27">
        <f>VLOOKUP((J50/A50),Variables!$A$3:$C$8,3,TRUE())</f>
        <v>898</v>
      </c>
      <c r="S50" s="27">
        <f t="shared" si="12"/>
        <v>4203.216438356164</v>
      </c>
      <c r="T50" s="24">
        <f>+V50/A50*Variables!$B$10</f>
        <v>280.21442922374428</v>
      </c>
      <c r="U50" s="28">
        <f>+(S50/(1-(N50+Variables!$B$10)))/G50</f>
        <v>56.042885844748852</v>
      </c>
      <c r="V50" s="5">
        <f t="shared" si="13"/>
        <v>2045565.333333333</v>
      </c>
      <c r="AI50" s="18"/>
      <c r="AJ50" s="18"/>
      <c r="AK50" s="18"/>
      <c r="AL50" s="18"/>
      <c r="AM50" s="18"/>
    </row>
    <row r="51" spans="1:39" ht="15" customHeight="1" x14ac:dyDescent="0.3">
      <c r="A51" s="43">
        <v>365</v>
      </c>
      <c r="B51" s="88">
        <v>45166</v>
      </c>
      <c r="C51" s="3" t="s">
        <v>124</v>
      </c>
      <c r="D51" s="3"/>
      <c r="E51" s="76" t="s">
        <v>135</v>
      </c>
      <c r="F51" s="57"/>
      <c r="G51" s="3">
        <v>80</v>
      </c>
      <c r="H51" s="92"/>
      <c r="I51" s="36">
        <f>Kits!G27</f>
        <v>1280562.6000000001</v>
      </c>
      <c r="J51" s="19">
        <f t="shared" si="6"/>
        <v>1280562.6000000001</v>
      </c>
      <c r="K51" s="90">
        <f>Kits!L27</f>
        <v>22000</v>
      </c>
      <c r="L51" s="149">
        <f t="shared" si="9"/>
        <v>22304.2</v>
      </c>
      <c r="M51" s="5">
        <f t="shared" si="7"/>
        <v>1784336</v>
      </c>
      <c r="N51" s="8">
        <f>VLOOKUP((J51/A51),Variables!$A$3:$C$8,2,TRUE())</f>
        <v>0.22</v>
      </c>
      <c r="O51" s="42">
        <f t="shared" si="10"/>
        <v>392553.11232876725</v>
      </c>
      <c r="P51" s="40"/>
      <c r="Q51" s="27">
        <f t="shared" si="11"/>
        <v>1075.487978982924</v>
      </c>
      <c r="R51" s="27">
        <f>VLOOKUP((J51/A51),Variables!$A$3:$C$8,3,TRUE())</f>
        <v>510</v>
      </c>
      <c r="S51" s="27">
        <f t="shared" si="12"/>
        <v>3568.664657534247</v>
      </c>
      <c r="T51" s="24">
        <f>+V51/A51*Variables!$B$10</f>
        <v>244.42908613248269</v>
      </c>
      <c r="U51" s="28">
        <f>+(S51/(1-(N51+Variables!$B$10)))/G51</f>
        <v>61.107271533120674</v>
      </c>
      <c r="V51" s="5">
        <f t="shared" si="13"/>
        <v>1784332.3287671236</v>
      </c>
      <c r="AI51" s="18"/>
      <c r="AJ51" s="18"/>
      <c r="AK51" s="18"/>
      <c r="AL51" s="18"/>
      <c r="AM51" s="18"/>
    </row>
    <row r="52" spans="1:39" ht="15" customHeight="1" x14ac:dyDescent="0.3">
      <c r="A52" s="43">
        <v>365</v>
      </c>
      <c r="B52" s="88">
        <v>45175</v>
      </c>
      <c r="C52" s="3" t="s">
        <v>136</v>
      </c>
      <c r="D52" s="3" t="s">
        <v>141</v>
      </c>
      <c r="E52" s="3" t="s">
        <v>142</v>
      </c>
      <c r="F52" s="57" t="s">
        <v>143</v>
      </c>
      <c r="G52" s="3">
        <v>50</v>
      </c>
      <c r="H52" s="92">
        <v>585.9</v>
      </c>
      <c r="I52" s="36"/>
      <c r="J52" s="19">
        <f t="shared" si="6"/>
        <v>29295</v>
      </c>
      <c r="K52" s="90">
        <v>8000</v>
      </c>
      <c r="L52" s="149">
        <f t="shared" si="9"/>
        <v>1399.2</v>
      </c>
      <c r="M52" s="5">
        <f t="shared" si="7"/>
        <v>69960</v>
      </c>
      <c r="N52" s="8">
        <f>VLOOKUP((J52/A52),Variables!$A$3:$C$8,2,TRUE())</f>
        <v>0.3</v>
      </c>
      <c r="O52" s="42">
        <f t="shared" si="10"/>
        <v>29795.918367346938</v>
      </c>
      <c r="P52" s="40"/>
      <c r="Q52" s="27">
        <f t="shared" si="11"/>
        <v>81.632653061224488</v>
      </c>
      <c r="R52" s="27">
        <f>VLOOKUP((J52/A52),Variables!$A$3:$C$8,3,TRUE())</f>
        <v>81.632653061224488</v>
      </c>
      <c r="S52" s="27">
        <f t="shared" si="12"/>
        <v>102.17808219178082</v>
      </c>
      <c r="T52" s="24">
        <f>+V52/A52*Variables!$B$10</f>
        <v>7.8598524762908317</v>
      </c>
      <c r="U52" s="28">
        <f>+(S52/(1-(N52+Variables!$B$10)))/G52</f>
        <v>3.1439409905163327</v>
      </c>
      <c r="V52" s="5">
        <f t="shared" si="13"/>
        <v>57376.923076923071</v>
      </c>
      <c r="AI52" s="18"/>
      <c r="AJ52" s="18"/>
      <c r="AK52" s="18"/>
      <c r="AL52" s="18"/>
      <c r="AM52" s="18"/>
    </row>
    <row r="53" spans="1:39" ht="15" customHeight="1" x14ac:dyDescent="0.3">
      <c r="A53" s="43">
        <v>365</v>
      </c>
      <c r="B53" s="88">
        <v>45175</v>
      </c>
      <c r="C53" s="3" t="s">
        <v>136</v>
      </c>
      <c r="D53" s="3" t="s">
        <v>141</v>
      </c>
      <c r="E53" s="3" t="s">
        <v>142</v>
      </c>
      <c r="F53" s="57" t="s">
        <v>143</v>
      </c>
      <c r="G53" s="3">
        <v>100</v>
      </c>
      <c r="H53" s="92">
        <v>583</v>
      </c>
      <c r="I53" s="36"/>
      <c r="J53" s="19">
        <f t="shared" si="6"/>
        <v>58300</v>
      </c>
      <c r="K53" s="90">
        <v>8000</v>
      </c>
      <c r="L53" s="149">
        <f t="shared" si="9"/>
        <v>1020</v>
      </c>
      <c r="M53" s="5">
        <f t="shared" si="7"/>
        <v>102000</v>
      </c>
      <c r="N53" s="8">
        <f>VLOOKUP((J53/A53),Variables!$A$3:$C$8,2,TRUE())</f>
        <v>0.3</v>
      </c>
      <c r="O53" s="42">
        <f t="shared" si="10"/>
        <v>30600</v>
      </c>
      <c r="P53" s="40"/>
      <c r="Q53" s="27">
        <f t="shared" si="11"/>
        <v>83.835616438356169</v>
      </c>
      <c r="R53" s="27">
        <f>VLOOKUP((J53/A53),Variables!$A$3:$C$8,3,TRUE())</f>
        <v>81.632653061224488</v>
      </c>
      <c r="S53" s="27">
        <f t="shared" si="12"/>
        <v>181.64383561643837</v>
      </c>
      <c r="T53" s="24">
        <f>+V53/A53*Variables!$B$10</f>
        <v>13.972602739726028</v>
      </c>
      <c r="U53" s="28">
        <f>+(S53/(1-(N53+Variables!$B$10)))/G53</f>
        <v>2.7945205479452055</v>
      </c>
      <c r="V53" s="5">
        <f t="shared" si="13"/>
        <v>102000</v>
      </c>
      <c r="AI53" s="18"/>
      <c r="AJ53" s="18"/>
      <c r="AK53" s="18"/>
      <c r="AL53" s="18"/>
      <c r="AM53" s="18"/>
    </row>
    <row r="54" spans="1:39" ht="15" customHeight="1" x14ac:dyDescent="0.3">
      <c r="A54" s="43">
        <v>365</v>
      </c>
      <c r="B54" s="88">
        <v>45175</v>
      </c>
      <c r="C54" s="3" t="s">
        <v>136</v>
      </c>
      <c r="D54" s="3" t="s">
        <v>137</v>
      </c>
      <c r="E54" s="3" t="s">
        <v>138</v>
      </c>
      <c r="F54" s="57" t="s">
        <v>34</v>
      </c>
      <c r="G54" s="3">
        <v>50</v>
      </c>
      <c r="H54" s="92">
        <f>3.96*365.5+200</f>
        <v>1647.3799999999999</v>
      </c>
      <c r="I54" s="36"/>
      <c r="J54" s="19">
        <f t="shared" si="6"/>
        <v>82369</v>
      </c>
      <c r="K54" s="90">
        <v>5000</v>
      </c>
      <c r="L54" s="149">
        <f t="shared" si="9"/>
        <v>2688.3</v>
      </c>
      <c r="M54" s="5">
        <f t="shared" si="7"/>
        <v>134415</v>
      </c>
      <c r="N54" s="8">
        <f>VLOOKUP((J54/A54),Variables!$A$3:$C$8,2,TRUE())</f>
        <v>0.3</v>
      </c>
      <c r="O54" s="42">
        <f t="shared" si="10"/>
        <v>40324.153846153851</v>
      </c>
      <c r="P54" s="40"/>
      <c r="Q54" s="27">
        <f t="shared" si="11"/>
        <v>110.47713382507904</v>
      </c>
      <c r="R54" s="27">
        <f>VLOOKUP((J54/A54),Variables!$A$3:$C$8,3,TRUE())</f>
        <v>81.632653061224488</v>
      </c>
      <c r="S54" s="27">
        <f t="shared" si="12"/>
        <v>239.36712328767123</v>
      </c>
      <c r="T54" s="24">
        <f>+V54/A54*Variables!$B$10</f>
        <v>18.412855637513172</v>
      </c>
      <c r="U54" s="28">
        <f>+(S54/(1-(N54+Variables!$B$10)))/G54</f>
        <v>7.365142255005269</v>
      </c>
      <c r="V54" s="5">
        <f t="shared" si="13"/>
        <v>134413.84615384616</v>
      </c>
      <c r="AI54" s="18"/>
      <c r="AJ54" s="18"/>
      <c r="AK54" s="18"/>
      <c r="AL54" s="18"/>
      <c r="AM54" s="18"/>
    </row>
    <row r="55" spans="1:39" ht="15" customHeight="1" x14ac:dyDescent="0.3">
      <c r="A55" s="43">
        <v>365</v>
      </c>
      <c r="B55" s="88">
        <v>45175</v>
      </c>
      <c r="C55" s="3" t="s">
        <v>136</v>
      </c>
      <c r="D55" s="3" t="s">
        <v>137</v>
      </c>
      <c r="E55" s="3" t="s">
        <v>138</v>
      </c>
      <c r="F55" s="57" t="s">
        <v>34</v>
      </c>
      <c r="G55" s="3">
        <v>100</v>
      </c>
      <c r="H55" s="92">
        <f>3.96*365.5+180</f>
        <v>1627.3799999999999</v>
      </c>
      <c r="I55" s="36"/>
      <c r="J55" s="19">
        <f t="shared" si="6"/>
        <v>162738</v>
      </c>
      <c r="K55" s="90">
        <v>5000</v>
      </c>
      <c r="L55" s="149">
        <f t="shared" si="9"/>
        <v>2503.6</v>
      </c>
      <c r="M55" s="5">
        <f t="shared" si="7"/>
        <v>250360</v>
      </c>
      <c r="N55" s="8">
        <f>VLOOKUP((J55/A55),Variables!$A$3:$C$8,2,TRUE())</f>
        <v>0.28000000000000003</v>
      </c>
      <c r="O55" s="42">
        <f t="shared" si="10"/>
        <v>70099.462686567203</v>
      </c>
      <c r="P55" s="40"/>
      <c r="Q55" s="27">
        <f t="shared" si="11"/>
        <v>192.05332242895125</v>
      </c>
      <c r="R55" s="27">
        <f>VLOOKUP((J55/A55),Variables!$A$3:$C$8,3,TRUE())</f>
        <v>122</v>
      </c>
      <c r="S55" s="27">
        <f t="shared" si="12"/>
        <v>459.55616438356162</v>
      </c>
      <c r="T55" s="24">
        <f>+V55/A55*Variables!$B$10</f>
        <v>34.295236148026994</v>
      </c>
      <c r="U55" s="28">
        <f>+(S55/(1-(N55+Variables!$B$10)))/G55</f>
        <v>6.8590472296053981</v>
      </c>
      <c r="V55" s="5">
        <f t="shared" si="13"/>
        <v>250355.22388059704</v>
      </c>
      <c r="AI55" s="18"/>
      <c r="AJ55" s="18"/>
      <c r="AK55" s="18"/>
      <c r="AL55" s="18"/>
      <c r="AM55" s="18"/>
    </row>
    <row r="56" spans="1:39" ht="15" customHeight="1" x14ac:dyDescent="0.3">
      <c r="A56" s="43">
        <v>365</v>
      </c>
      <c r="B56" s="88">
        <v>45175</v>
      </c>
      <c r="C56" s="3" t="s">
        <v>136</v>
      </c>
      <c r="D56" s="3" t="s">
        <v>137</v>
      </c>
      <c r="E56" s="3" t="s">
        <v>140</v>
      </c>
      <c r="F56" s="57" t="s">
        <v>34</v>
      </c>
      <c r="G56" s="3">
        <v>50</v>
      </c>
      <c r="H56" s="92">
        <f>3.52*365.5+200</f>
        <v>1486.56</v>
      </c>
      <c r="I56" s="36"/>
      <c r="J56" s="19">
        <f t="shared" si="6"/>
        <v>74328</v>
      </c>
      <c r="K56" s="90">
        <v>5000</v>
      </c>
      <c r="L56" s="149">
        <f t="shared" si="9"/>
        <v>2440.9</v>
      </c>
      <c r="M56" s="5">
        <f t="shared" si="7"/>
        <v>122045</v>
      </c>
      <c r="N56" s="8">
        <f>VLOOKUP((J56/A56),Variables!$A$3:$C$8,2,TRUE())</f>
        <v>0.3</v>
      </c>
      <c r="O56" s="42">
        <f t="shared" si="10"/>
        <v>36612.923076923063</v>
      </c>
      <c r="P56" s="40"/>
      <c r="Q56" s="27">
        <f t="shared" si="11"/>
        <v>100.3093782929399</v>
      </c>
      <c r="R56" s="27">
        <f>VLOOKUP((J56/A56),Variables!$A$3:$C$8,3,TRUE())</f>
        <v>81.632653061224488</v>
      </c>
      <c r="S56" s="27">
        <f t="shared" si="12"/>
        <v>217.33698630136988</v>
      </c>
      <c r="T56" s="24">
        <f>+V56/A56*Variables!$B$10</f>
        <v>16.71822971548999</v>
      </c>
      <c r="U56" s="28">
        <f>+(S56/(1-(N56+Variables!$B$10)))/G56</f>
        <v>6.6872918861959958</v>
      </c>
      <c r="V56" s="5">
        <f t="shared" si="13"/>
        <v>122043.07692307692</v>
      </c>
      <c r="AI56" s="18"/>
      <c r="AJ56" s="18"/>
      <c r="AK56" s="18"/>
      <c r="AL56" s="18"/>
      <c r="AM56" s="18"/>
    </row>
    <row r="57" spans="1:39" ht="15" customHeight="1" x14ac:dyDescent="0.3">
      <c r="A57" s="43">
        <v>365</v>
      </c>
      <c r="B57" s="88">
        <v>45175</v>
      </c>
      <c r="C57" s="3" t="s">
        <v>136</v>
      </c>
      <c r="D57" s="3" t="s">
        <v>137</v>
      </c>
      <c r="E57" s="3" t="s">
        <v>140</v>
      </c>
      <c r="F57" s="57" t="s">
        <v>34</v>
      </c>
      <c r="G57" s="3">
        <v>100</v>
      </c>
      <c r="H57" s="92">
        <f>3.52*365.5+180</f>
        <v>1466.56</v>
      </c>
      <c r="I57" s="36"/>
      <c r="J57" s="19">
        <f t="shared" si="6"/>
        <v>146656</v>
      </c>
      <c r="K57" s="90">
        <v>5000</v>
      </c>
      <c r="L57" s="149">
        <f t="shared" si="9"/>
        <v>2333.1999999999998</v>
      </c>
      <c r="M57" s="5">
        <f t="shared" si="7"/>
        <v>233319.99999999997</v>
      </c>
      <c r="N57" s="8">
        <f>VLOOKUP((J57/A57),Variables!$A$3:$C$8,2,TRUE())</f>
        <v>0.3</v>
      </c>
      <c r="O57" s="42">
        <f t="shared" si="10"/>
        <v>69995.076923076937</v>
      </c>
      <c r="P57" s="40"/>
      <c r="Q57" s="27">
        <f t="shared" si="11"/>
        <v>191.76733403582722</v>
      </c>
      <c r="R57" s="27">
        <f>VLOOKUP((J57/A57),Variables!$A$3:$C$8,3,TRUE())</f>
        <v>81.632653061224488</v>
      </c>
      <c r="S57" s="27">
        <f t="shared" si="12"/>
        <v>415.49589041095891</v>
      </c>
      <c r="T57" s="24">
        <f>+V57/A57*Variables!$B$10</f>
        <v>31.961222339304534</v>
      </c>
      <c r="U57" s="28">
        <f>+(S57/(1-(N57+Variables!$B$10)))/G57</f>
        <v>6.3922444678609063</v>
      </c>
      <c r="V57" s="5">
        <f t="shared" si="13"/>
        <v>233316.92307692309</v>
      </c>
      <c r="AI57" s="18"/>
      <c r="AJ57" s="18"/>
      <c r="AK57" s="18"/>
      <c r="AL57" s="18"/>
      <c r="AM57" s="18"/>
    </row>
    <row r="58" spans="1:39" ht="15" customHeight="1" x14ac:dyDescent="0.3">
      <c r="A58" s="43">
        <v>365</v>
      </c>
      <c r="B58" s="88">
        <v>45175</v>
      </c>
      <c r="C58" s="3" t="s">
        <v>136</v>
      </c>
      <c r="D58" s="3" t="s">
        <v>137</v>
      </c>
      <c r="E58" s="3" t="s">
        <v>139</v>
      </c>
      <c r="F58" s="57" t="s">
        <v>34</v>
      </c>
      <c r="G58" s="3">
        <v>15</v>
      </c>
      <c r="H58" s="92">
        <f>3.41*365.5+200</f>
        <v>1446.355</v>
      </c>
      <c r="I58" s="36"/>
      <c r="J58" s="19">
        <f t="shared" si="6"/>
        <v>21695.325000000001</v>
      </c>
      <c r="K58" s="90"/>
      <c r="L58" s="149">
        <f t="shared" si="9"/>
        <v>3544</v>
      </c>
      <c r="M58" s="5">
        <f t="shared" si="7"/>
        <v>53160</v>
      </c>
      <c r="N58" s="8">
        <f>VLOOKUP((J58/A58),Variables!$A$3:$C$8,2,TRUE())</f>
        <v>0.3</v>
      </c>
      <c r="O58" s="42">
        <f t="shared" si="10"/>
        <v>29795.918367346938</v>
      </c>
      <c r="P58" s="40"/>
      <c r="Q58" s="27">
        <f t="shared" si="11"/>
        <v>81.632653061224488</v>
      </c>
      <c r="R58" s="27">
        <f>VLOOKUP((J58/A58),Variables!$A$3:$C$8,3,TRUE())</f>
        <v>81.632653061224488</v>
      </c>
      <c r="S58" s="27">
        <f t="shared" si="12"/>
        <v>59.439246575342466</v>
      </c>
      <c r="T58" s="24">
        <f>+V58/A58*Variables!$B$10</f>
        <v>4.572249736564804</v>
      </c>
      <c r="U58" s="28">
        <f>+(S58/(1-(N58+Variables!$B$10)))/G58</f>
        <v>6.0963329820864063</v>
      </c>
      <c r="V58" s="5">
        <f t="shared" si="13"/>
        <v>33377.423076923071</v>
      </c>
      <c r="AI58" s="18"/>
      <c r="AJ58" s="18"/>
      <c r="AK58" s="18"/>
      <c r="AL58" s="18"/>
      <c r="AM58" s="18"/>
    </row>
    <row r="59" spans="1:39" ht="15" customHeight="1" x14ac:dyDescent="0.3">
      <c r="A59" s="43">
        <v>365</v>
      </c>
      <c r="B59" s="88">
        <v>45175</v>
      </c>
      <c r="C59" s="3" t="s">
        <v>56</v>
      </c>
      <c r="D59" s="3" t="s">
        <v>82</v>
      </c>
      <c r="E59" s="3" t="s">
        <v>83</v>
      </c>
      <c r="F59" s="57" t="s">
        <v>84</v>
      </c>
      <c r="G59" s="3">
        <v>500</v>
      </c>
      <c r="H59" s="92">
        <v>425.98</v>
      </c>
      <c r="I59" s="36"/>
      <c r="J59" s="19">
        <f t="shared" si="6"/>
        <v>212990</v>
      </c>
      <c r="K59" s="90">
        <v>4000</v>
      </c>
      <c r="L59" s="149">
        <f t="shared" si="9"/>
        <v>647.70000000000005</v>
      </c>
      <c r="M59" s="5">
        <f t="shared" si="7"/>
        <v>323850</v>
      </c>
      <c r="N59" s="8">
        <f>VLOOKUP((J59/A59),Variables!$A$3:$C$8,2,TRUE())</f>
        <v>0.28000000000000003</v>
      </c>
      <c r="O59" s="42">
        <f t="shared" si="10"/>
        <v>90682.388059701538</v>
      </c>
      <c r="P59" s="40"/>
      <c r="Q59" s="27">
        <f t="shared" si="11"/>
        <v>248.44489879370283</v>
      </c>
      <c r="R59" s="27">
        <f>VLOOKUP((J59/A59),Variables!$A$3:$C$8,3,TRUE())</f>
        <v>122</v>
      </c>
      <c r="S59" s="27">
        <f t="shared" si="12"/>
        <v>594.49315068493149</v>
      </c>
      <c r="T59" s="24">
        <f>+V59/A59*Variables!$B$10</f>
        <v>44.365160498875497</v>
      </c>
      <c r="U59" s="28">
        <f>+(S59/(1-(N59+Variables!$B$10)))/G59</f>
        <v>1.7746064199550196</v>
      </c>
      <c r="V59" s="5">
        <f t="shared" si="13"/>
        <v>323865.67164179106</v>
      </c>
      <c r="AI59" s="18"/>
      <c r="AJ59" s="18"/>
      <c r="AK59" s="18"/>
      <c r="AL59" s="18"/>
      <c r="AM59" s="18"/>
    </row>
    <row r="60" spans="1:39" ht="15" customHeight="1" x14ac:dyDescent="0.3">
      <c r="A60" s="43">
        <v>365</v>
      </c>
      <c r="B60" s="88">
        <v>45175</v>
      </c>
      <c r="C60" s="3" t="s">
        <v>56</v>
      </c>
      <c r="D60" s="3" t="s">
        <v>82</v>
      </c>
      <c r="E60" s="3" t="s">
        <v>83</v>
      </c>
      <c r="F60" s="57" t="s">
        <v>86</v>
      </c>
      <c r="G60" s="3">
        <v>500</v>
      </c>
      <c r="H60" s="92">
        <v>468.84</v>
      </c>
      <c r="I60" s="36"/>
      <c r="J60" s="19">
        <f t="shared" si="6"/>
        <v>234420</v>
      </c>
      <c r="K60" s="90">
        <v>4000</v>
      </c>
      <c r="L60" s="149">
        <f t="shared" si="9"/>
        <v>711.7</v>
      </c>
      <c r="M60" s="5">
        <f t="shared" si="7"/>
        <v>355850</v>
      </c>
      <c r="N60" s="8">
        <f>VLOOKUP((J60/A60),Variables!$A$3:$C$8,2,TRUE())</f>
        <v>0.28000000000000003</v>
      </c>
      <c r="O60" s="42">
        <f t="shared" si="10"/>
        <v>99638.208955223905</v>
      </c>
      <c r="P60" s="40"/>
      <c r="Q60" s="27">
        <f t="shared" si="11"/>
        <v>272.98139439787371</v>
      </c>
      <c r="R60" s="27">
        <f>VLOOKUP((J60/A60),Variables!$A$3:$C$8,3,TRUE())</f>
        <v>122</v>
      </c>
      <c r="S60" s="27">
        <f t="shared" si="12"/>
        <v>653.20547945205476</v>
      </c>
      <c r="T60" s="24">
        <f>+V60/A60*Variables!$B$10</f>
        <v>48.746677571048878</v>
      </c>
      <c r="U60" s="28">
        <f>+(S60/(1-(N60+Variables!$B$10)))/G60</f>
        <v>1.9498671028419547</v>
      </c>
      <c r="V60" s="5">
        <f t="shared" si="13"/>
        <v>355850.74626865675</v>
      </c>
      <c r="AI60" s="18"/>
      <c r="AJ60" s="18"/>
      <c r="AK60" s="18"/>
      <c r="AL60" s="18"/>
      <c r="AM60" s="18"/>
    </row>
    <row r="61" spans="1:39" ht="15" customHeight="1" x14ac:dyDescent="0.3">
      <c r="A61" s="43">
        <v>365</v>
      </c>
      <c r="B61" s="88">
        <v>45175</v>
      </c>
      <c r="C61" s="3" t="s">
        <v>56</v>
      </c>
      <c r="D61" s="3" t="s">
        <v>65</v>
      </c>
      <c r="E61" s="3" t="s">
        <v>144</v>
      </c>
      <c r="F61" s="57" t="s">
        <v>84</v>
      </c>
      <c r="G61" s="3">
        <v>500</v>
      </c>
      <c r="H61" s="92">
        <f>220+10</f>
        <v>230</v>
      </c>
      <c r="I61" s="36"/>
      <c r="J61" s="19">
        <f t="shared" si="6"/>
        <v>115000</v>
      </c>
      <c r="K61" s="90">
        <v>4000</v>
      </c>
      <c r="L61" s="149">
        <f t="shared" si="9"/>
        <v>366.2</v>
      </c>
      <c r="M61" s="5">
        <f t="shared" si="7"/>
        <v>183100</v>
      </c>
      <c r="N61" s="8">
        <f>VLOOKUP((J61/A61),Variables!$A$3:$C$8,2,TRUE())</f>
        <v>0.3</v>
      </c>
      <c r="O61" s="42">
        <f t="shared" si="10"/>
        <v>54923.076923076915</v>
      </c>
      <c r="P61" s="40"/>
      <c r="Q61" s="27">
        <f t="shared" si="11"/>
        <v>150.47418335089566</v>
      </c>
      <c r="R61" s="27">
        <f>VLOOKUP((J61/A61),Variables!$A$3:$C$8,3,TRUE())</f>
        <v>81.632653061224488</v>
      </c>
      <c r="S61" s="27">
        <f t="shared" si="12"/>
        <v>326.02739726027397</v>
      </c>
      <c r="T61" s="24">
        <f>+V61/A61*Variables!$B$10</f>
        <v>25.079030558482614</v>
      </c>
      <c r="U61" s="28">
        <f>+(S61/(1-(N61+Variables!$B$10)))/G61</f>
        <v>1.0031612223393045</v>
      </c>
      <c r="V61" s="5">
        <f t="shared" si="13"/>
        <v>183076.92307692306</v>
      </c>
      <c r="AI61" s="18"/>
      <c r="AJ61" s="18"/>
      <c r="AK61" s="18"/>
      <c r="AL61" s="18"/>
      <c r="AM61" s="18"/>
    </row>
    <row r="62" spans="1:39" ht="15" customHeight="1" x14ac:dyDescent="0.3">
      <c r="A62" s="43">
        <v>365</v>
      </c>
      <c r="B62" s="88">
        <v>45175</v>
      </c>
      <c r="C62" s="3" t="s">
        <v>56</v>
      </c>
      <c r="D62" s="3" t="s">
        <v>65</v>
      </c>
      <c r="E62" s="3" t="s">
        <v>144</v>
      </c>
      <c r="F62" s="57" t="s">
        <v>86</v>
      </c>
      <c r="G62" s="3">
        <v>500</v>
      </c>
      <c r="H62" s="92">
        <f>220+40+10</f>
        <v>270</v>
      </c>
      <c r="I62" s="36"/>
      <c r="J62" s="19">
        <f t="shared" si="6"/>
        <v>135000</v>
      </c>
      <c r="K62" s="90">
        <v>4000</v>
      </c>
      <c r="L62" s="149">
        <f t="shared" si="9"/>
        <v>427.7</v>
      </c>
      <c r="M62" s="5">
        <f t="shared" si="7"/>
        <v>213850</v>
      </c>
      <c r="N62" s="8">
        <f>VLOOKUP((J62/A62),Variables!$A$3:$C$8,2,TRUE())</f>
        <v>0.3</v>
      </c>
      <c r="O62" s="42">
        <f t="shared" si="10"/>
        <v>64153.846153846142</v>
      </c>
      <c r="P62" s="40"/>
      <c r="Q62" s="27">
        <f t="shared" si="11"/>
        <v>175.7639620653319</v>
      </c>
      <c r="R62" s="27">
        <f>VLOOKUP((J62/A62),Variables!$A$3:$C$8,3,TRUE())</f>
        <v>81.632653061224488</v>
      </c>
      <c r="S62" s="27">
        <f t="shared" si="12"/>
        <v>380.82191780821915</v>
      </c>
      <c r="T62" s="24">
        <f>+V62/A62*Variables!$B$10</f>
        <v>29.293993677555321</v>
      </c>
      <c r="U62" s="28">
        <f>+(S62/(1-(N62+Variables!$B$10)))/G62</f>
        <v>1.1717597471022128</v>
      </c>
      <c r="V62" s="5">
        <f t="shared" si="13"/>
        <v>213846.15384615381</v>
      </c>
      <c r="AI62" s="18"/>
      <c r="AJ62" s="18"/>
      <c r="AK62" s="18"/>
      <c r="AL62" s="18"/>
      <c r="AM62" s="18"/>
    </row>
    <row r="63" spans="1:39" ht="15" customHeight="1" x14ac:dyDescent="0.3">
      <c r="A63" s="43">
        <v>365</v>
      </c>
      <c r="B63" s="88">
        <v>45177</v>
      </c>
      <c r="C63" s="3" t="s">
        <v>145</v>
      </c>
      <c r="D63" s="3" t="s">
        <v>146</v>
      </c>
      <c r="E63" s="3" t="s">
        <v>151</v>
      </c>
      <c r="F63" s="57"/>
      <c r="G63" s="3">
        <v>8800</v>
      </c>
      <c r="H63" s="92"/>
      <c r="I63" s="36">
        <f>44363636.36*0.9</f>
        <v>39927272.723999999</v>
      </c>
      <c r="J63" s="19">
        <f t="shared" si="6"/>
        <v>39927272.723999999</v>
      </c>
      <c r="K63" s="90"/>
      <c r="L63" s="149">
        <f t="shared" si="9"/>
        <v>5892.5</v>
      </c>
      <c r="M63" s="5">
        <f t="shared" si="7"/>
        <v>51854000</v>
      </c>
      <c r="N63" s="8">
        <f>VLOOKUP((J63/A63),Variables!$A$3:$C$8,2,TRUE())</f>
        <v>0.18</v>
      </c>
      <c r="O63" s="42">
        <f t="shared" si="10"/>
        <v>9333648.1692467574</v>
      </c>
      <c r="P63" s="40"/>
      <c r="Q63" s="27">
        <f t="shared" si="11"/>
        <v>25571.638819854128</v>
      </c>
      <c r="R63" s="27">
        <f>VLOOKUP((J63/A63),Variables!$A$3:$C$8,3,TRUE())</f>
        <v>1094</v>
      </c>
      <c r="S63" s="27">
        <f t="shared" si="12"/>
        <v>109389.78828493151</v>
      </c>
      <c r="T63" s="24">
        <f>+V63/A63*Variables!$B$10</f>
        <v>7103.2330055150342</v>
      </c>
      <c r="U63" s="28">
        <f>+(S63/(1-(N63+Variables!$B$10)))/G63</f>
        <v>16.143711376170529</v>
      </c>
      <c r="V63" s="5">
        <f t="shared" si="13"/>
        <v>51853600.940259747</v>
      </c>
      <c r="AI63" s="18"/>
      <c r="AJ63" s="18"/>
      <c r="AK63" s="18"/>
      <c r="AL63" s="18"/>
      <c r="AM63" s="18"/>
    </row>
    <row r="64" spans="1:39" ht="15" customHeight="1" x14ac:dyDescent="0.3">
      <c r="A64" s="43">
        <v>365</v>
      </c>
      <c r="B64" s="88">
        <v>45177</v>
      </c>
      <c r="C64" s="3" t="s">
        <v>145</v>
      </c>
      <c r="D64" s="3" t="s">
        <v>146</v>
      </c>
      <c r="E64" s="3" t="s">
        <v>147</v>
      </c>
      <c r="F64" s="57"/>
      <c r="G64" s="3">
        <v>8800</v>
      </c>
      <c r="H64" s="92"/>
      <c r="I64" s="36">
        <f>68763636.4*0.9</f>
        <v>61887272.760000005</v>
      </c>
      <c r="J64" s="19">
        <f t="shared" si="6"/>
        <v>61887272.760000005</v>
      </c>
      <c r="K64" s="90"/>
      <c r="L64" s="149">
        <f t="shared" si="9"/>
        <v>9133.2999999999993</v>
      </c>
      <c r="M64" s="5">
        <f t="shared" si="7"/>
        <v>80373040</v>
      </c>
      <c r="N64" s="8">
        <f>VLOOKUP((J64/A64),Variables!$A$3:$C$8,2,TRUE())</f>
        <v>0.18</v>
      </c>
      <c r="O64" s="42">
        <f t="shared" si="10"/>
        <v>14467154.671168832</v>
      </c>
      <c r="P64" s="40"/>
      <c r="Q64" s="27">
        <f t="shared" si="11"/>
        <v>39636.040194983099</v>
      </c>
      <c r="R64" s="27">
        <f>VLOOKUP((J64/A64),Variables!$A$3:$C$8,3,TRUE())</f>
        <v>1094</v>
      </c>
      <c r="S64" s="27">
        <f t="shared" si="12"/>
        <v>169554.17194520548</v>
      </c>
      <c r="T64" s="24">
        <f>+V64/A64*Variables!$B$10</f>
        <v>11010.011165273085</v>
      </c>
      <c r="U64" s="28">
        <f>+(S64/(1-(N64+Variables!$B$10)))/G64</f>
        <v>25.022752648347918</v>
      </c>
      <c r="V64" s="5">
        <f t="shared" si="13"/>
        <v>80373081.506493509</v>
      </c>
      <c r="AI64" s="18"/>
      <c r="AJ64" s="18"/>
      <c r="AK64" s="18"/>
      <c r="AL64" s="18"/>
      <c r="AM64" s="18"/>
    </row>
    <row r="65" spans="1:39" ht="15" customHeight="1" x14ac:dyDescent="0.3">
      <c r="A65" s="43">
        <v>365</v>
      </c>
      <c r="B65" s="88">
        <v>45177</v>
      </c>
      <c r="C65" s="3" t="s">
        <v>145</v>
      </c>
      <c r="D65" s="3" t="s">
        <v>146</v>
      </c>
      <c r="E65" s="3" t="s">
        <v>148</v>
      </c>
      <c r="F65" s="57"/>
      <c r="G65" s="3">
        <v>8800</v>
      </c>
      <c r="H65" s="92"/>
      <c r="I65" s="36">
        <f>48800000*0.9</f>
        <v>43920000</v>
      </c>
      <c r="J65" s="19">
        <f t="shared" si="6"/>
        <v>43920000</v>
      </c>
      <c r="K65" s="90"/>
      <c r="L65" s="149">
        <f t="shared" si="9"/>
        <v>6481.7</v>
      </c>
      <c r="M65" s="5">
        <f t="shared" si="7"/>
        <v>57038960</v>
      </c>
      <c r="N65" s="8">
        <f>VLOOKUP((J65/A65),Variables!$A$3:$C$8,2,TRUE())</f>
        <v>0.18</v>
      </c>
      <c r="O65" s="42">
        <f t="shared" si="10"/>
        <v>10267012.987012986</v>
      </c>
      <c r="P65" s="40"/>
      <c r="Q65" s="27">
        <f t="shared" si="11"/>
        <v>28128.802704145168</v>
      </c>
      <c r="R65" s="27">
        <f>VLOOKUP((J65/A65),Variables!$A$3:$C$8,3,TRUE())</f>
        <v>1094</v>
      </c>
      <c r="S65" s="27">
        <f t="shared" si="12"/>
        <v>120328.76712328767</v>
      </c>
      <c r="T65" s="24">
        <f>+V65/A65*Variables!$B$10</f>
        <v>7813.5563067069925</v>
      </c>
      <c r="U65" s="28">
        <f>+(S65/(1-(N65+Variables!$B$10)))/G65</f>
        <v>17.758082515243164</v>
      </c>
      <c r="V65" s="5">
        <f t="shared" si="13"/>
        <v>57038961.038961038</v>
      </c>
      <c r="AI65" s="18"/>
      <c r="AJ65" s="18"/>
      <c r="AK65" s="18"/>
      <c r="AL65" s="18"/>
      <c r="AM65" s="18"/>
    </row>
    <row r="66" spans="1:39" ht="15" customHeight="1" x14ac:dyDescent="0.3">
      <c r="A66" s="43">
        <v>365</v>
      </c>
      <c r="B66" s="88">
        <v>45177</v>
      </c>
      <c r="C66" s="3" t="s">
        <v>145</v>
      </c>
      <c r="D66" s="3" t="s">
        <v>146</v>
      </c>
      <c r="E66" s="3" t="s">
        <v>149</v>
      </c>
      <c r="F66" s="57"/>
      <c r="G66" s="3">
        <v>8800</v>
      </c>
      <c r="H66" s="92"/>
      <c r="I66" s="36">
        <f>13309090.91*0.9</f>
        <v>11978181.819</v>
      </c>
      <c r="J66" s="19">
        <f t="shared" si="6"/>
        <v>11978181.819</v>
      </c>
      <c r="K66" s="90"/>
      <c r="L66" s="149">
        <f t="shared" si="9"/>
        <v>1767.7</v>
      </c>
      <c r="M66" s="5">
        <f t="shared" si="7"/>
        <v>15555760</v>
      </c>
      <c r="N66" s="8">
        <f>VLOOKUP((J66/A66),Variables!$A$3:$C$8,2,TRUE())</f>
        <v>0.18</v>
      </c>
      <c r="O66" s="42">
        <f t="shared" si="10"/>
        <v>2800094.4511948042</v>
      </c>
      <c r="P66" s="40"/>
      <c r="Q66" s="27">
        <f t="shared" si="11"/>
        <v>7671.4916471090519</v>
      </c>
      <c r="R66" s="27">
        <f>VLOOKUP((J66/A66),Variables!$A$3:$C$8,3,TRUE())</f>
        <v>1094</v>
      </c>
      <c r="S66" s="27">
        <f t="shared" si="12"/>
        <v>32816.936490410961</v>
      </c>
      <c r="T66" s="24">
        <f>+V66/A66*Variables!$B$10</f>
        <v>2130.9699019747377</v>
      </c>
      <c r="U66" s="28">
        <f>+(S66/(1-(N66+Variables!$B$10)))/G66</f>
        <v>4.8431134135789486</v>
      </c>
      <c r="V66" s="5">
        <f t="shared" si="13"/>
        <v>15556080.284415584</v>
      </c>
      <c r="AI66" s="18"/>
      <c r="AJ66" s="18"/>
      <c r="AK66" s="18"/>
      <c r="AL66" s="18"/>
      <c r="AM66" s="18"/>
    </row>
    <row r="67" spans="1:39" ht="15" customHeight="1" x14ac:dyDescent="0.3">
      <c r="A67" s="43">
        <v>365</v>
      </c>
      <c r="B67" s="88">
        <v>45177</v>
      </c>
      <c r="C67" s="3" t="s">
        <v>145</v>
      </c>
      <c r="D67" s="3" t="s">
        <v>146</v>
      </c>
      <c r="E67" s="3" t="s">
        <v>150</v>
      </c>
      <c r="F67" s="57"/>
      <c r="G67" s="3">
        <v>8800</v>
      </c>
      <c r="H67" s="92"/>
      <c r="I67" s="36">
        <f>15527272.73*0.9</f>
        <v>13974545.457</v>
      </c>
      <c r="J67" s="19">
        <f t="shared" si="6"/>
        <v>13974545.457</v>
      </c>
      <c r="K67" s="90"/>
      <c r="L67" s="149">
        <f t="shared" ref="L67:L98" si="15">ROUND(IF((U67*A67*G67)&gt;(J67+(T67*A67)+K67+(Q67*A67)),(U67*A67),((J67+(T67*A67)+K67+(Q67*A67))/G67)),1)</f>
        <v>2062.4</v>
      </c>
      <c r="M67" s="5">
        <f t="shared" si="7"/>
        <v>18149120</v>
      </c>
      <c r="N67" s="8">
        <f>VLOOKUP((J67/A67),Variables!$A$3:$C$8,2,TRUE())</f>
        <v>0.18</v>
      </c>
      <c r="O67" s="42">
        <f t="shared" ref="O67:O98" si="16">+Q67*A67</f>
        <v>3266776.8600779208</v>
      </c>
      <c r="P67" s="40"/>
      <c r="Q67" s="27">
        <f t="shared" ref="Q67:Q98" si="17">+IF(((U67*G67)-S67-T67)&lt;R67,R67,((U67*G67)-S67-T67))</f>
        <v>8950.0735892545781</v>
      </c>
      <c r="R67" s="27">
        <f>VLOOKUP((J67/A67),Variables!$A$3:$C$8,3,TRUE())</f>
        <v>1094</v>
      </c>
      <c r="S67" s="27">
        <f t="shared" ref="S67:S98" si="18">+(J67+K67)/A67</f>
        <v>38286.425909589045</v>
      </c>
      <c r="T67" s="24">
        <f>+V67/A67*Variables!$B$10</f>
        <v>2486.1315525707173</v>
      </c>
      <c r="U67" s="28">
        <f>+(S67/(1-(N67+Variables!$B$10)))/G67</f>
        <v>5.6502989831152659</v>
      </c>
      <c r="V67" s="5">
        <f t="shared" ref="V67:V98" si="19">+U67*G67*A67</f>
        <v>18148760.333766233</v>
      </c>
      <c r="AI67" s="18"/>
      <c r="AJ67" s="18"/>
      <c r="AK67" s="18"/>
      <c r="AL67" s="18"/>
      <c r="AM67" s="18"/>
    </row>
    <row r="68" spans="1:39" ht="15" customHeight="1" x14ac:dyDescent="0.3">
      <c r="A68" s="43">
        <v>365</v>
      </c>
      <c r="B68" s="88">
        <v>45189</v>
      </c>
      <c r="C68" s="3" t="s">
        <v>173</v>
      </c>
      <c r="D68" s="3" t="s">
        <v>174</v>
      </c>
      <c r="E68" s="3" t="s">
        <v>175</v>
      </c>
      <c r="F68" s="57" t="s">
        <v>71</v>
      </c>
      <c r="G68" s="3">
        <v>2</v>
      </c>
      <c r="H68" s="92">
        <v>10142.6</v>
      </c>
      <c r="I68" s="36"/>
      <c r="J68" s="19">
        <f t="shared" si="6"/>
        <v>20285.2</v>
      </c>
      <c r="K68" s="90">
        <v>3000</v>
      </c>
      <c r="L68" s="149">
        <f t="shared" si="15"/>
        <v>27436.1</v>
      </c>
      <c r="M68" s="5">
        <f t="shared" si="7"/>
        <v>54872.2</v>
      </c>
      <c r="N68" s="8">
        <f>VLOOKUP((J68/A68),Variables!$A$3:$C$8,2,TRUE())</f>
        <v>0.3</v>
      </c>
      <c r="O68" s="42">
        <f t="shared" si="16"/>
        <v>29795.918367346938</v>
      </c>
      <c r="P68" s="40"/>
      <c r="Q68" s="27">
        <f t="shared" si="17"/>
        <v>81.632653061224488</v>
      </c>
      <c r="R68" s="27">
        <f>VLOOKUP((J68/A68),Variables!$A$3:$C$8,3,TRUE())</f>
        <v>81.632653061224488</v>
      </c>
      <c r="S68" s="27">
        <f t="shared" si="18"/>
        <v>63.795068493150687</v>
      </c>
      <c r="T68" s="24">
        <f>+V68/A68*Variables!$B$10</f>
        <v>4.9073129610115913</v>
      </c>
      <c r="U68" s="28">
        <f>+(S68/(1-(N68+Variables!$B$10)))/G68</f>
        <v>49.073129610115913</v>
      </c>
      <c r="V68" s="5">
        <f t="shared" si="19"/>
        <v>35823.384615384617</v>
      </c>
      <c r="AI68" s="18"/>
      <c r="AJ68" s="18"/>
      <c r="AK68" s="18"/>
      <c r="AL68" s="18"/>
      <c r="AM68" s="18"/>
    </row>
    <row r="69" spans="1:39" ht="15" customHeight="1" x14ac:dyDescent="0.3">
      <c r="A69" s="43">
        <v>365</v>
      </c>
      <c r="B69" s="88">
        <v>45189</v>
      </c>
      <c r="C69" s="3" t="s">
        <v>110</v>
      </c>
      <c r="D69" s="3" t="s">
        <v>176</v>
      </c>
      <c r="E69" s="3" t="s">
        <v>177</v>
      </c>
      <c r="F69" s="57" t="s">
        <v>61</v>
      </c>
      <c r="G69" s="3">
        <v>50</v>
      </c>
      <c r="H69" s="92"/>
      <c r="I69" s="36">
        <v>528000</v>
      </c>
      <c r="J69" s="19">
        <f t="shared" ref="J69:J132" si="20">(G69*H69)+I69</f>
        <v>528000</v>
      </c>
      <c r="K69" s="90">
        <v>3000</v>
      </c>
      <c r="L69" s="149">
        <f t="shared" si="15"/>
        <v>15171.4</v>
      </c>
      <c r="M69" s="5">
        <f t="shared" ref="M69:M132" si="21">+L69*G69</f>
        <v>758570</v>
      </c>
      <c r="N69" s="8">
        <f>VLOOKUP((J69/A69),Variables!$A$3:$C$8,2,TRUE())</f>
        <v>0.25</v>
      </c>
      <c r="O69" s="42">
        <f t="shared" si="16"/>
        <v>189642.85714285716</v>
      </c>
      <c r="P69" s="40"/>
      <c r="Q69" s="27">
        <f t="shared" si="17"/>
        <v>519.56947162426616</v>
      </c>
      <c r="R69" s="27">
        <f>VLOOKUP((J69/A69),Variables!$A$3:$C$8,3,TRUE())</f>
        <v>400</v>
      </c>
      <c r="S69" s="27">
        <f t="shared" si="18"/>
        <v>1454.7945205479452</v>
      </c>
      <c r="T69" s="24">
        <f>+V69/A69*Variables!$B$10</f>
        <v>103.91389432485323</v>
      </c>
      <c r="U69" s="28">
        <f>+(S69/(1-(N69+Variables!$B$10)))/G69</f>
        <v>41.56555772994129</v>
      </c>
      <c r="V69" s="5">
        <f t="shared" si="19"/>
        <v>758571.42857142864</v>
      </c>
      <c r="AI69" s="18"/>
      <c r="AJ69" s="18"/>
      <c r="AK69" s="18"/>
      <c r="AL69" s="18"/>
      <c r="AM69" s="18"/>
    </row>
    <row r="70" spans="1:39" ht="15" customHeight="1" x14ac:dyDescent="0.3">
      <c r="A70" s="43">
        <v>365</v>
      </c>
      <c r="B70" s="88">
        <v>45201</v>
      </c>
      <c r="C70" s="3" t="s">
        <v>110</v>
      </c>
      <c r="D70" s="3" t="s">
        <v>176</v>
      </c>
      <c r="E70" s="3" t="s">
        <v>192</v>
      </c>
      <c r="F70" s="57" t="s">
        <v>61</v>
      </c>
      <c r="G70" s="3">
        <v>50</v>
      </c>
      <c r="H70" s="92"/>
      <c r="I70" s="36">
        <v>335000</v>
      </c>
      <c r="J70" s="19">
        <f t="shared" si="20"/>
        <v>335000</v>
      </c>
      <c r="K70" s="90">
        <v>3000</v>
      </c>
      <c r="L70" s="149">
        <f t="shared" si="15"/>
        <v>10089.6</v>
      </c>
      <c r="M70" s="5">
        <f t="shared" si="21"/>
        <v>504480</v>
      </c>
      <c r="N70" s="8">
        <f>VLOOKUP((J70/A70),Variables!$A$3:$C$8,2,TRUE())</f>
        <v>0.28000000000000003</v>
      </c>
      <c r="O70" s="42">
        <f t="shared" si="16"/>
        <v>141253.73134328361</v>
      </c>
      <c r="P70" s="40"/>
      <c r="Q70" s="27">
        <f t="shared" si="17"/>
        <v>386.99652422817428</v>
      </c>
      <c r="R70" s="27">
        <f>VLOOKUP((J70/A70),Variables!$A$3:$C$8,3,TRUE())</f>
        <v>122</v>
      </c>
      <c r="S70" s="27">
        <f t="shared" si="18"/>
        <v>926.02739726027403</v>
      </c>
      <c r="T70" s="24">
        <f>+V70/A70*Variables!$B$10</f>
        <v>69.10652218360255</v>
      </c>
      <c r="U70" s="28">
        <f>+(S70/(1-(N70+Variables!$B$10)))/G70</f>
        <v>27.642608873441016</v>
      </c>
      <c r="V70" s="5">
        <f t="shared" si="19"/>
        <v>504477.61194029858</v>
      </c>
      <c r="AI70" s="18"/>
      <c r="AJ70" s="18"/>
      <c r="AK70" s="18"/>
      <c r="AL70" s="18"/>
      <c r="AM70" s="18"/>
    </row>
    <row r="71" spans="1:39" ht="15" customHeight="1" x14ac:dyDescent="0.3">
      <c r="A71" s="43">
        <v>365</v>
      </c>
      <c r="B71" s="88">
        <v>45201</v>
      </c>
      <c r="C71" s="3" t="s">
        <v>110</v>
      </c>
      <c r="D71" s="3"/>
      <c r="E71" s="76" t="s">
        <v>206</v>
      </c>
      <c r="F71" s="57" t="s">
        <v>61</v>
      </c>
      <c r="G71" s="3">
        <v>1</v>
      </c>
      <c r="H71" s="92"/>
      <c r="I71" s="36">
        <f>+I69+I70+(0.38*368.5+76.5)*1000</f>
        <v>1079530</v>
      </c>
      <c r="J71" s="19">
        <f t="shared" si="20"/>
        <v>1079530</v>
      </c>
      <c r="K71" s="90">
        <f>3000+5000</f>
        <v>8000</v>
      </c>
      <c r="L71" s="149">
        <f t="shared" si="15"/>
        <v>1489767.1</v>
      </c>
      <c r="M71" s="5">
        <f t="shared" si="21"/>
        <v>1489767.1</v>
      </c>
      <c r="N71" s="8">
        <f>VLOOKUP((J71/A71),Variables!$A$3:$C$8,2,TRUE())</f>
        <v>0.22</v>
      </c>
      <c r="O71" s="42">
        <f t="shared" si="16"/>
        <v>327748.76712328766</v>
      </c>
      <c r="P71" s="40"/>
      <c r="Q71" s="27">
        <f t="shared" si="17"/>
        <v>897.94182773503462</v>
      </c>
      <c r="R71" s="27">
        <f>VLOOKUP((J71/A71),Variables!$A$3:$C$8,3,TRUE())</f>
        <v>510</v>
      </c>
      <c r="S71" s="27">
        <f t="shared" si="18"/>
        <v>2979.5342465753424</v>
      </c>
      <c r="T71" s="24">
        <f>+V71/A71*Variables!$B$10</f>
        <v>204.07768812159881</v>
      </c>
      <c r="U71" s="28">
        <f>+(S71/(1-(N71+Variables!$B$10)))/G71</f>
        <v>4081.5537624319759</v>
      </c>
      <c r="V71" s="5">
        <f t="shared" si="19"/>
        <v>1489767.1232876712</v>
      </c>
      <c r="AI71" s="18"/>
      <c r="AJ71" s="18"/>
      <c r="AK71" s="18"/>
      <c r="AL71" s="18"/>
      <c r="AM71" s="18"/>
    </row>
    <row r="72" spans="1:39" ht="15" customHeight="1" x14ac:dyDescent="0.3">
      <c r="A72" s="43">
        <v>365</v>
      </c>
      <c r="B72" s="88">
        <v>45190</v>
      </c>
      <c r="C72" s="3" t="s">
        <v>178</v>
      </c>
      <c r="D72" s="3" t="s">
        <v>179</v>
      </c>
      <c r="E72" s="3" t="s">
        <v>180</v>
      </c>
      <c r="F72" s="57" t="s">
        <v>71</v>
      </c>
      <c r="G72" s="3">
        <v>1000</v>
      </c>
      <c r="H72" s="92"/>
      <c r="I72" s="36">
        <v>528000</v>
      </c>
      <c r="J72" s="19">
        <f t="shared" si="20"/>
        <v>528000</v>
      </c>
      <c r="K72" s="90">
        <v>3000</v>
      </c>
      <c r="L72" s="149">
        <f t="shared" si="15"/>
        <v>758.6</v>
      </c>
      <c r="M72" s="5">
        <f t="shared" si="21"/>
        <v>758600</v>
      </c>
      <c r="N72" s="8">
        <f>VLOOKUP((J72/A72),Variables!$A$3:$C$8,2,TRUE())</f>
        <v>0.25</v>
      </c>
      <c r="O72" s="42">
        <f t="shared" si="16"/>
        <v>189642.85714285716</v>
      </c>
      <c r="P72" s="40"/>
      <c r="Q72" s="27">
        <f t="shared" si="17"/>
        <v>519.56947162426616</v>
      </c>
      <c r="R72" s="27">
        <f>VLOOKUP((J72/A72),Variables!$A$3:$C$8,3,TRUE())</f>
        <v>400</v>
      </c>
      <c r="S72" s="27">
        <f t="shared" si="18"/>
        <v>1454.7945205479452</v>
      </c>
      <c r="T72" s="24">
        <f>+V72/A72*Variables!$B$10</f>
        <v>103.91389432485323</v>
      </c>
      <c r="U72" s="28">
        <f>+(S72/(1-(N72+Variables!$B$10)))/G72</f>
        <v>2.0782778864970646</v>
      </c>
      <c r="V72" s="5">
        <f t="shared" si="19"/>
        <v>758571.42857142864</v>
      </c>
      <c r="AI72" s="18"/>
      <c r="AJ72" s="18"/>
      <c r="AK72" s="18"/>
      <c r="AL72" s="18"/>
      <c r="AM72" s="18"/>
    </row>
    <row r="73" spans="1:39" ht="15" customHeight="1" x14ac:dyDescent="0.3">
      <c r="A73" s="43">
        <v>365</v>
      </c>
      <c r="B73" s="88">
        <v>45194</v>
      </c>
      <c r="C73" s="3" t="s">
        <v>182</v>
      </c>
      <c r="D73" s="3" t="s">
        <v>183</v>
      </c>
      <c r="E73" s="3" t="s">
        <v>187</v>
      </c>
      <c r="F73" s="57" t="s">
        <v>154</v>
      </c>
      <c r="G73" s="3">
        <v>130</v>
      </c>
      <c r="H73" s="92">
        <f>1.06*368</f>
        <v>390.08000000000004</v>
      </c>
      <c r="I73" s="35">
        <f>20249*1.2</f>
        <v>24298.799999999999</v>
      </c>
      <c r="J73" s="19">
        <f t="shared" si="20"/>
        <v>75009.200000000012</v>
      </c>
      <c r="K73" s="39">
        <f>2000+2000+I73*0.07</f>
        <v>5700.9160000000002</v>
      </c>
      <c r="L73" s="149">
        <f t="shared" si="15"/>
        <v>955.1</v>
      </c>
      <c r="M73" s="5">
        <f t="shared" si="21"/>
        <v>124163</v>
      </c>
      <c r="N73" s="8">
        <f>VLOOKUP((J73/A73),Variables!$A$3:$C$8,2,TRUE())</f>
        <v>0.3</v>
      </c>
      <c r="O73" s="42">
        <f t="shared" si="16"/>
        <v>37250.822769230777</v>
      </c>
      <c r="P73" s="40"/>
      <c r="Q73" s="27">
        <f t="shared" si="17"/>
        <v>102.05704868282405</v>
      </c>
      <c r="R73" s="27">
        <f>VLOOKUP((J73/A73),Variables!$A$3:$C$8,3,TRUE())</f>
        <v>81.632653061224488</v>
      </c>
      <c r="S73" s="27">
        <f t="shared" si="18"/>
        <v>221.12360547945207</v>
      </c>
      <c r="T73" s="24">
        <f>+V73/A73*Variables!$B$10</f>
        <v>17.009508113804007</v>
      </c>
      <c r="U73" s="28">
        <f>+(S73/(1-(N73+Variables!$B$10)))/G73</f>
        <v>2.6168474021236934</v>
      </c>
      <c r="V73" s="5">
        <f t="shared" si="19"/>
        <v>124169.40923076925</v>
      </c>
      <c r="AI73" s="18"/>
      <c r="AJ73" s="18"/>
      <c r="AK73" s="18"/>
      <c r="AL73" s="18"/>
      <c r="AM73" s="18"/>
    </row>
    <row r="74" spans="1:39" ht="15" customHeight="1" x14ac:dyDescent="0.3">
      <c r="A74" s="43">
        <v>365</v>
      </c>
      <c r="B74" s="88">
        <v>45194</v>
      </c>
      <c r="C74" s="3" t="s">
        <v>182</v>
      </c>
      <c r="D74" s="3" t="s">
        <v>183</v>
      </c>
      <c r="E74" s="3" t="s">
        <v>185</v>
      </c>
      <c r="F74" s="57" t="s">
        <v>154</v>
      </c>
      <c r="G74" s="3">
        <v>130</v>
      </c>
      <c r="H74" s="92">
        <f>0.58*368</f>
        <v>213.44</v>
      </c>
      <c r="I74" s="35">
        <f>20249*1.2</f>
        <v>24298.799999999999</v>
      </c>
      <c r="J74" s="19">
        <f t="shared" si="20"/>
        <v>52046</v>
      </c>
      <c r="K74" s="39">
        <f>2000+2000+I74*0.07</f>
        <v>5700.9160000000002</v>
      </c>
      <c r="L74" s="149">
        <f t="shared" si="15"/>
        <v>707.6</v>
      </c>
      <c r="M74" s="5">
        <f t="shared" si="21"/>
        <v>91988</v>
      </c>
      <c r="N74" s="8">
        <f>VLOOKUP((J74/A74),Variables!$A$3:$C$8,2,TRUE())</f>
        <v>0.3</v>
      </c>
      <c r="O74" s="42">
        <f t="shared" si="16"/>
        <v>29795.918367346938</v>
      </c>
      <c r="P74" s="40"/>
      <c r="Q74" s="27">
        <f t="shared" si="17"/>
        <v>81.632653061224488</v>
      </c>
      <c r="R74" s="27">
        <f>VLOOKUP((J74/A74),Variables!$A$3:$C$8,3,TRUE())</f>
        <v>81.632653061224488</v>
      </c>
      <c r="S74" s="27">
        <f t="shared" si="18"/>
        <v>158.21072876712327</v>
      </c>
      <c r="T74" s="24">
        <f>+V74/A74*Variables!$B$10</f>
        <v>12.170056059009482</v>
      </c>
      <c r="U74" s="28">
        <f>+(S74/(1-(N74+Variables!$B$10)))/G74</f>
        <v>1.8723163167706895</v>
      </c>
      <c r="V74" s="5">
        <f t="shared" si="19"/>
        <v>88841.409230769219</v>
      </c>
      <c r="AI74" s="18"/>
      <c r="AJ74" s="18"/>
      <c r="AK74" s="18"/>
      <c r="AL74" s="18"/>
      <c r="AM74" s="18"/>
    </row>
    <row r="75" spans="1:39" ht="15" customHeight="1" x14ac:dyDescent="0.3">
      <c r="A75" s="43">
        <v>365</v>
      </c>
      <c r="B75" s="88">
        <v>45195</v>
      </c>
      <c r="C75" s="3" t="s">
        <v>182</v>
      </c>
      <c r="D75" s="3" t="s">
        <v>183</v>
      </c>
      <c r="E75" s="3" t="s">
        <v>188</v>
      </c>
      <c r="F75" s="57" t="s">
        <v>154</v>
      </c>
      <c r="G75" s="3">
        <v>130</v>
      </c>
      <c r="H75" s="92">
        <f>0.76*368</f>
        <v>279.68</v>
      </c>
      <c r="I75" s="35">
        <f>20249*1.2</f>
        <v>24298.799999999999</v>
      </c>
      <c r="J75" s="19">
        <f t="shared" si="20"/>
        <v>60657.2</v>
      </c>
      <c r="K75" s="39">
        <f>+I75*0.07</f>
        <v>1700.9160000000002</v>
      </c>
      <c r="L75" s="149">
        <f t="shared" si="15"/>
        <v>745.8</v>
      </c>
      <c r="M75" s="5">
        <f t="shared" si="21"/>
        <v>96954</v>
      </c>
      <c r="N75" s="8">
        <f>VLOOKUP((J75/A75),Variables!$A$3:$C$8,2,TRUE())</f>
        <v>0.3</v>
      </c>
      <c r="O75" s="42">
        <f t="shared" si="16"/>
        <v>29795.918367346938</v>
      </c>
      <c r="P75" s="40"/>
      <c r="Q75" s="27">
        <f t="shared" si="17"/>
        <v>81.632653061224488</v>
      </c>
      <c r="R75" s="27">
        <f>VLOOKUP((J75/A75),Variables!$A$3:$C$8,3,TRUE())</f>
        <v>81.632653061224488</v>
      </c>
      <c r="S75" s="27">
        <f t="shared" si="18"/>
        <v>170.84415342465752</v>
      </c>
      <c r="T75" s="24">
        <f>+V75/A75*Variables!$B$10</f>
        <v>13.141857955742887</v>
      </c>
      <c r="U75" s="28">
        <f>+(S75/(1-(N75+Variables!$B$10)))/G75</f>
        <v>2.0218243008835213</v>
      </c>
      <c r="V75" s="5">
        <f t="shared" si="19"/>
        <v>95935.563076923077</v>
      </c>
      <c r="AI75" s="18"/>
      <c r="AJ75" s="18"/>
      <c r="AK75" s="18"/>
      <c r="AL75" s="18"/>
      <c r="AM75" s="18"/>
    </row>
    <row r="76" spans="1:39" ht="15" customHeight="1" x14ac:dyDescent="0.3">
      <c r="A76" s="43">
        <v>365</v>
      </c>
      <c r="B76" s="88">
        <v>45195</v>
      </c>
      <c r="C76" s="3" t="s">
        <v>193</v>
      </c>
      <c r="D76" s="3" t="s">
        <v>194</v>
      </c>
      <c r="E76" s="3" t="s">
        <v>195</v>
      </c>
      <c r="F76" s="57"/>
      <c r="G76" s="3">
        <v>1150</v>
      </c>
      <c r="H76" s="92"/>
      <c r="I76" s="89">
        <f>350*1000+245*150+30000</f>
        <v>416750</v>
      </c>
      <c r="J76" s="19">
        <f t="shared" si="20"/>
        <v>416750</v>
      </c>
      <c r="K76" s="39"/>
      <c r="L76" s="149">
        <f t="shared" si="15"/>
        <v>540.9</v>
      </c>
      <c r="M76" s="5">
        <f t="shared" si="21"/>
        <v>622035</v>
      </c>
      <c r="N76" s="8">
        <f>VLOOKUP((J76/A76),Variables!$A$3:$C$8,2,TRUE())</f>
        <v>0.28000000000000003</v>
      </c>
      <c r="O76" s="42">
        <f t="shared" si="16"/>
        <v>174164.17910447769</v>
      </c>
      <c r="P76" s="40"/>
      <c r="Q76" s="27">
        <f t="shared" si="17"/>
        <v>477.16213453281557</v>
      </c>
      <c r="R76" s="27">
        <f>VLOOKUP((J76/A76),Variables!$A$3:$C$8,3,TRUE())</f>
        <v>122</v>
      </c>
      <c r="S76" s="27">
        <f t="shared" si="18"/>
        <v>1141.7808219178082</v>
      </c>
      <c r="T76" s="24">
        <f>+V76/A76*Variables!$B$10</f>
        <v>85.207524023717042</v>
      </c>
      <c r="U76" s="28">
        <f>+(S76/(1-(N76+Variables!$B$10)))/G76</f>
        <v>1.4818699830211659</v>
      </c>
      <c r="V76" s="5">
        <f t="shared" si="19"/>
        <v>622014.92537313444</v>
      </c>
      <c r="AI76" s="18"/>
      <c r="AJ76" s="18"/>
      <c r="AK76" s="18"/>
      <c r="AL76" s="18"/>
      <c r="AM76" s="18"/>
    </row>
    <row r="77" spans="1:39" ht="15" customHeight="1" x14ac:dyDescent="0.3">
      <c r="A77" s="43">
        <v>365</v>
      </c>
      <c r="B77" s="88">
        <v>45202</v>
      </c>
      <c r="C77" s="3" t="s">
        <v>110</v>
      </c>
      <c r="D77" s="3" t="s">
        <v>197</v>
      </c>
      <c r="E77" s="3" t="s">
        <v>198</v>
      </c>
      <c r="F77" s="57" t="s">
        <v>154</v>
      </c>
      <c r="G77" s="3">
        <v>1000</v>
      </c>
      <c r="H77" s="23">
        <f>0.38*368.5+76.5</f>
        <v>216.53</v>
      </c>
      <c r="I77" s="36"/>
      <c r="J77" s="19">
        <f t="shared" si="20"/>
        <v>216530</v>
      </c>
      <c r="K77" s="90">
        <v>5000</v>
      </c>
      <c r="L77" s="149">
        <f t="shared" si="15"/>
        <v>330.6</v>
      </c>
      <c r="M77" s="5">
        <f t="shared" si="21"/>
        <v>330600</v>
      </c>
      <c r="N77" s="8">
        <f>VLOOKUP((J77/A77),Variables!$A$3:$C$8,2,TRUE())</f>
        <v>0.28000000000000003</v>
      </c>
      <c r="O77" s="42">
        <f t="shared" si="16"/>
        <v>92579.701492537337</v>
      </c>
      <c r="P77" s="40"/>
      <c r="Q77" s="27">
        <f t="shared" si="17"/>
        <v>253.64301778777354</v>
      </c>
      <c r="R77" s="27">
        <f>VLOOKUP((J77/A77),Variables!$A$3:$C$8,3,TRUE())</f>
        <v>122</v>
      </c>
      <c r="S77" s="27">
        <f t="shared" si="18"/>
        <v>606.93150684931504</v>
      </c>
      <c r="T77" s="24">
        <f>+V77/A77*Variables!$B$10</f>
        <v>45.293396033530982</v>
      </c>
      <c r="U77" s="28">
        <f>+(S77/(1-(N77+Variables!$B$10)))/G77</f>
        <v>0.90586792067061961</v>
      </c>
      <c r="V77" s="5">
        <f t="shared" si="19"/>
        <v>330641.79104477615</v>
      </c>
      <c r="AI77" s="18"/>
      <c r="AJ77" s="18"/>
      <c r="AK77" s="18"/>
      <c r="AL77" s="18"/>
      <c r="AM77" s="18"/>
    </row>
    <row r="78" spans="1:39" ht="15" customHeight="1" x14ac:dyDescent="0.3">
      <c r="A78" s="43">
        <v>365</v>
      </c>
      <c r="B78" s="88">
        <v>45202</v>
      </c>
      <c r="C78" s="3" t="s">
        <v>110</v>
      </c>
      <c r="D78" s="3" t="s">
        <v>196</v>
      </c>
      <c r="E78" s="3" t="s">
        <v>205</v>
      </c>
      <c r="F78" s="57" t="s">
        <v>71</v>
      </c>
      <c r="G78" s="3">
        <v>100</v>
      </c>
      <c r="H78" s="23">
        <f>32450+470</f>
        <v>32920</v>
      </c>
      <c r="I78" s="36">
        <v>1500</v>
      </c>
      <c r="J78" s="19">
        <f t="shared" si="20"/>
        <v>3293500</v>
      </c>
      <c r="K78" s="90">
        <v>7000</v>
      </c>
      <c r="L78" s="149">
        <f t="shared" si="15"/>
        <v>42863.6</v>
      </c>
      <c r="M78" s="5">
        <f t="shared" si="21"/>
        <v>4286360</v>
      </c>
      <c r="N78" s="8">
        <f>VLOOKUP((J78/A78),Variables!$A$3:$C$8,2,TRUE())</f>
        <v>0.18</v>
      </c>
      <c r="O78" s="42">
        <f t="shared" si="16"/>
        <v>771545.45454545424</v>
      </c>
      <c r="P78" s="40"/>
      <c r="Q78" s="27">
        <f t="shared" si="17"/>
        <v>2113.8231631382309</v>
      </c>
      <c r="R78" s="27">
        <f>VLOOKUP((J78/A78),Variables!$A$3:$C$8,3,TRUE())</f>
        <v>1094</v>
      </c>
      <c r="S78" s="27">
        <f t="shared" si="18"/>
        <v>9042.465753424658</v>
      </c>
      <c r="T78" s="24">
        <f>+V78/A78*Variables!$B$10</f>
        <v>587.17310087173109</v>
      </c>
      <c r="U78" s="28">
        <f>+(S78/(1-(N78+Variables!$B$10)))/G78</f>
        <v>117.43462017434621</v>
      </c>
      <c r="V78" s="5">
        <f t="shared" si="19"/>
        <v>4286363.6363636367</v>
      </c>
      <c r="AI78" s="18"/>
      <c r="AJ78" s="18"/>
      <c r="AK78" s="18"/>
      <c r="AL78" s="18"/>
      <c r="AM78" s="18"/>
    </row>
    <row r="79" spans="1:39" ht="15" customHeight="1" x14ac:dyDescent="0.3">
      <c r="A79" s="43">
        <v>365</v>
      </c>
      <c r="B79" s="88">
        <v>45202</v>
      </c>
      <c r="C79" s="3" t="s">
        <v>110</v>
      </c>
      <c r="D79" s="3" t="s">
        <v>196</v>
      </c>
      <c r="E79" s="3" t="s">
        <v>204</v>
      </c>
      <c r="F79" s="57" t="s">
        <v>71</v>
      </c>
      <c r="G79" s="3">
        <v>100</v>
      </c>
      <c r="H79" s="23">
        <f>68750+470</f>
        <v>69220</v>
      </c>
      <c r="I79" s="36">
        <v>1500</v>
      </c>
      <c r="J79" s="19">
        <f t="shared" si="20"/>
        <v>6923500</v>
      </c>
      <c r="K79" s="90">
        <v>7000</v>
      </c>
      <c r="L79" s="149">
        <f t="shared" si="15"/>
        <v>90006.5</v>
      </c>
      <c r="M79" s="5">
        <f t="shared" si="21"/>
        <v>9000650</v>
      </c>
      <c r="N79" s="8">
        <f>VLOOKUP((J79/A79),Variables!$A$3:$C$8,2,TRUE())</f>
        <v>0.18</v>
      </c>
      <c r="O79" s="42">
        <f t="shared" si="16"/>
        <v>1620116.8831168835</v>
      </c>
      <c r="P79" s="40"/>
      <c r="Q79" s="27">
        <f t="shared" si="17"/>
        <v>4438.6763921010506</v>
      </c>
      <c r="R79" s="27">
        <f>VLOOKUP((J79/A79),Variables!$A$3:$C$8,3,TRUE())</f>
        <v>1094</v>
      </c>
      <c r="S79" s="27">
        <f t="shared" si="18"/>
        <v>18987.671232876713</v>
      </c>
      <c r="T79" s="24">
        <f>+V79/A79*Variables!$B$10</f>
        <v>1232.9656644725139</v>
      </c>
      <c r="U79" s="28">
        <f>+(S79/(1-(N79+Variables!$B$10)))/G79</f>
        <v>246.59313289450279</v>
      </c>
      <c r="V79" s="5">
        <f t="shared" si="19"/>
        <v>9000649.3506493513</v>
      </c>
      <c r="AI79" s="18"/>
      <c r="AJ79" s="18"/>
      <c r="AK79" s="18"/>
      <c r="AL79" s="18"/>
      <c r="AM79" s="18"/>
    </row>
    <row r="80" spans="1:39" ht="15" customHeight="1" x14ac:dyDescent="0.3">
      <c r="A80" s="43">
        <v>365</v>
      </c>
      <c r="B80" s="88">
        <v>45202</v>
      </c>
      <c r="C80" s="3" t="s">
        <v>110</v>
      </c>
      <c r="D80" s="3" t="s">
        <v>115</v>
      </c>
      <c r="E80" s="96" t="s">
        <v>199</v>
      </c>
      <c r="F80" s="57" t="s">
        <v>34</v>
      </c>
      <c r="G80" s="3">
        <v>100</v>
      </c>
      <c r="H80" s="23">
        <f>115500+300</f>
        <v>115800</v>
      </c>
      <c r="I80" s="36"/>
      <c r="J80" s="19">
        <f t="shared" si="20"/>
        <v>11580000</v>
      </c>
      <c r="K80" s="90">
        <v>7000</v>
      </c>
      <c r="L80" s="149">
        <f t="shared" si="15"/>
        <v>150480.5</v>
      </c>
      <c r="M80" s="5">
        <f t="shared" si="21"/>
        <v>15048050</v>
      </c>
      <c r="N80" s="8">
        <f>VLOOKUP((J80/A80),Variables!$A$3:$C$8,2,TRUE())</f>
        <v>0.18</v>
      </c>
      <c r="O80" s="42">
        <f t="shared" si="16"/>
        <v>2708649.3506493508</v>
      </c>
      <c r="P80" s="40"/>
      <c r="Q80" s="27">
        <f t="shared" si="17"/>
        <v>7420.9571250667141</v>
      </c>
      <c r="R80" s="27">
        <f>VLOOKUP((J80/A80),Variables!$A$3:$C$8,3,TRUE())</f>
        <v>1094</v>
      </c>
      <c r="S80" s="27">
        <f t="shared" si="18"/>
        <v>31745.205479452055</v>
      </c>
      <c r="T80" s="24">
        <f>+V80/A80*Variables!$B$10</f>
        <v>2061.3769791851987</v>
      </c>
      <c r="U80" s="28">
        <f>+(S80/(1-(N80+Variables!$B$10)))/G80</f>
        <v>412.2753958370397</v>
      </c>
      <c r="V80" s="5">
        <f t="shared" si="19"/>
        <v>15048051.948051948</v>
      </c>
      <c r="AI80" s="18"/>
      <c r="AJ80" s="18"/>
      <c r="AK80" s="18"/>
      <c r="AL80" s="18"/>
      <c r="AM80" s="18"/>
    </row>
    <row r="81" spans="1:39" ht="15" customHeight="1" x14ac:dyDescent="0.3">
      <c r="A81" s="43">
        <v>365</v>
      </c>
      <c r="B81" s="88">
        <v>45202</v>
      </c>
      <c r="C81" s="3" t="s">
        <v>110</v>
      </c>
      <c r="D81" s="3" t="s">
        <v>115</v>
      </c>
      <c r="E81" s="96" t="s">
        <v>200</v>
      </c>
      <c r="F81" s="57" t="s">
        <v>34</v>
      </c>
      <c r="G81" s="3">
        <v>100</v>
      </c>
      <c r="H81" s="23">
        <f>132000+300</f>
        <v>132300</v>
      </c>
      <c r="I81" s="36"/>
      <c r="J81" s="19">
        <f t="shared" si="20"/>
        <v>13230000</v>
      </c>
      <c r="K81" s="90">
        <v>7000</v>
      </c>
      <c r="L81" s="149">
        <f t="shared" si="15"/>
        <v>171909.1</v>
      </c>
      <c r="M81" s="5">
        <f t="shared" si="21"/>
        <v>17190910</v>
      </c>
      <c r="N81" s="8">
        <f>VLOOKUP((J81/A81),Variables!$A$3:$C$8,2,TRUE())</f>
        <v>0.18</v>
      </c>
      <c r="O81" s="42">
        <f t="shared" si="16"/>
        <v>3094363.6363636362</v>
      </c>
      <c r="P81" s="40"/>
      <c r="Q81" s="27">
        <f t="shared" si="17"/>
        <v>8477.7085927770859</v>
      </c>
      <c r="R81" s="27">
        <f>VLOOKUP((J81/A81),Variables!$A$3:$C$8,3,TRUE())</f>
        <v>1094</v>
      </c>
      <c r="S81" s="27">
        <f t="shared" si="18"/>
        <v>36265.753424657538</v>
      </c>
      <c r="T81" s="24">
        <f>+V81/A81*Variables!$B$10</f>
        <v>2354.9190535491912</v>
      </c>
      <c r="U81" s="28">
        <f>+(S81/(1-(N81+Variables!$B$10)))/G81</f>
        <v>470.98381070983817</v>
      </c>
      <c r="V81" s="5">
        <f t="shared" si="19"/>
        <v>17190909.090909094</v>
      </c>
      <c r="AI81" s="18"/>
      <c r="AJ81" s="18"/>
      <c r="AK81" s="18"/>
      <c r="AL81" s="18"/>
      <c r="AM81" s="18"/>
    </row>
    <row r="82" spans="1:39" ht="15" customHeight="1" x14ac:dyDescent="0.3">
      <c r="A82" s="43">
        <v>365</v>
      </c>
      <c r="B82" s="88">
        <v>45202</v>
      </c>
      <c r="C82" s="3" t="s">
        <v>110</v>
      </c>
      <c r="D82" s="3" t="s">
        <v>115</v>
      </c>
      <c r="E82" s="96" t="s">
        <v>201</v>
      </c>
      <c r="F82" s="57" t="s">
        <v>34</v>
      </c>
      <c r="G82" s="3">
        <v>100</v>
      </c>
      <c r="H82" s="23">
        <f>125950+300</f>
        <v>126250</v>
      </c>
      <c r="I82" s="36"/>
      <c r="J82" s="19">
        <f t="shared" si="20"/>
        <v>12625000</v>
      </c>
      <c r="K82" s="90">
        <v>7000</v>
      </c>
      <c r="L82" s="149">
        <f t="shared" si="15"/>
        <v>164051.9</v>
      </c>
      <c r="M82" s="5">
        <f t="shared" si="21"/>
        <v>16405190</v>
      </c>
      <c r="N82" s="8">
        <f>VLOOKUP((J82/A82),Variables!$A$3:$C$8,2,TRUE())</f>
        <v>0.18</v>
      </c>
      <c r="O82" s="42">
        <f t="shared" si="16"/>
        <v>2952935.064935063</v>
      </c>
      <c r="P82" s="40"/>
      <c r="Q82" s="27">
        <f t="shared" si="17"/>
        <v>8090.2330546166104</v>
      </c>
      <c r="R82" s="27">
        <f>VLOOKUP((J82/A82),Variables!$A$3:$C$8,3,TRUE())</f>
        <v>1094</v>
      </c>
      <c r="S82" s="27">
        <f t="shared" si="18"/>
        <v>34608.219178082189</v>
      </c>
      <c r="T82" s="24">
        <f>+V82/A82*Variables!$B$10</f>
        <v>2247.2869596157266</v>
      </c>
      <c r="U82" s="28">
        <f>+(S82/(1-(N82+Variables!$B$10)))/G82</f>
        <v>449.45739192314528</v>
      </c>
      <c r="V82" s="5">
        <f t="shared" si="19"/>
        <v>16405194.805194803</v>
      </c>
      <c r="AI82" s="18"/>
      <c r="AJ82" s="18"/>
      <c r="AK82" s="18"/>
      <c r="AL82" s="18"/>
      <c r="AM82" s="18"/>
    </row>
    <row r="83" spans="1:39" ht="15" customHeight="1" x14ac:dyDescent="0.3">
      <c r="A83" s="43">
        <v>365</v>
      </c>
      <c r="B83" s="88">
        <v>45202</v>
      </c>
      <c r="C83" s="3" t="s">
        <v>110</v>
      </c>
      <c r="D83" s="3" t="s">
        <v>115</v>
      </c>
      <c r="E83" s="96" t="s">
        <v>202</v>
      </c>
      <c r="F83" s="57" t="s">
        <v>34</v>
      </c>
      <c r="G83" s="3">
        <v>100</v>
      </c>
      <c r="H83" s="23">
        <f>103950+300</f>
        <v>104250</v>
      </c>
      <c r="I83" s="36"/>
      <c r="J83" s="19">
        <f t="shared" si="20"/>
        <v>10425000</v>
      </c>
      <c r="K83" s="90">
        <v>7000</v>
      </c>
      <c r="L83" s="149">
        <f t="shared" si="15"/>
        <v>135480.5</v>
      </c>
      <c r="M83" s="5">
        <f t="shared" si="21"/>
        <v>13548050</v>
      </c>
      <c r="N83" s="8">
        <f>VLOOKUP((J83/A83),Variables!$A$3:$C$8,2,TRUE())</f>
        <v>0.18</v>
      </c>
      <c r="O83" s="42">
        <f t="shared" si="16"/>
        <v>2438649.3506493494</v>
      </c>
      <c r="P83" s="40"/>
      <c r="Q83" s="27">
        <f t="shared" si="17"/>
        <v>6681.2310976694507</v>
      </c>
      <c r="R83" s="27">
        <f>VLOOKUP((J83/A83),Variables!$A$3:$C$8,3,TRUE())</f>
        <v>1094</v>
      </c>
      <c r="S83" s="27">
        <f t="shared" si="18"/>
        <v>28580.821917808218</v>
      </c>
      <c r="T83" s="24">
        <f>+V83/A83*Variables!$B$10</f>
        <v>1855.8975271304037</v>
      </c>
      <c r="U83" s="28">
        <f>+(S83/(1-(N83+Variables!$B$10)))/G83</f>
        <v>371.17950542608071</v>
      </c>
      <c r="V83" s="5">
        <f t="shared" si="19"/>
        <v>13548051.948051946</v>
      </c>
      <c r="AI83" s="18"/>
      <c r="AJ83" s="18"/>
      <c r="AK83" s="18"/>
      <c r="AL83" s="18"/>
      <c r="AM83" s="18"/>
    </row>
    <row r="84" spans="1:39" ht="15" customHeight="1" x14ac:dyDescent="0.3">
      <c r="A84" s="43">
        <v>365</v>
      </c>
      <c r="B84" s="88">
        <v>45202</v>
      </c>
      <c r="C84" s="3" t="s">
        <v>110</v>
      </c>
      <c r="D84" s="3" t="s">
        <v>115</v>
      </c>
      <c r="E84" s="96" t="s">
        <v>203</v>
      </c>
      <c r="F84" s="57" t="s">
        <v>34</v>
      </c>
      <c r="G84" s="3">
        <v>100</v>
      </c>
      <c r="H84" s="23">
        <f>97900+300</f>
        <v>98200</v>
      </c>
      <c r="I84" s="36"/>
      <c r="J84" s="19">
        <f t="shared" si="20"/>
        <v>9820000</v>
      </c>
      <c r="K84" s="90">
        <v>7000</v>
      </c>
      <c r="L84" s="149">
        <f t="shared" si="15"/>
        <v>127623.4</v>
      </c>
      <c r="M84" s="5">
        <f t="shared" si="21"/>
        <v>12762340</v>
      </c>
      <c r="N84" s="8">
        <f>VLOOKUP((J84/A84),Variables!$A$3:$C$8,2,TRUE())</f>
        <v>0.18</v>
      </c>
      <c r="O84" s="42">
        <f t="shared" si="16"/>
        <v>2297220.7792207785</v>
      </c>
      <c r="P84" s="40"/>
      <c r="Q84" s="27">
        <f t="shared" si="17"/>
        <v>6293.7555595089825</v>
      </c>
      <c r="R84" s="27">
        <f>VLOOKUP((J84/A84),Variables!$A$3:$C$8,3,TRUE())</f>
        <v>1094</v>
      </c>
      <c r="S84" s="27">
        <f t="shared" si="18"/>
        <v>26923.287671232876</v>
      </c>
      <c r="T84" s="24">
        <f>+V84/A84*Variables!$B$10</f>
        <v>1748.26543319694</v>
      </c>
      <c r="U84" s="28">
        <f>+(S84/(1-(N84+Variables!$B$10)))/G84</f>
        <v>349.65308663938799</v>
      </c>
      <c r="V84" s="5">
        <f t="shared" si="19"/>
        <v>12762337.662337661</v>
      </c>
      <c r="AI84" s="18"/>
      <c r="AJ84" s="18"/>
      <c r="AK84" s="18"/>
      <c r="AL84" s="18"/>
      <c r="AM84" s="18"/>
    </row>
    <row r="85" spans="1:39" ht="15" customHeight="1" x14ac:dyDescent="0.3">
      <c r="A85" s="43">
        <v>365</v>
      </c>
      <c r="B85" s="88">
        <v>45202</v>
      </c>
      <c r="C85" s="3" t="s">
        <v>110</v>
      </c>
      <c r="D85" s="3" t="s">
        <v>49</v>
      </c>
      <c r="E85" s="96" t="s">
        <v>207</v>
      </c>
      <c r="F85" s="57" t="s">
        <v>34</v>
      </c>
      <c r="G85" s="3">
        <v>50</v>
      </c>
      <c r="H85" s="23">
        <v>3093.4</v>
      </c>
      <c r="I85" s="36"/>
      <c r="J85" s="19">
        <f t="shared" si="20"/>
        <v>154670</v>
      </c>
      <c r="K85" s="90">
        <v>2500</v>
      </c>
      <c r="L85" s="149">
        <f t="shared" si="15"/>
        <v>4691.6000000000004</v>
      </c>
      <c r="M85" s="5">
        <f t="shared" si="21"/>
        <v>234580.00000000003</v>
      </c>
      <c r="N85" s="8">
        <f>VLOOKUP((J85/A85),Variables!$A$3:$C$8,2,TRUE())</f>
        <v>0.28000000000000003</v>
      </c>
      <c r="O85" s="42">
        <f t="shared" si="16"/>
        <v>65682.985074626908</v>
      </c>
      <c r="P85" s="40"/>
      <c r="Q85" s="27">
        <f t="shared" si="17"/>
        <v>179.9533837661011</v>
      </c>
      <c r="R85" s="27">
        <f>VLOOKUP((J85/A85),Variables!$A$3:$C$8,3,TRUE())</f>
        <v>122</v>
      </c>
      <c r="S85" s="27">
        <f t="shared" si="18"/>
        <v>430.60273972602738</v>
      </c>
      <c r="T85" s="24">
        <f>+V85/A85*Variables!$B$10</f>
        <v>32.134532815375188</v>
      </c>
      <c r="U85" s="28">
        <f>+(S85/(1-(N85+Variables!$B$10)))/G85</f>
        <v>12.853813126150074</v>
      </c>
      <c r="V85" s="5">
        <f t="shared" si="19"/>
        <v>234582.08955223885</v>
      </c>
      <c r="AI85" s="18"/>
      <c r="AJ85" s="18"/>
      <c r="AK85" s="18"/>
      <c r="AL85" s="18"/>
      <c r="AM85" s="18"/>
    </row>
    <row r="86" spans="1:39" ht="15" customHeight="1" x14ac:dyDescent="0.3">
      <c r="A86" s="43">
        <v>365</v>
      </c>
      <c r="B86" s="88">
        <v>45202</v>
      </c>
      <c r="C86" s="3" t="s">
        <v>110</v>
      </c>
      <c r="D86" s="3" t="s">
        <v>49</v>
      </c>
      <c r="E86" s="96" t="s">
        <v>209</v>
      </c>
      <c r="F86" s="57" t="s">
        <v>34</v>
      </c>
      <c r="G86" s="3">
        <v>50</v>
      </c>
      <c r="H86" s="23">
        <v>4790.7</v>
      </c>
      <c r="I86" s="36"/>
      <c r="J86" s="19">
        <f t="shared" si="20"/>
        <v>239535</v>
      </c>
      <c r="K86" s="90">
        <v>2500</v>
      </c>
      <c r="L86" s="149">
        <f t="shared" si="15"/>
        <v>7224.9</v>
      </c>
      <c r="M86" s="5">
        <f t="shared" si="21"/>
        <v>361245</v>
      </c>
      <c r="N86" s="8">
        <f>VLOOKUP((J86/A86),Variables!$A$3:$C$8,2,TRUE())</f>
        <v>0.28000000000000003</v>
      </c>
      <c r="O86" s="42">
        <f t="shared" si="16"/>
        <v>101148.95522388064</v>
      </c>
      <c r="P86" s="40"/>
      <c r="Q86" s="27">
        <f t="shared" si="17"/>
        <v>277.12042527090586</v>
      </c>
      <c r="R86" s="27">
        <f>VLOOKUP((J86/A86),Variables!$A$3:$C$8,3,TRUE())</f>
        <v>122</v>
      </c>
      <c r="S86" s="27">
        <f t="shared" si="18"/>
        <v>663.10958904109589</v>
      </c>
      <c r="T86" s="24">
        <f>+V86/A86*Variables!$B$10</f>
        <v>49.485790226947465</v>
      </c>
      <c r="U86" s="28">
        <f>+(S86/(1-(N86+Variables!$B$10)))/G86</f>
        <v>19.794316090778985</v>
      </c>
      <c r="V86" s="5">
        <f t="shared" si="19"/>
        <v>361246.26865671645</v>
      </c>
      <c r="AI86" s="18"/>
      <c r="AJ86" s="18"/>
      <c r="AK86" s="18"/>
      <c r="AL86" s="18"/>
      <c r="AM86" s="18"/>
    </row>
    <row r="87" spans="1:39" ht="15" customHeight="1" x14ac:dyDescent="0.3">
      <c r="A87" s="43">
        <v>365</v>
      </c>
      <c r="B87" s="88">
        <v>45202</v>
      </c>
      <c r="C87" s="3" t="s">
        <v>110</v>
      </c>
      <c r="D87" s="3" t="s">
        <v>49</v>
      </c>
      <c r="E87" s="96" t="s">
        <v>208</v>
      </c>
      <c r="F87" s="57" t="s">
        <v>34</v>
      </c>
      <c r="G87" s="3">
        <v>50</v>
      </c>
      <c r="H87" s="23">
        <v>6235.26</v>
      </c>
      <c r="I87" s="36"/>
      <c r="J87" s="19">
        <f t="shared" si="20"/>
        <v>311763</v>
      </c>
      <c r="K87" s="90">
        <v>2500</v>
      </c>
      <c r="L87" s="149">
        <f t="shared" si="15"/>
        <v>9381</v>
      </c>
      <c r="M87" s="5">
        <f t="shared" si="21"/>
        <v>469050</v>
      </c>
      <c r="N87" s="8">
        <f>VLOOKUP((J87/A87),Variables!$A$3:$C$8,2,TRUE())</f>
        <v>0.28000000000000003</v>
      </c>
      <c r="O87" s="42">
        <f t="shared" si="16"/>
        <v>131333.79104477615</v>
      </c>
      <c r="P87" s="40"/>
      <c r="Q87" s="27">
        <f t="shared" si="17"/>
        <v>359.81860560212647</v>
      </c>
      <c r="R87" s="27">
        <f>VLOOKUP((J87/A87),Variables!$A$3:$C$8,3,TRUE())</f>
        <v>122</v>
      </c>
      <c r="S87" s="27">
        <f t="shared" si="18"/>
        <v>860.99452054794517</v>
      </c>
      <c r="T87" s="24">
        <f>+V87/A87*Variables!$B$10</f>
        <v>64.253322428951137</v>
      </c>
      <c r="U87" s="28">
        <f>+(S87/(1-(N87+Variables!$B$10)))/G87</f>
        <v>25.701328971580455</v>
      </c>
      <c r="V87" s="5">
        <f t="shared" si="19"/>
        <v>469049.25373134331</v>
      </c>
      <c r="AI87" s="18"/>
      <c r="AJ87" s="18"/>
      <c r="AK87" s="18"/>
      <c r="AL87" s="18"/>
      <c r="AM87" s="18"/>
    </row>
    <row r="88" spans="1:39" ht="15" customHeight="1" x14ac:dyDescent="0.3">
      <c r="A88" s="43">
        <v>365</v>
      </c>
      <c r="B88" s="88">
        <v>45210</v>
      </c>
      <c r="C88" s="3" t="s">
        <v>110</v>
      </c>
      <c r="D88" s="3" t="s">
        <v>49</v>
      </c>
      <c r="E88" s="96" t="s">
        <v>208</v>
      </c>
      <c r="F88" s="57" t="s">
        <v>34</v>
      </c>
      <c r="G88" s="3">
        <v>30</v>
      </c>
      <c r="H88" s="23">
        <f>4676.82+100</f>
        <v>4776.82</v>
      </c>
      <c r="I88" s="36"/>
      <c r="J88" s="19">
        <f t="shared" si="20"/>
        <v>143304.59999999998</v>
      </c>
      <c r="K88" s="90">
        <v>10000</v>
      </c>
      <c r="L88" s="149">
        <f t="shared" si="15"/>
        <v>7861.8</v>
      </c>
      <c r="M88" s="5">
        <f t="shared" si="21"/>
        <v>235854</v>
      </c>
      <c r="N88" s="8">
        <f>VLOOKUP((J88/A88),Variables!$A$3:$C$8,2,TRUE())</f>
        <v>0.3</v>
      </c>
      <c r="O88" s="42">
        <f t="shared" si="16"/>
        <v>70755.969230769188</v>
      </c>
      <c r="P88" s="40"/>
      <c r="Q88" s="27">
        <f t="shared" si="17"/>
        <v>193.85197049525806</v>
      </c>
      <c r="R88" s="27">
        <f>VLOOKUP((J88/A88),Variables!$A$3:$C$8,3,TRUE())</f>
        <v>81.632653061224488</v>
      </c>
      <c r="S88" s="27">
        <f t="shared" si="18"/>
        <v>420.01260273972599</v>
      </c>
      <c r="T88" s="24">
        <f>+V88/A88*Variables!$B$10</f>
        <v>32.308661749209691</v>
      </c>
      <c r="U88" s="28">
        <f>+(S88/(1-(N88+Variables!$B$10)))/G88</f>
        <v>21.539107832806458</v>
      </c>
      <c r="V88" s="5">
        <f t="shared" si="19"/>
        <v>235853.23076923072</v>
      </c>
      <c r="AI88" s="18"/>
      <c r="AJ88" s="18"/>
      <c r="AK88" s="18"/>
      <c r="AL88" s="18"/>
      <c r="AM88" s="18"/>
    </row>
    <row r="89" spans="1:39" ht="15" customHeight="1" x14ac:dyDescent="0.3">
      <c r="A89" s="43">
        <v>365</v>
      </c>
      <c r="B89" s="88">
        <v>45202</v>
      </c>
      <c r="C89" s="3" t="s">
        <v>110</v>
      </c>
      <c r="D89" s="3" t="s">
        <v>90</v>
      </c>
      <c r="E89" s="96" t="s">
        <v>210</v>
      </c>
      <c r="F89" s="57" t="s">
        <v>34</v>
      </c>
      <c r="G89" s="3">
        <v>50</v>
      </c>
      <c r="H89" s="23">
        <v>4018</v>
      </c>
      <c r="I89" s="36"/>
      <c r="J89" s="19">
        <f t="shared" si="20"/>
        <v>200900</v>
      </c>
      <c r="K89" s="90">
        <v>2500</v>
      </c>
      <c r="L89" s="149">
        <f t="shared" si="15"/>
        <v>6071.6</v>
      </c>
      <c r="M89" s="5">
        <f t="shared" si="21"/>
        <v>303580</v>
      </c>
      <c r="N89" s="8">
        <f>VLOOKUP((J89/A89),Variables!$A$3:$C$8,2,TRUE())</f>
        <v>0.28000000000000003</v>
      </c>
      <c r="O89" s="42">
        <f t="shared" si="16"/>
        <v>85002.985074626864</v>
      </c>
      <c r="P89" s="40"/>
      <c r="Q89" s="27">
        <f t="shared" si="17"/>
        <v>232.88489061541605</v>
      </c>
      <c r="R89" s="27">
        <f>VLOOKUP((J89/A89),Variables!$A$3:$C$8,3,TRUE())</f>
        <v>122</v>
      </c>
      <c r="S89" s="27">
        <f t="shared" si="18"/>
        <v>557.2602739726027</v>
      </c>
      <c r="T89" s="24">
        <f>+V89/A89*Variables!$B$10</f>
        <v>41.58658760989573</v>
      </c>
      <c r="U89" s="28">
        <f>+(S89/(1-(N89+Variables!$B$10)))/G89</f>
        <v>16.634635043958291</v>
      </c>
      <c r="V89" s="5">
        <f t="shared" si="19"/>
        <v>303582.08955223882</v>
      </c>
      <c r="AI89" s="18"/>
      <c r="AJ89" s="18"/>
      <c r="AK89" s="18"/>
      <c r="AL89" s="18"/>
      <c r="AM89" s="18"/>
    </row>
    <row r="90" spans="1:39" ht="15" customHeight="1" x14ac:dyDescent="0.3">
      <c r="A90" s="43">
        <v>365</v>
      </c>
      <c r="B90" s="88">
        <v>45205</v>
      </c>
      <c r="C90" s="3" t="s">
        <v>214</v>
      </c>
      <c r="D90" s="3" t="s">
        <v>215</v>
      </c>
      <c r="E90" s="3" t="s">
        <v>216</v>
      </c>
      <c r="F90" s="57" t="s">
        <v>217</v>
      </c>
      <c r="G90" s="3">
        <v>1000</v>
      </c>
      <c r="H90" s="92">
        <v>793</v>
      </c>
      <c r="I90" s="36"/>
      <c r="J90" s="19">
        <f t="shared" si="20"/>
        <v>793000</v>
      </c>
      <c r="K90" s="90">
        <v>2500</v>
      </c>
      <c r="L90" s="149">
        <f t="shared" si="15"/>
        <v>1089.7</v>
      </c>
      <c r="M90" s="5">
        <f t="shared" si="21"/>
        <v>1089700</v>
      </c>
      <c r="N90" s="8">
        <f>VLOOKUP((J90/A90),Variables!$A$3:$C$8,2,TRUE())</f>
        <v>0.22</v>
      </c>
      <c r="O90" s="42">
        <f t="shared" si="16"/>
        <v>239739.72602739724</v>
      </c>
      <c r="P90" s="40"/>
      <c r="Q90" s="27">
        <f t="shared" si="17"/>
        <v>656.82116719834858</v>
      </c>
      <c r="R90" s="27">
        <f>VLOOKUP((J90/A90),Variables!$A$3:$C$8,3,TRUE())</f>
        <v>510</v>
      </c>
      <c r="S90" s="27">
        <f t="shared" si="18"/>
        <v>2179.4520547945203</v>
      </c>
      <c r="T90" s="24">
        <f>+V90/A90*Variables!$B$10</f>
        <v>149.27753799962468</v>
      </c>
      <c r="U90" s="28">
        <f>+(S90/(1-(N90+Variables!$B$10)))/G90</f>
        <v>2.9855507599924938</v>
      </c>
      <c r="V90" s="5">
        <f t="shared" si="19"/>
        <v>1089726.0273972601</v>
      </c>
      <c r="AI90" s="18"/>
      <c r="AJ90" s="18"/>
      <c r="AK90" s="18"/>
      <c r="AL90" s="18"/>
      <c r="AM90" s="18"/>
    </row>
    <row r="91" spans="1:39" ht="15" customHeight="1" x14ac:dyDescent="0.3">
      <c r="A91" s="43">
        <v>365</v>
      </c>
      <c r="B91" s="88">
        <v>45205</v>
      </c>
      <c r="C91" s="3" t="s">
        <v>214</v>
      </c>
      <c r="D91" s="3" t="s">
        <v>218</v>
      </c>
      <c r="E91" s="3" t="s">
        <v>219</v>
      </c>
      <c r="F91" s="57" t="s">
        <v>47</v>
      </c>
      <c r="G91" s="3">
        <v>1000</v>
      </c>
      <c r="H91" s="92">
        <f>2.25*366.5+120</f>
        <v>944.625</v>
      </c>
      <c r="I91" s="36"/>
      <c r="J91" s="19">
        <f t="shared" si="20"/>
        <v>944625</v>
      </c>
      <c r="K91" s="90">
        <v>2500</v>
      </c>
      <c r="L91" s="149">
        <f t="shared" si="15"/>
        <v>1297.4000000000001</v>
      </c>
      <c r="M91" s="5">
        <f t="shared" si="21"/>
        <v>1297400</v>
      </c>
      <c r="N91" s="8">
        <f>VLOOKUP((J91/A91),Variables!$A$3:$C$8,2,TRUE())</f>
        <v>0.22</v>
      </c>
      <c r="O91" s="42">
        <f t="shared" si="16"/>
        <v>285434.9315068493</v>
      </c>
      <c r="P91" s="40"/>
      <c r="Q91" s="27">
        <f t="shared" si="17"/>
        <v>782.0135109776694</v>
      </c>
      <c r="R91" s="27">
        <f>VLOOKUP((J91/A91),Variables!$A$3:$C$8,3,TRUE())</f>
        <v>510</v>
      </c>
      <c r="S91" s="27">
        <f t="shared" si="18"/>
        <v>2594.8630136986303</v>
      </c>
      <c r="T91" s="24">
        <f>+V91/A91*Variables!$B$10</f>
        <v>177.7303434040158</v>
      </c>
      <c r="U91" s="28">
        <f>+(S91/(1-(N91+Variables!$B$10)))/G91</f>
        <v>3.5546068680803153</v>
      </c>
      <c r="V91" s="5">
        <f t="shared" si="19"/>
        <v>1297431.5068493153</v>
      </c>
      <c r="AI91" s="18"/>
      <c r="AJ91" s="18"/>
      <c r="AK91" s="18"/>
      <c r="AL91" s="18"/>
      <c r="AM91" s="18"/>
    </row>
    <row r="92" spans="1:39" ht="15" customHeight="1" x14ac:dyDescent="0.3">
      <c r="A92" s="43">
        <v>365</v>
      </c>
      <c r="B92" s="88">
        <v>45209</v>
      </c>
      <c r="C92" s="3" t="s">
        <v>220</v>
      </c>
      <c r="D92" s="3" t="s">
        <v>52</v>
      </c>
      <c r="E92" s="3" t="s">
        <v>221</v>
      </c>
      <c r="F92" s="57" t="s">
        <v>34</v>
      </c>
      <c r="G92" s="3">
        <v>25</v>
      </c>
      <c r="H92" s="92">
        <f>15.19*1030+350</f>
        <v>15995.699999999999</v>
      </c>
      <c r="I92" s="36"/>
      <c r="J92" s="19">
        <f t="shared" si="20"/>
        <v>399892.5</v>
      </c>
      <c r="K92" s="90">
        <f>4000+4000</f>
        <v>8000</v>
      </c>
      <c r="L92" s="149">
        <f t="shared" si="15"/>
        <v>24351.8</v>
      </c>
      <c r="M92" s="5">
        <f t="shared" si="21"/>
        <v>608795</v>
      </c>
      <c r="N92" s="8">
        <f>VLOOKUP((J92/A92),Variables!$A$3:$C$8,2,TRUE())</f>
        <v>0.28000000000000003</v>
      </c>
      <c r="O92" s="42">
        <f t="shared" si="16"/>
        <v>170462.5373134329</v>
      </c>
      <c r="P92" s="40"/>
      <c r="Q92" s="27">
        <f t="shared" si="17"/>
        <v>467.02065017378879</v>
      </c>
      <c r="R92" s="27">
        <f>VLOOKUP((J92/A92),Variables!$A$3:$C$8,3,TRUE())</f>
        <v>122</v>
      </c>
      <c r="S92" s="27">
        <f t="shared" si="18"/>
        <v>1117.513698630137</v>
      </c>
      <c r="T92" s="24">
        <f>+V92/A92*Variables!$B$10</f>
        <v>83.396544673890844</v>
      </c>
      <c r="U92" s="28">
        <f>+(S92/(1-(N92+Variables!$B$10)))/G92</f>
        <v>66.717235739112667</v>
      </c>
      <c r="V92" s="5">
        <f t="shared" si="19"/>
        <v>608794.77611940308</v>
      </c>
      <c r="AI92" s="18"/>
      <c r="AJ92" s="18"/>
      <c r="AK92" s="18"/>
      <c r="AL92" s="18"/>
      <c r="AM92" s="18"/>
    </row>
    <row r="93" spans="1:39" ht="15" customHeight="1" x14ac:dyDescent="0.3">
      <c r="A93" s="43">
        <v>365</v>
      </c>
      <c r="B93" s="88">
        <v>45209</v>
      </c>
      <c r="C93" s="3" t="s">
        <v>220</v>
      </c>
      <c r="D93" s="3" t="s">
        <v>137</v>
      </c>
      <c r="E93" s="3" t="s">
        <v>222</v>
      </c>
      <c r="F93" s="57" t="s">
        <v>34</v>
      </c>
      <c r="G93" s="3">
        <v>25</v>
      </c>
      <c r="H93" s="92">
        <f>18.43*365.5+350</f>
        <v>7086.165</v>
      </c>
      <c r="I93" s="36"/>
      <c r="J93" s="19">
        <f t="shared" si="20"/>
        <v>177154.125</v>
      </c>
      <c r="K93" s="90">
        <v>4000</v>
      </c>
      <c r="L93" s="149">
        <f t="shared" si="15"/>
        <v>10815.2</v>
      </c>
      <c r="M93" s="5">
        <f t="shared" si="21"/>
        <v>270380</v>
      </c>
      <c r="N93" s="8">
        <f>VLOOKUP((J93/A93),Variables!$A$3:$C$8,2,TRUE())</f>
        <v>0.28000000000000003</v>
      </c>
      <c r="O93" s="42">
        <f t="shared" si="16"/>
        <v>75706.201492537351</v>
      </c>
      <c r="P93" s="40"/>
      <c r="Q93" s="27">
        <f t="shared" si="17"/>
        <v>207.41425066448588</v>
      </c>
      <c r="R93" s="27">
        <f>VLOOKUP((J93/A93),Variables!$A$3:$C$8,3,TRUE())</f>
        <v>122</v>
      </c>
      <c r="S93" s="27">
        <f t="shared" si="18"/>
        <v>496.31267123287671</v>
      </c>
      <c r="T93" s="24">
        <f>+V93/A93*Variables!$B$10</f>
        <v>37.038259047229609</v>
      </c>
      <c r="U93" s="28">
        <f>+(S93/(1-(N93+Variables!$B$10)))/G93</f>
        <v>29.630607237783689</v>
      </c>
      <c r="V93" s="5">
        <f t="shared" si="19"/>
        <v>270379.29104477615</v>
      </c>
      <c r="AI93" s="18"/>
      <c r="AJ93" s="18"/>
      <c r="AK93" s="18"/>
      <c r="AL93" s="18"/>
      <c r="AM93" s="18"/>
    </row>
    <row r="94" spans="1:39" ht="15" customHeight="1" x14ac:dyDescent="0.3">
      <c r="A94" s="43">
        <v>365</v>
      </c>
      <c r="B94" s="88">
        <v>45229</v>
      </c>
      <c r="C94" s="3" t="s">
        <v>220</v>
      </c>
      <c r="D94" s="3" t="s">
        <v>52</v>
      </c>
      <c r="E94" s="3" t="s">
        <v>221</v>
      </c>
      <c r="F94" s="57" t="s">
        <v>34</v>
      </c>
      <c r="G94" s="3">
        <v>10</v>
      </c>
      <c r="H94" s="92">
        <f>15.19*930+350</f>
        <v>14476.699999999999</v>
      </c>
      <c r="I94" s="36"/>
      <c r="J94" s="19">
        <f t="shared" si="20"/>
        <v>144767</v>
      </c>
      <c r="K94" s="90">
        <f>4000+4000</f>
        <v>8000</v>
      </c>
      <c r="L94" s="149">
        <f t="shared" si="15"/>
        <v>23502.6</v>
      </c>
      <c r="M94" s="5">
        <f t="shared" si="21"/>
        <v>235026</v>
      </c>
      <c r="N94" s="8">
        <f>VLOOKUP((J94/A94),Variables!$A$3:$C$8,2,TRUE())</f>
        <v>0.3</v>
      </c>
      <c r="O94" s="42">
        <f t="shared" si="16"/>
        <v>70507.846153846156</v>
      </c>
      <c r="P94" s="40"/>
      <c r="Q94" s="27">
        <f t="shared" si="17"/>
        <v>193.17218124341412</v>
      </c>
      <c r="R94" s="27">
        <f>VLOOKUP((J94/A94),Variables!$A$3:$C$8,3,TRUE())</f>
        <v>81.632653061224488</v>
      </c>
      <c r="S94" s="27">
        <f t="shared" si="18"/>
        <v>418.53972602739725</v>
      </c>
      <c r="T94" s="24">
        <f>+V94/A94*Variables!$B$10</f>
        <v>32.195363540569019</v>
      </c>
      <c r="U94" s="28">
        <f>+(S94/(1-(N94+Variables!$B$10)))/G94</f>
        <v>64.390727081138039</v>
      </c>
      <c r="V94" s="5">
        <f t="shared" si="19"/>
        <v>235026.15384615384</v>
      </c>
      <c r="AI94" s="18"/>
      <c r="AJ94" s="18"/>
      <c r="AK94" s="18"/>
      <c r="AL94" s="18"/>
      <c r="AM94" s="18"/>
    </row>
    <row r="95" spans="1:39" ht="15" customHeight="1" x14ac:dyDescent="0.3">
      <c r="A95" s="43">
        <v>365</v>
      </c>
      <c r="B95" s="88">
        <v>45229</v>
      </c>
      <c r="C95" s="3" t="s">
        <v>220</v>
      </c>
      <c r="D95" s="3" t="s">
        <v>137</v>
      </c>
      <c r="E95" s="3" t="s">
        <v>222</v>
      </c>
      <c r="F95" s="57" t="s">
        <v>34</v>
      </c>
      <c r="G95" s="3">
        <v>10</v>
      </c>
      <c r="H95" s="92">
        <f>20.64*365.5+350</f>
        <v>7893.92</v>
      </c>
      <c r="I95" s="36"/>
      <c r="J95" s="19">
        <f t="shared" si="20"/>
        <v>78939.199999999997</v>
      </c>
      <c r="K95" s="90">
        <v>4000</v>
      </c>
      <c r="L95" s="149">
        <f t="shared" si="15"/>
        <v>12759.9</v>
      </c>
      <c r="M95" s="5">
        <f t="shared" si="21"/>
        <v>127599</v>
      </c>
      <c r="N95" s="8">
        <f>VLOOKUP((J95/A95),Variables!$A$3:$C$8,2,TRUE())</f>
        <v>0.3</v>
      </c>
      <c r="O95" s="42">
        <f t="shared" si="16"/>
        <v>38279.63076923076</v>
      </c>
      <c r="P95" s="40"/>
      <c r="Q95" s="27">
        <f t="shared" si="17"/>
        <v>104.87570073761852</v>
      </c>
      <c r="R95" s="27">
        <f>VLOOKUP((J95/A95),Variables!$A$3:$C$8,3,TRUE())</f>
        <v>81.632653061224488</v>
      </c>
      <c r="S95" s="27">
        <f t="shared" si="18"/>
        <v>227.23068493150683</v>
      </c>
      <c r="T95" s="24">
        <f>+V95/A95*Variables!$B$10</f>
        <v>17.479283456269755</v>
      </c>
      <c r="U95" s="28">
        <f>+(S95/(1-(N95+Variables!$B$10)))/G95</f>
        <v>34.95856691253951</v>
      </c>
      <c r="V95" s="5">
        <f t="shared" si="19"/>
        <v>127598.76923076921</v>
      </c>
      <c r="AI95" s="18"/>
      <c r="AJ95" s="18"/>
      <c r="AK95" s="18"/>
      <c r="AL95" s="18"/>
      <c r="AM95" s="18"/>
    </row>
    <row r="96" spans="1:39" ht="15" customHeight="1" x14ac:dyDescent="0.3">
      <c r="A96" s="43">
        <v>365</v>
      </c>
      <c r="B96" s="88">
        <v>45209</v>
      </c>
      <c r="C96" s="3" t="s">
        <v>223</v>
      </c>
      <c r="D96" s="3" t="s">
        <v>49</v>
      </c>
      <c r="E96" s="3" t="s">
        <v>224</v>
      </c>
      <c r="F96" s="57" t="s">
        <v>154</v>
      </c>
      <c r="G96" s="3">
        <v>1000</v>
      </c>
      <c r="H96" s="92">
        <v>618.67999999999995</v>
      </c>
      <c r="I96" s="36"/>
      <c r="J96" s="19">
        <f t="shared" si="20"/>
        <v>618680</v>
      </c>
      <c r="K96" s="90">
        <v>7000</v>
      </c>
      <c r="L96" s="149">
        <f t="shared" si="15"/>
        <v>893.8</v>
      </c>
      <c r="M96" s="5">
        <f t="shared" si="21"/>
        <v>893800</v>
      </c>
      <c r="N96" s="8">
        <f>VLOOKUP((J96/A96),Variables!$A$3:$C$8,2,TRUE())</f>
        <v>0.25</v>
      </c>
      <c r="O96" s="42">
        <f t="shared" si="16"/>
        <v>223457.14285714284</v>
      </c>
      <c r="P96" s="40"/>
      <c r="Q96" s="27">
        <f t="shared" si="17"/>
        <v>612.21135029354207</v>
      </c>
      <c r="R96" s="27">
        <f>VLOOKUP((J96/A96),Variables!$A$3:$C$8,3,TRUE())</f>
        <v>400</v>
      </c>
      <c r="S96" s="27">
        <f t="shared" si="18"/>
        <v>1714.1917808219177</v>
      </c>
      <c r="T96" s="24">
        <f>+V96/A96*Variables!$B$10</f>
        <v>122.44227005870842</v>
      </c>
      <c r="U96" s="28">
        <f>+(S96/(1-(N96+Variables!$B$10)))/G96</f>
        <v>2.4488454011741685</v>
      </c>
      <c r="V96" s="5">
        <f t="shared" si="19"/>
        <v>893828.57142857136</v>
      </c>
      <c r="AI96" s="18"/>
      <c r="AJ96" s="18"/>
      <c r="AK96" s="18"/>
      <c r="AL96" s="18"/>
      <c r="AM96" s="18"/>
    </row>
    <row r="97" spans="1:39" ht="15" customHeight="1" x14ac:dyDescent="0.3">
      <c r="A97" s="43">
        <v>365</v>
      </c>
      <c r="B97" s="88">
        <v>45222</v>
      </c>
      <c r="C97" s="3" t="s">
        <v>225</v>
      </c>
      <c r="D97" s="3" t="s">
        <v>226</v>
      </c>
      <c r="E97" s="3" t="s">
        <v>227</v>
      </c>
      <c r="F97" s="57" t="s">
        <v>61</v>
      </c>
      <c r="G97" s="3">
        <v>15</v>
      </c>
      <c r="H97" s="92">
        <v>4550</v>
      </c>
      <c r="I97" s="36"/>
      <c r="J97" s="19">
        <f t="shared" si="20"/>
        <v>68250</v>
      </c>
      <c r="K97" s="90">
        <f>5000+J97*0.5*0.06+J97*0.5*0.06</f>
        <v>9095</v>
      </c>
      <c r="L97" s="149">
        <f t="shared" si="15"/>
        <v>7932.8</v>
      </c>
      <c r="M97" s="5">
        <f t="shared" si="21"/>
        <v>118992</v>
      </c>
      <c r="N97" s="8">
        <f>VLOOKUP((J97/A97),Variables!$A$3:$C$8,2,TRUE())</f>
        <v>0.3</v>
      </c>
      <c r="O97" s="42">
        <f t="shared" si="16"/>
        <v>35697.69230769229</v>
      </c>
      <c r="P97" s="40"/>
      <c r="Q97" s="27">
        <f t="shared" si="17"/>
        <v>97.801896733403538</v>
      </c>
      <c r="R97" s="27">
        <f>VLOOKUP((J97/A97),Variables!$A$3:$C$8,3,TRUE())</f>
        <v>81.632653061224488</v>
      </c>
      <c r="S97" s="27">
        <f t="shared" si="18"/>
        <v>211.9041095890411</v>
      </c>
      <c r="T97" s="24">
        <f>+V97/A97*Variables!$B$10</f>
        <v>16.30031612223393</v>
      </c>
      <c r="U97" s="28">
        <f>+(S97/(1-(N97+Variables!$B$10)))/G97</f>
        <v>21.733754829645239</v>
      </c>
      <c r="V97" s="5">
        <f t="shared" si="19"/>
        <v>118992.30769230767</v>
      </c>
      <c r="AI97" s="18"/>
      <c r="AJ97" s="18"/>
      <c r="AK97" s="18"/>
      <c r="AL97" s="18"/>
      <c r="AM97" s="18"/>
    </row>
    <row r="98" spans="1:39" ht="15" customHeight="1" x14ac:dyDescent="0.3">
      <c r="A98" s="43">
        <v>365</v>
      </c>
      <c r="B98" s="88">
        <v>45226</v>
      </c>
      <c r="C98" s="3" t="s">
        <v>225</v>
      </c>
      <c r="D98" s="3" t="s">
        <v>226</v>
      </c>
      <c r="E98" s="3" t="s">
        <v>227</v>
      </c>
      <c r="F98" s="57" t="s">
        <v>365</v>
      </c>
      <c r="G98" s="3">
        <v>15</v>
      </c>
      <c r="H98" s="92">
        <f>4550-300</f>
        <v>4250</v>
      </c>
      <c r="I98" s="36"/>
      <c r="J98" s="19">
        <f t="shared" si="20"/>
        <v>63750</v>
      </c>
      <c r="K98" s="90">
        <f>5000+J98*0.5*0.06+J98*0.5*0.06</f>
        <v>8825</v>
      </c>
      <c r="L98" s="149">
        <f t="shared" si="15"/>
        <v>7443.6</v>
      </c>
      <c r="M98" s="5">
        <f t="shared" si="21"/>
        <v>111654</v>
      </c>
      <c r="N98" s="8">
        <f>VLOOKUP((J98/A98),Variables!$A$3:$C$8,2,TRUE())</f>
        <v>0.3</v>
      </c>
      <c r="O98" s="42">
        <f t="shared" si="16"/>
        <v>33496.153846153851</v>
      </c>
      <c r="P98" s="40"/>
      <c r="Q98" s="27">
        <f t="shared" si="17"/>
        <v>91.770284510010555</v>
      </c>
      <c r="R98" s="27">
        <f>VLOOKUP((J98/A98),Variables!$A$3:$C$8,3,TRUE())</f>
        <v>81.632653061224488</v>
      </c>
      <c r="S98" s="27">
        <f t="shared" si="18"/>
        <v>198.83561643835617</v>
      </c>
      <c r="T98" s="24">
        <f>+V98/A98*Variables!$B$10</f>
        <v>15.295047418335091</v>
      </c>
      <c r="U98" s="28">
        <f>+(S98/(1-(N98+Variables!$B$10)))/G98</f>
        <v>20.393396557780122</v>
      </c>
      <c r="V98" s="5">
        <f t="shared" si="19"/>
        <v>111653.84615384616</v>
      </c>
      <c r="AI98" s="18"/>
      <c r="AJ98" s="18"/>
      <c r="AK98" s="18"/>
      <c r="AL98" s="18"/>
      <c r="AM98" s="18"/>
    </row>
    <row r="99" spans="1:39" ht="15" customHeight="1" x14ac:dyDescent="0.3">
      <c r="A99" s="43">
        <v>365</v>
      </c>
      <c r="B99" s="88">
        <v>45226</v>
      </c>
      <c r="C99" s="3" t="s">
        <v>225</v>
      </c>
      <c r="D99" s="3" t="s">
        <v>226</v>
      </c>
      <c r="E99" s="3" t="s">
        <v>384</v>
      </c>
      <c r="F99" s="57" t="s">
        <v>365</v>
      </c>
      <c r="G99" s="3">
        <v>15</v>
      </c>
      <c r="H99" s="92">
        <f>4550-300</f>
        <v>4250</v>
      </c>
      <c r="I99" s="36">
        <v>30000</v>
      </c>
      <c r="J99" s="19">
        <f t="shared" si="20"/>
        <v>93750</v>
      </c>
      <c r="K99" s="90">
        <f>5000+J99*0.5*0.06+J99*0.5*0.06</f>
        <v>10625</v>
      </c>
      <c r="L99" s="149">
        <f t="shared" ref="L99:L130" si="22">ROUND(IF((U99*A99*G99)&gt;(J99+(T99*A99)+K99+(Q99*A99)),(U99*A99),((J99+(T99*A99)+K99+(Q99*A99))/G99)),1)</f>
        <v>10705.1</v>
      </c>
      <c r="M99" s="5">
        <f t="shared" si="21"/>
        <v>160576.5</v>
      </c>
      <c r="N99" s="8">
        <f>VLOOKUP((J99/A99),Variables!$A$3:$C$8,2,TRUE())</f>
        <v>0.3</v>
      </c>
      <c r="O99" s="42">
        <f t="shared" ref="O99:O130" si="23">+Q99*A99</f>
        <v>48173.076923076922</v>
      </c>
      <c r="P99" s="40"/>
      <c r="Q99" s="27">
        <f t="shared" ref="Q99:Q130" si="24">+IF(((U99*G99)-S99-T99)&lt;R99,R99,((U99*G99)-S99-T99))</f>
        <v>131.98103266596416</v>
      </c>
      <c r="R99" s="27">
        <f>VLOOKUP((J99/A99),Variables!$A$3:$C$8,3,TRUE())</f>
        <v>81.632653061224488</v>
      </c>
      <c r="S99" s="27">
        <f t="shared" ref="S99:S130" si="25">+(J99+K99)/A99</f>
        <v>285.95890410958901</v>
      </c>
      <c r="T99" s="24">
        <f>+V99/A99*Variables!$B$10</f>
        <v>21.996838777660695</v>
      </c>
      <c r="U99" s="28">
        <f>+(S99/(1-(N99+Variables!$B$10)))/G99</f>
        <v>29.329118370214257</v>
      </c>
      <c r="V99" s="5">
        <f t="shared" ref="V99:V130" si="26">+U99*G99*A99</f>
        <v>160576.92307692306</v>
      </c>
      <c r="AI99" s="18"/>
      <c r="AJ99" s="18"/>
      <c r="AK99" s="18"/>
      <c r="AL99" s="18"/>
      <c r="AM99" s="18"/>
    </row>
    <row r="100" spans="1:39" ht="15" customHeight="1" x14ac:dyDescent="0.3">
      <c r="A100" s="43">
        <v>365</v>
      </c>
      <c r="B100" s="88">
        <v>45223</v>
      </c>
      <c r="C100" s="3" t="s">
        <v>228</v>
      </c>
      <c r="D100" s="106" t="s">
        <v>78</v>
      </c>
      <c r="E100" s="3" t="s">
        <v>229</v>
      </c>
      <c r="F100" s="106" t="s">
        <v>230</v>
      </c>
      <c r="G100" s="107">
        <v>200</v>
      </c>
      <c r="H100" s="162">
        <v>1392.5371</v>
      </c>
      <c r="I100" s="36"/>
      <c r="J100" s="19">
        <f t="shared" si="20"/>
        <v>278507.42</v>
      </c>
      <c r="K100" s="90">
        <v>4000</v>
      </c>
      <c r="L100" s="149">
        <f t="shared" si="22"/>
        <v>2108.3000000000002</v>
      </c>
      <c r="M100" s="5">
        <f t="shared" si="21"/>
        <v>421660.00000000006</v>
      </c>
      <c r="N100" s="8">
        <f>VLOOKUP((J100/A100),Variables!$A$3:$C$8,2,TRUE())</f>
        <v>0.28000000000000003</v>
      </c>
      <c r="O100" s="42">
        <f t="shared" si="23"/>
        <v>118062.80238805975</v>
      </c>
      <c r="P100" s="40"/>
      <c r="Q100" s="27">
        <f t="shared" si="24"/>
        <v>323.45973257002669</v>
      </c>
      <c r="R100" s="27">
        <f>VLOOKUP((J100/A100),Variables!$A$3:$C$8,3,TRUE())</f>
        <v>122</v>
      </c>
      <c r="S100" s="27">
        <f t="shared" si="25"/>
        <v>773.99293150684923</v>
      </c>
      <c r="T100" s="24">
        <f>+V100/A100*Variables!$B$10</f>
        <v>57.760666530361895</v>
      </c>
      <c r="U100" s="28">
        <f>+(S100/(1-(N100+Variables!$B$10)))/G100</f>
        <v>5.7760666530361888</v>
      </c>
      <c r="V100" s="5">
        <f t="shared" si="26"/>
        <v>421652.86567164183</v>
      </c>
      <c r="AI100" s="18"/>
      <c r="AJ100" s="18"/>
      <c r="AK100" s="18"/>
      <c r="AL100" s="18"/>
      <c r="AM100" s="18"/>
    </row>
    <row r="101" spans="1:39" ht="15" customHeight="1" x14ac:dyDescent="0.3">
      <c r="A101" s="43">
        <v>365</v>
      </c>
      <c r="B101" s="88">
        <v>45223</v>
      </c>
      <c r="C101" s="3" t="s">
        <v>228</v>
      </c>
      <c r="D101" s="106" t="s">
        <v>231</v>
      </c>
      <c r="E101" s="3" t="s">
        <v>232</v>
      </c>
      <c r="F101" s="106" t="s">
        <v>233</v>
      </c>
      <c r="G101" s="107">
        <v>200</v>
      </c>
      <c r="H101" s="162">
        <v>223.9</v>
      </c>
      <c r="I101" s="36"/>
      <c r="J101" s="19">
        <f t="shared" si="20"/>
        <v>44780</v>
      </c>
      <c r="K101" s="90">
        <v>1500</v>
      </c>
      <c r="L101" s="149">
        <f t="shared" si="22"/>
        <v>398.2</v>
      </c>
      <c r="M101" s="5">
        <f t="shared" si="21"/>
        <v>79640</v>
      </c>
      <c r="N101" s="8">
        <f>VLOOKUP((J101/A101),Variables!$A$3:$C$8,2,TRUE())</f>
        <v>0.3</v>
      </c>
      <c r="O101" s="42">
        <f t="shared" si="23"/>
        <v>29795.918367346938</v>
      </c>
      <c r="P101" s="40"/>
      <c r="Q101" s="27">
        <f t="shared" si="24"/>
        <v>81.632653061224488</v>
      </c>
      <c r="R101" s="27">
        <f>VLOOKUP((J101/A101),Variables!$A$3:$C$8,3,TRUE())</f>
        <v>81.632653061224488</v>
      </c>
      <c r="S101" s="27">
        <f t="shared" si="25"/>
        <v>126.79452054794521</v>
      </c>
      <c r="T101" s="24">
        <f>+V101/A101*Variables!$B$10</f>
        <v>9.7534246575342465</v>
      </c>
      <c r="U101" s="28">
        <f>+(S101/(1-(N101+Variables!$B$10)))/G101</f>
        <v>0.97534246575342465</v>
      </c>
      <c r="V101" s="5">
        <f t="shared" si="26"/>
        <v>71200</v>
      </c>
      <c r="AI101" s="18"/>
      <c r="AJ101" s="18"/>
      <c r="AK101" s="18"/>
      <c r="AL101" s="18"/>
      <c r="AM101" s="18"/>
    </row>
    <row r="102" spans="1:39" ht="15" customHeight="1" x14ac:dyDescent="0.3">
      <c r="A102" s="43">
        <v>365</v>
      </c>
      <c r="B102" s="88">
        <v>45223</v>
      </c>
      <c r="C102" s="3" t="s">
        <v>228</v>
      </c>
      <c r="D102" s="106" t="s">
        <v>65</v>
      </c>
      <c r="E102" s="3" t="s">
        <v>234</v>
      </c>
      <c r="F102" s="106" t="s">
        <v>235</v>
      </c>
      <c r="G102" s="3">
        <v>100</v>
      </c>
      <c r="H102" s="92">
        <v>335</v>
      </c>
      <c r="I102" s="36"/>
      <c r="J102" s="19">
        <f t="shared" si="20"/>
        <v>33500</v>
      </c>
      <c r="K102" s="90">
        <v>6000</v>
      </c>
      <c r="L102" s="149">
        <f t="shared" si="22"/>
        <v>723.3</v>
      </c>
      <c r="M102" s="5">
        <f t="shared" si="21"/>
        <v>72330</v>
      </c>
      <c r="N102" s="8">
        <f>VLOOKUP((J102/A102),Variables!$A$3:$C$8,2,TRUE())</f>
        <v>0.3</v>
      </c>
      <c r="O102" s="42">
        <f t="shared" si="23"/>
        <v>29795.918367346938</v>
      </c>
      <c r="P102" s="40"/>
      <c r="Q102" s="27">
        <f t="shared" si="24"/>
        <v>81.632653061224488</v>
      </c>
      <c r="R102" s="27">
        <f>VLOOKUP((J102/A102),Variables!$A$3:$C$8,3,TRUE())</f>
        <v>81.632653061224488</v>
      </c>
      <c r="S102" s="27">
        <f t="shared" si="25"/>
        <v>108.21917808219177</v>
      </c>
      <c r="T102" s="24">
        <f>+V102/A102*Variables!$B$10</f>
        <v>8.324552160168599</v>
      </c>
      <c r="U102" s="28">
        <f>+(S102/(1-(N102+Variables!$B$10)))/G102</f>
        <v>1.6649104320337196</v>
      </c>
      <c r="V102" s="5">
        <f t="shared" si="26"/>
        <v>60769.230769230766</v>
      </c>
      <c r="AI102" s="18"/>
      <c r="AJ102" s="18"/>
      <c r="AK102" s="18"/>
      <c r="AL102" s="18"/>
      <c r="AM102" s="18"/>
    </row>
    <row r="103" spans="1:39" ht="15" customHeight="1" x14ac:dyDescent="0.3">
      <c r="A103" s="43">
        <v>365</v>
      </c>
      <c r="B103" s="88">
        <v>45223</v>
      </c>
      <c r="C103" s="3" t="s">
        <v>228</v>
      </c>
      <c r="D103" s="106"/>
      <c r="E103" s="76" t="s">
        <v>236</v>
      </c>
      <c r="F103" s="106"/>
      <c r="G103" s="3">
        <v>1</v>
      </c>
      <c r="H103" s="92">
        <f>+H100*G100+H101*G101+H102*G102</f>
        <v>356787.42</v>
      </c>
      <c r="I103" s="36"/>
      <c r="J103" s="19">
        <f t="shared" si="20"/>
        <v>356787.42</v>
      </c>
      <c r="K103" s="90">
        <f>+K100+K101+K102</f>
        <v>11500</v>
      </c>
      <c r="L103" s="149">
        <f t="shared" si="22"/>
        <v>549682.69999999995</v>
      </c>
      <c r="M103" s="5">
        <f t="shared" si="21"/>
        <v>549682.69999999995</v>
      </c>
      <c r="N103" s="8">
        <f>VLOOKUP((J103/A103),Variables!$A$3:$C$8,2,TRUE())</f>
        <v>0.28000000000000003</v>
      </c>
      <c r="O103" s="42">
        <f t="shared" si="23"/>
        <v>153911.16059701497</v>
      </c>
      <c r="P103" s="40"/>
      <c r="Q103" s="27">
        <f t="shared" si="24"/>
        <v>421.67441259456155</v>
      </c>
      <c r="R103" s="27">
        <f>VLOOKUP((J103/A103),Variables!$A$3:$C$8,3,TRUE())</f>
        <v>122</v>
      </c>
      <c r="S103" s="27">
        <f t="shared" si="25"/>
        <v>1009.0066301369862</v>
      </c>
      <c r="T103" s="24">
        <f>+V103/A103*Variables!$B$10</f>
        <v>75.299002249028817</v>
      </c>
      <c r="U103" s="28">
        <f>+(S103/(1-(N103+Variables!$B$10)))/G103</f>
        <v>1505.9800449805766</v>
      </c>
      <c r="V103" s="5">
        <f t="shared" si="26"/>
        <v>549682.71641791041</v>
      </c>
      <c r="AI103" s="18"/>
      <c r="AJ103" s="18"/>
      <c r="AK103" s="18"/>
      <c r="AL103" s="18"/>
      <c r="AM103" s="18"/>
    </row>
    <row r="104" spans="1:39" ht="15" customHeight="1" x14ac:dyDescent="0.3">
      <c r="A104" s="43">
        <v>365</v>
      </c>
      <c r="B104" s="88">
        <v>45223</v>
      </c>
      <c r="C104" s="3" t="s">
        <v>237</v>
      </c>
      <c r="D104" s="106" t="s">
        <v>238</v>
      </c>
      <c r="E104" s="3" t="s">
        <v>240</v>
      </c>
      <c r="F104" s="106" t="s">
        <v>154</v>
      </c>
      <c r="G104" s="107">
        <v>150</v>
      </c>
      <c r="H104" s="162">
        <v>780</v>
      </c>
      <c r="I104" s="36"/>
      <c r="J104" s="19">
        <f t="shared" si="20"/>
        <v>117000</v>
      </c>
      <c r="K104" s="90">
        <v>1500</v>
      </c>
      <c r="L104" s="149">
        <f t="shared" si="22"/>
        <v>1215.4000000000001</v>
      </c>
      <c r="M104" s="5">
        <f t="shared" si="21"/>
        <v>182310</v>
      </c>
      <c r="N104" s="8">
        <f>VLOOKUP((J104/A104),Variables!$A$3:$C$8,2,TRUE())</f>
        <v>0.3</v>
      </c>
      <c r="O104" s="42">
        <f t="shared" si="23"/>
        <v>54692.307692307681</v>
      </c>
      <c r="P104" s="40"/>
      <c r="Q104" s="27">
        <f t="shared" si="24"/>
        <v>149.84193888303474</v>
      </c>
      <c r="R104" s="27">
        <f>VLOOKUP((J104/A104),Variables!$A$3:$C$8,3,TRUE())</f>
        <v>81.632653061224488</v>
      </c>
      <c r="S104" s="27">
        <f t="shared" si="25"/>
        <v>324.65753424657532</v>
      </c>
      <c r="T104" s="24">
        <f>+V104/A104*Variables!$B$10</f>
        <v>24.973656480505795</v>
      </c>
      <c r="U104" s="28">
        <f>+(S104/(1-(N104+Variables!$B$10)))/G104</f>
        <v>3.3298208640674392</v>
      </c>
      <c r="V104" s="5">
        <f t="shared" si="26"/>
        <v>182307.69230769228</v>
      </c>
      <c r="AI104" s="18"/>
      <c r="AJ104" s="18"/>
      <c r="AK104" s="18"/>
      <c r="AL104" s="18"/>
      <c r="AM104" s="18"/>
    </row>
    <row r="105" spans="1:39" ht="15" customHeight="1" x14ac:dyDescent="0.3">
      <c r="A105" s="43">
        <v>365</v>
      </c>
      <c r="B105" s="88">
        <v>45223</v>
      </c>
      <c r="C105" s="3" t="s">
        <v>237</v>
      </c>
      <c r="D105" s="106" t="s">
        <v>238</v>
      </c>
      <c r="E105" s="3" t="s">
        <v>239</v>
      </c>
      <c r="F105" s="106" t="s">
        <v>154</v>
      </c>
      <c r="G105" s="107">
        <v>150</v>
      </c>
      <c r="H105" s="92">
        <v>780</v>
      </c>
      <c r="I105" s="36"/>
      <c r="J105" s="19">
        <f t="shared" si="20"/>
        <v>117000</v>
      </c>
      <c r="K105" s="90">
        <v>6000</v>
      </c>
      <c r="L105" s="149">
        <f t="shared" si="22"/>
        <v>1261.5</v>
      </c>
      <c r="M105" s="5">
        <f t="shared" si="21"/>
        <v>189225</v>
      </c>
      <c r="N105" s="8">
        <f>VLOOKUP((J105/A105),Variables!$A$3:$C$8,2,TRUE())</f>
        <v>0.3</v>
      </c>
      <c r="O105" s="42">
        <f t="shared" si="23"/>
        <v>56769.230769230766</v>
      </c>
      <c r="P105" s="40"/>
      <c r="Q105" s="27">
        <f t="shared" si="24"/>
        <v>155.53213909378292</v>
      </c>
      <c r="R105" s="27">
        <f>VLOOKUP((J105/A105),Variables!$A$3:$C$8,3,TRUE())</f>
        <v>81.632653061224488</v>
      </c>
      <c r="S105" s="27">
        <f t="shared" si="25"/>
        <v>336.98630136986299</v>
      </c>
      <c r="T105" s="24">
        <f>+V105/A105*Variables!$B$10</f>
        <v>25.922023182297153</v>
      </c>
      <c r="U105" s="28">
        <f>+(S105/(1-(N105+Variables!$B$10)))/G105</f>
        <v>3.4562697576396202</v>
      </c>
      <c r="V105" s="5">
        <f t="shared" si="26"/>
        <v>189230.76923076922</v>
      </c>
      <c r="AI105" s="18"/>
      <c r="AJ105" s="18"/>
      <c r="AK105" s="18"/>
      <c r="AL105" s="18"/>
      <c r="AM105" s="18"/>
    </row>
    <row r="106" spans="1:39" ht="15" customHeight="1" x14ac:dyDescent="0.3">
      <c r="A106" s="43">
        <v>365</v>
      </c>
      <c r="B106" s="88">
        <v>45223</v>
      </c>
      <c r="C106" s="3" t="s">
        <v>237</v>
      </c>
      <c r="D106" s="106"/>
      <c r="E106" s="76" t="s">
        <v>241</v>
      </c>
      <c r="F106" s="106" t="s">
        <v>154</v>
      </c>
      <c r="G106" s="3">
        <v>300</v>
      </c>
      <c r="H106" s="92">
        <v>780</v>
      </c>
      <c r="I106" s="36"/>
      <c r="J106" s="19">
        <f t="shared" si="20"/>
        <v>234000</v>
      </c>
      <c r="K106" s="90">
        <f>7000+J106*0.5*0.24+J106*0.5*0.16+4000</f>
        <v>57800</v>
      </c>
      <c r="L106" s="149">
        <f t="shared" si="22"/>
        <v>1451.7</v>
      </c>
      <c r="M106" s="5">
        <f t="shared" si="21"/>
        <v>435510</v>
      </c>
      <c r="N106" s="8">
        <f>VLOOKUP((J106/A106),Variables!$A$3:$C$8,2,TRUE())</f>
        <v>0.28000000000000003</v>
      </c>
      <c r="O106" s="42">
        <f t="shared" si="23"/>
        <v>121946.26865671643</v>
      </c>
      <c r="P106" s="40"/>
      <c r="Q106" s="27">
        <f t="shared" si="24"/>
        <v>334.09936618278476</v>
      </c>
      <c r="R106" s="27">
        <f>VLOOKUP((J106/A106),Variables!$A$3:$C$8,3,TRUE())</f>
        <v>122</v>
      </c>
      <c r="S106" s="27">
        <f t="shared" si="25"/>
        <v>799.45205479452056</v>
      </c>
      <c r="T106" s="24">
        <f>+V106/A106*Variables!$B$10</f>
        <v>59.660601104068704</v>
      </c>
      <c r="U106" s="28">
        <f>+(S106/(1-(N106+Variables!$B$10)))/G106</f>
        <v>3.9773734069379132</v>
      </c>
      <c r="V106" s="5">
        <f t="shared" si="26"/>
        <v>435522.38805970154</v>
      </c>
      <c r="AI106" s="18"/>
      <c r="AJ106" s="18"/>
      <c r="AK106" s="18"/>
      <c r="AL106" s="18"/>
      <c r="AM106" s="18"/>
    </row>
    <row r="107" spans="1:39" ht="15" customHeight="1" x14ac:dyDescent="0.3">
      <c r="A107" s="43">
        <v>365</v>
      </c>
      <c r="B107" s="88">
        <v>45223</v>
      </c>
      <c r="C107" s="3" t="s">
        <v>242</v>
      </c>
      <c r="D107" s="106"/>
      <c r="E107" s="76" t="s">
        <v>243</v>
      </c>
      <c r="F107" s="106"/>
      <c r="G107" s="107">
        <v>100</v>
      </c>
      <c r="H107" s="162"/>
      <c r="I107" s="36">
        <v>2173164.5</v>
      </c>
      <c r="J107" s="19">
        <f t="shared" si="20"/>
        <v>2173164.5</v>
      </c>
      <c r="K107" s="90">
        <v>35000</v>
      </c>
      <c r="L107" s="149">
        <f t="shared" si="22"/>
        <v>28677.5</v>
      </c>
      <c r="M107" s="5">
        <f t="shared" si="21"/>
        <v>2867750</v>
      </c>
      <c r="N107" s="8">
        <f>VLOOKUP((J107/A107),Variables!$A$3:$C$8,2,TRUE())</f>
        <v>0.18</v>
      </c>
      <c r="O107" s="42">
        <f t="shared" si="23"/>
        <v>516194.29870129854</v>
      </c>
      <c r="P107" s="40"/>
      <c r="Q107" s="27">
        <f t="shared" si="24"/>
        <v>1414.2309553460234</v>
      </c>
      <c r="R107" s="27">
        <f>VLOOKUP((J107/A107),Variables!$A$3:$C$8,3,TRUE())</f>
        <v>1094</v>
      </c>
      <c r="S107" s="27">
        <f t="shared" si="25"/>
        <v>6049.7657534246573</v>
      </c>
      <c r="T107" s="24">
        <f>+V107/A107*Variables!$B$10</f>
        <v>392.84193204056214</v>
      </c>
      <c r="U107" s="28">
        <f>+(S107/(1-(N107+Variables!$B$10)))/G107</f>
        <v>78.568386408112431</v>
      </c>
      <c r="V107" s="5">
        <f t="shared" si="26"/>
        <v>2867746.1038961038</v>
      </c>
      <c r="AI107" s="18"/>
      <c r="AJ107" s="18"/>
      <c r="AK107" s="18"/>
      <c r="AL107" s="18"/>
      <c r="AM107" s="18"/>
    </row>
    <row r="108" spans="1:39" ht="15" customHeight="1" x14ac:dyDescent="0.3">
      <c r="A108" s="43">
        <v>365</v>
      </c>
      <c r="B108" s="88">
        <v>45223</v>
      </c>
      <c r="C108" s="3" t="s">
        <v>242</v>
      </c>
      <c r="D108" s="106"/>
      <c r="E108" s="76" t="s">
        <v>256</v>
      </c>
      <c r="F108" s="106"/>
      <c r="G108" s="107">
        <v>100</v>
      </c>
      <c r="H108" s="92"/>
      <c r="I108" s="36">
        <v>3274495</v>
      </c>
      <c r="J108" s="19">
        <f t="shared" si="20"/>
        <v>3274495</v>
      </c>
      <c r="K108" s="90">
        <v>14000</v>
      </c>
      <c r="L108" s="149">
        <f t="shared" si="22"/>
        <v>42707.7</v>
      </c>
      <c r="M108" s="5">
        <f t="shared" si="21"/>
        <v>4270770</v>
      </c>
      <c r="N108" s="8">
        <f>VLOOKUP((J108/A108),Variables!$A$3:$C$8,2,TRUE())</f>
        <v>0.18</v>
      </c>
      <c r="O108" s="42">
        <f t="shared" si="23"/>
        <v>768739.09090909106</v>
      </c>
      <c r="P108" s="40"/>
      <c r="Q108" s="27">
        <f t="shared" si="24"/>
        <v>2106.1344956413454</v>
      </c>
      <c r="R108" s="27">
        <f>VLOOKUP((J108/A108),Variables!$A$3:$C$8,3,TRUE())</f>
        <v>1094</v>
      </c>
      <c r="S108" s="27">
        <f t="shared" si="25"/>
        <v>9009.5753424657541</v>
      </c>
      <c r="T108" s="24">
        <f>+V108/A108*Variables!$B$10</f>
        <v>585.03735990037364</v>
      </c>
      <c r="U108" s="28">
        <f>+(S108/(1-(N108+Variables!$B$10)))/G108</f>
        <v>117.00747198007474</v>
      </c>
      <c r="V108" s="5">
        <f t="shared" si="26"/>
        <v>4270772.7272727275</v>
      </c>
      <c r="AI108" s="18"/>
      <c r="AJ108" s="18"/>
      <c r="AK108" s="18"/>
      <c r="AL108" s="18"/>
      <c r="AM108" s="18"/>
    </row>
    <row r="109" spans="1:39" ht="15" customHeight="1" x14ac:dyDescent="0.3">
      <c r="A109" s="43">
        <v>365</v>
      </c>
      <c r="B109" s="88">
        <v>45223</v>
      </c>
      <c r="C109" s="3" t="s">
        <v>242</v>
      </c>
      <c r="D109" s="106"/>
      <c r="E109" s="76" t="s">
        <v>258</v>
      </c>
      <c r="F109" s="106"/>
      <c r="G109" s="3">
        <v>100</v>
      </c>
      <c r="H109" s="92"/>
      <c r="I109" s="36">
        <v>2356837.5</v>
      </c>
      <c r="J109" s="19">
        <f t="shared" si="20"/>
        <v>2356837.5</v>
      </c>
      <c r="K109" s="90">
        <v>40000</v>
      </c>
      <c r="L109" s="149">
        <f t="shared" si="22"/>
        <v>31127.8</v>
      </c>
      <c r="M109" s="5">
        <f t="shared" si="21"/>
        <v>3112780</v>
      </c>
      <c r="N109" s="8">
        <f>VLOOKUP((J109/A109),Variables!$A$3:$C$8,2,TRUE())</f>
        <v>0.18</v>
      </c>
      <c r="O109" s="42">
        <f t="shared" si="23"/>
        <v>560299.67532467551</v>
      </c>
      <c r="P109" s="40"/>
      <c r="Q109" s="27">
        <f t="shared" si="24"/>
        <v>1535.067603629248</v>
      </c>
      <c r="R109" s="27">
        <f>VLOOKUP((J109/A109),Variables!$A$3:$C$8,3,TRUE())</f>
        <v>1094</v>
      </c>
      <c r="S109" s="27">
        <f t="shared" si="25"/>
        <v>6566.678082191781</v>
      </c>
      <c r="T109" s="24">
        <f>+V109/A109*Variables!$B$10</f>
        <v>426.40766767479101</v>
      </c>
      <c r="U109" s="28">
        <f>+(S109/(1-(N109+Variables!$B$10)))/G109</f>
        <v>85.2815335349582</v>
      </c>
      <c r="V109" s="5">
        <f t="shared" si="26"/>
        <v>3112775.9740259741</v>
      </c>
      <c r="AI109" s="18"/>
      <c r="AJ109" s="18"/>
      <c r="AK109" s="18"/>
      <c r="AL109" s="18"/>
      <c r="AM109" s="18"/>
    </row>
    <row r="110" spans="1:39" ht="15" customHeight="1" x14ac:dyDescent="0.3">
      <c r="A110" s="43">
        <v>365</v>
      </c>
      <c r="B110" s="88">
        <v>45224</v>
      </c>
      <c r="C110" s="3" t="s">
        <v>68</v>
      </c>
      <c r="D110" s="106" t="s">
        <v>90</v>
      </c>
      <c r="E110" s="3" t="s">
        <v>263</v>
      </c>
      <c r="F110" s="106" t="s">
        <v>264</v>
      </c>
      <c r="G110" s="107">
        <v>50</v>
      </c>
      <c r="H110" s="162">
        <v>6409</v>
      </c>
      <c r="I110" s="36"/>
      <c r="J110" s="19">
        <f t="shared" si="20"/>
        <v>320450</v>
      </c>
      <c r="K110" s="90">
        <f>5000+4000+J110*0.5*0.2+J110*0.5*0.12</f>
        <v>60272</v>
      </c>
      <c r="L110" s="149">
        <f t="shared" si="22"/>
        <v>11364.8</v>
      </c>
      <c r="M110" s="5">
        <f t="shared" si="21"/>
        <v>568240</v>
      </c>
      <c r="N110" s="8">
        <f>VLOOKUP((J110/A110),Variables!$A$3:$C$8,2,TRUE())</f>
        <v>0.28000000000000003</v>
      </c>
      <c r="O110" s="42">
        <f t="shared" si="23"/>
        <v>159107.70149253742</v>
      </c>
      <c r="P110" s="40"/>
      <c r="Q110" s="27">
        <f t="shared" si="24"/>
        <v>435.91151093845866</v>
      </c>
      <c r="R110" s="27">
        <f>VLOOKUP((J110/A110),Variables!$A$3:$C$8,3,TRUE())</f>
        <v>122</v>
      </c>
      <c r="S110" s="27">
        <f t="shared" si="25"/>
        <v>1043.0739726027398</v>
      </c>
      <c r="T110" s="24">
        <f>+V110/A110*Variables!$B$10</f>
        <v>77.841341239010447</v>
      </c>
      <c r="U110" s="28">
        <f>+(S110/(1-(N110+Variables!$B$10)))/G110</f>
        <v>31.136536495604176</v>
      </c>
      <c r="V110" s="5">
        <f t="shared" si="26"/>
        <v>568241.79104477621</v>
      </c>
      <c r="AI110" s="18"/>
      <c r="AJ110" s="18"/>
      <c r="AK110" s="18"/>
      <c r="AL110" s="18"/>
      <c r="AM110" s="18"/>
    </row>
    <row r="111" spans="1:39" ht="15" customHeight="1" x14ac:dyDescent="0.3">
      <c r="A111" s="43">
        <v>365</v>
      </c>
      <c r="B111" s="88">
        <v>45229</v>
      </c>
      <c r="C111" s="3" t="s">
        <v>68</v>
      </c>
      <c r="D111" s="106" t="s">
        <v>90</v>
      </c>
      <c r="E111" s="3" t="s">
        <v>263</v>
      </c>
      <c r="F111" s="106" t="s">
        <v>375</v>
      </c>
      <c r="G111" s="107">
        <v>50</v>
      </c>
      <c r="H111" s="162">
        <v>7231</v>
      </c>
      <c r="I111" s="36"/>
      <c r="J111" s="19">
        <f t="shared" si="20"/>
        <v>361550</v>
      </c>
      <c r="K111" s="90">
        <f>5000+4000+J111*0.5*0.2+J111*0.5*0.12</f>
        <v>66848</v>
      </c>
      <c r="L111" s="149">
        <f t="shared" si="22"/>
        <v>12788</v>
      </c>
      <c r="M111" s="5">
        <f t="shared" si="21"/>
        <v>639400</v>
      </c>
      <c r="N111" s="8">
        <f>VLOOKUP((J111/A111),Variables!$A$3:$C$8,2,TRUE())</f>
        <v>0.28000000000000003</v>
      </c>
      <c r="O111" s="42">
        <f t="shared" si="23"/>
        <v>179032.00000000003</v>
      </c>
      <c r="P111" s="40"/>
      <c r="Q111" s="27">
        <f t="shared" si="24"/>
        <v>490.49863013698638</v>
      </c>
      <c r="R111" s="27">
        <f>VLOOKUP((J111/A111),Variables!$A$3:$C$8,3,TRUE())</f>
        <v>122</v>
      </c>
      <c r="S111" s="27">
        <f t="shared" si="25"/>
        <v>1173.6931506849314</v>
      </c>
      <c r="T111" s="24">
        <f>+V111/A111*Variables!$B$10</f>
        <v>87.589041095890423</v>
      </c>
      <c r="U111" s="28">
        <f>+(S111/(1-(N111+Variables!$B$10)))/G111</f>
        <v>35.035616438356165</v>
      </c>
      <c r="V111" s="5">
        <f t="shared" si="26"/>
        <v>639400</v>
      </c>
      <c r="AI111" s="18"/>
      <c r="AJ111" s="18"/>
      <c r="AK111" s="18"/>
      <c r="AL111" s="18"/>
      <c r="AM111" s="18"/>
    </row>
    <row r="112" spans="1:39" ht="15" customHeight="1" x14ac:dyDescent="0.3">
      <c r="A112" s="43">
        <v>365</v>
      </c>
      <c r="B112" s="88">
        <v>45224</v>
      </c>
      <c r="C112" s="3" t="s">
        <v>265</v>
      </c>
      <c r="D112" s="106"/>
      <c r="E112" s="76" t="s">
        <v>266</v>
      </c>
      <c r="F112" s="106"/>
      <c r="G112" s="3">
        <v>25</v>
      </c>
      <c r="H112" s="92">
        <v>17190.580000000002</v>
      </c>
      <c r="I112" s="35">
        <v>20000</v>
      </c>
      <c r="J112" s="19">
        <f t="shared" si="20"/>
        <v>449764.50000000006</v>
      </c>
      <c r="K112" s="90">
        <f>2500+2500+2500+2500+3500</f>
        <v>13500</v>
      </c>
      <c r="L112" s="149">
        <f t="shared" si="22"/>
        <v>27657.599999999999</v>
      </c>
      <c r="M112" s="5">
        <f t="shared" si="21"/>
        <v>691440</v>
      </c>
      <c r="N112" s="8">
        <f>VLOOKUP((J112/A112),Variables!$A$3:$C$8,2,TRUE())</f>
        <v>0.28000000000000003</v>
      </c>
      <c r="O112" s="42">
        <f t="shared" si="23"/>
        <v>193603.0746268658</v>
      </c>
      <c r="P112" s="40"/>
      <c r="Q112" s="27">
        <f t="shared" si="24"/>
        <v>530.41938253935837</v>
      </c>
      <c r="R112" s="27">
        <f>VLOOKUP((J112/A112),Variables!$A$3:$C$8,3,TRUE())</f>
        <v>122</v>
      </c>
      <c r="S112" s="27">
        <f t="shared" si="25"/>
        <v>1269.2178082191783</v>
      </c>
      <c r="T112" s="24">
        <f>+V112/A112*Variables!$B$10</f>
        <v>94.717746882028237</v>
      </c>
      <c r="U112" s="28">
        <f>+(S112/(1-(N112+Variables!$B$10)))/G112</f>
        <v>75.774197505622595</v>
      </c>
      <c r="V112" s="5">
        <f t="shared" si="26"/>
        <v>691439.55223880615</v>
      </c>
      <c r="AI112" s="18"/>
      <c r="AJ112" s="18"/>
      <c r="AK112" s="18"/>
      <c r="AL112" s="18"/>
      <c r="AM112" s="18"/>
    </row>
    <row r="113" spans="1:39" ht="15" customHeight="1" x14ac:dyDescent="0.3">
      <c r="A113" s="43">
        <v>365</v>
      </c>
      <c r="B113" s="88">
        <v>45224</v>
      </c>
      <c r="C113" s="3" t="s">
        <v>265</v>
      </c>
      <c r="D113" s="106"/>
      <c r="E113" s="76" t="s">
        <v>269</v>
      </c>
      <c r="F113" s="106"/>
      <c r="G113" s="3">
        <v>25</v>
      </c>
      <c r="H113" s="92">
        <v>20740.495000000003</v>
      </c>
      <c r="I113" s="35">
        <v>7500</v>
      </c>
      <c r="J113" s="19">
        <f t="shared" si="20"/>
        <v>526012.375</v>
      </c>
      <c r="K113" s="90">
        <f>2500+2500+2500+2500+3500</f>
        <v>13500</v>
      </c>
      <c r="L113" s="149">
        <f t="shared" si="22"/>
        <v>30829.3</v>
      </c>
      <c r="M113" s="5">
        <f t="shared" si="21"/>
        <v>770732.5</v>
      </c>
      <c r="N113" s="8">
        <f>VLOOKUP((J113/A113),Variables!$A$3:$C$8,2,TRUE())</f>
        <v>0.25</v>
      </c>
      <c r="O113" s="42">
        <f t="shared" si="23"/>
        <v>192682.99107142861</v>
      </c>
      <c r="P113" s="40"/>
      <c r="Q113" s="27">
        <f t="shared" si="24"/>
        <v>527.89860567514688</v>
      </c>
      <c r="R113" s="27">
        <f>VLOOKUP((J113/A113),Variables!$A$3:$C$8,3,TRUE())</f>
        <v>400</v>
      </c>
      <c r="S113" s="27">
        <f t="shared" si="25"/>
        <v>1478.1160958904109</v>
      </c>
      <c r="T113" s="24">
        <f>+V113/A113*Variables!$B$10</f>
        <v>105.57972113502936</v>
      </c>
      <c r="U113" s="28">
        <f>+(S113/(1-(N113+Variables!$B$10)))/G113</f>
        <v>84.463776908023476</v>
      </c>
      <c r="V113" s="5">
        <f t="shared" si="26"/>
        <v>770731.96428571432</v>
      </c>
      <c r="AI113" s="18"/>
      <c r="AJ113" s="18"/>
      <c r="AK113" s="18"/>
      <c r="AL113" s="18"/>
      <c r="AM113" s="18"/>
    </row>
    <row r="114" spans="1:39" ht="15" customHeight="1" x14ac:dyDescent="0.3">
      <c r="A114" s="43">
        <v>365</v>
      </c>
      <c r="B114" s="88">
        <v>45224</v>
      </c>
      <c r="C114" s="3" t="s">
        <v>265</v>
      </c>
      <c r="D114" s="106" t="s">
        <v>52</v>
      </c>
      <c r="E114" s="3" t="s">
        <v>270</v>
      </c>
      <c r="F114" s="106" t="s">
        <v>34</v>
      </c>
      <c r="G114" s="3">
        <v>25</v>
      </c>
      <c r="H114" s="92">
        <f>16000+320</f>
        <v>16320</v>
      </c>
      <c r="J114" s="19">
        <f t="shared" si="20"/>
        <v>408000</v>
      </c>
      <c r="K114" s="90">
        <f>4000+4000</f>
        <v>8000</v>
      </c>
      <c r="L114" s="149">
        <f t="shared" si="22"/>
        <v>24835.8</v>
      </c>
      <c r="M114" s="5">
        <f t="shared" si="21"/>
        <v>620895</v>
      </c>
      <c r="N114" s="8">
        <f>VLOOKUP((J114/A114),Variables!$A$3:$C$8,2,TRUE())</f>
        <v>0.28000000000000003</v>
      </c>
      <c r="O114" s="42">
        <f t="shared" si="23"/>
        <v>173850.74626865672</v>
      </c>
      <c r="P114" s="40"/>
      <c r="Q114" s="27">
        <f t="shared" si="24"/>
        <v>476.30341443467597</v>
      </c>
      <c r="R114" s="27">
        <f>VLOOKUP((J114/A114),Variables!$A$3:$C$8,3,TRUE())</f>
        <v>122</v>
      </c>
      <c r="S114" s="27">
        <f t="shared" si="25"/>
        <v>1139.7260273972602</v>
      </c>
      <c r="T114" s="24">
        <f>+V114/A114*Variables!$B$10</f>
        <v>85.054181149049271</v>
      </c>
      <c r="U114" s="28">
        <f>+(S114/(1-(N114+Variables!$B$10)))/G114</f>
        <v>68.043344919239416</v>
      </c>
      <c r="V114" s="5">
        <f t="shared" si="26"/>
        <v>620895.52238805965</v>
      </c>
      <c r="AI114" s="18"/>
      <c r="AJ114" s="18"/>
      <c r="AK114" s="18"/>
      <c r="AL114" s="18"/>
      <c r="AM114" s="18"/>
    </row>
    <row r="115" spans="1:39" ht="15" customHeight="1" x14ac:dyDescent="0.3">
      <c r="A115" s="43">
        <v>365</v>
      </c>
      <c r="B115" s="88">
        <v>45224</v>
      </c>
      <c r="C115" s="3" t="s">
        <v>145</v>
      </c>
      <c r="D115" s="3" t="s">
        <v>146</v>
      </c>
      <c r="E115" s="3" t="s">
        <v>147</v>
      </c>
      <c r="F115" s="57"/>
      <c r="G115" s="3">
        <v>8800</v>
      </c>
      <c r="H115" s="92"/>
      <c r="I115" s="36">
        <f>102036363.64*0.94</f>
        <v>95914181.82159999</v>
      </c>
      <c r="J115" s="19">
        <f t="shared" si="20"/>
        <v>95914181.82159999</v>
      </c>
      <c r="K115" s="90">
        <v>30000</v>
      </c>
      <c r="L115" s="149">
        <f t="shared" si="22"/>
        <v>14159.4</v>
      </c>
      <c r="M115" s="5">
        <f t="shared" si="21"/>
        <v>124602720</v>
      </c>
      <c r="N115" s="8">
        <f>VLOOKUP((J115/A115),Variables!$A$3:$C$8,2,TRUE())</f>
        <v>0.18</v>
      </c>
      <c r="O115" s="42">
        <f t="shared" si="23"/>
        <v>22428510.036218178</v>
      </c>
      <c r="P115" s="40"/>
      <c r="Q115" s="27">
        <f t="shared" si="24"/>
        <v>61447.972701967607</v>
      </c>
      <c r="R115" s="27">
        <f>VLOOKUP((J115/A115),Variables!$A$3:$C$8,3,TRUE())</f>
        <v>1094</v>
      </c>
      <c r="S115" s="27">
        <f t="shared" si="25"/>
        <v>262860.77211397258</v>
      </c>
      <c r="T115" s="24">
        <f>+V115/A115*Variables!$B$10</f>
        <v>17068.881306102117</v>
      </c>
      <c r="U115" s="28">
        <f>+(S115/(1-(N115+Variables!$B$10)))/G115</f>
        <v>38.792912059322987</v>
      </c>
      <c r="V115" s="5">
        <f t="shared" si="26"/>
        <v>124602833.53454544</v>
      </c>
      <c r="AI115" s="18"/>
      <c r="AJ115" s="18"/>
      <c r="AK115" s="18"/>
      <c r="AL115" s="18"/>
      <c r="AM115" s="18"/>
    </row>
    <row r="116" spans="1:39" ht="15" customHeight="1" x14ac:dyDescent="0.3">
      <c r="A116" s="43">
        <v>365</v>
      </c>
      <c r="B116" s="88">
        <v>45224</v>
      </c>
      <c r="C116" s="3" t="s">
        <v>145</v>
      </c>
      <c r="D116" s="3" t="s">
        <v>146</v>
      </c>
      <c r="E116" s="3" t="s">
        <v>147</v>
      </c>
      <c r="F116" s="57"/>
      <c r="G116" s="3">
        <v>8800</v>
      </c>
      <c r="H116" s="92"/>
      <c r="I116" s="36">
        <f>102036363.64*0.94</f>
        <v>95914181.82159999</v>
      </c>
      <c r="J116" s="19">
        <f t="shared" si="20"/>
        <v>95914181.82159999</v>
      </c>
      <c r="K116" s="90">
        <f>30000+(J116*0.55+J116*0.21)*0.025</f>
        <v>1852369.4546103999</v>
      </c>
      <c r="L116" s="149">
        <f t="shared" si="22"/>
        <v>14428.4</v>
      </c>
      <c r="M116" s="5">
        <f t="shared" si="21"/>
        <v>126969920</v>
      </c>
      <c r="N116" s="8">
        <f>VLOOKUP((J116/A116),Variables!$A$3:$C$8,2,TRUE())</f>
        <v>0.18</v>
      </c>
      <c r="O116" s="42">
        <f t="shared" si="23"/>
        <v>22854518.480153073</v>
      </c>
      <c r="P116" s="40"/>
      <c r="Q116" s="27">
        <f t="shared" si="24"/>
        <v>62615.119123707045</v>
      </c>
      <c r="R116" s="27">
        <f>VLOOKUP((J116/A116),Variables!$A$3:$C$8,3,TRUE())</f>
        <v>1094</v>
      </c>
      <c r="S116" s="27">
        <f t="shared" si="25"/>
        <v>267853.56514030247</v>
      </c>
      <c r="T116" s="24">
        <f>+V116/A116*Variables!$B$10</f>
        <v>17393.088645474185</v>
      </c>
      <c r="U116" s="28">
        <f>+(S116/(1-(N116+Variables!$B$10)))/G116</f>
        <v>39.529746921532237</v>
      </c>
      <c r="V116" s="5">
        <f t="shared" si="26"/>
        <v>126969547.11196154</v>
      </c>
      <c r="AI116" s="18"/>
      <c r="AJ116" s="18"/>
      <c r="AK116" s="18"/>
      <c r="AL116" s="18"/>
      <c r="AM116" s="18"/>
    </row>
    <row r="117" spans="1:39" ht="15" customHeight="1" x14ac:dyDescent="0.3">
      <c r="A117" s="43">
        <v>365</v>
      </c>
      <c r="B117" s="88">
        <v>45224</v>
      </c>
      <c r="C117" s="3" t="s">
        <v>271</v>
      </c>
      <c r="D117" s="106" t="s">
        <v>49</v>
      </c>
      <c r="E117" s="76" t="s">
        <v>274</v>
      </c>
      <c r="F117" s="57"/>
      <c r="G117" s="3">
        <v>90</v>
      </c>
      <c r="H117" s="92">
        <f>22689.21+13673.82+13681.43</f>
        <v>50044.46</v>
      </c>
      <c r="I117" s="36"/>
      <c r="J117" s="19">
        <f t="shared" si="20"/>
        <v>4504001.4000000004</v>
      </c>
      <c r="K117" s="90">
        <v>10000</v>
      </c>
      <c r="L117" s="149">
        <f t="shared" si="22"/>
        <v>65137.1</v>
      </c>
      <c r="M117" s="5">
        <f t="shared" si="21"/>
        <v>5862339</v>
      </c>
      <c r="N117" s="8">
        <f>VLOOKUP((J117/A117),Variables!$A$3:$C$8,2,TRUE())</f>
        <v>0.18</v>
      </c>
      <c r="O117" s="42">
        <f t="shared" si="23"/>
        <v>1055221.1064935073</v>
      </c>
      <c r="P117" s="40"/>
      <c r="Q117" s="27">
        <f t="shared" si="24"/>
        <v>2891.0167301191977</v>
      </c>
      <c r="R117" s="27">
        <f>VLOOKUP((J117/A117),Variables!$A$3:$C$8,3,TRUE())</f>
        <v>1094</v>
      </c>
      <c r="S117" s="27">
        <f t="shared" si="25"/>
        <v>12367.127123287672</v>
      </c>
      <c r="T117" s="24">
        <f>+V117/A117*Variables!$B$10</f>
        <v>803.06020281088786</v>
      </c>
      <c r="U117" s="28">
        <f>+(S117/(1-(N117+Variables!$B$10)))/G117</f>
        <v>178.45782284686396</v>
      </c>
      <c r="V117" s="5">
        <f t="shared" si="26"/>
        <v>5862339.480519481</v>
      </c>
      <c r="AI117" s="18"/>
      <c r="AJ117" s="18"/>
      <c r="AK117" s="18"/>
      <c r="AL117" s="18"/>
      <c r="AM117" s="18"/>
    </row>
    <row r="118" spans="1:39" ht="15" customHeight="1" x14ac:dyDescent="0.3">
      <c r="A118" s="43">
        <v>365</v>
      </c>
      <c r="B118" s="88">
        <v>45224</v>
      </c>
      <c r="C118" s="3" t="s">
        <v>271</v>
      </c>
      <c r="D118" s="106" t="s">
        <v>276</v>
      </c>
      <c r="E118" s="76" t="s">
        <v>275</v>
      </c>
      <c r="F118" s="57"/>
      <c r="G118" s="3">
        <v>90</v>
      </c>
      <c r="H118" s="92">
        <f>(20193+9333.6)*0.85+8357.79</f>
        <v>33455.399999999994</v>
      </c>
      <c r="I118" s="36">
        <f>15000+15000</f>
        <v>30000</v>
      </c>
      <c r="J118" s="19">
        <f t="shared" si="20"/>
        <v>3040985.9999999995</v>
      </c>
      <c r="K118" s="90">
        <f>5000+5000+10000</f>
        <v>20000</v>
      </c>
      <c r="L118" s="149">
        <f t="shared" si="22"/>
        <v>44170.1</v>
      </c>
      <c r="M118" s="5">
        <f t="shared" si="21"/>
        <v>3975309</v>
      </c>
      <c r="N118" s="8">
        <f>VLOOKUP((J118/A118),Variables!$A$3:$C$8,2,TRUE())</f>
        <v>0.18</v>
      </c>
      <c r="O118" s="42">
        <f t="shared" si="23"/>
        <v>715555.16883116867</v>
      </c>
      <c r="P118" s="40"/>
      <c r="Q118" s="27">
        <f t="shared" si="24"/>
        <v>1960.4251200853937</v>
      </c>
      <c r="R118" s="27">
        <f>VLOOKUP((J118/A118),Variables!$A$3:$C$8,3,TRUE())</f>
        <v>1094</v>
      </c>
      <c r="S118" s="27">
        <f t="shared" si="25"/>
        <v>8386.2630136986281</v>
      </c>
      <c r="T118" s="24">
        <f>+V118/A118*Variables!$B$10</f>
        <v>544.56253335705378</v>
      </c>
      <c r="U118" s="28">
        <f>+(S118/(1-(N118+Variables!$B$10)))/G118</f>
        <v>121.01389630156751</v>
      </c>
      <c r="V118" s="5">
        <f t="shared" si="26"/>
        <v>3975306.4935064926</v>
      </c>
      <c r="AI118" s="18"/>
      <c r="AJ118" s="18"/>
      <c r="AK118" s="18"/>
      <c r="AL118" s="18"/>
      <c r="AM118" s="18"/>
    </row>
    <row r="119" spans="1:39" ht="15" customHeight="1" x14ac:dyDescent="0.3">
      <c r="A119" s="43">
        <v>365</v>
      </c>
      <c r="B119" s="88">
        <v>45224</v>
      </c>
      <c r="C119" s="3" t="s">
        <v>277</v>
      </c>
      <c r="D119" s="106" t="s">
        <v>278</v>
      </c>
      <c r="E119" s="3" t="s">
        <v>281</v>
      </c>
      <c r="F119" s="57" t="s">
        <v>84</v>
      </c>
      <c r="G119" s="3">
        <v>100</v>
      </c>
      <c r="H119" s="92">
        <f>4.387*365.5+390</f>
        <v>1993.4484999999997</v>
      </c>
      <c r="I119" s="36"/>
      <c r="J119" s="19">
        <f t="shared" si="20"/>
        <v>199344.84999999998</v>
      </c>
      <c r="K119" s="90">
        <v>8000</v>
      </c>
      <c r="L119" s="149">
        <f t="shared" si="22"/>
        <v>3094.7</v>
      </c>
      <c r="M119" s="5">
        <f t="shared" si="21"/>
        <v>309470</v>
      </c>
      <c r="N119" s="8">
        <f>VLOOKUP((J119/A119),Variables!$A$3:$C$8,2,TRUE())</f>
        <v>0.28000000000000003</v>
      </c>
      <c r="O119" s="42">
        <f t="shared" si="23"/>
        <v>86651.579104477598</v>
      </c>
      <c r="P119" s="40"/>
      <c r="Q119" s="27">
        <f t="shared" si="24"/>
        <v>237.40158658760987</v>
      </c>
      <c r="R119" s="27">
        <f>VLOOKUP((J119/A119),Variables!$A$3:$C$8,3,TRUE())</f>
        <v>122</v>
      </c>
      <c r="S119" s="27">
        <f t="shared" si="25"/>
        <v>568.06808219178072</v>
      </c>
      <c r="T119" s="24">
        <f>+V119/A119*Variables!$B$10</f>
        <v>42.393140462073191</v>
      </c>
      <c r="U119" s="28">
        <f>+(S119/(1-(N119+Variables!$B$10)))/G119</f>
        <v>8.4786280924146382</v>
      </c>
      <c r="V119" s="5">
        <f t="shared" si="26"/>
        <v>309469.92537313426</v>
      </c>
      <c r="AI119" s="18"/>
      <c r="AJ119" s="18"/>
      <c r="AK119" s="18"/>
      <c r="AL119" s="18"/>
      <c r="AM119" s="18"/>
    </row>
    <row r="120" spans="1:39" ht="15" customHeight="1" x14ac:dyDescent="0.3">
      <c r="A120" s="43">
        <v>365</v>
      </c>
      <c r="B120" s="88">
        <v>45224</v>
      </c>
      <c r="C120" s="3" t="s">
        <v>277</v>
      </c>
      <c r="D120" s="106" t="s">
        <v>278</v>
      </c>
      <c r="E120" s="3" t="s">
        <v>279</v>
      </c>
      <c r="F120" s="57" t="s">
        <v>84</v>
      </c>
      <c r="G120" s="3">
        <v>100</v>
      </c>
      <c r="H120" s="92">
        <f>5.381*365.5+390</f>
        <v>2356.7555000000002</v>
      </c>
      <c r="I120" s="36"/>
      <c r="J120" s="19">
        <f t="shared" si="20"/>
        <v>235675.55000000002</v>
      </c>
      <c r="K120" s="90">
        <v>8000</v>
      </c>
      <c r="L120" s="149">
        <f t="shared" si="22"/>
        <v>3636.9</v>
      </c>
      <c r="M120" s="5">
        <f t="shared" si="21"/>
        <v>363690</v>
      </c>
      <c r="N120" s="8">
        <f>VLOOKUP((J120/A120),Variables!$A$3:$C$8,2,TRUE())</f>
        <v>0.28000000000000003</v>
      </c>
      <c r="O120" s="42">
        <f t="shared" si="23"/>
        <v>101834.55820895525</v>
      </c>
      <c r="P120" s="40"/>
      <c r="Q120" s="27">
        <f t="shared" si="24"/>
        <v>278.99878961357604</v>
      </c>
      <c r="R120" s="27">
        <f>VLOOKUP((J120/A120),Variables!$A$3:$C$8,3,TRUE())</f>
        <v>122</v>
      </c>
      <c r="S120" s="27">
        <f t="shared" si="25"/>
        <v>667.60424657534247</v>
      </c>
      <c r="T120" s="24">
        <f>+V120/A120*Variables!$B$10</f>
        <v>49.821212430995715</v>
      </c>
      <c r="U120" s="28">
        <f>+(S120/(1-(N120+Variables!$B$10)))/G120</f>
        <v>9.9642424861991419</v>
      </c>
      <c r="V120" s="5">
        <f t="shared" si="26"/>
        <v>363694.8507462687</v>
      </c>
      <c r="AI120" s="18"/>
      <c r="AJ120" s="18"/>
      <c r="AK120" s="18"/>
      <c r="AL120" s="18"/>
      <c r="AM120" s="18"/>
    </row>
    <row r="121" spans="1:39" ht="15" customHeight="1" x14ac:dyDescent="0.3">
      <c r="A121" s="43">
        <v>365</v>
      </c>
      <c r="B121" s="88">
        <v>45224</v>
      </c>
      <c r="C121" s="3" t="s">
        <v>277</v>
      </c>
      <c r="D121" s="106" t="s">
        <v>278</v>
      </c>
      <c r="E121" s="3" t="s">
        <v>280</v>
      </c>
      <c r="F121" s="57" t="s">
        <v>84</v>
      </c>
      <c r="G121" s="3">
        <v>100</v>
      </c>
      <c r="H121" s="92">
        <f>6.208*365.5+390</f>
        <v>2659.0239999999999</v>
      </c>
      <c r="I121" s="36"/>
      <c r="J121" s="19">
        <f t="shared" si="20"/>
        <v>265902.39999999997</v>
      </c>
      <c r="K121" s="90">
        <v>8000</v>
      </c>
      <c r="L121" s="149">
        <f t="shared" si="22"/>
        <v>4088.1</v>
      </c>
      <c r="M121" s="5">
        <f t="shared" si="21"/>
        <v>408810</v>
      </c>
      <c r="N121" s="8">
        <f>VLOOKUP((J121/A121),Variables!$A$3:$C$8,2,TRUE())</f>
        <v>0.28000000000000003</v>
      </c>
      <c r="O121" s="42">
        <f t="shared" si="23"/>
        <v>114466.67462686572</v>
      </c>
      <c r="P121" s="40"/>
      <c r="Q121" s="27">
        <f t="shared" si="24"/>
        <v>313.60732774483756</v>
      </c>
      <c r="R121" s="27">
        <f>VLOOKUP((J121/A121),Variables!$A$3:$C$8,3,TRUE())</f>
        <v>122</v>
      </c>
      <c r="S121" s="27">
        <f t="shared" si="25"/>
        <v>750.4175342465752</v>
      </c>
      <c r="T121" s="24">
        <f>+V121/A121*Variables!$B$10</f>
        <v>56.001308525863834</v>
      </c>
      <c r="U121" s="28">
        <f>+(S121/(1-(N121+Variables!$B$10)))/G121</f>
        <v>11.200261705172766</v>
      </c>
      <c r="V121" s="5">
        <f t="shared" si="26"/>
        <v>408809.55223880598</v>
      </c>
      <c r="AI121" s="18"/>
      <c r="AJ121" s="18"/>
      <c r="AK121" s="18"/>
      <c r="AL121" s="18"/>
      <c r="AM121" s="18"/>
    </row>
    <row r="122" spans="1:39" ht="15" customHeight="1" x14ac:dyDescent="0.3">
      <c r="A122" s="43">
        <v>365</v>
      </c>
      <c r="B122" s="88">
        <v>45224</v>
      </c>
      <c r="C122" s="3" t="s">
        <v>277</v>
      </c>
      <c r="D122" s="106" t="s">
        <v>78</v>
      </c>
      <c r="E122" s="3" t="s">
        <v>282</v>
      </c>
      <c r="F122" s="57" t="s">
        <v>47</v>
      </c>
      <c r="G122" s="3">
        <v>70</v>
      </c>
      <c r="H122" s="92">
        <f>2.9*368.5+114.52</f>
        <v>1183.1699999999998</v>
      </c>
      <c r="I122" s="36"/>
      <c r="J122" s="19">
        <f t="shared" si="20"/>
        <v>82821.899999999994</v>
      </c>
      <c r="K122" s="90">
        <v>10000</v>
      </c>
      <c r="L122" s="149">
        <f t="shared" si="22"/>
        <v>2040</v>
      </c>
      <c r="M122" s="5">
        <f t="shared" si="21"/>
        <v>142800</v>
      </c>
      <c r="N122" s="8">
        <f>VLOOKUP((J122/A122),Variables!$A$3:$C$8,2,TRUE())</f>
        <v>0.3</v>
      </c>
      <c r="O122" s="42">
        <f t="shared" si="23"/>
        <v>42840.87692307691</v>
      </c>
      <c r="P122" s="40"/>
      <c r="Q122" s="27">
        <f t="shared" si="24"/>
        <v>117.37226554267647</v>
      </c>
      <c r="R122" s="27">
        <f>VLOOKUP((J122/A122),Variables!$A$3:$C$8,3,TRUE())</f>
        <v>81.632653061224488</v>
      </c>
      <c r="S122" s="27">
        <f t="shared" si="25"/>
        <v>254.30657534246575</v>
      </c>
      <c r="T122" s="24">
        <f>+V122/A122*Variables!$B$10</f>
        <v>19.562044257112749</v>
      </c>
      <c r="U122" s="28">
        <f>+(S122/(1-(N122+Variables!$B$10)))/G122</f>
        <v>5.5891555020322139</v>
      </c>
      <c r="V122" s="5">
        <f t="shared" si="26"/>
        <v>142802.92307692306</v>
      </c>
      <c r="AI122" s="18"/>
      <c r="AJ122" s="18"/>
      <c r="AK122" s="18"/>
      <c r="AL122" s="18"/>
      <c r="AM122" s="18"/>
    </row>
    <row r="123" spans="1:39" ht="15" customHeight="1" x14ac:dyDescent="0.3">
      <c r="A123" s="43">
        <v>365</v>
      </c>
      <c r="B123" s="88">
        <v>45224</v>
      </c>
      <c r="C123" s="3" t="s">
        <v>277</v>
      </c>
      <c r="D123" s="106" t="s">
        <v>78</v>
      </c>
      <c r="E123" s="3" t="s">
        <v>283</v>
      </c>
      <c r="F123" s="57" t="s">
        <v>284</v>
      </c>
      <c r="G123" s="3">
        <v>70</v>
      </c>
      <c r="H123" s="92">
        <f>3.89*368.5+184.07</f>
        <v>1617.5350000000001</v>
      </c>
      <c r="I123" s="36"/>
      <c r="J123" s="19">
        <f t="shared" si="20"/>
        <v>113227.45000000001</v>
      </c>
      <c r="K123" s="90">
        <v>8000</v>
      </c>
      <c r="L123" s="149">
        <f t="shared" si="22"/>
        <v>2664.3</v>
      </c>
      <c r="M123" s="5">
        <f t="shared" si="21"/>
        <v>186501</v>
      </c>
      <c r="N123" s="8">
        <f>VLOOKUP((J123/A123),Variables!$A$3:$C$8,2,TRUE())</f>
        <v>0.3</v>
      </c>
      <c r="O123" s="42">
        <f t="shared" si="23"/>
        <v>55951.130769230767</v>
      </c>
      <c r="P123" s="40"/>
      <c r="Q123" s="27">
        <f t="shared" si="24"/>
        <v>153.29076923076923</v>
      </c>
      <c r="R123" s="27">
        <f>VLOOKUP((J123/A123),Variables!$A$3:$C$8,3,TRUE())</f>
        <v>81.632653061224488</v>
      </c>
      <c r="S123" s="27">
        <f t="shared" si="25"/>
        <v>332.13000000000005</v>
      </c>
      <c r="T123" s="24">
        <f>+V123/A123*Variables!$B$10</f>
        <v>25.548461538461542</v>
      </c>
      <c r="U123" s="28">
        <f>+(S123/(1-(N123+Variables!$B$10)))/G123</f>
        <v>7.2995604395604401</v>
      </c>
      <c r="V123" s="5">
        <f t="shared" si="26"/>
        <v>186503.76923076925</v>
      </c>
      <c r="AI123" s="18"/>
      <c r="AJ123" s="18"/>
      <c r="AK123" s="18"/>
      <c r="AL123" s="18"/>
      <c r="AM123" s="18"/>
    </row>
    <row r="124" spans="1:39" ht="15" customHeight="1" x14ac:dyDescent="0.3">
      <c r="A124" s="43">
        <v>365</v>
      </c>
      <c r="B124" s="88">
        <v>45224</v>
      </c>
      <c r="C124" s="3" t="s">
        <v>277</v>
      </c>
      <c r="D124" s="106" t="s">
        <v>49</v>
      </c>
      <c r="E124" s="3" t="s">
        <v>285</v>
      </c>
      <c r="F124" s="57" t="s">
        <v>284</v>
      </c>
      <c r="G124" s="3">
        <v>70</v>
      </c>
      <c r="H124" s="92">
        <v>1194.5</v>
      </c>
      <c r="I124" s="36">
        <v>15000</v>
      </c>
      <c r="J124" s="19">
        <f t="shared" si="20"/>
        <v>98615</v>
      </c>
      <c r="K124" s="90">
        <v>10000</v>
      </c>
      <c r="L124" s="149">
        <f t="shared" si="22"/>
        <v>2387.1</v>
      </c>
      <c r="M124" s="5">
        <f t="shared" si="21"/>
        <v>167097</v>
      </c>
      <c r="N124" s="8">
        <f>VLOOKUP((J124/A124),Variables!$A$3:$C$8,2,TRUE())</f>
        <v>0.3</v>
      </c>
      <c r="O124" s="42">
        <f t="shared" si="23"/>
        <v>50129.999999999985</v>
      </c>
      <c r="P124" s="40"/>
      <c r="Q124" s="27">
        <f t="shared" si="24"/>
        <v>137.34246575342462</v>
      </c>
      <c r="R124" s="27">
        <f>VLOOKUP((J124/A124),Variables!$A$3:$C$8,3,TRUE())</f>
        <v>81.632653061224488</v>
      </c>
      <c r="S124" s="27">
        <f t="shared" si="25"/>
        <v>297.57534246575341</v>
      </c>
      <c r="T124" s="24">
        <f>+V124/A124*Variables!$B$10</f>
        <v>22.890410958904109</v>
      </c>
      <c r="U124" s="28">
        <f>+(S124/(1-(N124+Variables!$B$10)))/G124</f>
        <v>6.5401174168297445</v>
      </c>
      <c r="V124" s="5">
        <f t="shared" si="26"/>
        <v>167099.99999999997</v>
      </c>
      <c r="AI124" s="18"/>
      <c r="AJ124" s="18"/>
      <c r="AK124" s="18"/>
      <c r="AL124" s="18"/>
      <c r="AM124" s="18"/>
    </row>
    <row r="125" spans="1:39" ht="15" customHeight="1" x14ac:dyDescent="0.3">
      <c r="A125" s="43">
        <v>365</v>
      </c>
      <c r="B125" s="88">
        <v>45225</v>
      </c>
      <c r="C125" s="3" t="s">
        <v>277</v>
      </c>
      <c r="D125" s="106" t="s">
        <v>49</v>
      </c>
      <c r="E125" s="3" t="s">
        <v>308</v>
      </c>
      <c r="F125" s="57" t="s">
        <v>154</v>
      </c>
      <c r="G125" s="3">
        <v>70</v>
      </c>
      <c r="H125" s="92">
        <v>1542.32</v>
      </c>
      <c r="I125" s="36">
        <v>15000</v>
      </c>
      <c r="J125" s="19">
        <f t="shared" si="20"/>
        <v>122962.4</v>
      </c>
      <c r="K125" s="90">
        <v>10000</v>
      </c>
      <c r="L125" s="149">
        <f t="shared" si="22"/>
        <v>2922.3</v>
      </c>
      <c r="M125" s="5">
        <f t="shared" si="21"/>
        <v>204561</v>
      </c>
      <c r="N125" s="8">
        <f>VLOOKUP((J125/A125),Variables!$A$3:$C$8,2,TRUE())</f>
        <v>0.3</v>
      </c>
      <c r="O125" s="42">
        <f t="shared" si="23"/>
        <v>61367.261538461535</v>
      </c>
      <c r="P125" s="40"/>
      <c r="Q125" s="27">
        <f t="shared" si="24"/>
        <v>168.12948366701789</v>
      </c>
      <c r="R125" s="27">
        <f>VLOOKUP((J125/A125),Variables!$A$3:$C$8,3,TRUE())</f>
        <v>81.632653061224488</v>
      </c>
      <c r="S125" s="27">
        <f t="shared" si="25"/>
        <v>364.28054794520546</v>
      </c>
      <c r="T125" s="24">
        <f>+V125/A125*Variables!$B$10</f>
        <v>28.021580611169654</v>
      </c>
      <c r="U125" s="28">
        <f>+(S125/(1-(N125+Variables!$B$10)))/G125</f>
        <v>8.0061658889056151</v>
      </c>
      <c r="V125" s="5">
        <f t="shared" si="26"/>
        <v>204557.53846153844</v>
      </c>
      <c r="AI125" s="18"/>
      <c r="AJ125" s="18"/>
      <c r="AK125" s="18"/>
      <c r="AL125" s="18"/>
      <c r="AM125" s="18"/>
    </row>
    <row r="126" spans="1:39" ht="15" customHeight="1" x14ac:dyDescent="0.3">
      <c r="A126" s="43">
        <v>365</v>
      </c>
      <c r="B126" s="88">
        <v>45225</v>
      </c>
      <c r="C126" s="3" t="s">
        <v>277</v>
      </c>
      <c r="D126" s="106" t="s">
        <v>49</v>
      </c>
      <c r="E126" s="3" t="s">
        <v>309</v>
      </c>
      <c r="F126" s="57" t="s">
        <v>154</v>
      </c>
      <c r="G126" s="3">
        <v>70</v>
      </c>
      <c r="H126" s="92">
        <v>1589.56</v>
      </c>
      <c r="I126" s="36">
        <v>15000</v>
      </c>
      <c r="J126" s="19">
        <f t="shared" si="20"/>
        <v>126269.2</v>
      </c>
      <c r="K126" s="90">
        <v>10000</v>
      </c>
      <c r="L126" s="149">
        <f t="shared" si="22"/>
        <v>2994.9</v>
      </c>
      <c r="M126" s="5">
        <f t="shared" si="21"/>
        <v>209643</v>
      </c>
      <c r="N126" s="8">
        <f>VLOOKUP((J126/A126),Variables!$A$3:$C$8,2,TRUE())</f>
        <v>0.3</v>
      </c>
      <c r="O126" s="42">
        <f t="shared" si="23"/>
        <v>62893.476923076909</v>
      </c>
      <c r="P126" s="40"/>
      <c r="Q126" s="27">
        <f t="shared" si="24"/>
        <v>172.31089567966276</v>
      </c>
      <c r="R126" s="27">
        <f>VLOOKUP((J126/A126),Variables!$A$3:$C$8,3,TRUE())</f>
        <v>81.632653061224488</v>
      </c>
      <c r="S126" s="27">
        <f t="shared" si="25"/>
        <v>373.34027397260274</v>
      </c>
      <c r="T126" s="24">
        <f>+V126/A126*Variables!$B$10</f>
        <v>28.718482613277132</v>
      </c>
      <c r="U126" s="28">
        <f>+(S126/(1-(N126+Variables!$B$10)))/G126</f>
        <v>8.2052807466506099</v>
      </c>
      <c r="V126" s="5">
        <f t="shared" si="26"/>
        <v>209644.92307692306</v>
      </c>
      <c r="AI126" s="18"/>
      <c r="AJ126" s="18"/>
      <c r="AK126" s="18"/>
      <c r="AL126" s="18"/>
      <c r="AM126" s="18"/>
    </row>
    <row r="127" spans="1:39" ht="15" customHeight="1" x14ac:dyDescent="0.3">
      <c r="A127" s="43">
        <v>365</v>
      </c>
      <c r="B127" s="88">
        <v>45225</v>
      </c>
      <c r="C127" s="3" t="s">
        <v>286</v>
      </c>
      <c r="D127" s="106" t="s">
        <v>292</v>
      </c>
      <c r="E127" s="76" t="s">
        <v>290</v>
      </c>
      <c r="F127" s="57" t="s">
        <v>293</v>
      </c>
      <c r="G127" s="3">
        <v>300</v>
      </c>
      <c r="H127" s="92">
        <f>6.5*368.5+100+2.43*368.5+70+2509.05</f>
        <v>5969.7550000000001</v>
      </c>
      <c r="I127" s="36"/>
      <c r="J127" s="19">
        <f t="shared" si="20"/>
        <v>1790926.5</v>
      </c>
      <c r="K127" s="39">
        <f>6000+5000+2500</f>
        <v>13500</v>
      </c>
      <c r="L127" s="149">
        <f t="shared" si="22"/>
        <v>8019.7</v>
      </c>
      <c r="M127" s="5">
        <f t="shared" si="21"/>
        <v>2405910</v>
      </c>
      <c r="N127" s="8">
        <f>VLOOKUP((J127/A127),Variables!$A$3:$C$8,2,TRUE())</f>
        <v>0.2</v>
      </c>
      <c r="O127" s="42">
        <f t="shared" si="23"/>
        <v>481180.4</v>
      </c>
      <c r="P127" s="40"/>
      <c r="Q127" s="27">
        <f t="shared" si="24"/>
        <v>1318.3024657534247</v>
      </c>
      <c r="R127" s="27">
        <f>VLOOKUP((J127/A127),Variables!$A$3:$C$8,3,TRUE())</f>
        <v>898</v>
      </c>
      <c r="S127" s="27">
        <f t="shared" si="25"/>
        <v>4943.6342465753423</v>
      </c>
      <c r="T127" s="24">
        <f>+V127/A127*Variables!$B$10</f>
        <v>329.57561643835618</v>
      </c>
      <c r="U127" s="28">
        <f>+(S127/(1-(N127+Variables!$B$10)))/G127</f>
        <v>21.971707762557077</v>
      </c>
      <c r="V127" s="5">
        <f t="shared" si="26"/>
        <v>2405902</v>
      </c>
      <c r="AI127" s="18"/>
      <c r="AJ127" s="18"/>
      <c r="AK127" s="18"/>
      <c r="AL127" s="18"/>
      <c r="AM127" s="18"/>
    </row>
    <row r="128" spans="1:39" ht="15" customHeight="1" x14ac:dyDescent="0.3">
      <c r="A128" s="43">
        <v>365</v>
      </c>
      <c r="B128" s="88">
        <v>45225</v>
      </c>
      <c r="C128" s="3" t="s">
        <v>286</v>
      </c>
      <c r="D128" s="106" t="s">
        <v>294</v>
      </c>
      <c r="E128" s="76" t="s">
        <v>291</v>
      </c>
      <c r="F128" s="57" t="s">
        <v>295</v>
      </c>
      <c r="G128" s="3">
        <v>300</v>
      </c>
      <c r="H128" s="92">
        <f>6.5*368.5+100+2.43*368.5+70+2509.05+2.12*0.97*368.5+148.31</f>
        <v>6875.8484000000008</v>
      </c>
      <c r="I128" s="36"/>
      <c r="J128" s="19">
        <f t="shared" si="20"/>
        <v>2062754.5200000003</v>
      </c>
      <c r="K128" s="39">
        <f>6000+5000+2500+5000</f>
        <v>18500</v>
      </c>
      <c r="L128" s="149">
        <f t="shared" si="22"/>
        <v>9009.7999999999993</v>
      </c>
      <c r="M128" s="5">
        <f t="shared" si="21"/>
        <v>2702940</v>
      </c>
      <c r="N128" s="8">
        <f>VLOOKUP((J128/A128),Variables!$A$3:$C$8,2,TRUE())</f>
        <v>0.18</v>
      </c>
      <c r="O128" s="42">
        <f t="shared" si="23"/>
        <v>486527.03064935072</v>
      </c>
      <c r="P128" s="40"/>
      <c r="Q128" s="27">
        <f t="shared" si="24"/>
        <v>1332.9507689023308</v>
      </c>
      <c r="R128" s="27">
        <f>VLOOKUP((J128/A128),Variables!$A$3:$C$8,3,TRUE())</f>
        <v>1094</v>
      </c>
      <c r="S128" s="27">
        <f t="shared" si="25"/>
        <v>5702.0671780821922</v>
      </c>
      <c r="T128" s="24">
        <f>+V128/A128*Variables!$B$10</f>
        <v>370.26410247286958</v>
      </c>
      <c r="U128" s="28">
        <f>+(S128/(1-(N128+Variables!$B$10)))/G128</f>
        <v>24.68427349819131</v>
      </c>
      <c r="V128" s="5">
        <f t="shared" si="26"/>
        <v>2702927.9480519481</v>
      </c>
      <c r="AI128" s="18"/>
      <c r="AJ128" s="18"/>
      <c r="AK128" s="18"/>
      <c r="AL128" s="18"/>
      <c r="AM128" s="18"/>
    </row>
    <row r="129" spans="1:39" ht="15" customHeight="1" x14ac:dyDescent="0.3">
      <c r="A129" s="43">
        <v>365</v>
      </c>
      <c r="B129" s="88">
        <v>45225</v>
      </c>
      <c r="C129" s="3" t="s">
        <v>286</v>
      </c>
      <c r="D129" s="106" t="s">
        <v>296</v>
      </c>
      <c r="E129" s="76" t="s">
        <v>297</v>
      </c>
      <c r="F129" s="57" t="s">
        <v>299</v>
      </c>
      <c r="G129" s="3">
        <v>300</v>
      </c>
      <c r="H129" s="92">
        <f>1113.74+2100+2.43*368.5+70</f>
        <v>4179.1949999999997</v>
      </c>
      <c r="I129" s="36"/>
      <c r="J129" s="19">
        <f t="shared" si="20"/>
        <v>1253758.5</v>
      </c>
      <c r="K129" s="39">
        <f>10000+2500</f>
        <v>12500</v>
      </c>
      <c r="L129" s="149">
        <f t="shared" si="22"/>
        <v>5782</v>
      </c>
      <c r="M129" s="5">
        <f t="shared" si="21"/>
        <v>1734600</v>
      </c>
      <c r="N129" s="8">
        <f>VLOOKUP((J129/A129),Variables!$A$3:$C$8,2,TRUE())</f>
        <v>0.22</v>
      </c>
      <c r="O129" s="42">
        <f t="shared" si="23"/>
        <v>381612.15068493132</v>
      </c>
      <c r="P129" s="40"/>
      <c r="Q129" s="27">
        <f t="shared" si="24"/>
        <v>1045.5127416025516</v>
      </c>
      <c r="R129" s="27">
        <f>VLOOKUP((J129/A129),Variables!$A$3:$C$8,3,TRUE())</f>
        <v>510</v>
      </c>
      <c r="S129" s="27">
        <f t="shared" si="25"/>
        <v>3469.2013698630135</v>
      </c>
      <c r="T129" s="24">
        <f>+V129/A129*Variables!$B$10</f>
        <v>237.61653218239817</v>
      </c>
      <c r="U129" s="28">
        <f>+(S129/(1-(N129+Variables!$B$10)))/G129</f>
        <v>15.841102145493211</v>
      </c>
      <c r="V129" s="5">
        <f t="shared" si="26"/>
        <v>1734600.6849315066</v>
      </c>
      <c r="AI129" s="18"/>
      <c r="AJ129" s="18"/>
      <c r="AK129" s="18"/>
      <c r="AL129" s="18"/>
      <c r="AM129" s="18"/>
    </row>
    <row r="130" spans="1:39" ht="15" customHeight="1" x14ac:dyDescent="0.3">
      <c r="A130" s="43">
        <v>365</v>
      </c>
      <c r="B130" s="88">
        <v>45225</v>
      </c>
      <c r="C130" s="3" t="s">
        <v>286</v>
      </c>
      <c r="D130" s="106" t="s">
        <v>294</v>
      </c>
      <c r="E130" s="76" t="s">
        <v>298</v>
      </c>
      <c r="F130" s="57" t="s">
        <v>300</v>
      </c>
      <c r="G130" s="3">
        <v>300</v>
      </c>
      <c r="H130" s="92">
        <f>1113.74+2100+2.43*368.5+70+5.43*0.97*368.5</f>
        <v>6120.1213499999994</v>
      </c>
      <c r="I130" s="36"/>
      <c r="J130" s="19">
        <f t="shared" si="20"/>
        <v>1836036.4049999998</v>
      </c>
      <c r="K130" s="39">
        <f>10000+2500+5000</f>
        <v>17500</v>
      </c>
      <c r="L130" s="149">
        <f t="shared" si="22"/>
        <v>8237.9</v>
      </c>
      <c r="M130" s="5">
        <f t="shared" si="21"/>
        <v>2471370</v>
      </c>
      <c r="N130" s="8">
        <f>VLOOKUP((J130/A130),Variables!$A$3:$C$8,2,TRUE())</f>
        <v>0.2</v>
      </c>
      <c r="O130" s="42">
        <f t="shared" si="23"/>
        <v>494276.37466666667</v>
      </c>
      <c r="P130" s="40"/>
      <c r="Q130" s="27">
        <f t="shared" si="24"/>
        <v>1354.1818484018265</v>
      </c>
      <c r="R130" s="27">
        <f>VLOOKUP((J130/A130),Variables!$A$3:$C$8,3,TRUE())</f>
        <v>898</v>
      </c>
      <c r="S130" s="27">
        <f t="shared" si="25"/>
        <v>5078.1819315068487</v>
      </c>
      <c r="T130" s="24">
        <f>+V130/A130*Variables!$B$10</f>
        <v>338.54546210045663</v>
      </c>
      <c r="U130" s="28">
        <f>+(S130/(1-(N130+Variables!$B$10)))/G130</f>
        <v>22.569697473363775</v>
      </c>
      <c r="V130" s="5">
        <f t="shared" si="26"/>
        <v>2471381.8733333331</v>
      </c>
      <c r="AI130" s="18"/>
      <c r="AJ130" s="18"/>
      <c r="AK130" s="18"/>
      <c r="AL130" s="18"/>
      <c r="AM130" s="18"/>
    </row>
    <row r="131" spans="1:39" ht="15" customHeight="1" x14ac:dyDescent="0.3">
      <c r="A131" s="43">
        <v>365</v>
      </c>
      <c r="B131" s="88">
        <v>45225</v>
      </c>
      <c r="C131" s="3" t="s">
        <v>301</v>
      </c>
      <c r="D131" s="106" t="s">
        <v>49</v>
      </c>
      <c r="E131" s="76" t="s">
        <v>302</v>
      </c>
      <c r="F131" s="57"/>
      <c r="G131" s="3">
        <v>120</v>
      </c>
      <c r="H131" s="92">
        <f>6849.96+1802.2+3186.81</f>
        <v>11838.97</v>
      </c>
      <c r="I131" s="36"/>
      <c r="J131" s="19">
        <f t="shared" si="20"/>
        <v>1420676.4</v>
      </c>
      <c r="K131" s="39">
        <v>10000</v>
      </c>
      <c r="L131" s="149">
        <f t="shared" ref="L131:L162" si="27">ROUND(IF((U131*A131*G131)&gt;(J131+(T131*A131)+K131+(Q131*A131)),(U131*A131),((J131+(T131*A131)+K131+(Q131*A131))/G131)),1)</f>
        <v>16331.9</v>
      </c>
      <c r="M131" s="5">
        <f t="shared" si="21"/>
        <v>1959828</v>
      </c>
      <c r="N131" s="8">
        <f>VLOOKUP((J131/A131),Variables!$A$3:$C$8,2,TRUE())</f>
        <v>0.22</v>
      </c>
      <c r="O131" s="42">
        <f t="shared" ref="O131:O162" si="28">+Q131*A131</f>
        <v>431162.7506849317</v>
      </c>
      <c r="P131" s="40"/>
      <c r="Q131" s="27">
        <f t="shared" ref="Q131:Q162" si="29">+IF(((U131*G131)-S131-T131)&lt;R131,R131,((U131*G131)-S131-T131))</f>
        <v>1181.2678100957032</v>
      </c>
      <c r="R131" s="27">
        <f>VLOOKUP((J131/A131),Variables!$A$3:$C$8,3,TRUE())</f>
        <v>510</v>
      </c>
      <c r="S131" s="27">
        <f t="shared" ref="S131:S162" si="30">+(J131+K131)/A131</f>
        <v>3919.6613698630135</v>
      </c>
      <c r="T131" s="24">
        <f>+V131/A131*Variables!$B$10</f>
        <v>268.46995683993248</v>
      </c>
      <c r="U131" s="28">
        <f>+(S131/(1-(N131+Variables!$B$10)))/G131</f>
        <v>44.744992806655411</v>
      </c>
      <c r="V131" s="5">
        <f t="shared" ref="V131:V162" si="31">+U131*G131*A131</f>
        <v>1959830.6849315069</v>
      </c>
      <c r="AI131" s="18"/>
      <c r="AJ131" s="18"/>
      <c r="AK131" s="18"/>
      <c r="AL131" s="18"/>
      <c r="AM131" s="18"/>
    </row>
    <row r="132" spans="1:39" ht="15" customHeight="1" x14ac:dyDescent="0.3">
      <c r="A132" s="43">
        <v>365</v>
      </c>
      <c r="B132" s="88">
        <v>45225</v>
      </c>
      <c r="C132" s="3" t="s">
        <v>301</v>
      </c>
      <c r="D132" s="106" t="s">
        <v>49</v>
      </c>
      <c r="E132" s="76" t="s">
        <v>303</v>
      </c>
      <c r="F132" s="57"/>
      <c r="G132" s="3">
        <v>120</v>
      </c>
      <c r="H132" s="92">
        <f>6849.96+1802.2+3186.81+1113.74</f>
        <v>12952.71</v>
      </c>
      <c r="I132" s="36"/>
      <c r="J132" s="19">
        <f t="shared" si="20"/>
        <v>1554325.2</v>
      </c>
      <c r="K132" s="39">
        <v>10000</v>
      </c>
      <c r="L132" s="149">
        <f t="shared" si="27"/>
        <v>17381.400000000001</v>
      </c>
      <c r="M132" s="5">
        <f t="shared" si="21"/>
        <v>2085768.0000000002</v>
      </c>
      <c r="N132" s="8">
        <f>VLOOKUP((J132/A132),Variables!$A$3:$C$8,2,TRUE())</f>
        <v>0.2</v>
      </c>
      <c r="O132" s="42">
        <f t="shared" si="28"/>
        <v>417153.38666666654</v>
      </c>
      <c r="P132" s="40"/>
      <c r="Q132" s="27">
        <f t="shared" si="29"/>
        <v>1142.8859908675795</v>
      </c>
      <c r="R132" s="27">
        <f>VLOOKUP((J132/A132),Variables!$A$3:$C$8,3,TRUE())</f>
        <v>898</v>
      </c>
      <c r="S132" s="27">
        <f t="shared" si="30"/>
        <v>4285.8224657534247</v>
      </c>
      <c r="T132" s="24">
        <f>+V132/A132*Variables!$B$10</f>
        <v>285.72149771689499</v>
      </c>
      <c r="U132" s="28">
        <f>+(S132/(1-(N132+Variables!$B$10)))/G132</f>
        <v>47.620249619482493</v>
      </c>
      <c r="V132" s="5">
        <f t="shared" si="31"/>
        <v>2085766.9333333333</v>
      </c>
      <c r="AI132" s="18"/>
      <c r="AJ132" s="18"/>
      <c r="AK132" s="18"/>
      <c r="AL132" s="18"/>
      <c r="AM132" s="18"/>
    </row>
    <row r="133" spans="1:39" ht="15" customHeight="1" x14ac:dyDescent="0.3">
      <c r="A133" s="43">
        <v>365</v>
      </c>
      <c r="B133" s="88">
        <v>45225</v>
      </c>
      <c r="C133" s="3" t="s">
        <v>301</v>
      </c>
      <c r="D133" s="106" t="s">
        <v>304</v>
      </c>
      <c r="E133" s="76" t="s">
        <v>305</v>
      </c>
      <c r="F133" s="57"/>
      <c r="G133" s="3">
        <v>100</v>
      </c>
      <c r="H133" s="92">
        <f>6.5*368.5+110+2350+2990+1645</f>
        <v>9490.25</v>
      </c>
      <c r="I133" s="36"/>
      <c r="J133" s="19">
        <f t="shared" ref="J133:J195" si="32">(G133*H133)+I133</f>
        <v>949025</v>
      </c>
      <c r="K133" s="39">
        <f>6000+5000+6000</f>
        <v>17000</v>
      </c>
      <c r="L133" s="149">
        <f t="shared" si="27"/>
        <v>13233.2</v>
      </c>
      <c r="M133" s="5">
        <f t="shared" ref="M133:M185" si="33">+L133*G133</f>
        <v>1323320</v>
      </c>
      <c r="N133" s="8">
        <f>VLOOKUP((J133/A133),Variables!$A$3:$C$8,2,TRUE())</f>
        <v>0.22</v>
      </c>
      <c r="O133" s="42">
        <f t="shared" si="28"/>
        <v>291130.82191780832</v>
      </c>
      <c r="P133" s="40"/>
      <c r="Q133" s="27">
        <f t="shared" si="29"/>
        <v>797.61869018577625</v>
      </c>
      <c r="R133" s="27">
        <f>VLOOKUP((J133/A133),Variables!$A$3:$C$8,3,TRUE())</f>
        <v>510</v>
      </c>
      <c r="S133" s="27">
        <f t="shared" si="30"/>
        <v>2646.6438356164385</v>
      </c>
      <c r="T133" s="24">
        <f>+V133/A133*Variables!$B$10</f>
        <v>181.27697504222184</v>
      </c>
      <c r="U133" s="28">
        <f>+(S133/(1-(N133+Variables!$B$10)))/G133</f>
        <v>36.255395008444367</v>
      </c>
      <c r="V133" s="5">
        <f t="shared" si="31"/>
        <v>1323321.9178082193</v>
      </c>
      <c r="AI133" s="18"/>
      <c r="AJ133" s="18"/>
      <c r="AK133" s="18"/>
      <c r="AL133" s="18"/>
      <c r="AM133" s="18"/>
    </row>
    <row r="134" spans="1:39" ht="15" customHeight="1" x14ac:dyDescent="0.3">
      <c r="A134" s="43">
        <v>365</v>
      </c>
      <c r="B134" s="88">
        <v>45225</v>
      </c>
      <c r="C134" s="3" t="s">
        <v>301</v>
      </c>
      <c r="D134" s="106" t="s">
        <v>45</v>
      </c>
      <c r="E134" s="3" t="s">
        <v>46</v>
      </c>
      <c r="F134" s="57" t="s">
        <v>306</v>
      </c>
      <c r="G134" s="3">
        <v>50</v>
      </c>
      <c r="H134" s="92">
        <v>3250</v>
      </c>
      <c r="I134" s="36"/>
      <c r="J134" s="19">
        <f t="shared" si="32"/>
        <v>162500</v>
      </c>
      <c r="K134" s="39">
        <v>2500</v>
      </c>
      <c r="L134" s="149">
        <f t="shared" si="27"/>
        <v>4925.3999999999996</v>
      </c>
      <c r="M134" s="5">
        <f t="shared" si="33"/>
        <v>246269.99999999997</v>
      </c>
      <c r="N134" s="8">
        <f>VLOOKUP((J134/A134),Variables!$A$3:$C$8,2,TRUE())</f>
        <v>0.28000000000000003</v>
      </c>
      <c r="O134" s="42">
        <f t="shared" si="28"/>
        <v>68955.223880597041</v>
      </c>
      <c r="P134" s="40"/>
      <c r="Q134" s="27">
        <f t="shared" si="29"/>
        <v>188.91842159067681</v>
      </c>
      <c r="R134" s="27">
        <f>VLOOKUP((J134/A134),Variables!$A$3:$C$8,3,TRUE())</f>
        <v>122</v>
      </c>
      <c r="S134" s="27">
        <f t="shared" si="30"/>
        <v>452.05479452054794</v>
      </c>
      <c r="T134" s="24">
        <f>+V134/A134*Variables!$B$10</f>
        <v>33.73543242690657</v>
      </c>
      <c r="U134" s="28">
        <f>+(S134/(1-(N134+Variables!$B$10)))/G134</f>
        <v>13.494172970762627</v>
      </c>
      <c r="V134" s="5">
        <f t="shared" si="31"/>
        <v>246268.65671641793</v>
      </c>
      <c r="AI134" s="18"/>
      <c r="AJ134" s="18"/>
      <c r="AK134" s="18"/>
      <c r="AL134" s="18"/>
      <c r="AM134" s="18"/>
    </row>
    <row r="135" spans="1:39" ht="15" customHeight="1" x14ac:dyDescent="0.3">
      <c r="A135" s="43">
        <v>365</v>
      </c>
      <c r="B135" s="88">
        <v>45225</v>
      </c>
      <c r="C135" s="3" t="s">
        <v>301</v>
      </c>
      <c r="D135" s="106" t="s">
        <v>45</v>
      </c>
      <c r="E135" s="3" t="s">
        <v>46</v>
      </c>
      <c r="F135" s="57" t="s">
        <v>306</v>
      </c>
      <c r="G135" s="3">
        <v>50</v>
      </c>
      <c r="H135" s="92">
        <v>2990</v>
      </c>
      <c r="I135" s="36"/>
      <c r="J135" s="19">
        <f t="shared" si="32"/>
        <v>149500</v>
      </c>
      <c r="K135" s="39">
        <v>5000</v>
      </c>
      <c r="L135" s="149">
        <f t="shared" si="27"/>
        <v>4611.8999999999996</v>
      </c>
      <c r="M135" s="5">
        <f t="shared" si="33"/>
        <v>230594.99999999997</v>
      </c>
      <c r="N135" s="8">
        <f>VLOOKUP((J135/A135),Variables!$A$3:$C$8,2,TRUE())</f>
        <v>0.28000000000000003</v>
      </c>
      <c r="O135" s="42">
        <f t="shared" si="28"/>
        <v>64567.164179104497</v>
      </c>
      <c r="P135" s="40"/>
      <c r="Q135" s="27">
        <f t="shared" si="29"/>
        <v>176.89634021672464</v>
      </c>
      <c r="R135" s="27">
        <f>VLOOKUP((J135/A135),Variables!$A$3:$C$8,3,TRUE())</f>
        <v>122</v>
      </c>
      <c r="S135" s="27">
        <f t="shared" si="30"/>
        <v>423.28767123287673</v>
      </c>
      <c r="T135" s="24">
        <f>+V135/A135*Variables!$B$10</f>
        <v>31.588632181557969</v>
      </c>
      <c r="U135" s="28">
        <f>+(S135/(1-(N135+Variables!$B$10)))/G135</f>
        <v>12.635452872623187</v>
      </c>
      <c r="V135" s="5">
        <f t="shared" si="31"/>
        <v>230597.01492537317</v>
      </c>
      <c r="AI135" s="18"/>
      <c r="AJ135" s="18"/>
      <c r="AK135" s="18"/>
      <c r="AL135" s="18"/>
      <c r="AM135" s="18"/>
    </row>
    <row r="136" spans="1:39" ht="15" customHeight="1" x14ac:dyDescent="0.3">
      <c r="A136" s="43">
        <v>365</v>
      </c>
      <c r="B136" s="88">
        <v>45225</v>
      </c>
      <c r="C136" s="3" t="s">
        <v>307</v>
      </c>
      <c r="D136" s="106" t="s">
        <v>304</v>
      </c>
      <c r="E136" s="76" t="s">
        <v>305</v>
      </c>
      <c r="F136" s="57"/>
      <c r="G136" s="3">
        <v>200</v>
      </c>
      <c r="H136" s="92">
        <f>6.5*368.5+95+2100+2990+1645</f>
        <v>9225.25</v>
      </c>
      <c r="I136" s="36"/>
      <c r="J136" s="19">
        <f t="shared" si="32"/>
        <v>1845050</v>
      </c>
      <c r="K136" s="39">
        <f>6000+5000+6000</f>
        <v>17000</v>
      </c>
      <c r="L136" s="149">
        <f t="shared" si="27"/>
        <v>12413.7</v>
      </c>
      <c r="M136" s="5">
        <f t="shared" si="33"/>
        <v>2482740</v>
      </c>
      <c r="N136" s="8">
        <f>VLOOKUP((J136/A136),Variables!$A$3:$C$8,2,TRUE())</f>
        <v>0.2</v>
      </c>
      <c r="O136" s="42">
        <f t="shared" si="28"/>
        <v>496546.66666666634</v>
      </c>
      <c r="P136" s="40"/>
      <c r="Q136" s="27">
        <f t="shared" si="29"/>
        <v>1360.4018264840174</v>
      </c>
      <c r="R136" s="27">
        <f>VLOOKUP((J136/A136),Variables!$A$3:$C$8,3,TRUE())</f>
        <v>898</v>
      </c>
      <c r="S136" s="27">
        <f t="shared" si="30"/>
        <v>5101.5068493150684</v>
      </c>
      <c r="T136" s="24">
        <f>+V136/A136*Variables!$B$10</f>
        <v>340.10045662100453</v>
      </c>
      <c r="U136" s="28">
        <f>+(S136/(1-(N136+Variables!$B$10)))/G136</f>
        <v>34.010045662100453</v>
      </c>
      <c r="V136" s="5">
        <f t="shared" si="31"/>
        <v>2482733.333333333</v>
      </c>
      <c r="AI136" s="18"/>
      <c r="AJ136" s="18"/>
      <c r="AK136" s="18"/>
      <c r="AL136" s="18"/>
      <c r="AM136" s="18"/>
    </row>
    <row r="137" spans="1:39" ht="15" customHeight="1" x14ac:dyDescent="0.3">
      <c r="A137" s="43">
        <v>365</v>
      </c>
      <c r="B137" s="88">
        <v>45226</v>
      </c>
      <c r="C137" s="3" t="s">
        <v>145</v>
      </c>
      <c r="D137" s="106"/>
      <c r="E137" s="76" t="s">
        <v>318</v>
      </c>
      <c r="F137" s="106"/>
      <c r="G137" s="107">
        <v>1000</v>
      </c>
      <c r="H137" s="92">
        <v>11641.469000000001</v>
      </c>
      <c r="I137" s="36">
        <v>110000</v>
      </c>
      <c r="J137" s="19">
        <f t="shared" si="32"/>
        <v>11751469.000000002</v>
      </c>
      <c r="K137" s="39">
        <v>2280293.7999999998</v>
      </c>
      <c r="L137" s="149">
        <f t="shared" si="27"/>
        <v>18223.099999999999</v>
      </c>
      <c r="M137" s="5">
        <f t="shared" si="33"/>
        <v>18223100</v>
      </c>
      <c r="N137" s="8">
        <f>VLOOKUP((J137/A137),Variables!$A$3:$C$8,2,TRUE())</f>
        <v>0.18</v>
      </c>
      <c r="O137" s="42">
        <f t="shared" si="28"/>
        <v>3280152.3428571434</v>
      </c>
      <c r="P137" s="40"/>
      <c r="Q137" s="27">
        <f t="shared" si="29"/>
        <v>8986.7187475538176</v>
      </c>
      <c r="R137" s="27">
        <f>VLOOKUP((J137/A137),Variables!$A$3:$C$8,3,TRUE())</f>
        <v>1094</v>
      </c>
      <c r="S137" s="27">
        <f t="shared" si="30"/>
        <v>38443.185753424659</v>
      </c>
      <c r="T137" s="24">
        <f>+V137/A137*Variables!$B$10</f>
        <v>2496.3107632093943</v>
      </c>
      <c r="U137" s="28">
        <f>+(S137/(1-(N137+Variables!$B$10)))/G137</f>
        <v>49.926215264187874</v>
      </c>
      <c r="V137" s="5">
        <f t="shared" si="31"/>
        <v>18223068.571428575</v>
      </c>
      <c r="AI137" s="18"/>
      <c r="AJ137" s="18"/>
      <c r="AK137" s="18"/>
      <c r="AL137" s="18"/>
      <c r="AM137" s="18"/>
    </row>
    <row r="138" spans="1:39" ht="15" customHeight="1" x14ac:dyDescent="0.3">
      <c r="A138" s="43">
        <v>365</v>
      </c>
      <c r="B138" s="88">
        <v>45226</v>
      </c>
      <c r="C138" s="3" t="s">
        <v>145</v>
      </c>
      <c r="D138" s="106"/>
      <c r="E138" s="76" t="s">
        <v>363</v>
      </c>
      <c r="F138" s="106"/>
      <c r="G138" s="107">
        <v>1000</v>
      </c>
      <c r="H138" s="92">
        <v>10655.049000000001</v>
      </c>
      <c r="I138" s="36">
        <v>110000</v>
      </c>
      <c r="J138" s="19">
        <f t="shared" si="32"/>
        <v>10765049</v>
      </c>
      <c r="K138" s="39">
        <v>2083009.8</v>
      </c>
      <c r="L138" s="149">
        <f t="shared" si="27"/>
        <v>16685.8</v>
      </c>
      <c r="M138" s="5">
        <f t="shared" si="33"/>
        <v>16685800</v>
      </c>
      <c r="N138" s="8">
        <f>VLOOKUP((J138/A138),Variables!$A$3:$C$8,2,TRUE())</f>
        <v>0.18</v>
      </c>
      <c r="O138" s="42">
        <f t="shared" si="28"/>
        <v>3003442.3168831165</v>
      </c>
      <c r="P138" s="40"/>
      <c r="Q138" s="27">
        <f t="shared" si="29"/>
        <v>8228.6090873510038</v>
      </c>
      <c r="R138" s="27">
        <f>VLOOKUP((J138/A138),Variables!$A$3:$C$8,3,TRUE())</f>
        <v>1094</v>
      </c>
      <c r="S138" s="27">
        <f t="shared" si="30"/>
        <v>35200.161095890413</v>
      </c>
      <c r="T138" s="24">
        <f>+V138/A138*Variables!$B$10</f>
        <v>2285.7247464863904</v>
      </c>
      <c r="U138" s="28">
        <f>+(S138/(1-(N138+Variables!$B$10)))/G138</f>
        <v>45.714494929727806</v>
      </c>
      <c r="V138" s="5">
        <f t="shared" si="31"/>
        <v>16685790.649350649</v>
      </c>
      <c r="AI138" s="18"/>
      <c r="AJ138" s="18"/>
      <c r="AK138" s="18"/>
      <c r="AL138" s="18"/>
      <c r="AM138" s="18"/>
    </row>
    <row r="139" spans="1:39" ht="15" customHeight="1" x14ac:dyDescent="0.3">
      <c r="A139" s="43">
        <v>365</v>
      </c>
      <c r="B139" s="88">
        <v>45226</v>
      </c>
      <c r="C139" s="3" t="s">
        <v>145</v>
      </c>
      <c r="D139" s="106"/>
      <c r="E139" s="76" t="s">
        <v>329</v>
      </c>
      <c r="F139" s="106"/>
      <c r="G139" s="107">
        <v>1000</v>
      </c>
      <c r="H139" s="92">
        <v>19375.7</v>
      </c>
      <c r="I139" s="35">
        <v>110000</v>
      </c>
      <c r="J139" s="19">
        <f t="shared" si="32"/>
        <v>19485700</v>
      </c>
      <c r="K139" s="39">
        <v>3827140</v>
      </c>
      <c r="L139" s="149">
        <f t="shared" si="27"/>
        <v>30276.400000000001</v>
      </c>
      <c r="M139" s="5">
        <f t="shared" si="33"/>
        <v>30276400</v>
      </c>
      <c r="N139" s="8">
        <f>VLOOKUP((J139/A139),Variables!$A$3:$C$8,2,TRUE())</f>
        <v>0.18</v>
      </c>
      <c r="O139" s="42">
        <f t="shared" si="28"/>
        <v>5449754.8051948044</v>
      </c>
      <c r="P139" s="40"/>
      <c r="Q139" s="27">
        <f t="shared" si="29"/>
        <v>14930.835082725491</v>
      </c>
      <c r="R139" s="27">
        <f>VLOOKUP((J139/A139),Variables!$A$3:$C$8,3,TRUE())</f>
        <v>1094</v>
      </c>
      <c r="S139" s="27">
        <f t="shared" si="30"/>
        <v>63870.794520547948</v>
      </c>
      <c r="T139" s="24">
        <f>+V139/A139*Variables!$B$10</f>
        <v>4147.4541896459705</v>
      </c>
      <c r="U139" s="28">
        <f>+(S139/(1-(N139+Variables!$B$10)))/G139</f>
        <v>82.94908379291941</v>
      </c>
      <c r="V139" s="5">
        <f t="shared" si="31"/>
        <v>30276415.584415585</v>
      </c>
      <c r="AI139" s="18"/>
      <c r="AJ139" s="18"/>
      <c r="AK139" s="18"/>
      <c r="AL139" s="18"/>
      <c r="AM139" s="18"/>
    </row>
    <row r="140" spans="1:39" ht="15" customHeight="1" x14ac:dyDescent="0.3">
      <c r="A140" s="43">
        <v>365</v>
      </c>
      <c r="B140" s="88">
        <v>45226</v>
      </c>
      <c r="C140" s="3" t="s">
        <v>145</v>
      </c>
      <c r="D140" s="106"/>
      <c r="E140" s="76" t="s">
        <v>326</v>
      </c>
      <c r="F140" s="106"/>
      <c r="G140" s="107">
        <v>500</v>
      </c>
      <c r="H140" s="92">
        <v>1400</v>
      </c>
      <c r="I140" s="35">
        <v>20000</v>
      </c>
      <c r="J140" s="19">
        <f t="shared" si="32"/>
        <v>720000</v>
      </c>
      <c r="K140" s="39">
        <v>109000</v>
      </c>
      <c r="L140" s="149">
        <f t="shared" si="27"/>
        <v>2368.6</v>
      </c>
      <c r="M140" s="5">
        <f t="shared" si="33"/>
        <v>1184300</v>
      </c>
      <c r="N140" s="8">
        <f>VLOOKUP((J140/A140),Variables!$A$3:$C$8,2,TRUE())</f>
        <v>0.25</v>
      </c>
      <c r="O140" s="42">
        <f t="shared" si="28"/>
        <v>296071.42857142864</v>
      </c>
      <c r="P140" s="40"/>
      <c r="Q140" s="27">
        <f t="shared" si="29"/>
        <v>811.15459882583195</v>
      </c>
      <c r="R140" s="27">
        <f>VLOOKUP((J140/A140),Variables!$A$3:$C$8,3,TRUE())</f>
        <v>400</v>
      </c>
      <c r="S140" s="27">
        <f t="shared" si="30"/>
        <v>2271.2328767123286</v>
      </c>
      <c r="T140" s="24">
        <f>+V140/A140*Variables!$B$10</f>
        <v>162.23091976516636</v>
      </c>
      <c r="U140" s="28">
        <f>+(S140/(1-(N140+Variables!$B$10)))/G140</f>
        <v>6.4892367906066539</v>
      </c>
      <c r="V140" s="5">
        <f t="shared" si="31"/>
        <v>1184285.7142857143</v>
      </c>
      <c r="AI140" s="18"/>
      <c r="AJ140" s="18"/>
      <c r="AK140" s="18"/>
      <c r="AL140" s="18"/>
      <c r="AM140" s="18"/>
    </row>
    <row r="141" spans="1:39" ht="15" customHeight="1" x14ac:dyDescent="0.3">
      <c r="A141" s="43">
        <v>365</v>
      </c>
      <c r="B141" s="88">
        <v>45226</v>
      </c>
      <c r="C141" s="3" t="s">
        <v>145</v>
      </c>
      <c r="D141" s="106"/>
      <c r="E141" s="76" t="s">
        <v>364</v>
      </c>
      <c r="F141" s="106"/>
      <c r="G141" s="107">
        <v>1000</v>
      </c>
      <c r="H141" s="92">
        <v>15775.694000000001</v>
      </c>
      <c r="I141" s="35">
        <v>110000</v>
      </c>
      <c r="J141" s="19">
        <f t="shared" si="32"/>
        <v>15885694.000000002</v>
      </c>
      <c r="K141" s="35">
        <v>2367854.1000000006</v>
      </c>
      <c r="L141" s="149">
        <f t="shared" si="27"/>
        <v>23705.9</v>
      </c>
      <c r="M141" s="5">
        <f t="shared" si="33"/>
        <v>23705900</v>
      </c>
      <c r="N141" s="8">
        <f>VLOOKUP((J141/A141),Variables!$A$3:$C$8,2,TRUE())</f>
        <v>0.18</v>
      </c>
      <c r="O141" s="42">
        <f t="shared" si="28"/>
        <v>4267063.1922077918</v>
      </c>
      <c r="P141" s="40"/>
      <c r="Q141" s="27">
        <f t="shared" si="29"/>
        <v>11690.584088240525</v>
      </c>
      <c r="R141" s="27">
        <f>VLOOKUP((J141/A141),Variables!$A$3:$C$8,3,TRUE())</f>
        <v>1094</v>
      </c>
      <c r="S141" s="27">
        <f t="shared" si="30"/>
        <v>50009.720821917814</v>
      </c>
      <c r="T141" s="24">
        <f>+V141/A141*Variables!$B$10</f>
        <v>3247.3844689557018</v>
      </c>
      <c r="U141" s="28">
        <f>+(S141/(1-(N141+Variables!$B$10)))/G141</f>
        <v>64.947689379114038</v>
      </c>
      <c r="V141" s="5">
        <f t="shared" si="31"/>
        <v>23705906.623376623</v>
      </c>
      <c r="AI141" s="18"/>
      <c r="AJ141" s="18"/>
      <c r="AK141" s="18"/>
      <c r="AL141" s="18"/>
      <c r="AM141" s="18"/>
    </row>
    <row r="142" spans="1:39" ht="15" customHeight="1" x14ac:dyDescent="0.3">
      <c r="A142" s="43">
        <v>365</v>
      </c>
      <c r="B142" s="88">
        <v>45226</v>
      </c>
      <c r="C142" s="3" t="s">
        <v>145</v>
      </c>
      <c r="D142" s="106"/>
      <c r="E142" s="76" t="s">
        <v>346</v>
      </c>
      <c r="F142" s="106"/>
      <c r="G142" s="107">
        <v>1000</v>
      </c>
      <c r="H142" s="92">
        <v>33034.561999999998</v>
      </c>
      <c r="I142" s="35">
        <v>110000</v>
      </c>
      <c r="J142" s="19">
        <f t="shared" si="32"/>
        <v>33144561.999999996</v>
      </c>
      <c r="K142" s="35">
        <v>3299456.1999999997</v>
      </c>
      <c r="L142" s="149">
        <f t="shared" si="27"/>
        <v>47329.9</v>
      </c>
      <c r="M142" s="5">
        <f t="shared" si="33"/>
        <v>47329900</v>
      </c>
      <c r="N142" s="8">
        <f>VLOOKUP((J142/A142),Variables!$A$3:$C$8,2,TRUE())</f>
        <v>0.18</v>
      </c>
      <c r="O142" s="42">
        <f t="shared" si="28"/>
        <v>8519380.8779220711</v>
      </c>
      <c r="P142" s="40"/>
      <c r="Q142" s="27">
        <f t="shared" si="29"/>
        <v>23340.769528553621</v>
      </c>
      <c r="R142" s="27">
        <f>VLOOKUP((J142/A142),Variables!$A$3:$C$8,3,TRUE())</f>
        <v>1094</v>
      </c>
      <c r="S142" s="27">
        <f t="shared" si="30"/>
        <v>99846.625205479446</v>
      </c>
      <c r="T142" s="24">
        <f>+V142/A142*Variables!$B$10</f>
        <v>6483.5470912648989</v>
      </c>
      <c r="U142" s="28">
        <f>+(S142/(1-(N142+Variables!$B$10)))/G142</f>
        <v>129.67094182529797</v>
      </c>
      <c r="V142" s="5">
        <f t="shared" si="31"/>
        <v>47329893.766233757</v>
      </c>
      <c r="AI142" s="18"/>
      <c r="AJ142" s="18"/>
      <c r="AK142" s="18"/>
      <c r="AL142" s="18"/>
      <c r="AM142" s="18"/>
    </row>
    <row r="143" spans="1:39" ht="15" customHeight="1" x14ac:dyDescent="0.3">
      <c r="A143" s="43">
        <v>365</v>
      </c>
      <c r="B143" s="88">
        <v>45226</v>
      </c>
      <c r="C143" s="3" t="s">
        <v>145</v>
      </c>
      <c r="D143" s="106"/>
      <c r="E143" s="76" t="s">
        <v>346</v>
      </c>
      <c r="F143" s="106"/>
      <c r="G143" s="107">
        <v>1000</v>
      </c>
      <c r="H143" s="92">
        <v>11163</v>
      </c>
      <c r="I143" s="35">
        <v>110000</v>
      </c>
      <c r="J143" s="19">
        <f t="shared" si="32"/>
        <v>11273000</v>
      </c>
      <c r="K143" s="35">
        <v>1112300</v>
      </c>
      <c r="L143" s="149">
        <f t="shared" si="27"/>
        <v>16084.8</v>
      </c>
      <c r="M143" s="5">
        <f t="shared" si="33"/>
        <v>16084800</v>
      </c>
      <c r="N143" s="8">
        <f>VLOOKUP((J143/A143),Variables!$A$3:$C$8,2,TRUE())</f>
        <v>0.18</v>
      </c>
      <c r="O143" s="42">
        <f t="shared" si="28"/>
        <v>2895264.9350649333</v>
      </c>
      <c r="P143" s="40"/>
      <c r="Q143" s="27">
        <f t="shared" si="29"/>
        <v>7932.2326988080367</v>
      </c>
      <c r="R143" s="27">
        <f>VLOOKUP((J143/A143),Variables!$A$3:$C$8,3,TRUE())</f>
        <v>1094</v>
      </c>
      <c r="S143" s="27">
        <f t="shared" si="30"/>
        <v>33932.32876712329</v>
      </c>
      <c r="T143" s="24">
        <f>+V143/A143*Variables!$B$10</f>
        <v>2203.3979718911228</v>
      </c>
      <c r="U143" s="28">
        <f>+(S143/(1-(N143+Variables!$B$10)))/G143</f>
        <v>44.067959437822452</v>
      </c>
      <c r="V143" s="5">
        <f t="shared" si="31"/>
        <v>16084805.194805194</v>
      </c>
      <c r="AI143" s="18"/>
      <c r="AJ143" s="18"/>
      <c r="AK143" s="18"/>
      <c r="AL143" s="18"/>
      <c r="AM143" s="18"/>
    </row>
    <row r="144" spans="1:39" ht="15" customHeight="1" x14ac:dyDescent="0.3">
      <c r="A144" s="43">
        <v>365</v>
      </c>
      <c r="B144" s="88">
        <v>45226</v>
      </c>
      <c r="C144" s="3" t="s">
        <v>145</v>
      </c>
      <c r="D144" s="106"/>
      <c r="E144" s="76" t="s">
        <v>350</v>
      </c>
      <c r="F144" s="106"/>
      <c r="G144" s="107">
        <v>1000</v>
      </c>
      <c r="H144" s="92">
        <v>12631</v>
      </c>
      <c r="I144" s="35">
        <v>110000</v>
      </c>
      <c r="J144" s="19">
        <f t="shared" si="32"/>
        <v>12741000</v>
      </c>
      <c r="K144" s="35">
        <v>1268100</v>
      </c>
      <c r="L144" s="149">
        <f t="shared" si="27"/>
        <v>18193.599999999999</v>
      </c>
      <c r="M144" s="5">
        <f t="shared" si="33"/>
        <v>18193600</v>
      </c>
      <c r="N144" s="8">
        <f>VLOOKUP((J144/A144),Variables!$A$3:$C$8,2,TRUE())</f>
        <v>0.18</v>
      </c>
      <c r="O144" s="42">
        <f t="shared" si="28"/>
        <v>3274854.5454545459</v>
      </c>
      <c r="P144" s="40"/>
      <c r="Q144" s="27">
        <f t="shared" si="29"/>
        <v>8972.204234122044</v>
      </c>
      <c r="R144" s="27">
        <f>VLOOKUP((J144/A144),Variables!$A$3:$C$8,3,TRUE())</f>
        <v>1094</v>
      </c>
      <c r="S144" s="27">
        <f t="shared" si="30"/>
        <v>38381.095890410958</v>
      </c>
      <c r="T144" s="24">
        <f>+V144/A144*Variables!$B$10</f>
        <v>2492.2789539227897</v>
      </c>
      <c r="U144" s="28">
        <f>+(S144/(1-(N144+Variables!$B$10)))/G144</f>
        <v>49.845579078455792</v>
      </c>
      <c r="V144" s="5">
        <f t="shared" si="31"/>
        <v>18193636.363636363</v>
      </c>
      <c r="AI144" s="18"/>
      <c r="AJ144" s="18"/>
      <c r="AK144" s="18"/>
      <c r="AL144" s="18"/>
      <c r="AM144" s="18"/>
    </row>
    <row r="145" spans="1:39" ht="15" customHeight="1" x14ac:dyDescent="0.3">
      <c r="A145" s="43">
        <v>365</v>
      </c>
      <c r="B145" s="88">
        <v>45226</v>
      </c>
      <c r="C145" s="3" t="s">
        <v>145</v>
      </c>
      <c r="D145" s="106"/>
      <c r="E145" s="76" t="s">
        <v>355</v>
      </c>
      <c r="F145" s="106"/>
      <c r="G145" s="107">
        <v>2000</v>
      </c>
      <c r="H145" s="92">
        <v>680.46</v>
      </c>
      <c r="I145" s="35">
        <v>20000</v>
      </c>
      <c r="J145" s="19">
        <f t="shared" si="32"/>
        <v>1380920</v>
      </c>
      <c r="K145" s="35">
        <v>159138</v>
      </c>
      <c r="L145" s="149">
        <f t="shared" si="27"/>
        <v>1054.8</v>
      </c>
      <c r="M145" s="5">
        <f t="shared" si="33"/>
        <v>2109600</v>
      </c>
      <c r="N145" s="8">
        <f>VLOOKUP((J145/A145),Variables!$A$3:$C$8,2,TRUE())</f>
        <v>0.22</v>
      </c>
      <c r="O145" s="42">
        <f t="shared" si="28"/>
        <v>464127.06849315064</v>
      </c>
      <c r="P145" s="40"/>
      <c r="Q145" s="27">
        <f t="shared" si="29"/>
        <v>1271.5810095702757</v>
      </c>
      <c r="R145" s="27">
        <f>VLOOKUP((J145/A145),Variables!$A$3:$C$8,3,TRUE())</f>
        <v>510</v>
      </c>
      <c r="S145" s="27">
        <f t="shared" si="30"/>
        <v>4219.3369863013695</v>
      </c>
      <c r="T145" s="24">
        <f>+V145/A145*Variables!$B$10</f>
        <v>288.99568399324443</v>
      </c>
      <c r="U145" s="28">
        <f>+(S145/(1-(N145+Variables!$B$10)))/G145</f>
        <v>2.8899568399324447</v>
      </c>
      <c r="V145" s="5">
        <f t="shared" si="31"/>
        <v>2109668.4931506845</v>
      </c>
      <c r="AI145" s="18"/>
      <c r="AJ145" s="18"/>
      <c r="AK145" s="18"/>
      <c r="AL145" s="18"/>
      <c r="AM145" s="18"/>
    </row>
    <row r="146" spans="1:39" ht="15" customHeight="1" x14ac:dyDescent="0.3">
      <c r="A146" s="43">
        <v>365</v>
      </c>
      <c r="B146" s="88">
        <v>45226</v>
      </c>
      <c r="C146" s="3" t="s">
        <v>145</v>
      </c>
      <c r="D146" s="106"/>
      <c r="E146" s="127" t="s">
        <v>343</v>
      </c>
      <c r="F146" s="123"/>
      <c r="G146" s="124">
        <v>1000</v>
      </c>
      <c r="H146" s="163">
        <v>2700</v>
      </c>
      <c r="I146" s="125">
        <v>110000</v>
      </c>
      <c r="J146" s="19">
        <f t="shared" si="32"/>
        <v>2810000</v>
      </c>
      <c r="K146" s="35">
        <v>159138</v>
      </c>
      <c r="L146" s="149">
        <f t="shared" si="27"/>
        <v>3856</v>
      </c>
      <c r="M146" s="5">
        <f t="shared" si="33"/>
        <v>3856000</v>
      </c>
      <c r="N146" s="8">
        <f>VLOOKUP((J146/A146),Variables!$A$3:$C$8,2,TRUE())</f>
        <v>0.18</v>
      </c>
      <c r="O146" s="42">
        <f t="shared" si="28"/>
        <v>694084.20779220748</v>
      </c>
      <c r="P146" s="40"/>
      <c r="Q146" s="27">
        <f t="shared" si="29"/>
        <v>1901.6005692937192</v>
      </c>
      <c r="R146" s="27">
        <f>VLOOKUP((J146/A146),Variables!$A$3:$C$8,3,TRUE())</f>
        <v>1094</v>
      </c>
      <c r="S146" s="27">
        <f t="shared" si="30"/>
        <v>8134.6246575342466</v>
      </c>
      <c r="T146" s="24">
        <f>+V146/A146*Variables!$B$10</f>
        <v>528.22238035936664</v>
      </c>
      <c r="U146" s="28">
        <f>+(S146/(1-(N146+Variables!$B$10)))/G146</f>
        <v>10.564447607187333</v>
      </c>
      <c r="V146" s="5">
        <f t="shared" si="31"/>
        <v>3856023.3766233763</v>
      </c>
      <c r="AI146" s="18"/>
      <c r="AJ146" s="18"/>
      <c r="AK146" s="18"/>
      <c r="AL146" s="18"/>
      <c r="AM146" s="18"/>
    </row>
    <row r="147" spans="1:39" ht="15" customHeight="1" x14ac:dyDescent="0.3">
      <c r="A147" s="43">
        <v>365</v>
      </c>
      <c r="B147" s="88">
        <v>45226</v>
      </c>
      <c r="C147" s="3" t="s">
        <v>145</v>
      </c>
      <c r="D147" s="106"/>
      <c r="E147" s="127" t="s">
        <v>367</v>
      </c>
      <c r="F147" s="123"/>
      <c r="G147" s="124">
        <v>750</v>
      </c>
      <c r="H147" s="163">
        <v>12710</v>
      </c>
      <c r="I147" s="125">
        <v>110000</v>
      </c>
      <c r="J147" s="19">
        <f t="shared" si="32"/>
        <v>9642500</v>
      </c>
      <c r="K147" s="35">
        <v>1413000</v>
      </c>
      <c r="L147" s="149">
        <f t="shared" si="27"/>
        <v>19143.7</v>
      </c>
      <c r="M147" s="5">
        <f t="shared" si="33"/>
        <v>14357775</v>
      </c>
      <c r="N147" s="8">
        <f>VLOOKUP((J147/A147),Variables!$A$3:$C$8,2,TRUE())</f>
        <v>0.18</v>
      </c>
      <c r="O147" s="42">
        <f t="shared" si="28"/>
        <v>2584402.5974025978</v>
      </c>
      <c r="P147" s="40"/>
      <c r="Q147" s="27">
        <f t="shared" si="29"/>
        <v>7080.5550613769801</v>
      </c>
      <c r="R147" s="27">
        <f>VLOOKUP((J147/A147),Variables!$A$3:$C$8,3,TRUE())</f>
        <v>1094</v>
      </c>
      <c r="S147" s="27">
        <f t="shared" si="30"/>
        <v>30289.04109589041</v>
      </c>
      <c r="T147" s="24">
        <f>+V147/A147*Variables!$B$10</f>
        <v>1966.8208503824944</v>
      </c>
      <c r="U147" s="28">
        <f>+(S147/(1-(N147+Variables!$B$10)))/G147</f>
        <v>52.448556010199844</v>
      </c>
      <c r="V147" s="5">
        <f t="shared" si="31"/>
        <v>14357792.207792208</v>
      </c>
      <c r="AI147" s="18"/>
      <c r="AJ147" s="18"/>
      <c r="AK147" s="18"/>
      <c r="AL147" s="18"/>
      <c r="AM147" s="18"/>
    </row>
    <row r="148" spans="1:39" ht="15" customHeight="1" x14ac:dyDescent="0.3">
      <c r="A148" s="43">
        <v>365</v>
      </c>
      <c r="B148" s="88">
        <v>45226</v>
      </c>
      <c r="C148" s="3" t="s">
        <v>145</v>
      </c>
      <c r="D148" s="106"/>
      <c r="E148" s="127" t="s">
        <v>368</v>
      </c>
      <c r="F148" s="123"/>
      <c r="G148" s="124">
        <v>1000</v>
      </c>
      <c r="H148" s="163">
        <v>2527</v>
      </c>
      <c r="I148" s="125">
        <v>20000</v>
      </c>
      <c r="J148" s="19">
        <f t="shared" si="32"/>
        <v>2547000</v>
      </c>
      <c r="K148" s="35">
        <v>356550</v>
      </c>
      <c r="L148" s="149">
        <f t="shared" si="27"/>
        <v>3770.8</v>
      </c>
      <c r="M148" s="5">
        <f t="shared" si="33"/>
        <v>3770800</v>
      </c>
      <c r="N148" s="8">
        <f>VLOOKUP((J148/A148),Variables!$A$3:$C$8,2,TRUE())</f>
        <v>0.18</v>
      </c>
      <c r="O148" s="42">
        <f t="shared" si="28"/>
        <v>678751.9480519481</v>
      </c>
      <c r="P148" s="40"/>
      <c r="Q148" s="27">
        <f t="shared" si="29"/>
        <v>1859.5943782245154</v>
      </c>
      <c r="R148" s="27">
        <f>VLOOKUP((J148/A148),Variables!$A$3:$C$8,3,TRUE())</f>
        <v>1094</v>
      </c>
      <c r="S148" s="27">
        <f t="shared" si="30"/>
        <v>7954.9315068493152</v>
      </c>
      <c r="T148" s="24">
        <f>+V148/A148*Variables!$B$10</f>
        <v>516.55399395125426</v>
      </c>
      <c r="U148" s="28">
        <f>+(S148/(1-(N148+Variables!$B$10)))/G148</f>
        <v>10.331079879025085</v>
      </c>
      <c r="V148" s="5">
        <f t="shared" si="31"/>
        <v>3770844.1558441557</v>
      </c>
      <c r="AI148" s="18"/>
      <c r="AJ148" s="18"/>
      <c r="AK148" s="18"/>
      <c r="AL148" s="18"/>
      <c r="AM148" s="18"/>
    </row>
    <row r="149" spans="1:39" ht="15" customHeight="1" x14ac:dyDescent="0.3">
      <c r="A149" s="43">
        <v>365</v>
      </c>
      <c r="B149" s="88">
        <v>45226</v>
      </c>
      <c r="C149" s="3" t="s">
        <v>145</v>
      </c>
      <c r="D149" s="106"/>
      <c r="E149" s="127" t="s">
        <v>369</v>
      </c>
      <c r="F149" s="123"/>
      <c r="G149" s="124">
        <v>1000</v>
      </c>
      <c r="H149" s="163">
        <v>11480</v>
      </c>
      <c r="I149" s="125">
        <v>110000</v>
      </c>
      <c r="J149" s="19">
        <f t="shared" si="32"/>
        <v>11590000</v>
      </c>
      <c r="K149" s="35">
        <v>1699500</v>
      </c>
      <c r="L149" s="149">
        <f t="shared" si="27"/>
        <v>17259.099999999999</v>
      </c>
      <c r="M149" s="5">
        <f t="shared" si="33"/>
        <v>17259100</v>
      </c>
      <c r="N149" s="8">
        <f>VLOOKUP((J149/A149),Variables!$A$3:$C$8,2,TRUE())</f>
        <v>0.18</v>
      </c>
      <c r="O149" s="42">
        <f t="shared" si="28"/>
        <v>3106636.3636363619</v>
      </c>
      <c r="P149" s="40"/>
      <c r="Q149" s="27">
        <f t="shared" si="29"/>
        <v>8511.3325031133209</v>
      </c>
      <c r="R149" s="27">
        <f>VLOOKUP((J149/A149),Variables!$A$3:$C$8,3,TRUE())</f>
        <v>1094</v>
      </c>
      <c r="S149" s="27">
        <f t="shared" si="30"/>
        <v>36409.589041095889</v>
      </c>
      <c r="T149" s="24">
        <f>+V149/A149*Variables!$B$10</f>
        <v>2364.2590286425902</v>
      </c>
      <c r="U149" s="28">
        <f>+(S149/(1-(N149+Variables!$B$10)))/G149</f>
        <v>47.2851805728518</v>
      </c>
      <c r="V149" s="5">
        <f t="shared" si="31"/>
        <v>17259090.909090906</v>
      </c>
      <c r="AI149" s="18"/>
      <c r="AJ149" s="18"/>
      <c r="AK149" s="18"/>
      <c r="AL149" s="18"/>
      <c r="AM149" s="18"/>
    </row>
    <row r="150" spans="1:39" ht="15" customHeight="1" x14ac:dyDescent="0.3">
      <c r="A150" s="43">
        <v>365</v>
      </c>
      <c r="B150" s="88">
        <v>45226</v>
      </c>
      <c r="C150" s="3" t="s">
        <v>145</v>
      </c>
      <c r="D150" s="106"/>
      <c r="E150" s="127" t="s">
        <v>371</v>
      </c>
      <c r="F150" s="123"/>
      <c r="G150" s="124">
        <v>500</v>
      </c>
      <c r="H150" s="163">
        <v>648</v>
      </c>
      <c r="I150" s="125">
        <v>20000</v>
      </c>
      <c r="J150" s="19">
        <f t="shared" si="32"/>
        <v>344000</v>
      </c>
      <c r="K150" s="35">
        <v>59300</v>
      </c>
      <c r="L150" s="149">
        <f t="shared" si="27"/>
        <v>1203.9000000000001</v>
      </c>
      <c r="M150" s="5">
        <f t="shared" si="33"/>
        <v>601950</v>
      </c>
      <c r="N150" s="8">
        <f>VLOOKUP((J150/A150),Variables!$A$3:$C$8,2,TRUE())</f>
        <v>0.28000000000000003</v>
      </c>
      <c r="O150" s="42">
        <f t="shared" si="28"/>
        <v>168543.28358208961</v>
      </c>
      <c r="P150" s="40"/>
      <c r="Q150" s="27">
        <f t="shared" si="29"/>
        <v>461.76242077284826</v>
      </c>
      <c r="R150" s="27">
        <f>VLOOKUP((J150/A150),Variables!$A$3:$C$8,3,TRUE())</f>
        <v>122</v>
      </c>
      <c r="S150" s="27">
        <f t="shared" si="30"/>
        <v>1104.9315068493152</v>
      </c>
      <c r="T150" s="24">
        <f>+V150/A150*Variables!$B$10</f>
        <v>82.457575138008593</v>
      </c>
      <c r="U150" s="28">
        <f>+(S150/(1-(N150+Variables!$B$10)))/G150</f>
        <v>3.2983030055203439</v>
      </c>
      <c r="V150" s="5">
        <f t="shared" si="31"/>
        <v>601940.29850746272</v>
      </c>
      <c r="AI150" s="18"/>
      <c r="AJ150" s="18"/>
      <c r="AK150" s="18"/>
      <c r="AL150" s="18"/>
      <c r="AM150" s="18"/>
    </row>
    <row r="151" spans="1:39" ht="15" customHeight="1" x14ac:dyDescent="0.3">
      <c r="A151" s="43">
        <v>365</v>
      </c>
      <c r="B151" s="88">
        <v>45226</v>
      </c>
      <c r="C151" s="3" t="s">
        <v>145</v>
      </c>
      <c r="D151" s="106"/>
      <c r="E151" s="127" t="s">
        <v>372</v>
      </c>
      <c r="F151" s="123"/>
      <c r="G151" s="124">
        <v>500</v>
      </c>
      <c r="H151" s="163">
        <v>966</v>
      </c>
      <c r="I151" s="125">
        <v>20000</v>
      </c>
      <c r="J151" s="19">
        <f t="shared" si="32"/>
        <v>503000</v>
      </c>
      <c r="K151" s="35">
        <v>91100</v>
      </c>
      <c r="L151" s="149">
        <f t="shared" si="27"/>
        <v>1773.4</v>
      </c>
      <c r="M151" s="5">
        <f t="shared" si="33"/>
        <v>886700</v>
      </c>
      <c r="N151" s="8">
        <f>VLOOKUP((J151/A151),Variables!$A$3:$C$8,2,TRUE())</f>
        <v>0.28000000000000003</v>
      </c>
      <c r="O151" s="42">
        <f t="shared" si="28"/>
        <v>248280.59701492553</v>
      </c>
      <c r="P151" s="40"/>
      <c r="Q151" s="27">
        <f t="shared" si="29"/>
        <v>680.22081373952199</v>
      </c>
      <c r="R151" s="27">
        <f>VLOOKUP((J151/A151),Variables!$A$3:$C$8,3,TRUE())</f>
        <v>122</v>
      </c>
      <c r="S151" s="27">
        <f t="shared" si="30"/>
        <v>1627.6712328767123</v>
      </c>
      <c r="T151" s="24">
        <f>+V151/A151*Variables!$B$10</f>
        <v>121.46800245348602</v>
      </c>
      <c r="U151" s="28">
        <f>+(S151/(1-(N151+Variables!$B$10)))/G151</f>
        <v>4.8587200981394405</v>
      </c>
      <c r="V151" s="5">
        <f t="shared" si="31"/>
        <v>886716.41791044793</v>
      </c>
      <c r="AI151" s="18"/>
      <c r="AJ151" s="18"/>
      <c r="AK151" s="18"/>
      <c r="AL151" s="18"/>
      <c r="AM151" s="18"/>
    </row>
    <row r="152" spans="1:39" ht="15" customHeight="1" x14ac:dyDescent="0.3">
      <c r="A152" s="43">
        <v>365</v>
      </c>
      <c r="B152" s="88">
        <v>45226</v>
      </c>
      <c r="C152" s="3" t="s">
        <v>286</v>
      </c>
      <c r="D152" s="106" t="s">
        <v>296</v>
      </c>
      <c r="E152" s="76" t="s">
        <v>373</v>
      </c>
      <c r="F152" s="57" t="s">
        <v>299</v>
      </c>
      <c r="G152" s="3">
        <v>300</v>
      </c>
      <c r="H152" s="92">
        <f>1113.74+2100+170.41</f>
        <v>3384.1499999999996</v>
      </c>
      <c r="I152" s="36"/>
      <c r="J152" s="19">
        <f t="shared" si="32"/>
        <v>1015244.9999999999</v>
      </c>
      <c r="K152" s="39">
        <f>10000+2500</f>
        <v>12500</v>
      </c>
      <c r="L152" s="149">
        <f t="shared" si="27"/>
        <v>4692.8999999999996</v>
      </c>
      <c r="M152" s="5">
        <f t="shared" si="33"/>
        <v>1407870</v>
      </c>
      <c r="N152" s="8">
        <f>VLOOKUP((J152/A152),Variables!$A$3:$C$8,2,TRUE())</f>
        <v>0.22</v>
      </c>
      <c r="O152" s="42">
        <f t="shared" si="28"/>
        <v>309731.36986301362</v>
      </c>
      <c r="P152" s="40"/>
      <c r="Q152" s="27">
        <f t="shared" si="29"/>
        <v>848.57909551510579</v>
      </c>
      <c r="R152" s="27">
        <f>VLOOKUP((J152/A152),Variables!$A$3:$C$8,3,TRUE())</f>
        <v>510</v>
      </c>
      <c r="S152" s="27">
        <f t="shared" si="30"/>
        <v>2815.739726027397</v>
      </c>
      <c r="T152" s="24">
        <f>+V152/A152*Variables!$B$10</f>
        <v>192.85888534434227</v>
      </c>
      <c r="U152" s="28">
        <f>+(S152/(1-(N152+Variables!$B$10)))/G152</f>
        <v>12.85725902295615</v>
      </c>
      <c r="V152" s="5">
        <f t="shared" si="31"/>
        <v>1407869.8630136985</v>
      </c>
      <c r="AI152" s="18"/>
      <c r="AJ152" s="18"/>
      <c r="AK152" s="18"/>
      <c r="AL152" s="18"/>
      <c r="AM152" s="18"/>
    </row>
    <row r="153" spans="1:39" ht="15" customHeight="1" x14ac:dyDescent="0.3">
      <c r="A153" s="43">
        <v>365</v>
      </c>
      <c r="B153" s="88">
        <v>45226</v>
      </c>
      <c r="C153" s="3" t="s">
        <v>286</v>
      </c>
      <c r="D153" s="106" t="s">
        <v>294</v>
      </c>
      <c r="E153" s="76" t="s">
        <v>374</v>
      </c>
      <c r="F153" s="57" t="s">
        <v>300</v>
      </c>
      <c r="G153" s="3">
        <v>300</v>
      </c>
      <c r="H153" s="92">
        <f>1113.74+2100+170.41+5.43*0.97*368.5</f>
        <v>5325.0763499999994</v>
      </c>
      <c r="I153" s="36"/>
      <c r="J153" s="19">
        <f t="shared" si="32"/>
        <v>1597522.9049999998</v>
      </c>
      <c r="K153" s="39">
        <f>10000+2500+5000</f>
        <v>17500</v>
      </c>
      <c r="L153" s="149">
        <f t="shared" si="27"/>
        <v>7177.9</v>
      </c>
      <c r="M153" s="5">
        <f t="shared" si="33"/>
        <v>2153370</v>
      </c>
      <c r="N153" s="8">
        <f>VLOOKUP((J153/A153),Variables!$A$3:$C$8,2,TRUE())</f>
        <v>0.2</v>
      </c>
      <c r="O153" s="42">
        <f t="shared" si="28"/>
        <v>430672.7746666671</v>
      </c>
      <c r="P153" s="40"/>
      <c r="Q153" s="27">
        <f t="shared" si="29"/>
        <v>1179.9254100456633</v>
      </c>
      <c r="R153" s="27">
        <f>VLOOKUP((J153/A153),Variables!$A$3:$C$8,3,TRUE())</f>
        <v>898</v>
      </c>
      <c r="S153" s="27">
        <f t="shared" si="30"/>
        <v>4424.7202876712327</v>
      </c>
      <c r="T153" s="24">
        <f>+V153/A153*Variables!$B$10</f>
        <v>294.98135251141559</v>
      </c>
      <c r="U153" s="28">
        <f>+(S153/(1-(N153+Variables!$B$10)))/G153</f>
        <v>19.665423500761037</v>
      </c>
      <c r="V153" s="5">
        <f t="shared" si="31"/>
        <v>2153363.8733333335</v>
      </c>
      <c r="AI153" s="18"/>
      <c r="AJ153" s="18"/>
      <c r="AK153" s="18"/>
      <c r="AL153" s="18"/>
      <c r="AM153" s="18"/>
    </row>
    <row r="154" spans="1:39" ht="15" customHeight="1" x14ac:dyDescent="0.3">
      <c r="A154" s="43">
        <v>365</v>
      </c>
      <c r="B154" s="88">
        <v>45229</v>
      </c>
      <c r="C154" s="3" t="s">
        <v>68</v>
      </c>
      <c r="D154" s="106" t="s">
        <v>376</v>
      </c>
      <c r="E154" s="3" t="s">
        <v>377</v>
      </c>
      <c r="F154" s="57" t="s">
        <v>67</v>
      </c>
      <c r="G154" s="3">
        <v>100</v>
      </c>
      <c r="H154" s="92">
        <f>8.15*368.5+445</f>
        <v>3448.2750000000001</v>
      </c>
      <c r="I154" s="36">
        <v>10200</v>
      </c>
      <c r="J154" s="19">
        <f t="shared" si="32"/>
        <v>355027.5</v>
      </c>
      <c r="K154" s="39">
        <f>+J154*0.1+2500+2500+5000</f>
        <v>45502.75</v>
      </c>
      <c r="L154" s="149">
        <f t="shared" si="27"/>
        <v>5978.1</v>
      </c>
      <c r="M154" s="5">
        <f t="shared" si="33"/>
        <v>597810</v>
      </c>
      <c r="N154" s="8">
        <f>VLOOKUP((J154/A154),Variables!$A$3:$C$8,2,TRUE())</f>
        <v>0.28000000000000003</v>
      </c>
      <c r="O154" s="42">
        <f t="shared" si="28"/>
        <v>167385.77611940305</v>
      </c>
      <c r="P154" s="40"/>
      <c r="Q154" s="27">
        <f t="shared" si="29"/>
        <v>458.59116745041933</v>
      </c>
      <c r="R154" s="27">
        <f>VLOOKUP((J154/A154),Variables!$A$3:$C$8,3,TRUE())</f>
        <v>122</v>
      </c>
      <c r="S154" s="27">
        <f t="shared" si="30"/>
        <v>1097.3431506849315</v>
      </c>
      <c r="T154" s="24">
        <f>+V154/A154*Variables!$B$10</f>
        <v>81.891279901860571</v>
      </c>
      <c r="U154" s="28">
        <f>+(S154/(1-(N154+Variables!$B$10)))/G154</f>
        <v>16.378255980372113</v>
      </c>
      <c r="V154" s="5">
        <f t="shared" si="31"/>
        <v>597806.34328358213</v>
      </c>
      <c r="AI154" s="18"/>
      <c r="AJ154" s="18"/>
      <c r="AK154" s="18"/>
      <c r="AL154" s="18"/>
      <c r="AM154" s="18"/>
    </row>
    <row r="155" spans="1:39" ht="15" customHeight="1" x14ac:dyDescent="0.3">
      <c r="A155" s="43">
        <v>365</v>
      </c>
      <c r="B155" s="88">
        <v>45229</v>
      </c>
      <c r="C155" s="3" t="s">
        <v>68</v>
      </c>
      <c r="D155" s="106" t="s">
        <v>376</v>
      </c>
      <c r="E155" s="3" t="s">
        <v>377</v>
      </c>
      <c r="F155" s="57" t="s">
        <v>67</v>
      </c>
      <c r="G155" s="3">
        <v>150</v>
      </c>
      <c r="H155" s="92">
        <f>8.15*368.5+445</f>
        <v>3448.2750000000001</v>
      </c>
      <c r="I155" s="36">
        <v>10200</v>
      </c>
      <c r="J155" s="19">
        <f t="shared" si="32"/>
        <v>527441.25</v>
      </c>
      <c r="K155" s="39">
        <f>+J155*0.1+2500+2500+5000</f>
        <v>62744.125</v>
      </c>
      <c r="L155" s="149">
        <f t="shared" si="27"/>
        <v>5620.8</v>
      </c>
      <c r="M155" s="5">
        <f t="shared" si="33"/>
        <v>843120</v>
      </c>
      <c r="N155" s="8">
        <f>VLOOKUP((J155/A155),Variables!$A$3:$C$8,2,TRUE())</f>
        <v>0.25</v>
      </c>
      <c r="O155" s="42">
        <f t="shared" si="28"/>
        <v>210780.49107142858</v>
      </c>
      <c r="P155" s="40"/>
      <c r="Q155" s="27">
        <f t="shared" si="29"/>
        <v>577.48079745596874</v>
      </c>
      <c r="R155" s="27">
        <f>VLOOKUP((J155/A155),Variables!$A$3:$C$8,3,TRUE())</f>
        <v>400</v>
      </c>
      <c r="S155" s="27">
        <f t="shared" si="30"/>
        <v>1616.9462328767124</v>
      </c>
      <c r="T155" s="24">
        <f>+V155/A155*Variables!$B$10</f>
        <v>115.49615949119375</v>
      </c>
      <c r="U155" s="28">
        <f>+(S155/(1-(N155+Variables!$B$10)))/G155</f>
        <v>15.399487932159166</v>
      </c>
      <c r="V155" s="5">
        <f t="shared" si="31"/>
        <v>843121.96428571432</v>
      </c>
      <c r="AI155" s="18"/>
      <c r="AJ155" s="18"/>
      <c r="AK155" s="18"/>
      <c r="AL155" s="18"/>
      <c r="AM155" s="18"/>
    </row>
    <row r="156" spans="1:39" ht="15" customHeight="1" x14ac:dyDescent="0.3">
      <c r="A156" s="43">
        <v>365</v>
      </c>
      <c r="B156" s="88">
        <v>45229</v>
      </c>
      <c r="C156" s="3" t="s">
        <v>68</v>
      </c>
      <c r="D156" s="106" t="s">
        <v>376</v>
      </c>
      <c r="E156" s="3" t="s">
        <v>377</v>
      </c>
      <c r="F156" s="57" t="s">
        <v>67</v>
      </c>
      <c r="G156" s="3">
        <v>200</v>
      </c>
      <c r="H156" s="92">
        <f>8.15*368.5+445</f>
        <v>3448.2750000000001</v>
      </c>
      <c r="I156" s="36">
        <v>10200</v>
      </c>
      <c r="J156" s="19">
        <f t="shared" si="32"/>
        <v>699855</v>
      </c>
      <c r="K156" s="39">
        <f>+J156*0.1+2500+2500+5000</f>
        <v>79985.5</v>
      </c>
      <c r="L156" s="149">
        <f t="shared" si="27"/>
        <v>5570.3</v>
      </c>
      <c r="M156" s="5">
        <f t="shared" si="33"/>
        <v>1114060</v>
      </c>
      <c r="N156" s="8">
        <f>VLOOKUP((J156/A156),Variables!$A$3:$C$8,2,TRUE())</f>
        <v>0.25</v>
      </c>
      <c r="O156" s="42">
        <f t="shared" si="28"/>
        <v>278514.46428571444</v>
      </c>
      <c r="P156" s="40"/>
      <c r="Q156" s="27">
        <f t="shared" si="29"/>
        <v>763.05332681017649</v>
      </c>
      <c r="R156" s="27">
        <f>VLOOKUP((J156/A156),Variables!$A$3:$C$8,3,TRUE())</f>
        <v>400</v>
      </c>
      <c r="S156" s="27">
        <f t="shared" si="30"/>
        <v>2136.5493150684933</v>
      </c>
      <c r="T156" s="24">
        <f>+V156/A156*Variables!$B$10</f>
        <v>152.61066536203526</v>
      </c>
      <c r="U156" s="28">
        <f>+(S156/(1-(N156+Variables!$B$10)))/G156</f>
        <v>15.261066536203526</v>
      </c>
      <c r="V156" s="5">
        <f t="shared" si="31"/>
        <v>1114057.8571428573</v>
      </c>
      <c r="AI156" s="18"/>
      <c r="AJ156" s="18"/>
      <c r="AK156" s="18"/>
      <c r="AL156" s="18"/>
      <c r="AM156" s="18"/>
    </row>
    <row r="157" spans="1:39" ht="15" customHeight="1" x14ac:dyDescent="0.3">
      <c r="A157" s="43">
        <v>365</v>
      </c>
      <c r="B157" s="88">
        <v>45229</v>
      </c>
      <c r="C157" s="3" t="s">
        <v>68</v>
      </c>
      <c r="D157" s="106" t="s">
        <v>379</v>
      </c>
      <c r="E157" s="3" t="s">
        <v>378</v>
      </c>
      <c r="F157" s="57" t="s">
        <v>380</v>
      </c>
      <c r="G157" s="3">
        <v>100</v>
      </c>
      <c r="H157" s="92">
        <f>8.54*368.5+445+1.54*368.5</f>
        <v>4159.4799999999996</v>
      </c>
      <c r="I157" s="36">
        <v>10000</v>
      </c>
      <c r="J157" s="19">
        <f t="shared" si="32"/>
        <v>425947.99999999994</v>
      </c>
      <c r="K157" s="39">
        <f t="shared" ref="K157:K162" si="34">+J157*0.1+2500+2500+2500+2500+5000</f>
        <v>57594.799999999996</v>
      </c>
      <c r="L157" s="149">
        <f t="shared" si="27"/>
        <v>7217.1</v>
      </c>
      <c r="M157" s="5">
        <f t="shared" si="33"/>
        <v>721710</v>
      </c>
      <c r="N157" s="8">
        <f>VLOOKUP((J157/A157),Variables!$A$3:$C$8,2,TRUE())</f>
        <v>0.28000000000000003</v>
      </c>
      <c r="O157" s="42">
        <f t="shared" si="28"/>
        <v>202077.58805970161</v>
      </c>
      <c r="P157" s="40"/>
      <c r="Q157" s="27">
        <f t="shared" si="29"/>
        <v>553.63722756082632</v>
      </c>
      <c r="R157" s="27">
        <f>VLOOKUP((J157/A157),Variables!$A$3:$C$8,3,TRUE())</f>
        <v>122</v>
      </c>
      <c r="S157" s="27">
        <f t="shared" si="30"/>
        <v>1324.7747945205479</v>
      </c>
      <c r="T157" s="24">
        <f>+V157/A157*Variables!$B$10</f>
        <v>98.863790635861804</v>
      </c>
      <c r="U157" s="28">
        <f>+(S157/(1-(N157+Variables!$B$10)))/G157</f>
        <v>19.772758127172359</v>
      </c>
      <c r="V157" s="5">
        <f t="shared" si="31"/>
        <v>721705.67164179112</v>
      </c>
      <c r="AI157" s="18"/>
      <c r="AJ157" s="18"/>
      <c r="AK157" s="18"/>
      <c r="AL157" s="18"/>
      <c r="AM157" s="18"/>
    </row>
    <row r="158" spans="1:39" ht="15" customHeight="1" x14ac:dyDescent="0.3">
      <c r="A158" s="43">
        <v>365</v>
      </c>
      <c r="B158" s="88">
        <v>45229</v>
      </c>
      <c r="C158" s="3" t="s">
        <v>68</v>
      </c>
      <c r="D158" s="106" t="s">
        <v>379</v>
      </c>
      <c r="E158" s="3" t="s">
        <v>378</v>
      </c>
      <c r="F158" s="57" t="s">
        <v>380</v>
      </c>
      <c r="G158" s="3">
        <v>150</v>
      </c>
      <c r="H158" s="92">
        <f>8.54*368.5+445+1.54*368.5</f>
        <v>4159.4799999999996</v>
      </c>
      <c r="I158" s="36">
        <v>10000</v>
      </c>
      <c r="J158" s="19">
        <f t="shared" si="32"/>
        <v>633921.99999999988</v>
      </c>
      <c r="K158" s="39">
        <f t="shared" si="34"/>
        <v>78392.199999999983</v>
      </c>
      <c r="L158" s="149">
        <f t="shared" si="27"/>
        <v>6783.9</v>
      </c>
      <c r="M158" s="5">
        <f t="shared" si="33"/>
        <v>1017585</v>
      </c>
      <c r="N158" s="8">
        <f>VLOOKUP((J158/A158),Variables!$A$3:$C$8,2,TRUE())</f>
        <v>0.25</v>
      </c>
      <c r="O158" s="42">
        <f t="shared" si="28"/>
        <v>254397.92857142852</v>
      </c>
      <c r="P158" s="40"/>
      <c r="Q158" s="27">
        <f t="shared" si="29"/>
        <v>696.9806262230918</v>
      </c>
      <c r="R158" s="27">
        <f>VLOOKUP((J158/A158),Variables!$A$3:$C$8,3,TRUE())</f>
        <v>400</v>
      </c>
      <c r="S158" s="27">
        <f t="shared" si="30"/>
        <v>1951.5457534246571</v>
      </c>
      <c r="T158" s="24">
        <f>+V158/A158*Variables!$B$10</f>
        <v>139.39612524461836</v>
      </c>
      <c r="U158" s="28">
        <f>+(S158/(1-(N158+Variables!$B$10)))/G158</f>
        <v>18.58615003261578</v>
      </c>
      <c r="V158" s="5">
        <f t="shared" si="31"/>
        <v>1017591.7142857141</v>
      </c>
      <c r="AI158" s="18"/>
      <c r="AJ158" s="18"/>
      <c r="AK158" s="18"/>
      <c r="AL158" s="18"/>
      <c r="AM158" s="18"/>
    </row>
    <row r="159" spans="1:39" ht="15" customHeight="1" x14ac:dyDescent="0.3">
      <c r="A159" s="43">
        <v>365</v>
      </c>
      <c r="B159" s="88">
        <v>45229</v>
      </c>
      <c r="C159" s="3" t="s">
        <v>68</v>
      </c>
      <c r="D159" s="106" t="s">
        <v>379</v>
      </c>
      <c r="E159" s="3" t="s">
        <v>378</v>
      </c>
      <c r="F159" s="57" t="s">
        <v>380</v>
      </c>
      <c r="G159" s="3">
        <v>200</v>
      </c>
      <c r="H159" s="92">
        <f>8.54*368.5+445+1.54*368.5</f>
        <v>4159.4799999999996</v>
      </c>
      <c r="I159" s="36">
        <v>10000</v>
      </c>
      <c r="J159" s="19">
        <f t="shared" si="32"/>
        <v>841895.99999999988</v>
      </c>
      <c r="K159" s="39">
        <f t="shared" si="34"/>
        <v>99189.599999999991</v>
      </c>
      <c r="L159" s="149">
        <f t="shared" si="27"/>
        <v>6445.8</v>
      </c>
      <c r="M159" s="5">
        <f t="shared" si="33"/>
        <v>1289160</v>
      </c>
      <c r="N159" s="8">
        <f>VLOOKUP((J159/A159),Variables!$A$3:$C$8,2,TRUE())</f>
        <v>0.22</v>
      </c>
      <c r="O159" s="42">
        <f t="shared" si="28"/>
        <v>283614.83835616428</v>
      </c>
      <c r="P159" s="40"/>
      <c r="Q159" s="27">
        <f t="shared" si="29"/>
        <v>777.02695440045011</v>
      </c>
      <c r="R159" s="27">
        <f>VLOOKUP((J159/A159),Variables!$A$3:$C$8,3,TRUE())</f>
        <v>510</v>
      </c>
      <c r="S159" s="27">
        <f t="shared" si="30"/>
        <v>2578.3167123287667</v>
      </c>
      <c r="T159" s="24">
        <f>+V159/A159*Variables!$B$10</f>
        <v>176.59703509101143</v>
      </c>
      <c r="U159" s="28">
        <f>+(S159/(1-(N159+Variables!$B$10)))/G159</f>
        <v>17.659703509101142</v>
      </c>
      <c r="V159" s="5">
        <f t="shared" si="31"/>
        <v>1289158.3561643832</v>
      </c>
      <c r="AI159" s="18"/>
      <c r="AJ159" s="18"/>
      <c r="AK159" s="18"/>
      <c r="AL159" s="18"/>
      <c r="AM159" s="18"/>
    </row>
    <row r="160" spans="1:39" ht="15" customHeight="1" x14ac:dyDescent="0.3">
      <c r="A160" s="43">
        <v>365</v>
      </c>
      <c r="B160" s="88">
        <v>45229</v>
      </c>
      <c r="C160" s="3" t="s">
        <v>68</v>
      </c>
      <c r="D160" s="106" t="s">
        <v>379</v>
      </c>
      <c r="E160" s="3" t="s">
        <v>381</v>
      </c>
      <c r="F160" s="57" t="s">
        <v>380</v>
      </c>
      <c r="G160" s="3">
        <v>100</v>
      </c>
      <c r="H160" s="92">
        <f>7.97*368.5+445+1.26*368.5</f>
        <v>3846.2549999999997</v>
      </c>
      <c r="I160" s="36">
        <v>10000</v>
      </c>
      <c r="J160" s="19">
        <f t="shared" si="32"/>
        <v>394625.49999999994</v>
      </c>
      <c r="K160" s="39">
        <f t="shared" si="34"/>
        <v>54462.549999999996</v>
      </c>
      <c r="L160" s="149">
        <f t="shared" si="27"/>
        <v>6702.8</v>
      </c>
      <c r="M160" s="5">
        <f t="shared" si="33"/>
        <v>670280</v>
      </c>
      <c r="N160" s="8">
        <f>VLOOKUP((J160/A160),Variables!$A$3:$C$8,2,TRUE())</f>
        <v>0.28000000000000003</v>
      </c>
      <c r="O160" s="42">
        <f t="shared" si="28"/>
        <v>187678.58805970149</v>
      </c>
      <c r="P160" s="40"/>
      <c r="Q160" s="27">
        <f t="shared" si="29"/>
        <v>514.18791249233288</v>
      </c>
      <c r="R160" s="27">
        <f>VLOOKUP((J160/A160),Variables!$A$3:$C$8,3,TRUE())</f>
        <v>122</v>
      </c>
      <c r="S160" s="27">
        <f t="shared" si="30"/>
        <v>1230.378219178082</v>
      </c>
      <c r="T160" s="24">
        <f>+V160/A160*Variables!$B$10</f>
        <v>91.819270087916578</v>
      </c>
      <c r="U160" s="28">
        <f>+(S160/(1-(N160+Variables!$B$10)))/G160</f>
        <v>18.363854017583314</v>
      </c>
      <c r="V160" s="5">
        <f t="shared" si="31"/>
        <v>670280.67164179101</v>
      </c>
      <c r="AI160" s="18"/>
      <c r="AJ160" s="18"/>
      <c r="AK160" s="18"/>
      <c r="AL160" s="18"/>
      <c r="AM160" s="18"/>
    </row>
    <row r="161" spans="1:39" ht="15" customHeight="1" x14ac:dyDescent="0.3">
      <c r="A161" s="43">
        <v>365</v>
      </c>
      <c r="B161" s="88">
        <v>45229</v>
      </c>
      <c r="C161" s="3" t="s">
        <v>68</v>
      </c>
      <c r="D161" s="106" t="s">
        <v>379</v>
      </c>
      <c r="E161" s="3" t="s">
        <v>381</v>
      </c>
      <c r="F161" s="57" t="s">
        <v>380</v>
      </c>
      <c r="G161" s="3">
        <v>150</v>
      </c>
      <c r="H161" s="92">
        <f>7.97*368.5+445+1.26*368.5</f>
        <v>3846.2549999999997</v>
      </c>
      <c r="I161" s="36">
        <v>10000</v>
      </c>
      <c r="J161" s="19">
        <f t="shared" si="32"/>
        <v>586938.25</v>
      </c>
      <c r="K161" s="39">
        <f t="shared" si="34"/>
        <v>73693.825000000012</v>
      </c>
      <c r="L161" s="149">
        <f t="shared" si="27"/>
        <v>6291.7</v>
      </c>
      <c r="M161" s="5">
        <f t="shared" si="33"/>
        <v>943755</v>
      </c>
      <c r="N161" s="8">
        <f>VLOOKUP((J161/A161),Variables!$A$3:$C$8,2,TRUE())</f>
        <v>0.25</v>
      </c>
      <c r="O161" s="42">
        <f t="shared" si="28"/>
        <v>235940.02678571426</v>
      </c>
      <c r="P161" s="40"/>
      <c r="Q161" s="27">
        <f t="shared" si="29"/>
        <v>646.41103228962811</v>
      </c>
      <c r="R161" s="27">
        <f>VLOOKUP((J161/A161),Variables!$A$3:$C$8,3,TRUE())</f>
        <v>400</v>
      </c>
      <c r="S161" s="27">
        <f t="shared" si="30"/>
        <v>1809.9508904109587</v>
      </c>
      <c r="T161" s="24">
        <f>+V161/A161*Variables!$B$10</f>
        <v>129.28220645792564</v>
      </c>
      <c r="U161" s="28">
        <f>+(S161/(1-(N161+Variables!$B$10)))/G161</f>
        <v>17.237627527723415</v>
      </c>
      <c r="V161" s="5">
        <f t="shared" si="31"/>
        <v>943760.10714285704</v>
      </c>
      <c r="AI161" s="18"/>
      <c r="AJ161" s="18"/>
      <c r="AK161" s="18"/>
      <c r="AL161" s="18"/>
      <c r="AM161" s="18"/>
    </row>
    <row r="162" spans="1:39" ht="15" customHeight="1" x14ac:dyDescent="0.3">
      <c r="A162" s="43">
        <v>365</v>
      </c>
      <c r="B162" s="88">
        <v>45229</v>
      </c>
      <c r="C162" s="3" t="s">
        <v>68</v>
      </c>
      <c r="D162" s="106" t="s">
        <v>379</v>
      </c>
      <c r="E162" s="3" t="s">
        <v>381</v>
      </c>
      <c r="F162" s="57" t="s">
        <v>380</v>
      </c>
      <c r="G162" s="3">
        <v>200</v>
      </c>
      <c r="H162" s="92">
        <f>7.97*368.5+445+1.26*368.5</f>
        <v>3846.2549999999997</v>
      </c>
      <c r="I162" s="36">
        <v>10000</v>
      </c>
      <c r="J162" s="19">
        <f t="shared" si="32"/>
        <v>779250.99999999988</v>
      </c>
      <c r="K162" s="39">
        <f t="shared" si="34"/>
        <v>92925.099999999991</v>
      </c>
      <c r="L162" s="149">
        <f t="shared" si="27"/>
        <v>5973.8</v>
      </c>
      <c r="M162" s="5">
        <f t="shared" si="33"/>
        <v>1194760</v>
      </c>
      <c r="N162" s="8">
        <f>VLOOKUP((J162/A162),Variables!$A$3:$C$8,2,TRUE())</f>
        <v>0.22</v>
      </c>
      <c r="O162" s="42">
        <f t="shared" si="28"/>
        <v>262847.59178082191</v>
      </c>
      <c r="P162" s="40"/>
      <c r="Q162" s="27">
        <f t="shared" si="29"/>
        <v>720.13038844060804</v>
      </c>
      <c r="R162" s="27">
        <f>VLOOKUP((J162/A162),Variables!$A$3:$C$8,3,TRUE())</f>
        <v>510</v>
      </c>
      <c r="S162" s="27">
        <f t="shared" si="30"/>
        <v>2389.5235616438354</v>
      </c>
      <c r="T162" s="24">
        <f>+V162/A162*Variables!$B$10</f>
        <v>163.66599737286546</v>
      </c>
      <c r="U162" s="28">
        <f>+(S162/(1-(N162+Variables!$B$10)))/G162</f>
        <v>16.366599737286545</v>
      </c>
      <c r="V162" s="5">
        <f t="shared" si="31"/>
        <v>1194761.7808219178</v>
      </c>
      <c r="AI162" s="18"/>
      <c r="AJ162" s="18"/>
      <c r="AK162" s="18"/>
      <c r="AL162" s="18"/>
      <c r="AM162" s="18"/>
    </row>
    <row r="163" spans="1:39" ht="15" customHeight="1" x14ac:dyDescent="0.3">
      <c r="A163" s="43">
        <v>365</v>
      </c>
      <c r="B163" s="88">
        <v>45229</v>
      </c>
      <c r="C163" s="3" t="s">
        <v>68</v>
      </c>
      <c r="D163" s="106" t="s">
        <v>382</v>
      </c>
      <c r="E163" s="3" t="s">
        <v>383</v>
      </c>
      <c r="F163" s="57" t="s">
        <v>380</v>
      </c>
      <c r="G163" s="3">
        <v>100</v>
      </c>
      <c r="H163" s="92">
        <f>2350+7.23*368.5+65.25</f>
        <v>5079.5050000000001</v>
      </c>
      <c r="I163" s="36"/>
      <c r="J163" s="19">
        <f t="shared" si="32"/>
        <v>507950.5</v>
      </c>
      <c r="K163" s="39">
        <f>+J163*0.1+2500+2500+5000</f>
        <v>60795.05</v>
      </c>
      <c r="L163" s="149">
        <f t="shared" ref="L163:L185" si="35">ROUND(IF((U163*A163*G163)&gt;(J163+(T163*A163)+K163+(Q163*A163)),(U163*A163),((J163+(T163*A163)+K163+(Q163*A163))/G163)),1)</f>
        <v>8488.7000000000007</v>
      </c>
      <c r="M163" s="5">
        <f t="shared" si="33"/>
        <v>848870.00000000012</v>
      </c>
      <c r="N163" s="8">
        <f>VLOOKUP((J163/A163),Variables!$A$3:$C$8,2,TRUE())</f>
        <v>0.28000000000000003</v>
      </c>
      <c r="O163" s="42">
        <f t="shared" ref="O163:O185" si="36">+Q163*A163</f>
        <v>237684.70746268664</v>
      </c>
      <c r="P163" s="40"/>
      <c r="Q163" s="27">
        <f t="shared" ref="Q163:Q185" si="37">+IF(((U163*G163)-S163-T163)&lt;R163,R163,((U163*G163)-S163-T163))</f>
        <v>651.19097934982642</v>
      </c>
      <c r="R163" s="27">
        <f>VLOOKUP((J163/A163),Variables!$A$3:$C$8,3,TRUE())</f>
        <v>122</v>
      </c>
      <c r="S163" s="27">
        <f t="shared" ref="S163:S181" si="38">+(J163+K163)/A163</f>
        <v>1558.2069863013701</v>
      </c>
      <c r="T163" s="24">
        <f>+V163/A163*Variables!$B$10</f>
        <v>116.28410345532615</v>
      </c>
      <c r="U163" s="28">
        <f>+(S163/(1-(N163+Variables!$B$10)))/G163</f>
        <v>23.256820691065226</v>
      </c>
      <c r="V163" s="5">
        <f t="shared" ref="V163:V185" si="39">+U163*G163*A163</f>
        <v>848873.95522388082</v>
      </c>
      <c r="AI163" s="18"/>
      <c r="AJ163" s="18"/>
      <c r="AK163" s="18"/>
      <c r="AL163" s="18"/>
      <c r="AM163" s="18"/>
    </row>
    <row r="164" spans="1:39" ht="15" customHeight="1" x14ac:dyDescent="0.3">
      <c r="A164" s="43">
        <v>365</v>
      </c>
      <c r="B164" s="88">
        <v>45229</v>
      </c>
      <c r="C164" s="3" t="s">
        <v>68</v>
      </c>
      <c r="D164" s="106" t="s">
        <v>382</v>
      </c>
      <c r="E164" s="3" t="s">
        <v>383</v>
      </c>
      <c r="F164" s="57" t="s">
        <v>380</v>
      </c>
      <c r="G164" s="3">
        <v>150</v>
      </c>
      <c r="H164" s="92">
        <f>2350+7.23*368.5+59.6</f>
        <v>5073.8550000000005</v>
      </c>
      <c r="I164" s="36"/>
      <c r="J164" s="19">
        <f t="shared" si="32"/>
        <v>761078.25000000012</v>
      </c>
      <c r="K164" s="39">
        <f>+J164*0.1+2500+2500+5000</f>
        <v>86107.825000000012</v>
      </c>
      <c r="L164" s="149">
        <f t="shared" si="35"/>
        <v>7736.9</v>
      </c>
      <c r="M164" s="5">
        <f t="shared" si="33"/>
        <v>1160535</v>
      </c>
      <c r="N164" s="8">
        <f>VLOOKUP((J164/A164),Variables!$A$3:$C$8,2,TRUE())</f>
        <v>0.22</v>
      </c>
      <c r="O164" s="42">
        <f t="shared" si="36"/>
        <v>255316.35136986314</v>
      </c>
      <c r="P164" s="40"/>
      <c r="Q164" s="27">
        <f t="shared" si="37"/>
        <v>699.49685306811818</v>
      </c>
      <c r="R164" s="27">
        <f>VLOOKUP((J164/A164),Variables!$A$3:$C$8,3,TRUE())</f>
        <v>510</v>
      </c>
      <c r="S164" s="27">
        <f t="shared" si="38"/>
        <v>2321.0577397260281</v>
      </c>
      <c r="T164" s="24">
        <f>+V164/A164*Variables!$B$10</f>
        <v>158.97655751548143</v>
      </c>
      <c r="U164" s="28">
        <f>+(S164/(1-(N164+Variables!$B$10)))/G164</f>
        <v>21.196874335397517</v>
      </c>
      <c r="V164" s="5">
        <f t="shared" si="39"/>
        <v>1160528.8698630142</v>
      </c>
      <c r="AI164" s="18"/>
      <c r="AJ164" s="18"/>
      <c r="AK164" s="18"/>
      <c r="AL164" s="18"/>
      <c r="AM164" s="18"/>
    </row>
    <row r="165" spans="1:39" ht="15" customHeight="1" x14ac:dyDescent="0.3">
      <c r="A165" s="43">
        <v>365</v>
      </c>
      <c r="B165" s="88">
        <v>45229</v>
      </c>
      <c r="C165" s="3" t="s">
        <v>68</v>
      </c>
      <c r="D165" s="106" t="s">
        <v>382</v>
      </c>
      <c r="E165" s="3" t="s">
        <v>383</v>
      </c>
      <c r="F165" s="57" t="s">
        <v>380</v>
      </c>
      <c r="G165" s="3">
        <v>200</v>
      </c>
      <c r="H165" s="92">
        <f>2100+7.23*368.5+56.78</f>
        <v>4821.0349999999999</v>
      </c>
      <c r="I165" s="36"/>
      <c r="J165" s="19">
        <f t="shared" si="32"/>
        <v>964207</v>
      </c>
      <c r="K165" s="39">
        <f>+J165*0.1+2500+2500+5000</f>
        <v>106420.70000000001</v>
      </c>
      <c r="L165" s="149">
        <f t="shared" si="35"/>
        <v>7333.1</v>
      </c>
      <c r="M165" s="5">
        <f t="shared" si="33"/>
        <v>1466620</v>
      </c>
      <c r="N165" s="8">
        <f>VLOOKUP((J165/A165),Variables!$A$3:$C$8,2,TRUE())</f>
        <v>0.22</v>
      </c>
      <c r="O165" s="42">
        <f t="shared" si="36"/>
        <v>322654.92328767135</v>
      </c>
      <c r="P165" s="40"/>
      <c r="Q165" s="27">
        <f t="shared" si="37"/>
        <v>883.98609119909963</v>
      </c>
      <c r="R165" s="27">
        <f>VLOOKUP((J165/A165),Variables!$A$3:$C$8,3,TRUE())</f>
        <v>510</v>
      </c>
      <c r="S165" s="27">
        <f t="shared" si="38"/>
        <v>2933.2265753424658</v>
      </c>
      <c r="T165" s="24">
        <f>+V165/A165*Variables!$B$10</f>
        <v>200.90592981797715</v>
      </c>
      <c r="U165" s="28">
        <f>+(S165/(1-(N165+Variables!$B$10)))/G165</f>
        <v>20.090592981797712</v>
      </c>
      <c r="V165" s="5">
        <f t="shared" si="39"/>
        <v>1466613.2876712331</v>
      </c>
      <c r="AI165" s="18"/>
      <c r="AJ165" s="18"/>
      <c r="AK165" s="18"/>
      <c r="AL165" s="18"/>
      <c r="AM165" s="18"/>
    </row>
    <row r="166" spans="1:39" ht="15" customHeight="1" x14ac:dyDescent="0.3">
      <c r="A166" s="43">
        <v>365</v>
      </c>
      <c r="B166" s="88">
        <v>45230</v>
      </c>
      <c r="C166" s="3" t="s">
        <v>286</v>
      </c>
      <c r="D166" s="106" t="s">
        <v>296</v>
      </c>
      <c r="E166" s="76" t="s">
        <v>385</v>
      </c>
      <c r="F166" s="57" t="s">
        <v>299</v>
      </c>
      <c r="G166" s="3">
        <v>300</v>
      </c>
      <c r="H166" s="92">
        <f>1113.74+2100</f>
        <v>3213.74</v>
      </c>
      <c r="I166" s="36"/>
      <c r="J166" s="19">
        <f t="shared" si="32"/>
        <v>964121.99999999988</v>
      </c>
      <c r="K166" s="39">
        <f>10000+2500</f>
        <v>12500</v>
      </c>
      <c r="L166" s="149">
        <f t="shared" si="35"/>
        <v>4459.5</v>
      </c>
      <c r="M166" s="5">
        <f t="shared" si="33"/>
        <v>1337850</v>
      </c>
      <c r="N166" s="8">
        <f>VLOOKUP((J166/A166),Variables!$A$3:$C$8,2,TRUE())</f>
        <v>0.22</v>
      </c>
      <c r="O166" s="42">
        <f t="shared" si="36"/>
        <v>294324.43835616444</v>
      </c>
      <c r="P166" s="40"/>
      <c r="Q166" s="27">
        <f t="shared" si="37"/>
        <v>806.36832426346416</v>
      </c>
      <c r="R166" s="27">
        <f>VLOOKUP((J166/A166),Variables!$A$3:$C$8,3,TRUE())</f>
        <v>510</v>
      </c>
      <c r="S166" s="27">
        <f t="shared" si="38"/>
        <v>2675.6767123287668</v>
      </c>
      <c r="T166" s="24">
        <f>+V166/A166*Variables!$B$10</f>
        <v>183.26552824169639</v>
      </c>
      <c r="U166" s="28">
        <f>+(S166/(1-(N166+Variables!$B$10)))/G166</f>
        <v>12.217701882779759</v>
      </c>
      <c r="V166" s="5">
        <f t="shared" si="39"/>
        <v>1337838.3561643835</v>
      </c>
      <c r="AI166" s="18"/>
      <c r="AJ166" s="18"/>
      <c r="AK166" s="18"/>
      <c r="AL166" s="18"/>
      <c r="AM166" s="18"/>
    </row>
    <row r="167" spans="1:39" ht="15" customHeight="1" x14ac:dyDescent="0.3">
      <c r="A167" s="43">
        <v>365</v>
      </c>
      <c r="B167" s="88">
        <v>45230</v>
      </c>
      <c r="C167" s="3" t="s">
        <v>286</v>
      </c>
      <c r="D167" s="106" t="s">
        <v>294</v>
      </c>
      <c r="E167" s="76" t="s">
        <v>386</v>
      </c>
      <c r="F167" s="57" t="s">
        <v>300</v>
      </c>
      <c r="G167" s="3">
        <v>300</v>
      </c>
      <c r="H167" s="92">
        <f>1113.74+2100+5.43*0.97*368.5</f>
        <v>5154.6663499999995</v>
      </c>
      <c r="I167" s="36"/>
      <c r="J167" s="19">
        <f t="shared" si="32"/>
        <v>1546399.9049999998</v>
      </c>
      <c r="K167" s="39">
        <f>10000+2500+5000</f>
        <v>17500</v>
      </c>
      <c r="L167" s="149">
        <f t="shared" si="35"/>
        <v>6950.7</v>
      </c>
      <c r="M167" s="5">
        <f t="shared" si="33"/>
        <v>2085210</v>
      </c>
      <c r="N167" s="8">
        <f>VLOOKUP((J167/A167),Variables!$A$3:$C$8,2,TRUE())</f>
        <v>0.2</v>
      </c>
      <c r="O167" s="42">
        <f t="shared" si="36"/>
        <v>417039.97466666671</v>
      </c>
      <c r="P167" s="40"/>
      <c r="Q167" s="27">
        <f t="shared" si="37"/>
        <v>1142.5752730593608</v>
      </c>
      <c r="R167" s="27">
        <f>VLOOKUP((J167/A167),Variables!$A$3:$C$8,3,TRUE())</f>
        <v>898</v>
      </c>
      <c r="S167" s="27">
        <f t="shared" si="38"/>
        <v>4284.6572739726025</v>
      </c>
      <c r="T167" s="24">
        <f>+V167/A167*Variables!$B$10</f>
        <v>285.64381826484021</v>
      </c>
      <c r="U167" s="28">
        <f>+(S167/(1-(N167+Variables!$B$10)))/G167</f>
        <v>19.042921217656012</v>
      </c>
      <c r="V167" s="5">
        <f t="shared" si="39"/>
        <v>2085199.8733333333</v>
      </c>
      <c r="AI167" s="18"/>
      <c r="AJ167" s="18"/>
      <c r="AK167" s="18"/>
      <c r="AL167" s="18"/>
      <c r="AM167" s="18"/>
    </row>
    <row r="168" spans="1:39" ht="15" customHeight="1" x14ac:dyDescent="0.3">
      <c r="A168" s="43">
        <v>365</v>
      </c>
      <c r="B168" s="88">
        <v>45230</v>
      </c>
      <c r="C168" s="3" t="s">
        <v>387</v>
      </c>
      <c r="D168" s="106" t="s">
        <v>389</v>
      </c>
      <c r="E168" s="76" t="s">
        <v>388</v>
      </c>
      <c r="F168" s="57"/>
      <c r="G168" s="3">
        <v>26</v>
      </c>
      <c r="H168" s="92">
        <f>16000+320+7.97*368.5+5000+1.54*368.5</f>
        <v>24824.435000000001</v>
      </c>
      <c r="I168" s="36">
        <f>14000+15000+10000</f>
        <v>39000</v>
      </c>
      <c r="J168" s="19">
        <f t="shared" si="32"/>
        <v>684435.31</v>
      </c>
      <c r="K168" s="39">
        <f>5000+5000+2500+2500+2500+2500</f>
        <v>20000</v>
      </c>
      <c r="L168" s="149">
        <f t="shared" si="35"/>
        <v>38705.199999999997</v>
      </c>
      <c r="M168" s="5">
        <f t="shared" si="33"/>
        <v>1006335.2</v>
      </c>
      <c r="N168" s="8">
        <f>VLOOKUP((J168/A168),Variables!$A$3:$C$8,2,TRUE())</f>
        <v>0.25</v>
      </c>
      <c r="O168" s="42">
        <f t="shared" si="36"/>
        <v>251584.03928571436</v>
      </c>
      <c r="P168" s="40"/>
      <c r="Q168" s="27">
        <f t="shared" si="37"/>
        <v>689.27134050880647</v>
      </c>
      <c r="R168" s="27">
        <f>VLOOKUP((J168/A168),Variables!$A$3:$C$8,3,TRUE())</f>
        <v>400</v>
      </c>
      <c r="S168" s="27">
        <f t="shared" si="38"/>
        <v>1929.9597534246577</v>
      </c>
      <c r="T168" s="24">
        <f>+V168/A168*Variables!$B$10</f>
        <v>137.85426810176128</v>
      </c>
      <c r="U168" s="28">
        <f>+(S168/(1-(N168+Variables!$B$10)))/G168</f>
        <v>106.04174469366252</v>
      </c>
      <c r="V168" s="5">
        <f t="shared" si="39"/>
        <v>1006336.1571428573</v>
      </c>
      <c r="AI168" s="18"/>
      <c r="AJ168" s="18"/>
      <c r="AK168" s="18"/>
      <c r="AL168" s="18"/>
      <c r="AM168" s="18"/>
    </row>
    <row r="169" spans="1:39" ht="15" customHeight="1" x14ac:dyDescent="0.3">
      <c r="A169" s="43">
        <v>365</v>
      </c>
      <c r="B169" s="88">
        <v>45230</v>
      </c>
      <c r="C169" s="3" t="s">
        <v>387</v>
      </c>
      <c r="D169" s="106" t="s">
        <v>391</v>
      </c>
      <c r="E169" s="76" t="s">
        <v>390</v>
      </c>
      <c r="F169" s="57"/>
      <c r="G169" s="3">
        <v>30</v>
      </c>
      <c r="H169" s="92">
        <f>8000+320+7.97*368.5+5.43*368.5+1.54*368.5</f>
        <v>13825.39</v>
      </c>
      <c r="I169" s="36">
        <f>14000+10000</f>
        <v>24000</v>
      </c>
      <c r="J169" s="19">
        <f t="shared" si="32"/>
        <v>438761.69999999995</v>
      </c>
      <c r="K169" s="39">
        <f>5000+5000+2500+2500+2500+2500</f>
        <v>20000</v>
      </c>
      <c r="L169" s="149">
        <f t="shared" si="35"/>
        <v>22824</v>
      </c>
      <c r="M169" s="5">
        <f t="shared" si="33"/>
        <v>684720</v>
      </c>
      <c r="N169" s="8">
        <f>VLOOKUP((J169/A169),Variables!$A$3:$C$8,2,TRUE())</f>
        <v>0.28000000000000003</v>
      </c>
      <c r="O169" s="42">
        <f t="shared" si="36"/>
        <v>191721.30746268659</v>
      </c>
      <c r="P169" s="40"/>
      <c r="Q169" s="27">
        <f t="shared" si="37"/>
        <v>525.26385606215501</v>
      </c>
      <c r="R169" s="27">
        <f>VLOOKUP((J169/A169),Variables!$A$3:$C$8,3,TRUE())</f>
        <v>122</v>
      </c>
      <c r="S169" s="27">
        <f t="shared" si="38"/>
        <v>1256.8813698630136</v>
      </c>
      <c r="T169" s="24">
        <f>+V169/A169*Variables!$B$10</f>
        <v>93.79711715395625</v>
      </c>
      <c r="U169" s="28">
        <f>+(S169/(1-(N169+Variables!$B$10)))/G169</f>
        <v>62.531411435970831</v>
      </c>
      <c r="V169" s="5">
        <f t="shared" si="39"/>
        <v>684718.95522388059</v>
      </c>
      <c r="AI169" s="18"/>
      <c r="AJ169" s="18"/>
      <c r="AK169" s="18"/>
      <c r="AL169" s="18"/>
      <c r="AM169" s="18"/>
    </row>
    <row r="170" spans="1:39" ht="15" customHeight="1" x14ac:dyDescent="0.3">
      <c r="A170" s="43">
        <v>365</v>
      </c>
      <c r="B170" s="88">
        <v>45230</v>
      </c>
      <c r="C170" s="3" t="s">
        <v>387</v>
      </c>
      <c r="D170" s="106" t="s">
        <v>391</v>
      </c>
      <c r="E170" s="76" t="s">
        <v>392</v>
      </c>
      <c r="F170" s="57"/>
      <c r="G170" s="3">
        <v>30</v>
      </c>
      <c r="H170" s="92">
        <f>8000+320+7.97*368.5+2.12*368.5+290.29+1.26*368.5</f>
        <v>12792.764999999999</v>
      </c>
      <c r="I170" s="36">
        <f>14000+10000</f>
        <v>24000</v>
      </c>
      <c r="J170" s="19">
        <f t="shared" si="32"/>
        <v>407782.94999999995</v>
      </c>
      <c r="K170" s="39">
        <f>5000+5000+2500+2500+2500+2500</f>
        <v>20000</v>
      </c>
      <c r="L170" s="149">
        <f t="shared" si="35"/>
        <v>21282.7</v>
      </c>
      <c r="M170" s="5">
        <f t="shared" si="33"/>
        <v>638481</v>
      </c>
      <c r="N170" s="8">
        <f>VLOOKUP((J170/A170),Variables!$A$3:$C$8,2,TRUE())</f>
        <v>0.28000000000000003</v>
      </c>
      <c r="O170" s="42">
        <f t="shared" si="36"/>
        <v>178774.96417910451</v>
      </c>
      <c r="P170" s="40"/>
      <c r="Q170" s="27">
        <f t="shared" si="37"/>
        <v>489.79442240850551</v>
      </c>
      <c r="R170" s="27">
        <f>VLOOKUP((J170/A170),Variables!$A$3:$C$8,3,TRUE())</f>
        <v>122</v>
      </c>
      <c r="S170" s="27">
        <f t="shared" si="38"/>
        <v>1172.0080821917807</v>
      </c>
      <c r="T170" s="24">
        <f>+V170/A170*Variables!$B$10</f>
        <v>87.463289715804535</v>
      </c>
      <c r="U170" s="28">
        <f>+(S170/(1-(N170+Variables!$B$10)))/G170</f>
        <v>58.308859810536354</v>
      </c>
      <c r="V170" s="5">
        <f t="shared" si="39"/>
        <v>638482.01492537314</v>
      </c>
      <c r="AI170" s="18"/>
      <c r="AJ170" s="18"/>
      <c r="AK170" s="18"/>
      <c r="AL170" s="18"/>
      <c r="AM170" s="18"/>
    </row>
    <row r="171" spans="1:39" ht="15" customHeight="1" x14ac:dyDescent="0.3">
      <c r="A171" s="43">
        <v>365</v>
      </c>
      <c r="B171" s="88">
        <v>45230</v>
      </c>
      <c r="C171" s="3" t="s">
        <v>393</v>
      </c>
      <c r="D171" s="106" t="s">
        <v>49</v>
      </c>
      <c r="E171" s="3" t="s">
        <v>394</v>
      </c>
      <c r="F171" s="57" t="s">
        <v>47</v>
      </c>
      <c r="G171" s="3">
        <v>2500</v>
      </c>
      <c r="H171" s="92">
        <v>3002.64</v>
      </c>
      <c r="I171" s="36"/>
      <c r="J171" s="19">
        <f t="shared" si="32"/>
        <v>7506600</v>
      </c>
      <c r="K171" s="39">
        <f t="shared" ref="K171:K178" si="40">10000+2500+2500+J171*0.5*0.1</f>
        <v>390330</v>
      </c>
      <c r="L171" s="149">
        <f t="shared" si="35"/>
        <v>4102.3</v>
      </c>
      <c r="M171" s="5">
        <f t="shared" si="33"/>
        <v>10255750</v>
      </c>
      <c r="N171" s="8">
        <f>VLOOKUP((J171/A171),Variables!$A$3:$C$8,2,TRUE())</f>
        <v>0.18</v>
      </c>
      <c r="O171" s="42">
        <f t="shared" si="36"/>
        <v>1846035.5844155841</v>
      </c>
      <c r="P171" s="40"/>
      <c r="Q171" s="27">
        <f t="shared" si="37"/>
        <v>5057.6317381248882</v>
      </c>
      <c r="R171" s="27">
        <f>VLOOKUP((J171/A171),Variables!$A$3:$C$8,3,TRUE())</f>
        <v>1094</v>
      </c>
      <c r="S171" s="27">
        <f t="shared" si="38"/>
        <v>21635.424657534248</v>
      </c>
      <c r="T171" s="24">
        <f>+V171/A171*Variables!$B$10</f>
        <v>1404.8977050346914</v>
      </c>
      <c r="U171" s="28">
        <f>+(S171/(1-(N171+Variables!$B$10)))/G171</f>
        <v>11.239181640277531</v>
      </c>
      <c r="V171" s="5">
        <f t="shared" si="39"/>
        <v>10255753.246753247</v>
      </c>
      <c r="AI171" s="18"/>
      <c r="AJ171" s="18"/>
      <c r="AK171" s="18"/>
      <c r="AL171" s="18"/>
      <c r="AM171" s="18"/>
    </row>
    <row r="172" spans="1:39" ht="15" customHeight="1" x14ac:dyDescent="0.3">
      <c r="A172" s="43">
        <v>365</v>
      </c>
      <c r="B172" s="88">
        <v>45230</v>
      </c>
      <c r="C172" s="3" t="s">
        <v>393</v>
      </c>
      <c r="D172" s="106" t="s">
        <v>49</v>
      </c>
      <c r="E172" s="3" t="s">
        <v>356</v>
      </c>
      <c r="F172" s="57" t="s">
        <v>47</v>
      </c>
      <c r="G172" s="3">
        <v>2500</v>
      </c>
      <c r="H172" s="92">
        <v>3091.11</v>
      </c>
      <c r="I172" s="36"/>
      <c r="J172" s="19">
        <f t="shared" si="32"/>
        <v>7727775</v>
      </c>
      <c r="K172" s="39">
        <f t="shared" si="40"/>
        <v>401388.75</v>
      </c>
      <c r="L172" s="149">
        <f t="shared" si="35"/>
        <v>4222.8999999999996</v>
      </c>
      <c r="M172" s="5">
        <f t="shared" si="33"/>
        <v>10557250</v>
      </c>
      <c r="N172" s="8">
        <f>VLOOKUP((J172/A172),Variables!$A$3:$C$8,2,TRUE())</f>
        <v>0.18</v>
      </c>
      <c r="O172" s="42">
        <f t="shared" si="36"/>
        <v>1900323.9935064937</v>
      </c>
      <c r="P172" s="40"/>
      <c r="Q172" s="27">
        <f t="shared" si="37"/>
        <v>5206.3671054972428</v>
      </c>
      <c r="R172" s="27">
        <f>VLOOKUP((J172/A172),Variables!$A$3:$C$8,3,TRUE())</f>
        <v>1094</v>
      </c>
      <c r="S172" s="27">
        <f t="shared" si="38"/>
        <v>22271.681506849316</v>
      </c>
      <c r="T172" s="24">
        <f>+V172/A172*Variables!$B$10</f>
        <v>1446.2130848603456</v>
      </c>
      <c r="U172" s="28">
        <f>+(S172/(1-(N172+Variables!$B$10)))/G172</f>
        <v>11.569704678882761</v>
      </c>
      <c r="V172" s="5">
        <f t="shared" si="39"/>
        <v>10557355.519480521</v>
      </c>
      <c r="AI172" s="18"/>
      <c r="AJ172" s="18"/>
      <c r="AK172" s="18"/>
      <c r="AL172" s="18"/>
      <c r="AM172" s="18"/>
    </row>
    <row r="173" spans="1:39" ht="15" customHeight="1" x14ac:dyDescent="0.3">
      <c r="A173" s="43">
        <v>365</v>
      </c>
      <c r="B173" s="88">
        <v>45230</v>
      </c>
      <c r="C173" s="3" t="s">
        <v>393</v>
      </c>
      <c r="D173" s="106" t="s">
        <v>49</v>
      </c>
      <c r="E173" s="3" t="s">
        <v>395</v>
      </c>
      <c r="F173" s="57" t="s">
        <v>47</v>
      </c>
      <c r="G173" s="3">
        <v>2500</v>
      </c>
      <c r="H173" s="92">
        <v>3002.64</v>
      </c>
      <c r="I173" s="36"/>
      <c r="J173" s="19">
        <f t="shared" si="32"/>
        <v>7506600</v>
      </c>
      <c r="K173" s="39">
        <f t="shared" si="40"/>
        <v>390330</v>
      </c>
      <c r="L173" s="149">
        <f t="shared" si="35"/>
        <v>4102.3</v>
      </c>
      <c r="M173" s="5">
        <f t="shared" si="33"/>
        <v>10255750</v>
      </c>
      <c r="N173" s="8">
        <f>VLOOKUP((J173/A173),Variables!$A$3:$C$8,2,TRUE())</f>
        <v>0.18</v>
      </c>
      <c r="O173" s="42">
        <f t="shared" si="36"/>
        <v>1846035.5844155841</v>
      </c>
      <c r="P173" s="40"/>
      <c r="Q173" s="27">
        <f t="shared" si="37"/>
        <v>5057.6317381248882</v>
      </c>
      <c r="R173" s="27">
        <f>VLOOKUP((J173/A173),Variables!$A$3:$C$8,3,TRUE())</f>
        <v>1094</v>
      </c>
      <c r="S173" s="27">
        <f t="shared" si="38"/>
        <v>21635.424657534248</v>
      </c>
      <c r="T173" s="24">
        <f>+V173/A173*Variables!$B$10</f>
        <v>1404.8977050346914</v>
      </c>
      <c r="U173" s="28">
        <f>+(S173/(1-(N173+Variables!$B$10)))/G173</f>
        <v>11.239181640277531</v>
      </c>
      <c r="V173" s="5">
        <f t="shared" si="39"/>
        <v>10255753.246753247</v>
      </c>
      <c r="AI173" s="18"/>
      <c r="AJ173" s="18"/>
      <c r="AK173" s="18"/>
      <c r="AL173" s="18"/>
      <c r="AM173" s="18"/>
    </row>
    <row r="174" spans="1:39" ht="15" customHeight="1" x14ac:dyDescent="0.3">
      <c r="A174" s="43">
        <v>365</v>
      </c>
      <c r="B174" s="88">
        <v>45230</v>
      </c>
      <c r="C174" s="3" t="s">
        <v>393</v>
      </c>
      <c r="D174" s="106" t="s">
        <v>49</v>
      </c>
      <c r="E174" s="3" t="s">
        <v>396</v>
      </c>
      <c r="F174" s="57" t="s">
        <v>47</v>
      </c>
      <c r="G174" s="3">
        <v>2500</v>
      </c>
      <c r="H174" s="92">
        <v>3002.64</v>
      </c>
      <c r="I174" s="36"/>
      <c r="J174" s="19">
        <f t="shared" si="32"/>
        <v>7506600</v>
      </c>
      <c r="K174" s="39">
        <f t="shared" si="40"/>
        <v>390330</v>
      </c>
      <c r="L174" s="149">
        <f t="shared" si="35"/>
        <v>4102.3</v>
      </c>
      <c r="M174" s="5">
        <f t="shared" si="33"/>
        <v>10255750</v>
      </c>
      <c r="N174" s="8">
        <f>VLOOKUP((J174/A174),Variables!$A$3:$C$8,2,TRUE())</f>
        <v>0.18</v>
      </c>
      <c r="O174" s="42">
        <f t="shared" si="36"/>
        <v>1846035.5844155841</v>
      </c>
      <c r="P174" s="40"/>
      <c r="Q174" s="27">
        <f t="shared" si="37"/>
        <v>5057.6317381248882</v>
      </c>
      <c r="R174" s="27">
        <f>VLOOKUP((J174/A174),Variables!$A$3:$C$8,3,TRUE())</f>
        <v>1094</v>
      </c>
      <c r="S174" s="27">
        <f t="shared" si="38"/>
        <v>21635.424657534248</v>
      </c>
      <c r="T174" s="24">
        <f>+V174/A174*Variables!$B$10</f>
        <v>1404.8977050346914</v>
      </c>
      <c r="U174" s="28">
        <f>+(S174/(1-(N174+Variables!$B$10)))/G174</f>
        <v>11.239181640277531</v>
      </c>
      <c r="V174" s="5">
        <f t="shared" si="39"/>
        <v>10255753.246753247</v>
      </c>
      <c r="AI174" s="18"/>
      <c r="AJ174" s="18"/>
      <c r="AK174" s="18"/>
      <c r="AL174" s="18"/>
      <c r="AM174" s="18"/>
    </row>
    <row r="175" spans="1:39" ht="15" customHeight="1" x14ac:dyDescent="0.3">
      <c r="A175" s="43">
        <v>365</v>
      </c>
      <c r="B175" s="88">
        <v>45230</v>
      </c>
      <c r="C175" s="3" t="s">
        <v>393</v>
      </c>
      <c r="D175" s="106" t="s">
        <v>49</v>
      </c>
      <c r="E175" s="3" t="s">
        <v>397</v>
      </c>
      <c r="F175" s="57" t="s">
        <v>47</v>
      </c>
      <c r="G175" s="3">
        <v>2500</v>
      </c>
      <c r="H175" s="92">
        <v>2742.03</v>
      </c>
      <c r="I175" s="36"/>
      <c r="J175" s="19">
        <f t="shared" si="32"/>
        <v>6855075.0000000009</v>
      </c>
      <c r="K175" s="39">
        <f t="shared" si="40"/>
        <v>357753.75000000006</v>
      </c>
      <c r="L175" s="149">
        <f t="shared" si="35"/>
        <v>3746.9</v>
      </c>
      <c r="M175" s="5">
        <f t="shared" si="33"/>
        <v>9367250</v>
      </c>
      <c r="N175" s="8">
        <f>VLOOKUP((J175/A175),Variables!$A$3:$C$8,2,TRUE())</f>
        <v>0.18</v>
      </c>
      <c r="O175" s="42">
        <f t="shared" si="36"/>
        <v>1686115.8116883116</v>
      </c>
      <c r="P175" s="40"/>
      <c r="Q175" s="27">
        <f t="shared" si="37"/>
        <v>4619.4953744885252</v>
      </c>
      <c r="R175" s="27">
        <f>VLOOKUP((J175/A175),Variables!$A$3:$C$8,3,TRUE())</f>
        <v>1094</v>
      </c>
      <c r="S175" s="27">
        <f t="shared" si="38"/>
        <v>19761.174657534248</v>
      </c>
      <c r="T175" s="24">
        <f>+V175/A175*Variables!$B$10</f>
        <v>1283.1931595801461</v>
      </c>
      <c r="U175" s="28">
        <f>+(S175/(1-(N175+Variables!$B$10)))/G175</f>
        <v>10.265545276641168</v>
      </c>
      <c r="V175" s="5">
        <f t="shared" si="39"/>
        <v>9367310.0649350658</v>
      </c>
      <c r="AI175" s="18"/>
      <c r="AJ175" s="18"/>
      <c r="AK175" s="18"/>
      <c r="AL175" s="18"/>
      <c r="AM175" s="18"/>
    </row>
    <row r="176" spans="1:39" ht="15" customHeight="1" x14ac:dyDescent="0.3">
      <c r="A176" s="43">
        <v>365</v>
      </c>
      <c r="B176" s="88">
        <v>45230</v>
      </c>
      <c r="C176" s="3" t="s">
        <v>393</v>
      </c>
      <c r="D176" s="106" t="s">
        <v>49</v>
      </c>
      <c r="E176" s="3" t="s">
        <v>398</v>
      </c>
      <c r="F176" s="57" t="s">
        <v>34</v>
      </c>
      <c r="G176" s="3">
        <v>2500</v>
      </c>
      <c r="H176" s="92">
        <v>2019.35</v>
      </c>
      <c r="I176" s="36"/>
      <c r="J176" s="19">
        <f t="shared" si="32"/>
        <v>5048375</v>
      </c>
      <c r="K176" s="39">
        <f t="shared" si="40"/>
        <v>267418.75</v>
      </c>
      <c r="L176" s="149">
        <f t="shared" si="35"/>
        <v>2761.5</v>
      </c>
      <c r="M176" s="5">
        <f t="shared" si="33"/>
        <v>6903750</v>
      </c>
      <c r="N176" s="8">
        <f>VLOOKUP((J176/A176),Variables!$A$3:$C$8,2,TRUE())</f>
        <v>0.18</v>
      </c>
      <c r="O176" s="42">
        <f t="shared" si="36"/>
        <v>1242653.0844155836</v>
      </c>
      <c r="P176" s="40"/>
      <c r="Q176" s="27">
        <f t="shared" si="37"/>
        <v>3404.5289983988596</v>
      </c>
      <c r="R176" s="27">
        <f>VLOOKUP((J176/A176),Variables!$A$3:$C$8,3,TRUE())</f>
        <v>1094</v>
      </c>
      <c r="S176" s="27">
        <f t="shared" si="38"/>
        <v>14563.818493150686</v>
      </c>
      <c r="T176" s="24">
        <f>+V176/A176*Variables!$B$10</f>
        <v>945.70249955523923</v>
      </c>
      <c r="U176" s="28">
        <f>+(S176/(1-(N176+Variables!$B$10)))/G176</f>
        <v>7.5656199964419137</v>
      </c>
      <c r="V176" s="5">
        <f t="shared" si="39"/>
        <v>6903628.2467532465</v>
      </c>
      <c r="AI176" s="18"/>
      <c r="AJ176" s="18"/>
      <c r="AK176" s="18"/>
      <c r="AL176" s="18"/>
      <c r="AM176" s="18"/>
    </row>
    <row r="177" spans="1:39" ht="15" customHeight="1" x14ac:dyDescent="0.3">
      <c r="A177" s="43">
        <v>365</v>
      </c>
      <c r="B177" s="88">
        <v>45230</v>
      </c>
      <c r="C177" s="3" t="s">
        <v>393</v>
      </c>
      <c r="D177" s="106" t="s">
        <v>49</v>
      </c>
      <c r="E177" s="3" t="s">
        <v>399</v>
      </c>
      <c r="F177" s="57" t="s">
        <v>34</v>
      </c>
      <c r="G177" s="3">
        <v>2500</v>
      </c>
      <c r="H177" s="92">
        <v>2247.98</v>
      </c>
      <c r="I177" s="36"/>
      <c r="J177" s="19">
        <f t="shared" si="32"/>
        <v>5619950</v>
      </c>
      <c r="K177" s="39">
        <f t="shared" si="40"/>
        <v>295997.5</v>
      </c>
      <c r="L177" s="149">
        <f t="shared" si="35"/>
        <v>3073.2</v>
      </c>
      <c r="M177" s="5">
        <f t="shared" si="33"/>
        <v>7683000</v>
      </c>
      <c r="N177" s="8">
        <f>VLOOKUP((J177/A177),Variables!$A$3:$C$8,2,TRUE())</f>
        <v>0.18</v>
      </c>
      <c r="O177" s="42">
        <f t="shared" si="36"/>
        <v>1382948.7662337658</v>
      </c>
      <c r="P177" s="40"/>
      <c r="Q177" s="27">
        <f t="shared" si="37"/>
        <v>3788.9007294075773</v>
      </c>
      <c r="R177" s="27">
        <f>VLOOKUP((J177/A177),Variables!$A$3:$C$8,3,TRUE())</f>
        <v>1094</v>
      </c>
      <c r="S177" s="27">
        <f t="shared" si="38"/>
        <v>16208.075342465754</v>
      </c>
      <c r="T177" s="24">
        <f>+V177/A177*Variables!$B$10</f>
        <v>1052.4724248354385</v>
      </c>
      <c r="U177" s="28">
        <f>+(S177/(1-(N177+Variables!$B$10)))/G177</f>
        <v>8.4197793986835077</v>
      </c>
      <c r="V177" s="5">
        <f t="shared" si="39"/>
        <v>7683048.7012987006</v>
      </c>
      <c r="AI177" s="18"/>
      <c r="AJ177" s="18"/>
      <c r="AK177" s="18"/>
      <c r="AL177" s="18"/>
      <c r="AM177" s="18"/>
    </row>
    <row r="178" spans="1:39" ht="15" customHeight="1" x14ac:dyDescent="0.3">
      <c r="A178" s="43">
        <v>365</v>
      </c>
      <c r="B178" s="88">
        <v>45230</v>
      </c>
      <c r="C178" s="3" t="s">
        <v>393</v>
      </c>
      <c r="D178" s="106" t="s">
        <v>49</v>
      </c>
      <c r="E178" s="3" t="s">
        <v>400</v>
      </c>
      <c r="F178" s="57" t="s">
        <v>34</v>
      </c>
      <c r="G178" s="3">
        <v>2500</v>
      </c>
      <c r="H178" s="92">
        <v>3878.81</v>
      </c>
      <c r="I178" s="36"/>
      <c r="J178" s="19">
        <f t="shared" si="32"/>
        <v>9697025</v>
      </c>
      <c r="K178" s="165">
        <f t="shared" si="40"/>
        <v>499851.25</v>
      </c>
      <c r="L178" s="149">
        <f t="shared" si="35"/>
        <v>5297.1</v>
      </c>
      <c r="M178" s="5">
        <f t="shared" si="33"/>
        <v>13242750</v>
      </c>
      <c r="N178" s="8">
        <f>VLOOKUP((J178/A178),Variables!$A$3:$C$8,2,TRUE())</f>
        <v>0.18</v>
      </c>
      <c r="O178" s="42">
        <f t="shared" si="36"/>
        <v>2383685.3571428573</v>
      </c>
      <c r="P178" s="40"/>
      <c r="Q178" s="27">
        <f t="shared" si="37"/>
        <v>6530.6448140900202</v>
      </c>
      <c r="R178" s="27">
        <f>VLOOKUP((J178/A178),Variables!$A$3:$C$8,3,TRUE())</f>
        <v>1094</v>
      </c>
      <c r="S178" s="27">
        <f t="shared" si="38"/>
        <v>27936.647260273974</v>
      </c>
      <c r="T178" s="24">
        <f>+V178/A178*Variables!$B$10</f>
        <v>1814.0680039138945</v>
      </c>
      <c r="U178" s="28">
        <f>+(S178/(1-(N178+Variables!$B$10)))/G178</f>
        <v>14.512544031311155</v>
      </c>
      <c r="V178" s="5">
        <f t="shared" si="39"/>
        <v>13242696.428571429</v>
      </c>
      <c r="AI178" s="18"/>
      <c r="AJ178" s="18"/>
      <c r="AK178" s="18"/>
      <c r="AL178" s="18"/>
      <c r="AM178" s="18"/>
    </row>
    <row r="179" spans="1:39" ht="15" customHeight="1" x14ac:dyDescent="0.3">
      <c r="A179" s="152">
        <v>365</v>
      </c>
      <c r="B179" s="88">
        <v>45230</v>
      </c>
      <c r="C179" s="3" t="s">
        <v>393</v>
      </c>
      <c r="D179" s="106" t="s">
        <v>49</v>
      </c>
      <c r="E179" s="3" t="s">
        <v>400</v>
      </c>
      <c r="F179" s="57" t="s">
        <v>34</v>
      </c>
      <c r="G179" s="145">
        <v>100</v>
      </c>
      <c r="H179" s="164">
        <v>5000</v>
      </c>
      <c r="I179" s="146">
        <v>2000</v>
      </c>
      <c r="J179" s="19">
        <f>(G179*H179)+I179</f>
        <v>502000</v>
      </c>
      <c r="K179" s="147">
        <v>10000</v>
      </c>
      <c r="L179" s="149">
        <f t="shared" si="35"/>
        <v>7641.8</v>
      </c>
      <c r="M179" s="5">
        <f t="shared" si="33"/>
        <v>764180</v>
      </c>
      <c r="N179" s="8">
        <f>VLOOKUP((J179/A179),Variables!$A$3:$C$8,2,TRUE())</f>
        <v>0.28000000000000003</v>
      </c>
      <c r="O179" s="42">
        <f t="shared" si="36"/>
        <v>213970.14925373133</v>
      </c>
      <c r="P179" s="40"/>
      <c r="Q179" s="27">
        <f t="shared" si="37"/>
        <v>586.21958699652419</v>
      </c>
      <c r="R179" s="27">
        <f>VLOOKUP((J179/A179),Variables!$A$3:$C$8,3,TRUE())</f>
        <v>122</v>
      </c>
      <c r="S179" s="27">
        <f t="shared" si="38"/>
        <v>1402.7397260273972</v>
      </c>
      <c r="T179" s="24">
        <f>+V179/A179*Variables!$B$10</f>
        <v>104.68206910652219</v>
      </c>
      <c r="U179" s="28">
        <f>+(S179/(1-(N179+Variables!$B$10)))/G179</f>
        <v>20.936413821304438</v>
      </c>
      <c r="V179" s="5">
        <f t="shared" si="39"/>
        <v>764179.10447761195</v>
      </c>
      <c r="AI179" s="18"/>
      <c r="AJ179" s="18"/>
      <c r="AK179" s="18"/>
      <c r="AL179" s="18"/>
      <c r="AM179" s="18"/>
    </row>
    <row r="180" spans="1:39" ht="15" customHeight="1" x14ac:dyDescent="0.3">
      <c r="A180" s="43">
        <v>365</v>
      </c>
      <c r="B180" s="88">
        <v>45237</v>
      </c>
      <c r="C180" s="3" t="s">
        <v>277</v>
      </c>
      <c r="D180" s="106" t="s">
        <v>49</v>
      </c>
      <c r="E180" s="3" t="s">
        <v>413</v>
      </c>
      <c r="F180" s="57" t="s">
        <v>34</v>
      </c>
      <c r="G180" s="3">
        <v>100</v>
      </c>
      <c r="H180" s="161">
        <v>1442</v>
      </c>
      <c r="I180" s="144"/>
      <c r="J180" s="19">
        <f t="shared" si="32"/>
        <v>144200</v>
      </c>
      <c r="K180" s="39">
        <v>12000</v>
      </c>
      <c r="L180" s="149">
        <f t="shared" si="35"/>
        <v>2403.1</v>
      </c>
      <c r="M180" s="5">
        <f t="shared" si="33"/>
        <v>240310</v>
      </c>
      <c r="N180" s="8">
        <f>VLOOKUP((J180/A180),Variables!$A$3:$C$8,2,TRUE())</f>
        <v>0.3</v>
      </c>
      <c r="O180" s="42">
        <f t="shared" si="36"/>
        <v>72092.307692307688</v>
      </c>
      <c r="P180" s="40"/>
      <c r="Q180" s="27">
        <f t="shared" si="37"/>
        <v>197.51317175974708</v>
      </c>
      <c r="R180" s="27">
        <f>VLOOKUP((J180/A180),Variables!$A$3:$C$8,3,TRUE())</f>
        <v>81.632653061224488</v>
      </c>
      <c r="S180" s="27">
        <f>+(J180+K180)/A180</f>
        <v>427.94520547945206</v>
      </c>
      <c r="T180" s="24">
        <f>+V180/A180*Variables!$B$10</f>
        <v>32.918861959957852</v>
      </c>
      <c r="U180" s="28">
        <f>+(S180/(1-(N180+Variables!$B$10)))/G180</f>
        <v>6.5837723919915696</v>
      </c>
      <c r="V180" s="5">
        <f t="shared" si="39"/>
        <v>240307.69230769228</v>
      </c>
      <c r="AI180" s="18"/>
      <c r="AJ180" s="18"/>
      <c r="AK180" s="18"/>
      <c r="AL180" s="18"/>
      <c r="AM180" s="18"/>
    </row>
    <row r="181" spans="1:39" ht="15" customHeight="1" x14ac:dyDescent="0.3">
      <c r="A181" s="43">
        <v>365</v>
      </c>
      <c r="B181" s="88">
        <v>45240</v>
      </c>
      <c r="C181" s="3" t="s">
        <v>414</v>
      </c>
      <c r="D181" s="106" t="s">
        <v>415</v>
      </c>
      <c r="E181" s="3" t="s">
        <v>416</v>
      </c>
      <c r="F181" s="57" t="s">
        <v>34</v>
      </c>
      <c r="G181" s="3">
        <v>50</v>
      </c>
      <c r="H181" s="161">
        <f>32.88*368.5+350</f>
        <v>12466.28</v>
      </c>
      <c r="I181" s="144"/>
      <c r="J181" s="19">
        <f t="shared" si="32"/>
        <v>623314</v>
      </c>
      <c r="K181" s="39">
        <v>10000</v>
      </c>
      <c r="L181" s="149">
        <f t="shared" si="35"/>
        <v>18094.7</v>
      </c>
      <c r="M181" s="5">
        <f t="shared" si="33"/>
        <v>904735</v>
      </c>
      <c r="N181" s="8">
        <f>VLOOKUP((J181/A181),Variables!$A$3:$C$8,2,TRUE())</f>
        <v>0.25</v>
      </c>
      <c r="O181" s="42">
        <f t="shared" si="36"/>
        <v>226183.57142857154</v>
      </c>
      <c r="P181" s="40"/>
      <c r="Q181" s="27">
        <f t="shared" si="37"/>
        <v>619.68101761252478</v>
      </c>
      <c r="R181" s="27">
        <f>VLOOKUP((J181/A181),Variables!$A$3:$C$8,3,TRUE())</f>
        <v>400</v>
      </c>
      <c r="S181" s="27">
        <f t="shared" si="38"/>
        <v>1735.1068493150685</v>
      </c>
      <c r="T181" s="24">
        <f>+V181/A181*Variables!$B$10</f>
        <v>123.93620352250491</v>
      </c>
      <c r="U181" s="28">
        <f>+(S181/(1-(N181+Variables!$B$10)))/G181</f>
        <v>49.574481409001962</v>
      </c>
      <c r="V181" s="5">
        <f t="shared" si="39"/>
        <v>904734.2857142858</v>
      </c>
      <c r="AI181" s="18"/>
      <c r="AJ181" s="18"/>
      <c r="AK181" s="18"/>
      <c r="AL181" s="18"/>
      <c r="AM181" s="18"/>
    </row>
    <row r="182" spans="1:39" ht="15" customHeight="1" x14ac:dyDescent="0.3">
      <c r="A182" s="43">
        <v>365</v>
      </c>
      <c r="B182" s="88">
        <v>45240</v>
      </c>
      <c r="C182" s="3" t="s">
        <v>414</v>
      </c>
      <c r="D182" s="106" t="s">
        <v>415</v>
      </c>
      <c r="E182" s="3" t="s">
        <v>416</v>
      </c>
      <c r="F182" s="57" t="s">
        <v>34</v>
      </c>
      <c r="G182" s="3">
        <v>1</v>
      </c>
      <c r="H182" s="161">
        <v>31287.68</v>
      </c>
      <c r="I182" s="144"/>
      <c r="J182" s="19">
        <f t="shared" si="32"/>
        <v>31287.68</v>
      </c>
      <c r="K182" s="39">
        <v>5000</v>
      </c>
      <c r="L182" s="149">
        <f t="shared" si="35"/>
        <v>68875</v>
      </c>
      <c r="M182" s="5">
        <f t="shared" si="33"/>
        <v>68875</v>
      </c>
      <c r="N182" s="8">
        <f>VLOOKUP((J182/A182),Variables!$A$3:$C$8,2,TRUE())</f>
        <v>0.3</v>
      </c>
      <c r="O182" s="42">
        <f t="shared" si="36"/>
        <v>29795.918367346938</v>
      </c>
      <c r="P182" s="40"/>
      <c r="Q182" s="27">
        <f t="shared" si="37"/>
        <v>81.632653061224488</v>
      </c>
      <c r="R182" s="27">
        <f>VLOOKUP((J182/A182),Variables!$A$3:$C$8,3,TRUE())</f>
        <v>81.632653061224488</v>
      </c>
      <c r="S182" s="27">
        <f t="shared" ref="S182:S185" si="41">+(J182+K182)/A182</f>
        <v>99.418301369863016</v>
      </c>
      <c r="T182" s="24">
        <f>+V182/A182*Variables!$B$10</f>
        <v>7.6475616438356173</v>
      </c>
      <c r="U182" s="28">
        <f>+(S182/(1-(N182+Variables!$B$10)))/G182</f>
        <v>152.95123287671234</v>
      </c>
      <c r="V182" s="5">
        <f t="shared" si="39"/>
        <v>55827.200000000004</v>
      </c>
      <c r="AI182" s="18"/>
      <c r="AJ182" s="18"/>
      <c r="AK182" s="18"/>
      <c r="AL182" s="18"/>
      <c r="AM182" s="18"/>
    </row>
    <row r="183" spans="1:39" ht="15" customHeight="1" x14ac:dyDescent="0.3">
      <c r="A183" s="43">
        <v>372</v>
      </c>
      <c r="B183" s="88">
        <v>45253</v>
      </c>
      <c r="C183" s="3" t="s">
        <v>110</v>
      </c>
      <c r="D183" s="106" t="s">
        <v>417</v>
      </c>
      <c r="E183" s="3" t="s">
        <v>418</v>
      </c>
      <c r="F183" s="57" t="s">
        <v>71</v>
      </c>
      <c r="G183" s="3">
        <v>200</v>
      </c>
      <c r="H183" s="161">
        <f>2500+440</f>
        <v>2940</v>
      </c>
      <c r="I183" s="144"/>
      <c r="J183" s="19">
        <f t="shared" si="32"/>
        <v>588000</v>
      </c>
      <c r="K183" s="39">
        <f>4000+4000+J183*0.05</f>
        <v>37400</v>
      </c>
      <c r="L183" s="149">
        <f t="shared" si="35"/>
        <v>4467.1000000000004</v>
      </c>
      <c r="M183" s="5">
        <f t="shared" si="33"/>
        <v>893420.00000000012</v>
      </c>
      <c r="N183" s="8">
        <f>VLOOKUP((J183/A183),Variables!$A$3:$C$8,2,TRUE())</f>
        <v>0.25</v>
      </c>
      <c r="O183" s="42">
        <f t="shared" si="36"/>
        <v>223357.14285714293</v>
      </c>
      <c r="P183" s="40"/>
      <c r="Q183" s="27">
        <f t="shared" si="37"/>
        <v>600.42242703533043</v>
      </c>
      <c r="R183" s="27">
        <f>VLOOKUP((J183/A183),Variables!$A$3:$C$8,3,TRUE())</f>
        <v>400</v>
      </c>
      <c r="S183" s="27">
        <f t="shared" si="41"/>
        <v>1681.1827956989248</v>
      </c>
      <c r="T183" s="24">
        <f>+V183/A183*Variables!$B$10</f>
        <v>120.08448540706607</v>
      </c>
      <c r="U183" s="28">
        <f>+(S183/(1-(N183+Variables!$B$10)))/G183</f>
        <v>12.008448540706606</v>
      </c>
      <c r="V183" s="5">
        <f t="shared" si="39"/>
        <v>893428.57142857148</v>
      </c>
      <c r="AI183" s="18"/>
      <c r="AJ183" s="18"/>
      <c r="AK183" s="18"/>
      <c r="AL183" s="18"/>
      <c r="AM183" s="18"/>
    </row>
    <row r="184" spans="1:39" ht="15" customHeight="1" x14ac:dyDescent="0.3">
      <c r="A184" s="43">
        <v>868.5</v>
      </c>
      <c r="B184" s="88"/>
      <c r="C184" s="3"/>
      <c r="D184" s="106"/>
      <c r="E184" s="3"/>
      <c r="F184" s="57"/>
      <c r="G184" s="145">
        <v>500</v>
      </c>
      <c r="H184" s="164">
        <v>3500</v>
      </c>
      <c r="I184" s="146">
        <v>50000</v>
      </c>
      <c r="J184" s="19">
        <f t="shared" si="32"/>
        <v>1800000</v>
      </c>
      <c r="K184" s="147">
        <v>250000</v>
      </c>
      <c r="L184" s="149">
        <f t="shared" si="35"/>
        <v>5616.4</v>
      </c>
      <c r="M184" s="5">
        <f t="shared" si="33"/>
        <v>2808200</v>
      </c>
      <c r="N184" s="8">
        <f>VLOOKUP((J184/A184),Variables!$A$3:$C$8,2,TRUE())</f>
        <v>0.22</v>
      </c>
      <c r="O184" s="42">
        <f t="shared" si="36"/>
        <v>617808.21917808219</v>
      </c>
      <c r="P184" s="40"/>
      <c r="Q184" s="27">
        <f>+IF(((U184*G184)-S184-T184)&lt;R184,R184,((U184*G184)-S184-T184))</f>
        <v>711.35085685444119</v>
      </c>
      <c r="R184" s="27">
        <f>VLOOKUP((J184/A184),Variables!$A$3:$C$8,3,TRUE())</f>
        <v>510</v>
      </c>
      <c r="S184" s="27">
        <f t="shared" si="41"/>
        <v>2360.3914795624642</v>
      </c>
      <c r="T184" s="24">
        <f>+V184/A184*Variables!$B$10</f>
        <v>161.6706492851003</v>
      </c>
      <c r="U184" s="28">
        <f>+(S184/(1-(N184+Variables!$B$10)))/G184</f>
        <v>6.4668259714040115</v>
      </c>
      <c r="V184" s="5">
        <f>+U184*G184*A184</f>
        <v>2808219.1780821919</v>
      </c>
      <c r="AI184" s="18"/>
      <c r="AJ184" s="18"/>
      <c r="AK184" s="18"/>
      <c r="AL184" s="18"/>
      <c r="AM184" s="18"/>
    </row>
    <row r="185" spans="1:39" ht="15" customHeight="1" x14ac:dyDescent="0.3">
      <c r="A185" s="43">
        <v>868.5</v>
      </c>
      <c r="B185" s="88"/>
      <c r="C185" s="3"/>
      <c r="D185" s="106"/>
      <c r="E185" s="3"/>
      <c r="F185" s="57"/>
      <c r="G185" s="3">
        <v>20</v>
      </c>
      <c r="H185" s="161">
        <v>5300</v>
      </c>
      <c r="I185" s="144">
        <v>25000</v>
      </c>
      <c r="J185" s="19">
        <f t="shared" si="32"/>
        <v>131000</v>
      </c>
      <c r="K185" s="39">
        <v>38000</v>
      </c>
      <c r="L185" s="149">
        <f t="shared" si="35"/>
        <v>13000</v>
      </c>
      <c r="M185" s="5">
        <f t="shared" si="33"/>
        <v>260000</v>
      </c>
      <c r="N185" s="8">
        <f>VLOOKUP((J185/A185),Variables!$A$3:$C$8,2,TRUE())</f>
        <v>0.3</v>
      </c>
      <c r="O185" s="42">
        <f t="shared" si="36"/>
        <v>78000</v>
      </c>
      <c r="P185" s="40"/>
      <c r="Q185" s="27">
        <f t="shared" si="37"/>
        <v>89.810017271157164</v>
      </c>
      <c r="R185" s="27">
        <f>VLOOKUP((J185/A185),Variables!$A$3:$C$8,3,TRUE())</f>
        <v>81.632653061224488</v>
      </c>
      <c r="S185" s="27">
        <f t="shared" si="41"/>
        <v>194.58837075417387</v>
      </c>
      <c r="T185" s="24">
        <f>+V185/A185*Variables!$B$10</f>
        <v>14.96833621185953</v>
      </c>
      <c r="U185" s="28">
        <f>+(S185/(1-(N185+Variables!$B$10)))/G185</f>
        <v>14.968336211859528</v>
      </c>
      <c r="V185" s="5">
        <f t="shared" si="39"/>
        <v>260000</v>
      </c>
      <c r="AI185" s="18"/>
      <c r="AJ185" s="18"/>
      <c r="AK185" s="18"/>
      <c r="AL185" s="18"/>
      <c r="AM185" s="18"/>
    </row>
    <row r="186" spans="1:39" ht="15" customHeight="1" x14ac:dyDescent="0.3">
      <c r="A186" s="43">
        <v>868.5</v>
      </c>
      <c r="B186" s="30"/>
      <c r="C186" s="31"/>
      <c r="D186" s="32"/>
      <c r="E186" s="32"/>
      <c r="F186" s="33"/>
      <c r="G186" s="34">
        <v>40</v>
      </c>
      <c r="H186" s="80">
        <v>7500</v>
      </c>
      <c r="I186" s="36">
        <v>18000</v>
      </c>
      <c r="J186" s="19">
        <f t="shared" si="32"/>
        <v>318000</v>
      </c>
      <c r="K186" s="38">
        <v>23000</v>
      </c>
      <c r="L186" s="149">
        <f t="shared" ref="L186" si="42">ROUND(IF((U186*A186*G186)&gt;(J186+(T186*A186)+K186+(Q186*A186)),(U186*A186),((J186+(T186*A186)+K186+(Q186*A186))/G186)),1)</f>
        <v>13115.4</v>
      </c>
      <c r="M186" s="5">
        <f t="shared" ref="M186" si="43">+L186*G186</f>
        <v>524616</v>
      </c>
      <c r="N186" s="8">
        <f>VLOOKUP((J186/A186),Variables!$A$3:$C$8,2,TRUE())</f>
        <v>0.3</v>
      </c>
      <c r="O186" s="42">
        <f t="shared" ref="O186" si="44">+Q186*A186</f>
        <v>157384.61538461532</v>
      </c>
      <c r="P186" s="40"/>
      <c r="Q186" s="27">
        <f t="shared" ref="Q186" si="45">+IF(((U186*G186)-S186-T186)&lt;R186,R186,((U186*G186)-S186-T186))</f>
        <v>181.21429520393244</v>
      </c>
      <c r="R186" s="27">
        <f>VLOOKUP((J186/A186),Variables!$A$3:$C$8,3,TRUE())</f>
        <v>81.632653061224488</v>
      </c>
      <c r="S186" s="27">
        <f t="shared" ref="S186" si="46">+(J186+K186)/A186</f>
        <v>392.63097294185377</v>
      </c>
      <c r="T186" s="24">
        <f>+V186/A186*Variables!$B$10</f>
        <v>30.20238253398875</v>
      </c>
      <c r="U186" s="28">
        <f>+(S186/(1-(N186+Variables!$B$10)))/G186</f>
        <v>15.101191266994373</v>
      </c>
      <c r="V186" s="5">
        <f t="shared" ref="V186" si="47">+U186*G186*A186</f>
        <v>524615.38461538451</v>
      </c>
      <c r="AI186" s="18"/>
      <c r="AJ186" s="18"/>
      <c r="AK186" s="18"/>
      <c r="AL186" s="18"/>
      <c r="AM186" s="18"/>
    </row>
    <row r="187" spans="1:39" ht="15" customHeight="1" x14ac:dyDescent="0.3">
      <c r="A187" s="43">
        <v>868.5</v>
      </c>
      <c r="B187" s="30"/>
      <c r="C187" s="31"/>
      <c r="D187" s="32"/>
      <c r="E187" s="32"/>
      <c r="F187" s="33"/>
      <c r="G187" s="34">
        <v>3000</v>
      </c>
      <c r="H187" s="80">
        <v>35000</v>
      </c>
      <c r="I187" s="36">
        <v>50000</v>
      </c>
      <c r="J187" s="19">
        <f t="shared" ref="J187" si="48">(G187*H187)+I187</f>
        <v>105050000</v>
      </c>
      <c r="K187" s="38">
        <v>75000</v>
      </c>
      <c r="L187" s="149">
        <f t="shared" ref="L187" si="49">ROUND(IF((U187*A187*G187)&gt;(J187+(T187*A187)+K187+(Q187*A187)),(U187*A187),((J187+(T187*A187)+K187+(Q187*A187))/G187)),1)</f>
        <v>45508.7</v>
      </c>
      <c r="M187" s="5">
        <f t="shared" ref="M187" si="50">+L187*G187</f>
        <v>136526100</v>
      </c>
      <c r="N187" s="8">
        <f>VLOOKUP((J187/A187),Variables!$A$3:$C$8,2,TRUE())</f>
        <v>0.18</v>
      </c>
      <c r="O187" s="42">
        <f t="shared" ref="O187" si="51">+Q187*A187</f>
        <v>24574675.324675322</v>
      </c>
      <c r="P187" s="40"/>
      <c r="Q187" s="27">
        <f t="shared" ref="Q187" si="52">+IF(((U187*G187)-S187-T187)&lt;R187,R187,((U187*G187)-S187-T187))</f>
        <v>28295.538658232956</v>
      </c>
      <c r="R187" s="27">
        <f>VLOOKUP((J187/A187),Variables!$A$3:$C$8,3,TRUE())</f>
        <v>1094</v>
      </c>
      <c r="S187" s="27">
        <f t="shared" ref="S187" si="53">+(J187+K187)/A187</f>
        <v>121042.026482441</v>
      </c>
      <c r="T187" s="24">
        <f>+V187/A187*Variables!$B$10</f>
        <v>7859.8718495091562</v>
      </c>
      <c r="U187" s="28">
        <f>+(S187/(1-(N187+Variables!$B$10)))/G187</f>
        <v>52.399145663394371</v>
      </c>
      <c r="V187" s="5">
        <f t="shared" ref="V187" si="54">+U187*G187*A187</f>
        <v>136525974.02597404</v>
      </c>
      <c r="AI187" s="18"/>
      <c r="AJ187" s="18"/>
      <c r="AK187" s="18"/>
      <c r="AL187" s="18"/>
      <c r="AM187" s="18"/>
    </row>
    <row r="188" spans="1:39" ht="15" customHeight="1" x14ac:dyDescent="0.3">
      <c r="B188" s="142" t="s">
        <v>401</v>
      </c>
      <c r="C188"/>
      <c r="D188" s="3"/>
      <c r="E188" s="3"/>
      <c r="F188" s="33"/>
      <c r="G188" s="34"/>
      <c r="H188" s="80"/>
      <c r="I188" s="36"/>
      <c r="J188" s="19">
        <f t="shared" si="32"/>
        <v>0</v>
      </c>
      <c r="K188" s="38"/>
      <c r="L188" s="149"/>
      <c r="M188" s="5"/>
      <c r="N188" s="8"/>
      <c r="O188" s="42"/>
      <c r="P188" s="40"/>
      <c r="Q188" s="27"/>
      <c r="R188" s="27"/>
      <c r="S188" s="27"/>
      <c r="T188" s="24"/>
      <c r="U188" s="28"/>
      <c r="V188" s="5"/>
      <c r="AI188" s="18"/>
      <c r="AJ188" s="18"/>
      <c r="AK188" s="18"/>
      <c r="AL188" s="18"/>
      <c r="AM188" s="18"/>
    </row>
    <row r="189" spans="1:39" ht="15" customHeight="1" x14ac:dyDescent="0.3">
      <c r="B189" s="142" t="s">
        <v>403</v>
      </c>
      <c r="C189"/>
      <c r="D189" s="3"/>
      <c r="E189" s="3"/>
      <c r="F189" s="33"/>
      <c r="G189" s="34"/>
      <c r="H189" s="80"/>
      <c r="I189" s="36"/>
      <c r="J189" s="19">
        <f t="shared" si="32"/>
        <v>0</v>
      </c>
      <c r="K189" s="38"/>
      <c r="L189" s="149"/>
      <c r="M189" s="5"/>
      <c r="N189" s="8"/>
      <c r="O189" s="42"/>
      <c r="P189" s="40"/>
      <c r="Q189" s="27"/>
      <c r="R189" s="27"/>
      <c r="S189" s="27"/>
      <c r="T189" s="24"/>
      <c r="U189" s="28"/>
      <c r="V189" s="5"/>
      <c r="AI189" s="18"/>
      <c r="AJ189" s="18"/>
      <c r="AK189" s="18"/>
      <c r="AL189" s="18"/>
      <c r="AM189" s="18"/>
    </row>
    <row r="190" spans="1:39" ht="15" customHeight="1" x14ac:dyDescent="0.3">
      <c r="B190" s="143" t="s">
        <v>404</v>
      </c>
      <c r="C190" s="3"/>
      <c r="D190"/>
      <c r="E190" s="11">
        <v>10000</v>
      </c>
      <c r="F190" s="3"/>
      <c r="G190" s="34"/>
      <c r="H190" s="80"/>
      <c r="I190" s="36"/>
      <c r="J190" s="19">
        <f t="shared" si="32"/>
        <v>0</v>
      </c>
      <c r="K190" s="38"/>
      <c r="L190" s="149"/>
      <c r="M190" s="5"/>
      <c r="N190" s="8"/>
      <c r="O190" s="42"/>
      <c r="P190" s="40"/>
      <c r="Q190" s="27"/>
      <c r="R190" s="27"/>
      <c r="S190" s="27"/>
      <c r="T190" s="24"/>
      <c r="U190" s="28"/>
      <c r="V190" s="5"/>
      <c r="AI190" s="18"/>
      <c r="AJ190" s="18"/>
      <c r="AK190" s="18"/>
      <c r="AL190" s="18"/>
      <c r="AM190" s="18"/>
    </row>
    <row r="191" spans="1:39" ht="15" customHeight="1" x14ac:dyDescent="0.3">
      <c r="B191" s="143" t="s">
        <v>405</v>
      </c>
      <c r="C191"/>
      <c r="D191"/>
      <c r="E191" s="11">
        <v>12000</v>
      </c>
      <c r="F191" s="3"/>
      <c r="G191" s="34"/>
      <c r="H191" s="80"/>
      <c r="I191" s="36"/>
      <c r="J191" s="19">
        <f t="shared" si="32"/>
        <v>0</v>
      </c>
      <c r="K191" s="38"/>
      <c r="L191" s="149"/>
      <c r="M191" s="5"/>
      <c r="N191" s="8"/>
      <c r="O191" s="42"/>
      <c r="P191" s="40"/>
      <c r="Q191" s="27"/>
      <c r="R191" s="27"/>
      <c r="S191" s="27"/>
      <c r="T191" s="24"/>
      <c r="U191" s="28"/>
      <c r="V191" s="5"/>
      <c r="AI191" s="18"/>
      <c r="AJ191" s="18"/>
      <c r="AK191" s="18"/>
      <c r="AL191" s="18"/>
      <c r="AM191" s="18"/>
    </row>
    <row r="192" spans="1:39" ht="15" customHeight="1" x14ac:dyDescent="0.3">
      <c r="B192" s="143" t="s">
        <v>406</v>
      </c>
      <c r="C192" s="3"/>
      <c r="D192"/>
      <c r="E192" s="11">
        <v>15000</v>
      </c>
      <c r="F192" s="10" t="s">
        <v>411</v>
      </c>
      <c r="G192" s="34"/>
      <c r="H192" s="80"/>
      <c r="I192" s="36"/>
      <c r="J192" s="19">
        <f t="shared" si="32"/>
        <v>0</v>
      </c>
      <c r="K192" s="38"/>
      <c r="L192" s="149"/>
      <c r="M192" s="5"/>
      <c r="N192" s="8"/>
      <c r="O192" s="42"/>
      <c r="P192" s="40"/>
      <c r="Q192" s="27"/>
      <c r="R192" s="27"/>
      <c r="S192" s="27"/>
      <c r="T192" s="24"/>
      <c r="U192" s="28"/>
      <c r="V192" s="5"/>
      <c r="AI192" s="18"/>
      <c r="AJ192" s="18"/>
      <c r="AK192" s="18"/>
      <c r="AL192" s="18"/>
      <c r="AM192" s="18"/>
    </row>
    <row r="193" spans="2:39" ht="15" customHeight="1" x14ac:dyDescent="0.3">
      <c r="B193" s="143" t="s">
        <v>407</v>
      </c>
      <c r="C193"/>
      <c r="D193"/>
      <c r="E193" s="11">
        <v>18000</v>
      </c>
      <c r="F193" s="10"/>
      <c r="G193" s="34"/>
      <c r="H193" s="80"/>
      <c r="I193" s="36"/>
      <c r="J193" s="19">
        <f t="shared" si="32"/>
        <v>0</v>
      </c>
      <c r="K193" s="38"/>
      <c r="L193" s="149"/>
      <c r="M193" s="5"/>
      <c r="N193" s="8"/>
      <c r="O193" s="42"/>
      <c r="P193" s="40"/>
      <c r="Q193" s="27"/>
      <c r="R193" s="27"/>
      <c r="S193" s="27"/>
      <c r="T193" s="24"/>
      <c r="U193" s="28"/>
      <c r="V193" s="5"/>
      <c r="AI193" s="18"/>
      <c r="AJ193" s="18"/>
      <c r="AK193" s="18"/>
      <c r="AL193" s="18"/>
      <c r="AM193" s="18"/>
    </row>
    <row r="194" spans="2:39" ht="15" customHeight="1" x14ac:dyDescent="0.3">
      <c r="B194" s="143" t="s">
        <v>408</v>
      </c>
      <c r="C194"/>
      <c r="D194"/>
      <c r="E194" s="11">
        <v>24000</v>
      </c>
      <c r="F194" s="3"/>
      <c r="G194" s="34"/>
      <c r="H194" s="80"/>
      <c r="I194" s="36"/>
      <c r="J194" s="19">
        <f t="shared" si="32"/>
        <v>0</v>
      </c>
      <c r="K194" s="38"/>
      <c r="L194" s="149"/>
      <c r="M194" s="5"/>
      <c r="N194" s="8"/>
      <c r="O194" s="42"/>
      <c r="P194" s="40"/>
      <c r="Q194" s="27"/>
      <c r="R194" s="27"/>
      <c r="S194" s="27"/>
      <c r="T194" s="24"/>
      <c r="U194" s="28"/>
      <c r="V194" s="5"/>
      <c r="AI194" s="18"/>
      <c r="AJ194" s="18"/>
      <c r="AK194" s="18"/>
      <c r="AL194" s="18"/>
      <c r="AM194" s="18"/>
    </row>
    <row r="195" spans="2:39" ht="15" customHeight="1" x14ac:dyDescent="0.3">
      <c r="B195" s="143" t="s">
        <v>409</v>
      </c>
      <c r="C195"/>
      <c r="D195"/>
      <c r="E195" s="11">
        <v>30000</v>
      </c>
      <c r="F195"/>
      <c r="G195" s="34"/>
      <c r="H195" s="80"/>
      <c r="I195" s="36"/>
      <c r="J195" s="19">
        <f t="shared" si="32"/>
        <v>0</v>
      </c>
      <c r="K195" s="38"/>
      <c r="L195" s="149"/>
      <c r="M195" s="5"/>
      <c r="N195" s="8"/>
      <c r="O195" s="42"/>
      <c r="P195" s="40"/>
      <c r="Q195" s="27"/>
      <c r="R195" s="27"/>
      <c r="S195" s="27"/>
      <c r="T195" s="24"/>
      <c r="U195" s="28"/>
      <c r="V195" s="5"/>
      <c r="AI195" s="18"/>
      <c r="AJ195" s="18"/>
      <c r="AK195" s="18"/>
      <c r="AL195" s="18"/>
      <c r="AM195" s="18"/>
    </row>
    <row r="196" spans="2:39" ht="15" customHeight="1" x14ac:dyDescent="0.3">
      <c r="B196" s="142" t="s">
        <v>410</v>
      </c>
      <c r="C196"/>
      <c r="D196" s="3"/>
      <c r="E196" s="3"/>
      <c r="F196" s="10"/>
      <c r="G196" s="34"/>
      <c r="H196" s="80"/>
      <c r="I196" s="36"/>
      <c r="J196" s="19"/>
      <c r="K196" s="38"/>
      <c r="L196" s="149"/>
      <c r="M196" s="5"/>
      <c r="N196" s="8"/>
      <c r="O196" s="42"/>
      <c r="P196" s="40"/>
      <c r="Q196" s="27"/>
      <c r="R196" s="27"/>
      <c r="S196" s="27"/>
      <c r="T196" s="24"/>
      <c r="U196" s="28"/>
      <c r="V196" s="5"/>
      <c r="AI196" s="18"/>
      <c r="AJ196" s="18"/>
      <c r="AK196" s="18"/>
      <c r="AL196" s="18"/>
      <c r="AM196" s="18"/>
    </row>
    <row r="197" spans="2:39" ht="15" customHeight="1" x14ac:dyDescent="0.3">
      <c r="B197" s="143" t="s">
        <v>404</v>
      </c>
      <c r="C197" s="3"/>
      <c r="D197"/>
      <c r="E197" s="11">
        <v>2000</v>
      </c>
      <c r="F197" s="10"/>
      <c r="G197" s="34"/>
      <c r="H197" s="80"/>
      <c r="I197" s="36"/>
      <c r="J197" s="19"/>
      <c r="K197" s="38"/>
      <c r="L197" s="149"/>
      <c r="M197" s="5"/>
      <c r="N197" s="8"/>
      <c r="O197" s="42"/>
      <c r="P197" s="40"/>
      <c r="Q197" s="27"/>
      <c r="R197" s="27"/>
      <c r="S197" s="27"/>
      <c r="T197" s="24"/>
      <c r="U197" s="28"/>
      <c r="V197" s="5"/>
      <c r="AI197" s="18"/>
      <c r="AJ197" s="18"/>
      <c r="AK197" s="18"/>
      <c r="AL197" s="18"/>
      <c r="AM197" s="18"/>
    </row>
    <row r="198" spans="2:39" ht="14.25" customHeight="1" x14ac:dyDescent="0.3">
      <c r="B198" s="143" t="s">
        <v>405</v>
      </c>
      <c r="C198" s="3"/>
      <c r="D198"/>
      <c r="E198" s="11">
        <v>3500</v>
      </c>
      <c r="F198"/>
      <c r="J198" s="5"/>
      <c r="K198" s="39"/>
      <c r="L198" s="150"/>
      <c r="M198" s="5"/>
      <c r="N198" s="13"/>
      <c r="P198" s="40"/>
      <c r="Q198" s="6"/>
      <c r="R198" s="6"/>
      <c r="U198" s="14"/>
      <c r="V198" s="5"/>
    </row>
    <row r="199" spans="2:39" ht="15" customHeight="1" x14ac:dyDescent="0.3">
      <c r="B199" s="143" t="s">
        <v>406</v>
      </c>
      <c r="C199" s="3"/>
      <c r="D199"/>
      <c r="E199" s="11">
        <v>3500</v>
      </c>
      <c r="F199" s="10" t="s">
        <v>412</v>
      </c>
      <c r="G199" s="34"/>
      <c r="H199" s="80"/>
      <c r="I199" s="36"/>
      <c r="J199" s="19"/>
      <c r="K199" s="38"/>
      <c r="L199" s="149"/>
      <c r="M199" s="5"/>
      <c r="N199" s="8"/>
      <c r="O199" s="42"/>
      <c r="P199" s="40"/>
      <c r="Q199" s="27"/>
      <c r="R199" s="27"/>
      <c r="S199" s="27"/>
      <c r="T199" s="24"/>
      <c r="U199" s="28"/>
      <c r="V199" s="5"/>
      <c r="AI199" s="18"/>
      <c r="AJ199" s="18"/>
      <c r="AK199" s="18"/>
      <c r="AL199" s="18"/>
      <c r="AM199" s="18"/>
    </row>
    <row r="200" spans="2:39" ht="15" customHeight="1" x14ac:dyDescent="0.3">
      <c r="B200" s="143" t="s">
        <v>407</v>
      </c>
      <c r="C200"/>
      <c r="D200"/>
      <c r="E200" s="11">
        <v>4000</v>
      </c>
      <c r="F200" s="3"/>
      <c r="G200" s="34"/>
      <c r="H200" s="80"/>
      <c r="I200" s="36"/>
      <c r="J200" s="19"/>
      <c r="K200" s="38"/>
      <c r="L200" s="149"/>
      <c r="M200" s="5"/>
      <c r="N200" s="8"/>
      <c r="O200" s="42"/>
      <c r="P200" s="40"/>
      <c r="Q200" s="27"/>
      <c r="R200" s="27"/>
      <c r="S200" s="27"/>
      <c r="T200" s="24"/>
      <c r="U200" s="28"/>
      <c r="V200" s="5"/>
      <c r="AI200" s="18"/>
      <c r="AJ200" s="18"/>
      <c r="AK200" s="18"/>
      <c r="AL200" s="18"/>
      <c r="AM200" s="18"/>
    </row>
    <row r="201" spans="2:39" ht="15" customHeight="1" x14ac:dyDescent="0.3">
      <c r="B201" s="143" t="s">
        <v>408</v>
      </c>
      <c r="C201"/>
      <c r="D201"/>
      <c r="E201" s="11">
        <v>5000</v>
      </c>
      <c r="F201" s="3"/>
      <c r="G201" s="34"/>
      <c r="H201" s="80"/>
      <c r="I201" s="36"/>
      <c r="J201" s="19"/>
      <c r="K201" s="38"/>
      <c r="L201" s="149"/>
      <c r="M201" s="5"/>
      <c r="N201" s="8"/>
      <c r="O201" s="42"/>
      <c r="P201" s="40"/>
      <c r="Q201" s="27"/>
      <c r="R201" s="27"/>
      <c r="S201" s="27"/>
      <c r="T201" s="24"/>
      <c r="U201" s="28"/>
      <c r="V201" s="5"/>
      <c r="AI201" s="18"/>
      <c r="AJ201" s="18"/>
      <c r="AK201" s="18"/>
      <c r="AL201" s="18"/>
      <c r="AM201" s="18"/>
    </row>
    <row r="202" spans="2:39" ht="15" customHeight="1" x14ac:dyDescent="0.3">
      <c r="B202" s="143" t="s">
        <v>409</v>
      </c>
      <c r="C202"/>
      <c r="D202"/>
      <c r="E202" s="11">
        <v>6000</v>
      </c>
      <c r="F202" s="3"/>
      <c r="G202" s="34"/>
      <c r="H202" s="80"/>
      <c r="I202" s="36"/>
      <c r="J202" s="19"/>
      <c r="K202" s="38"/>
      <c r="L202" s="149"/>
      <c r="M202" s="5"/>
      <c r="N202" s="8"/>
      <c r="O202" s="42"/>
      <c r="P202" s="40"/>
      <c r="Q202" s="27"/>
      <c r="R202" s="27"/>
      <c r="S202" s="27"/>
      <c r="T202" s="24"/>
      <c r="U202" s="28"/>
      <c r="V202" s="5"/>
      <c r="AI202" s="18"/>
      <c r="AJ202" s="18"/>
      <c r="AK202" s="18"/>
      <c r="AL202" s="18"/>
      <c r="AM202" s="18"/>
    </row>
    <row r="203" spans="2:39" ht="14.25" customHeight="1" x14ac:dyDescent="0.3">
      <c r="B203" s="143"/>
      <c r="C203" s="3"/>
      <c r="D203" s="11"/>
      <c r="E203" s="10"/>
      <c r="J203" s="5"/>
      <c r="K203" s="39"/>
      <c r="L203" s="150"/>
      <c r="M203" s="5"/>
      <c r="N203" s="13"/>
      <c r="P203" s="40"/>
      <c r="Q203" s="6"/>
      <c r="R203" s="6"/>
      <c r="U203" s="14"/>
      <c r="V203" s="5"/>
    </row>
    <row r="204" spans="2:39" ht="14.25" customHeight="1" x14ac:dyDescent="0.3">
      <c r="B204" s="142" t="s">
        <v>402</v>
      </c>
      <c r="C204"/>
      <c r="D204"/>
      <c r="E204"/>
      <c r="J204" s="5"/>
      <c r="K204" s="39"/>
      <c r="L204" s="150"/>
      <c r="M204" s="5"/>
      <c r="N204" s="13"/>
      <c r="P204" s="40"/>
      <c r="Q204" s="6"/>
      <c r="R204" s="6"/>
      <c r="U204" s="14"/>
      <c r="V204" s="5"/>
    </row>
    <row r="205" spans="2:39" ht="14.25" customHeight="1" x14ac:dyDescent="0.3">
      <c r="J205" s="5"/>
      <c r="K205" s="39"/>
      <c r="L205" s="150"/>
      <c r="M205" s="5"/>
      <c r="N205" s="13"/>
      <c r="P205" s="40"/>
      <c r="Q205" s="6"/>
      <c r="R205" s="6"/>
      <c r="U205" s="14"/>
      <c r="V205" s="5"/>
    </row>
    <row r="206" spans="2:39" ht="14.25" customHeight="1" x14ac:dyDescent="0.3">
      <c r="J206" s="5"/>
      <c r="K206" s="39"/>
      <c r="L206" s="150"/>
      <c r="M206" s="5"/>
      <c r="N206" s="13"/>
      <c r="P206" s="40"/>
      <c r="Q206" s="6"/>
      <c r="R206" s="6"/>
      <c r="U206" s="14"/>
      <c r="V206" s="5"/>
    </row>
    <row r="207" spans="2:39" ht="14.25" customHeight="1" x14ac:dyDescent="0.3">
      <c r="J207" s="5"/>
      <c r="K207" s="39"/>
      <c r="L207" s="150"/>
      <c r="M207" s="5"/>
      <c r="N207" s="13"/>
      <c r="P207" s="40"/>
      <c r="Q207" s="6"/>
      <c r="R207" s="6"/>
      <c r="U207" s="14"/>
      <c r="V207" s="5"/>
    </row>
    <row r="208" spans="2:39" ht="14.25" customHeight="1" x14ac:dyDescent="0.3">
      <c r="J208" s="5"/>
      <c r="K208" s="39"/>
      <c r="L208" s="150"/>
      <c r="M208" s="5"/>
      <c r="N208" s="13"/>
      <c r="P208" s="40"/>
      <c r="Q208" s="6"/>
      <c r="R208" s="6"/>
      <c r="U208" s="14"/>
      <c r="V208" s="5"/>
    </row>
    <row r="209" spans="10:22" ht="14.25" customHeight="1" x14ac:dyDescent="0.3">
      <c r="J209" s="5"/>
      <c r="K209" s="39"/>
      <c r="L209" s="150"/>
      <c r="M209" s="5"/>
      <c r="N209" s="13"/>
      <c r="P209" s="40"/>
      <c r="Q209" s="6"/>
      <c r="R209" s="6"/>
      <c r="U209" s="14"/>
      <c r="V209" s="5"/>
    </row>
    <row r="210" spans="10:22" ht="14.25" customHeight="1" x14ac:dyDescent="0.3">
      <c r="J210" s="5"/>
      <c r="K210" s="39"/>
      <c r="L210" s="150"/>
      <c r="M210" s="5"/>
      <c r="N210" s="13"/>
      <c r="P210" s="40"/>
      <c r="Q210" s="6"/>
      <c r="R210" s="6"/>
      <c r="U210" s="14"/>
      <c r="V210" s="5"/>
    </row>
    <row r="211" spans="10:22" ht="14.25" customHeight="1" x14ac:dyDescent="0.3">
      <c r="J211" s="5"/>
      <c r="K211" s="39"/>
      <c r="L211" s="150"/>
      <c r="M211" s="5"/>
      <c r="N211" s="13"/>
      <c r="P211" s="40"/>
      <c r="Q211" s="6"/>
      <c r="R211" s="6"/>
      <c r="U211" s="14"/>
      <c r="V211" s="5"/>
    </row>
    <row r="212" spans="10:22" ht="14.25" customHeight="1" x14ac:dyDescent="0.3">
      <c r="J212" s="5"/>
      <c r="K212" s="39"/>
      <c r="L212" s="150"/>
      <c r="M212" s="5"/>
      <c r="N212" s="13"/>
      <c r="P212" s="40"/>
      <c r="Q212" s="6"/>
      <c r="R212" s="6"/>
      <c r="U212" s="14"/>
      <c r="V212" s="5"/>
    </row>
    <row r="213" spans="10:22" ht="14.25" customHeight="1" x14ac:dyDescent="0.3">
      <c r="J213" s="5"/>
      <c r="K213" s="39"/>
      <c r="L213" s="150"/>
      <c r="M213" s="5"/>
      <c r="N213" s="13"/>
      <c r="P213" s="40"/>
      <c r="Q213" s="6"/>
      <c r="R213" s="6"/>
      <c r="U213" s="14"/>
      <c r="V213" s="5"/>
    </row>
    <row r="214" spans="10:22" ht="14.25" customHeight="1" x14ac:dyDescent="0.3">
      <c r="J214" s="5"/>
      <c r="K214" s="39"/>
      <c r="L214" s="150"/>
      <c r="M214" s="5"/>
      <c r="N214" s="13"/>
      <c r="P214" s="40"/>
      <c r="Q214" s="6"/>
      <c r="R214" s="6"/>
      <c r="U214" s="14"/>
      <c r="V214" s="5"/>
    </row>
    <row r="215" spans="10:22" ht="14.25" customHeight="1" x14ac:dyDescent="0.3">
      <c r="J215" s="5"/>
      <c r="K215" s="39"/>
      <c r="L215" s="150"/>
      <c r="M215" s="5"/>
      <c r="N215" s="13"/>
      <c r="P215" s="40"/>
      <c r="Q215" s="6"/>
      <c r="R215" s="6"/>
      <c r="U215" s="14"/>
      <c r="V215" s="5"/>
    </row>
    <row r="216" spans="10:22" ht="14.25" customHeight="1" x14ac:dyDescent="0.3">
      <c r="J216" s="5"/>
      <c r="K216" s="39"/>
      <c r="L216" s="150"/>
      <c r="M216" s="5"/>
      <c r="N216" s="13"/>
      <c r="P216" s="40"/>
      <c r="Q216" s="6"/>
      <c r="R216" s="6"/>
      <c r="U216" s="14"/>
      <c r="V216" s="5"/>
    </row>
    <row r="217" spans="10:22" ht="14.25" customHeight="1" x14ac:dyDescent="0.3">
      <c r="J217" s="5"/>
      <c r="K217" s="39"/>
      <c r="L217" s="150"/>
      <c r="M217" s="5"/>
      <c r="N217" s="13"/>
      <c r="P217" s="40"/>
      <c r="Q217" s="6"/>
      <c r="R217" s="6"/>
      <c r="U217" s="14"/>
      <c r="V217" s="5"/>
    </row>
    <row r="218" spans="10:22" ht="14.25" customHeight="1" x14ac:dyDescent="0.3">
      <c r="J218" s="5"/>
      <c r="K218" s="39"/>
      <c r="L218" s="150"/>
      <c r="M218" s="5"/>
      <c r="N218" s="13"/>
      <c r="P218" s="40"/>
      <c r="Q218" s="6"/>
      <c r="R218" s="6"/>
      <c r="U218" s="14"/>
      <c r="V218" s="5"/>
    </row>
    <row r="219" spans="10:22" ht="14.25" customHeight="1" x14ac:dyDescent="0.3">
      <c r="J219" s="5"/>
      <c r="K219" s="39"/>
      <c r="L219" s="150"/>
      <c r="M219" s="5"/>
      <c r="N219" s="13"/>
      <c r="P219" s="40"/>
      <c r="Q219" s="6"/>
      <c r="R219" s="6"/>
      <c r="U219" s="14"/>
      <c r="V219" s="5"/>
    </row>
    <row r="220" spans="10:22" ht="14.25" customHeight="1" x14ac:dyDescent="0.3">
      <c r="J220" s="5"/>
      <c r="K220" s="39"/>
      <c r="L220" s="150"/>
      <c r="M220" s="5"/>
      <c r="N220" s="13"/>
      <c r="P220" s="40"/>
      <c r="Q220" s="6"/>
      <c r="R220" s="6"/>
      <c r="U220" s="14"/>
      <c r="V220" s="5"/>
    </row>
    <row r="221" spans="10:22" ht="14.25" customHeight="1" x14ac:dyDescent="0.3">
      <c r="J221" s="5"/>
      <c r="K221" s="39"/>
      <c r="L221" s="150"/>
      <c r="M221" s="5"/>
      <c r="N221" s="13"/>
      <c r="P221" s="40"/>
      <c r="Q221" s="6"/>
      <c r="R221" s="6"/>
      <c r="U221" s="14"/>
      <c r="V221" s="5"/>
    </row>
    <row r="222" spans="10:22" ht="14.25" customHeight="1" x14ac:dyDescent="0.3">
      <c r="J222" s="5"/>
      <c r="K222" s="39"/>
      <c r="L222" s="150"/>
      <c r="M222" s="5"/>
      <c r="N222" s="13"/>
      <c r="P222" s="40"/>
      <c r="Q222" s="6"/>
      <c r="R222" s="6"/>
      <c r="U222" s="14"/>
      <c r="V222" s="5"/>
    </row>
    <row r="223" spans="10:22" ht="14.25" customHeight="1" x14ac:dyDescent="0.3">
      <c r="J223" s="5"/>
      <c r="K223" s="39"/>
      <c r="L223" s="150"/>
      <c r="M223" s="5"/>
      <c r="N223" s="13"/>
      <c r="P223" s="40"/>
      <c r="Q223" s="6"/>
      <c r="R223" s="6"/>
      <c r="U223" s="14"/>
      <c r="V223" s="5"/>
    </row>
    <row r="224" spans="10:22" ht="14.25" customHeight="1" x14ac:dyDescent="0.3">
      <c r="J224" s="5"/>
      <c r="K224" s="39"/>
      <c r="L224" s="150"/>
      <c r="M224" s="5"/>
      <c r="N224" s="13"/>
      <c r="P224" s="40"/>
      <c r="Q224" s="6"/>
      <c r="R224" s="6"/>
      <c r="U224" s="14"/>
      <c r="V224" s="5"/>
    </row>
    <row r="225" spans="10:22" ht="14.25" customHeight="1" x14ac:dyDescent="0.3">
      <c r="J225" s="5"/>
      <c r="K225" s="39"/>
      <c r="L225" s="150"/>
      <c r="M225" s="5"/>
      <c r="N225" s="13"/>
      <c r="P225" s="40"/>
      <c r="Q225" s="6"/>
      <c r="R225" s="6"/>
      <c r="U225" s="14"/>
      <c r="V225" s="5"/>
    </row>
    <row r="226" spans="10:22" ht="14.25" customHeight="1" x14ac:dyDescent="0.3">
      <c r="J226" s="5"/>
      <c r="K226" s="39"/>
      <c r="L226" s="150"/>
      <c r="M226" s="5"/>
      <c r="N226" s="13"/>
      <c r="P226" s="40"/>
      <c r="Q226" s="6"/>
      <c r="R226" s="6"/>
      <c r="U226" s="14"/>
      <c r="V226" s="5"/>
    </row>
    <row r="227" spans="10:22" ht="14.25" customHeight="1" x14ac:dyDescent="0.3">
      <c r="J227" s="5"/>
      <c r="K227" s="39"/>
      <c r="L227" s="150"/>
      <c r="M227" s="5"/>
      <c r="N227" s="13"/>
      <c r="P227" s="40"/>
      <c r="Q227" s="6"/>
      <c r="R227" s="6"/>
      <c r="U227" s="14"/>
      <c r="V227" s="5"/>
    </row>
    <row r="228" spans="10:22" ht="14.25" customHeight="1" x14ac:dyDescent="0.3">
      <c r="J228" s="5"/>
      <c r="K228" s="39"/>
      <c r="L228" s="150"/>
      <c r="M228" s="5"/>
      <c r="N228" s="13"/>
      <c r="P228" s="40"/>
      <c r="Q228" s="6"/>
      <c r="R228" s="6"/>
      <c r="U228" s="14"/>
      <c r="V228" s="5"/>
    </row>
    <row r="229" spans="10:22" ht="14.25" customHeight="1" x14ac:dyDescent="0.3">
      <c r="J229" s="5"/>
      <c r="K229" s="39"/>
      <c r="L229" s="150"/>
      <c r="M229" s="5"/>
      <c r="N229" s="13"/>
      <c r="P229" s="40"/>
      <c r="Q229" s="6"/>
      <c r="R229" s="6"/>
      <c r="U229" s="14"/>
      <c r="V229" s="5"/>
    </row>
    <row r="230" spans="10:22" ht="14.25" customHeight="1" x14ac:dyDescent="0.3">
      <c r="J230" s="5"/>
      <c r="K230" s="39"/>
      <c r="L230" s="150"/>
      <c r="M230" s="5"/>
      <c r="N230" s="13"/>
      <c r="P230" s="40"/>
      <c r="Q230" s="6"/>
      <c r="R230" s="6"/>
      <c r="U230" s="14"/>
      <c r="V230" s="5"/>
    </row>
    <row r="231" spans="10:22" ht="14.25" customHeight="1" x14ac:dyDescent="0.3">
      <c r="J231" s="5"/>
      <c r="K231" s="39"/>
      <c r="L231" s="150"/>
      <c r="M231" s="5"/>
      <c r="N231" s="13"/>
      <c r="P231" s="40"/>
      <c r="Q231" s="6"/>
      <c r="R231" s="6"/>
      <c r="U231" s="14"/>
      <c r="V231" s="5"/>
    </row>
    <row r="232" spans="10:22" ht="14.25" customHeight="1" x14ac:dyDescent="0.3">
      <c r="J232" s="5"/>
      <c r="K232" s="39"/>
      <c r="L232" s="150"/>
      <c r="M232" s="5"/>
      <c r="N232" s="13"/>
      <c r="P232" s="40"/>
      <c r="Q232" s="6"/>
      <c r="R232" s="6"/>
      <c r="U232" s="14"/>
      <c r="V232" s="5"/>
    </row>
    <row r="233" spans="10:22" ht="14.25" customHeight="1" x14ac:dyDescent="0.3">
      <c r="J233" s="5"/>
      <c r="K233" s="39"/>
      <c r="L233" s="150"/>
      <c r="M233" s="5"/>
      <c r="N233" s="13"/>
      <c r="P233" s="40"/>
      <c r="Q233" s="6"/>
      <c r="R233" s="6"/>
      <c r="U233" s="14"/>
      <c r="V233" s="5"/>
    </row>
    <row r="234" spans="10:22" ht="14.25" customHeight="1" x14ac:dyDescent="0.3">
      <c r="J234" s="5"/>
      <c r="K234" s="39"/>
      <c r="L234" s="150"/>
      <c r="M234" s="5"/>
      <c r="N234" s="13"/>
      <c r="P234" s="40"/>
      <c r="Q234" s="6"/>
      <c r="R234" s="6"/>
      <c r="U234" s="14"/>
      <c r="V234" s="5"/>
    </row>
    <row r="235" spans="10:22" ht="14.25" customHeight="1" x14ac:dyDescent="0.3">
      <c r="J235" s="5"/>
      <c r="K235" s="39"/>
      <c r="L235" s="150"/>
      <c r="M235" s="5"/>
      <c r="N235" s="13"/>
      <c r="P235" s="40"/>
      <c r="Q235" s="6"/>
      <c r="R235" s="6"/>
      <c r="U235" s="14"/>
      <c r="V235" s="5"/>
    </row>
    <row r="236" spans="10:22" ht="14.25" customHeight="1" x14ac:dyDescent="0.3">
      <c r="J236" s="5"/>
      <c r="K236" s="39"/>
      <c r="L236" s="150"/>
      <c r="M236" s="5"/>
      <c r="N236" s="13"/>
      <c r="P236" s="40"/>
      <c r="Q236" s="6"/>
      <c r="R236" s="6"/>
      <c r="U236" s="14"/>
      <c r="V236" s="5"/>
    </row>
    <row r="237" spans="10:22" ht="14.25" customHeight="1" x14ac:dyDescent="0.3">
      <c r="J237" s="5"/>
      <c r="K237" s="39"/>
      <c r="L237" s="150"/>
      <c r="M237" s="5"/>
      <c r="N237" s="13"/>
      <c r="P237" s="40"/>
      <c r="Q237" s="6"/>
      <c r="R237" s="6"/>
      <c r="U237" s="14"/>
      <c r="V237" s="5"/>
    </row>
    <row r="238" spans="10:22" ht="14.25" customHeight="1" x14ac:dyDescent="0.3">
      <c r="J238" s="5"/>
      <c r="K238" s="39"/>
      <c r="L238" s="150"/>
      <c r="M238" s="5"/>
      <c r="N238" s="13"/>
      <c r="P238" s="40"/>
      <c r="Q238" s="6"/>
      <c r="R238" s="6"/>
      <c r="U238" s="14"/>
      <c r="V238" s="5"/>
    </row>
    <row r="239" spans="10:22" ht="14.25" customHeight="1" x14ac:dyDescent="0.3">
      <c r="J239" s="5"/>
      <c r="K239" s="39"/>
      <c r="L239" s="150"/>
      <c r="M239" s="5"/>
      <c r="N239" s="13"/>
      <c r="P239" s="40"/>
      <c r="Q239" s="6"/>
      <c r="R239" s="6"/>
      <c r="U239" s="14"/>
      <c r="V239" s="5"/>
    </row>
    <row r="240" spans="10:22" ht="14.25" customHeight="1" x14ac:dyDescent="0.3">
      <c r="J240" s="5"/>
      <c r="K240" s="39"/>
      <c r="L240" s="150"/>
      <c r="M240" s="5"/>
      <c r="N240" s="13"/>
      <c r="P240" s="40"/>
      <c r="Q240" s="6"/>
      <c r="R240" s="6"/>
      <c r="U240" s="14"/>
      <c r="V240" s="5"/>
    </row>
    <row r="241" spans="10:22" ht="14.25" customHeight="1" x14ac:dyDescent="0.3">
      <c r="J241" s="5"/>
      <c r="K241" s="39"/>
      <c r="L241" s="150"/>
      <c r="M241" s="5"/>
      <c r="N241" s="13"/>
      <c r="P241" s="40"/>
      <c r="Q241" s="6"/>
      <c r="R241" s="6"/>
      <c r="U241" s="14"/>
      <c r="V241" s="5"/>
    </row>
    <row r="242" spans="10:22" ht="14.25" customHeight="1" x14ac:dyDescent="0.3">
      <c r="J242" s="5"/>
      <c r="K242" s="39"/>
      <c r="L242" s="150"/>
      <c r="M242" s="5"/>
      <c r="N242" s="13"/>
      <c r="P242" s="40"/>
      <c r="Q242" s="6"/>
      <c r="R242" s="6"/>
      <c r="U242" s="14"/>
      <c r="V242" s="5"/>
    </row>
    <row r="243" spans="10:22" ht="14.25" customHeight="1" x14ac:dyDescent="0.3">
      <c r="J243" s="5"/>
      <c r="K243" s="39"/>
      <c r="L243" s="150"/>
      <c r="M243" s="5"/>
      <c r="N243" s="13"/>
      <c r="P243" s="40"/>
      <c r="Q243" s="6"/>
      <c r="R243" s="6"/>
      <c r="U243" s="14"/>
      <c r="V243" s="5"/>
    </row>
    <row r="244" spans="10:22" ht="14.25" customHeight="1" x14ac:dyDescent="0.3">
      <c r="J244" s="5"/>
      <c r="K244" s="39"/>
      <c r="L244" s="150"/>
      <c r="M244" s="5"/>
      <c r="N244" s="13"/>
      <c r="P244" s="40"/>
      <c r="Q244" s="6"/>
      <c r="R244" s="6"/>
      <c r="U244" s="14"/>
      <c r="V244" s="5"/>
    </row>
    <row r="245" spans="10:22" ht="14.25" customHeight="1" x14ac:dyDescent="0.3">
      <c r="J245" s="5"/>
      <c r="K245" s="39"/>
      <c r="L245" s="150"/>
      <c r="M245" s="5"/>
      <c r="N245" s="13"/>
      <c r="P245" s="40"/>
      <c r="Q245" s="6"/>
      <c r="R245" s="6"/>
      <c r="U245" s="14"/>
      <c r="V245" s="5"/>
    </row>
    <row r="246" spans="10:22" ht="14.25" customHeight="1" x14ac:dyDescent="0.3">
      <c r="J246" s="5"/>
      <c r="K246" s="39"/>
      <c r="L246" s="150"/>
      <c r="M246" s="5"/>
      <c r="N246" s="13"/>
      <c r="P246" s="40"/>
      <c r="Q246" s="6"/>
      <c r="R246" s="6"/>
      <c r="U246" s="14"/>
      <c r="V246" s="5"/>
    </row>
    <row r="247" spans="10:22" ht="14.25" customHeight="1" x14ac:dyDescent="0.3">
      <c r="J247" s="5"/>
      <c r="K247" s="39"/>
      <c r="L247" s="150"/>
      <c r="M247" s="5"/>
      <c r="N247" s="13"/>
      <c r="P247" s="40"/>
      <c r="Q247" s="6"/>
      <c r="R247" s="6"/>
      <c r="U247" s="14"/>
      <c r="V247" s="5"/>
    </row>
    <row r="248" spans="10:22" ht="14.25" customHeight="1" x14ac:dyDescent="0.3">
      <c r="J248" s="5"/>
      <c r="K248" s="39"/>
      <c r="L248" s="150"/>
      <c r="M248" s="5"/>
      <c r="N248" s="13"/>
      <c r="P248" s="40"/>
      <c r="Q248" s="6"/>
      <c r="R248" s="6"/>
      <c r="U248" s="14"/>
      <c r="V248" s="5"/>
    </row>
    <row r="249" spans="10:22" ht="14.25" customHeight="1" x14ac:dyDescent="0.3">
      <c r="J249" s="5"/>
      <c r="K249" s="39"/>
      <c r="L249" s="150"/>
      <c r="M249" s="5"/>
      <c r="N249" s="13"/>
      <c r="P249" s="40"/>
      <c r="Q249" s="6"/>
      <c r="R249" s="6"/>
      <c r="U249" s="14"/>
      <c r="V249" s="5"/>
    </row>
    <row r="250" spans="10:22" ht="14.25" customHeight="1" x14ac:dyDescent="0.3">
      <c r="J250" s="5"/>
      <c r="K250" s="39"/>
      <c r="L250" s="150"/>
      <c r="M250" s="5"/>
      <c r="N250" s="13"/>
      <c r="P250" s="40"/>
      <c r="Q250" s="6"/>
      <c r="R250" s="6"/>
      <c r="U250" s="14"/>
      <c r="V250" s="5"/>
    </row>
    <row r="251" spans="10:22" ht="14.25" customHeight="1" x14ac:dyDescent="0.3">
      <c r="J251" s="5"/>
      <c r="K251" s="39"/>
      <c r="L251" s="150"/>
      <c r="M251" s="5"/>
      <c r="N251" s="13"/>
      <c r="P251" s="40"/>
      <c r="Q251" s="6"/>
      <c r="R251" s="6"/>
      <c r="U251" s="14"/>
      <c r="V251" s="5"/>
    </row>
    <row r="252" spans="10:22" ht="14.25" customHeight="1" x14ac:dyDescent="0.3">
      <c r="J252" s="5"/>
      <c r="K252" s="39"/>
      <c r="L252" s="150"/>
      <c r="M252" s="5"/>
      <c r="N252" s="13"/>
      <c r="P252" s="40"/>
      <c r="Q252" s="6"/>
      <c r="R252" s="6"/>
      <c r="U252" s="14"/>
      <c r="V252" s="5"/>
    </row>
    <row r="253" spans="10:22" ht="14.25" customHeight="1" x14ac:dyDescent="0.3">
      <c r="J253" s="5"/>
      <c r="K253" s="39"/>
      <c r="L253" s="150"/>
      <c r="M253" s="5"/>
      <c r="N253" s="13"/>
      <c r="P253" s="40"/>
      <c r="Q253" s="6"/>
      <c r="R253" s="6"/>
      <c r="U253" s="14"/>
      <c r="V253" s="5"/>
    </row>
    <row r="254" spans="10:22" ht="14.25" customHeight="1" x14ac:dyDescent="0.3">
      <c r="J254" s="5"/>
      <c r="K254" s="39"/>
      <c r="L254" s="150"/>
      <c r="M254" s="5"/>
      <c r="N254" s="13"/>
      <c r="P254" s="40"/>
      <c r="Q254" s="6"/>
      <c r="R254" s="6"/>
      <c r="U254" s="14"/>
      <c r="V254" s="5"/>
    </row>
    <row r="255" spans="10:22" ht="14.25" customHeight="1" x14ac:dyDescent="0.3">
      <c r="J255" s="5"/>
      <c r="K255" s="39"/>
      <c r="L255" s="150"/>
      <c r="M255" s="5"/>
      <c r="N255" s="13"/>
      <c r="P255" s="40"/>
      <c r="Q255" s="6"/>
      <c r="R255" s="6"/>
      <c r="U255" s="14"/>
      <c r="V255" s="5"/>
    </row>
    <row r="256" spans="10:22" ht="14.25" customHeight="1" x14ac:dyDescent="0.3">
      <c r="J256" s="5"/>
      <c r="K256" s="39"/>
      <c r="L256" s="150"/>
      <c r="M256" s="5"/>
      <c r="N256" s="13"/>
      <c r="P256" s="40"/>
      <c r="Q256" s="6"/>
      <c r="R256" s="6"/>
      <c r="U256" s="14"/>
      <c r="V256" s="5"/>
    </row>
    <row r="257" spans="10:22" ht="14.25" customHeight="1" x14ac:dyDescent="0.3">
      <c r="J257" s="5"/>
      <c r="K257" s="39"/>
      <c r="L257" s="150"/>
      <c r="M257" s="5"/>
      <c r="N257" s="13"/>
      <c r="P257" s="40"/>
      <c r="Q257" s="6"/>
      <c r="R257" s="6"/>
      <c r="U257" s="14"/>
      <c r="V257" s="5"/>
    </row>
    <row r="258" spans="10:22" ht="14.25" customHeight="1" x14ac:dyDescent="0.3">
      <c r="J258" s="5"/>
      <c r="K258" s="39"/>
      <c r="L258" s="150"/>
      <c r="M258" s="5"/>
      <c r="N258" s="13"/>
      <c r="P258" s="40"/>
      <c r="Q258" s="6"/>
      <c r="R258" s="6"/>
      <c r="U258" s="14"/>
      <c r="V258" s="5"/>
    </row>
    <row r="259" spans="10:22" ht="14.25" customHeight="1" x14ac:dyDescent="0.3">
      <c r="J259" s="5"/>
      <c r="K259" s="39"/>
      <c r="L259" s="150"/>
      <c r="M259" s="5"/>
      <c r="N259" s="13"/>
      <c r="P259" s="40"/>
      <c r="Q259" s="6"/>
      <c r="R259" s="6"/>
      <c r="U259" s="14"/>
      <c r="V259" s="5"/>
    </row>
    <row r="260" spans="10:22" ht="14.25" customHeight="1" x14ac:dyDescent="0.3">
      <c r="J260" s="5"/>
      <c r="K260" s="39"/>
      <c r="L260" s="150"/>
      <c r="M260" s="5"/>
      <c r="N260" s="13"/>
      <c r="P260" s="40"/>
      <c r="Q260" s="6"/>
      <c r="R260" s="6"/>
      <c r="U260" s="14"/>
      <c r="V260" s="5"/>
    </row>
    <row r="261" spans="10:22" ht="14.25" customHeight="1" x14ac:dyDescent="0.3">
      <c r="J261" s="5"/>
      <c r="K261" s="39"/>
      <c r="L261" s="150"/>
      <c r="M261" s="5"/>
      <c r="N261" s="13"/>
      <c r="P261" s="40"/>
      <c r="Q261" s="6"/>
      <c r="R261" s="6"/>
      <c r="U261" s="14"/>
      <c r="V261" s="5"/>
    </row>
    <row r="262" spans="10:22" ht="14.25" customHeight="1" x14ac:dyDescent="0.3">
      <c r="J262" s="5"/>
      <c r="K262" s="39"/>
      <c r="L262" s="150"/>
      <c r="M262" s="5"/>
      <c r="N262" s="13"/>
      <c r="P262" s="40"/>
      <c r="Q262" s="6"/>
      <c r="R262" s="6"/>
      <c r="U262" s="14"/>
      <c r="V262" s="5"/>
    </row>
    <row r="263" spans="10:22" ht="14.25" customHeight="1" x14ac:dyDescent="0.3">
      <c r="J263" s="5"/>
      <c r="K263" s="39"/>
      <c r="L263" s="150"/>
      <c r="M263" s="5"/>
      <c r="N263" s="13"/>
      <c r="P263" s="40"/>
      <c r="Q263" s="6"/>
      <c r="R263" s="6"/>
      <c r="U263" s="14"/>
      <c r="V263" s="5"/>
    </row>
    <row r="264" spans="10:22" ht="14.25" customHeight="1" x14ac:dyDescent="0.3">
      <c r="J264" s="5"/>
      <c r="K264" s="39"/>
      <c r="L264" s="150"/>
      <c r="M264" s="5"/>
      <c r="N264" s="13"/>
      <c r="P264" s="40"/>
      <c r="Q264" s="6"/>
      <c r="R264" s="6"/>
      <c r="U264" s="14"/>
      <c r="V264" s="5"/>
    </row>
    <row r="265" spans="10:22" ht="14.25" customHeight="1" x14ac:dyDescent="0.3">
      <c r="J265" s="5"/>
      <c r="K265" s="39"/>
      <c r="L265" s="150"/>
      <c r="M265" s="5"/>
      <c r="N265" s="13"/>
      <c r="P265" s="40"/>
      <c r="Q265" s="6"/>
      <c r="R265" s="6"/>
      <c r="U265" s="14"/>
      <c r="V265" s="5"/>
    </row>
    <row r="266" spans="10:22" ht="14.25" customHeight="1" x14ac:dyDescent="0.3">
      <c r="J266" s="5"/>
      <c r="K266" s="39"/>
      <c r="L266" s="150"/>
      <c r="M266" s="5"/>
      <c r="N266" s="13"/>
      <c r="P266" s="40"/>
      <c r="Q266" s="6"/>
      <c r="R266" s="6"/>
      <c r="U266" s="14"/>
      <c r="V266" s="5"/>
    </row>
    <row r="267" spans="10:22" ht="14.25" customHeight="1" x14ac:dyDescent="0.3">
      <c r="J267" s="5"/>
      <c r="K267" s="39"/>
      <c r="L267" s="150"/>
      <c r="M267" s="5"/>
      <c r="N267" s="13"/>
      <c r="P267" s="40"/>
      <c r="Q267" s="6"/>
      <c r="R267" s="6"/>
      <c r="U267" s="14"/>
      <c r="V267" s="5"/>
    </row>
    <row r="268" spans="10:22" ht="14.25" customHeight="1" x14ac:dyDescent="0.3">
      <c r="J268" s="5"/>
      <c r="K268" s="39"/>
      <c r="L268" s="150"/>
      <c r="M268" s="5"/>
      <c r="N268" s="13"/>
      <c r="P268" s="40"/>
      <c r="Q268" s="6"/>
      <c r="R268" s="6"/>
      <c r="U268" s="14"/>
      <c r="V268" s="5"/>
    </row>
    <row r="269" spans="10:22" ht="14.25" customHeight="1" x14ac:dyDescent="0.3">
      <c r="J269" s="5"/>
      <c r="K269" s="39"/>
      <c r="L269" s="150"/>
      <c r="M269" s="5"/>
      <c r="N269" s="13"/>
      <c r="P269" s="40"/>
      <c r="Q269" s="6"/>
      <c r="R269" s="6"/>
      <c r="U269" s="14"/>
      <c r="V269" s="5"/>
    </row>
    <row r="270" spans="10:22" ht="14.25" customHeight="1" x14ac:dyDescent="0.3">
      <c r="J270" s="5"/>
      <c r="K270" s="39"/>
      <c r="L270" s="150"/>
      <c r="M270" s="5"/>
      <c r="N270" s="13"/>
      <c r="P270" s="40"/>
      <c r="Q270" s="6"/>
      <c r="R270" s="6"/>
      <c r="U270" s="14"/>
      <c r="V270" s="5"/>
    </row>
    <row r="271" spans="10:22" ht="14.25" customHeight="1" x14ac:dyDescent="0.3">
      <c r="J271" s="5"/>
      <c r="K271" s="39"/>
      <c r="L271" s="150"/>
      <c r="M271" s="5"/>
      <c r="N271" s="13"/>
      <c r="P271" s="40"/>
      <c r="Q271" s="6"/>
      <c r="R271" s="6"/>
      <c r="U271" s="14"/>
      <c r="V271" s="5"/>
    </row>
    <row r="272" spans="10:22" ht="14.25" customHeight="1" x14ac:dyDescent="0.3">
      <c r="J272" s="5"/>
      <c r="K272" s="39"/>
      <c r="L272" s="150"/>
      <c r="M272" s="5"/>
      <c r="N272" s="13"/>
      <c r="P272" s="40"/>
      <c r="Q272" s="6"/>
      <c r="R272" s="6"/>
      <c r="U272" s="14"/>
      <c r="V272" s="5"/>
    </row>
    <row r="273" spans="10:22" ht="14.25" customHeight="1" x14ac:dyDescent="0.3">
      <c r="J273" s="5"/>
      <c r="K273" s="39"/>
      <c r="L273" s="150"/>
      <c r="M273" s="5"/>
      <c r="N273" s="13"/>
      <c r="P273" s="40"/>
      <c r="Q273" s="6"/>
      <c r="R273" s="6"/>
      <c r="U273" s="14"/>
      <c r="V273" s="5"/>
    </row>
    <row r="274" spans="10:22" ht="14.25" customHeight="1" x14ac:dyDescent="0.3">
      <c r="J274" s="5"/>
      <c r="K274" s="39"/>
      <c r="L274" s="150"/>
      <c r="M274" s="5"/>
      <c r="N274" s="13"/>
      <c r="P274" s="40"/>
      <c r="Q274" s="6"/>
      <c r="R274" s="6"/>
      <c r="U274" s="14"/>
      <c r="V274" s="5"/>
    </row>
    <row r="275" spans="10:22" ht="14.25" customHeight="1" x14ac:dyDescent="0.3">
      <c r="J275" s="5"/>
      <c r="K275" s="39"/>
      <c r="L275" s="150"/>
      <c r="M275" s="5"/>
      <c r="N275" s="13"/>
      <c r="P275" s="40"/>
      <c r="Q275" s="6"/>
      <c r="R275" s="6"/>
      <c r="U275" s="14"/>
      <c r="V275" s="5"/>
    </row>
    <row r="276" spans="10:22" ht="14.25" customHeight="1" x14ac:dyDescent="0.3">
      <c r="J276" s="5"/>
      <c r="K276" s="39"/>
      <c r="L276" s="150"/>
      <c r="M276" s="5"/>
      <c r="N276" s="13"/>
      <c r="P276" s="40"/>
      <c r="Q276" s="6"/>
      <c r="R276" s="6"/>
      <c r="U276" s="14"/>
      <c r="V276" s="5"/>
    </row>
    <row r="277" spans="10:22" ht="14.25" customHeight="1" x14ac:dyDescent="0.3">
      <c r="J277" s="5"/>
      <c r="K277" s="39"/>
      <c r="L277" s="150"/>
      <c r="M277" s="5"/>
      <c r="N277" s="13"/>
      <c r="P277" s="40"/>
      <c r="Q277" s="6"/>
      <c r="R277" s="6"/>
      <c r="U277" s="14"/>
      <c r="V277" s="5"/>
    </row>
    <row r="278" spans="10:22" ht="14.25" customHeight="1" x14ac:dyDescent="0.3">
      <c r="J278" s="5"/>
      <c r="K278" s="39"/>
      <c r="L278" s="150"/>
      <c r="M278" s="5"/>
      <c r="N278" s="13"/>
      <c r="P278" s="40"/>
      <c r="Q278" s="6"/>
      <c r="R278" s="6"/>
      <c r="U278" s="14"/>
      <c r="V278" s="5"/>
    </row>
    <row r="279" spans="10:22" ht="14.25" customHeight="1" x14ac:dyDescent="0.3">
      <c r="J279" s="5"/>
      <c r="K279" s="39"/>
      <c r="L279" s="150"/>
      <c r="M279" s="5"/>
      <c r="N279" s="13"/>
      <c r="P279" s="40"/>
      <c r="Q279" s="6"/>
      <c r="R279" s="6"/>
      <c r="U279" s="14"/>
      <c r="V279" s="5"/>
    </row>
    <row r="280" spans="10:22" ht="14.25" customHeight="1" x14ac:dyDescent="0.3">
      <c r="J280" s="5"/>
      <c r="K280" s="39"/>
      <c r="L280" s="150"/>
      <c r="M280" s="5"/>
      <c r="N280" s="13"/>
      <c r="P280" s="40"/>
      <c r="Q280" s="6"/>
      <c r="R280" s="6"/>
      <c r="U280" s="14"/>
      <c r="V280" s="5"/>
    </row>
    <row r="281" spans="10:22" ht="14.25" customHeight="1" x14ac:dyDescent="0.3">
      <c r="J281" s="5"/>
      <c r="K281" s="39"/>
      <c r="L281" s="150"/>
      <c r="M281" s="5"/>
      <c r="N281" s="13"/>
      <c r="P281" s="40"/>
      <c r="Q281" s="6"/>
      <c r="R281" s="6"/>
      <c r="U281" s="14"/>
      <c r="V281" s="5"/>
    </row>
    <row r="282" spans="10:22" ht="14.25" customHeight="1" x14ac:dyDescent="0.3">
      <c r="J282" s="5"/>
      <c r="K282" s="39"/>
      <c r="L282" s="150"/>
      <c r="M282" s="5"/>
      <c r="N282" s="13"/>
      <c r="P282" s="40"/>
      <c r="Q282" s="6"/>
      <c r="R282" s="6"/>
      <c r="U282" s="14"/>
      <c r="V282" s="5"/>
    </row>
    <row r="283" spans="10:22" ht="14.25" customHeight="1" x14ac:dyDescent="0.3">
      <c r="J283" s="5"/>
      <c r="K283" s="39"/>
      <c r="L283" s="150"/>
      <c r="M283" s="5"/>
      <c r="N283" s="13"/>
      <c r="P283" s="40"/>
      <c r="Q283" s="6"/>
      <c r="R283" s="6"/>
      <c r="U283" s="14"/>
      <c r="V283" s="5"/>
    </row>
    <row r="284" spans="10:22" ht="14.25" customHeight="1" x14ac:dyDescent="0.3">
      <c r="J284" s="5"/>
      <c r="K284" s="39"/>
      <c r="L284" s="150"/>
      <c r="M284" s="5"/>
      <c r="N284" s="13"/>
      <c r="P284" s="40"/>
      <c r="Q284" s="6"/>
      <c r="R284" s="6"/>
      <c r="U284" s="14"/>
      <c r="V284" s="5"/>
    </row>
    <row r="285" spans="10:22" ht="14.25" customHeight="1" x14ac:dyDescent="0.3">
      <c r="J285" s="5"/>
      <c r="K285" s="39"/>
      <c r="L285" s="150"/>
      <c r="M285" s="5"/>
      <c r="N285" s="13"/>
      <c r="P285" s="40"/>
      <c r="Q285" s="6"/>
      <c r="R285" s="6"/>
      <c r="U285" s="14"/>
      <c r="V285" s="5"/>
    </row>
    <row r="286" spans="10:22" ht="14.25" customHeight="1" x14ac:dyDescent="0.3">
      <c r="J286" s="5"/>
      <c r="K286" s="39"/>
      <c r="L286" s="150"/>
      <c r="M286" s="5"/>
      <c r="N286" s="13"/>
      <c r="P286" s="40"/>
      <c r="Q286" s="6"/>
      <c r="R286" s="6"/>
      <c r="U286" s="14"/>
      <c r="V286" s="5"/>
    </row>
    <row r="287" spans="10:22" ht="14.25" customHeight="1" x14ac:dyDescent="0.3">
      <c r="J287" s="5"/>
      <c r="K287" s="39"/>
      <c r="L287" s="150"/>
      <c r="M287" s="5"/>
      <c r="N287" s="13"/>
      <c r="P287" s="40"/>
      <c r="Q287" s="6"/>
      <c r="R287" s="6"/>
      <c r="U287" s="14"/>
      <c r="V287" s="5"/>
    </row>
    <row r="288" spans="10:22" ht="14.25" customHeight="1" x14ac:dyDescent="0.3">
      <c r="J288" s="5"/>
      <c r="K288" s="39"/>
      <c r="L288" s="150"/>
      <c r="M288" s="5"/>
      <c r="N288" s="13"/>
      <c r="P288" s="40"/>
      <c r="Q288" s="6"/>
      <c r="R288" s="6"/>
      <c r="U288" s="14"/>
      <c r="V288" s="5"/>
    </row>
    <row r="289" spans="10:22" ht="14.25" customHeight="1" x14ac:dyDescent="0.3">
      <c r="J289" s="5"/>
      <c r="K289" s="39"/>
      <c r="L289" s="150"/>
      <c r="M289" s="5"/>
      <c r="N289" s="13"/>
      <c r="P289" s="40"/>
      <c r="Q289" s="6"/>
      <c r="R289" s="6"/>
      <c r="U289" s="14"/>
      <c r="V289" s="5"/>
    </row>
    <row r="290" spans="10:22" ht="14.25" customHeight="1" x14ac:dyDescent="0.3">
      <c r="J290" s="5"/>
      <c r="K290" s="39"/>
      <c r="L290" s="150"/>
      <c r="M290" s="5"/>
      <c r="N290" s="13"/>
      <c r="P290" s="40"/>
      <c r="Q290" s="6"/>
      <c r="R290" s="6"/>
      <c r="U290" s="14"/>
      <c r="V290" s="5"/>
    </row>
    <row r="291" spans="10:22" ht="14.25" customHeight="1" x14ac:dyDescent="0.3">
      <c r="J291" s="5"/>
      <c r="K291" s="39"/>
      <c r="L291" s="150"/>
      <c r="M291" s="5"/>
      <c r="N291" s="13"/>
      <c r="P291" s="40"/>
      <c r="Q291" s="6"/>
      <c r="R291" s="6"/>
      <c r="U291" s="14"/>
      <c r="V291" s="5"/>
    </row>
    <row r="292" spans="10:22" ht="14.25" customHeight="1" x14ac:dyDescent="0.3">
      <c r="J292" s="5"/>
      <c r="K292" s="39"/>
      <c r="L292" s="150"/>
      <c r="M292" s="5"/>
      <c r="N292" s="13"/>
      <c r="P292" s="40"/>
      <c r="Q292" s="6"/>
      <c r="R292" s="6"/>
      <c r="U292" s="14"/>
      <c r="V292" s="5"/>
    </row>
    <row r="293" spans="10:22" ht="14.25" customHeight="1" x14ac:dyDescent="0.3">
      <c r="J293" s="5"/>
      <c r="K293" s="39"/>
      <c r="L293" s="150"/>
      <c r="M293" s="5"/>
      <c r="N293" s="13"/>
      <c r="P293" s="40"/>
      <c r="Q293" s="6"/>
      <c r="R293" s="6"/>
      <c r="U293" s="14"/>
      <c r="V293" s="5"/>
    </row>
    <row r="294" spans="10:22" ht="14.25" customHeight="1" x14ac:dyDescent="0.3">
      <c r="J294" s="5"/>
      <c r="K294" s="39"/>
      <c r="L294" s="150"/>
      <c r="M294" s="5"/>
      <c r="N294" s="13"/>
      <c r="P294" s="40"/>
      <c r="Q294" s="6"/>
      <c r="R294" s="6"/>
      <c r="U294" s="14"/>
      <c r="V294" s="5"/>
    </row>
    <row r="295" spans="10:22" ht="14.25" customHeight="1" x14ac:dyDescent="0.3">
      <c r="J295" s="5"/>
      <c r="K295" s="39"/>
      <c r="L295" s="150"/>
      <c r="M295" s="5"/>
      <c r="N295" s="13"/>
      <c r="P295" s="40"/>
      <c r="Q295" s="6"/>
      <c r="R295" s="6"/>
      <c r="U295" s="14"/>
      <c r="V295" s="5"/>
    </row>
    <row r="296" spans="10:22" ht="14.25" customHeight="1" x14ac:dyDescent="0.3">
      <c r="J296" s="5"/>
      <c r="K296" s="39"/>
      <c r="L296" s="150"/>
      <c r="M296" s="5"/>
      <c r="N296" s="13"/>
      <c r="P296" s="40"/>
      <c r="Q296" s="6"/>
      <c r="R296" s="6"/>
      <c r="U296" s="14"/>
      <c r="V296" s="5"/>
    </row>
    <row r="297" spans="10:22" ht="14.25" customHeight="1" x14ac:dyDescent="0.3">
      <c r="J297" s="5"/>
      <c r="K297" s="39"/>
      <c r="L297" s="150"/>
      <c r="M297" s="5"/>
      <c r="N297" s="13"/>
      <c r="P297" s="40"/>
      <c r="Q297" s="6"/>
      <c r="R297" s="6"/>
      <c r="U297" s="14"/>
      <c r="V297" s="5"/>
    </row>
    <row r="298" spans="10:22" ht="14.25" customHeight="1" x14ac:dyDescent="0.3">
      <c r="J298" s="5"/>
      <c r="K298" s="39"/>
      <c r="L298" s="150"/>
      <c r="M298" s="5"/>
      <c r="N298" s="13"/>
      <c r="P298" s="40"/>
      <c r="Q298" s="6"/>
      <c r="R298" s="6"/>
      <c r="U298" s="14"/>
      <c r="V298" s="5"/>
    </row>
    <row r="299" spans="10:22" ht="14.25" customHeight="1" x14ac:dyDescent="0.3">
      <c r="J299" s="5"/>
      <c r="K299" s="39"/>
      <c r="L299" s="150"/>
      <c r="M299" s="5"/>
      <c r="N299" s="13"/>
      <c r="P299" s="40"/>
      <c r="Q299" s="6"/>
      <c r="R299" s="6"/>
      <c r="U299" s="14"/>
      <c r="V299" s="5"/>
    </row>
    <row r="300" spans="10:22" ht="14.25" customHeight="1" x14ac:dyDescent="0.3">
      <c r="J300" s="5"/>
      <c r="K300" s="39"/>
      <c r="L300" s="150"/>
      <c r="M300" s="5"/>
      <c r="N300" s="13"/>
      <c r="P300" s="40"/>
      <c r="Q300" s="6"/>
      <c r="R300" s="6"/>
      <c r="U300" s="14"/>
      <c r="V300" s="5"/>
    </row>
    <row r="301" spans="10:22" ht="14.25" customHeight="1" x14ac:dyDescent="0.3">
      <c r="J301" s="5"/>
      <c r="K301" s="39"/>
      <c r="L301" s="150"/>
      <c r="M301" s="5"/>
      <c r="N301" s="13"/>
      <c r="P301" s="40"/>
      <c r="Q301" s="6"/>
      <c r="R301" s="6"/>
      <c r="U301" s="14"/>
      <c r="V301" s="5"/>
    </row>
    <row r="302" spans="10:22" ht="14.25" customHeight="1" x14ac:dyDescent="0.3">
      <c r="J302" s="5"/>
      <c r="K302" s="39"/>
      <c r="L302" s="150"/>
      <c r="M302" s="5"/>
      <c r="N302" s="13"/>
      <c r="P302" s="40"/>
      <c r="Q302" s="6"/>
      <c r="R302" s="6"/>
      <c r="U302" s="14"/>
      <c r="V302" s="5"/>
    </row>
    <row r="303" spans="10:22" ht="14.25" customHeight="1" x14ac:dyDescent="0.3">
      <c r="J303" s="5"/>
      <c r="K303" s="39"/>
      <c r="L303" s="150"/>
      <c r="M303" s="5"/>
      <c r="N303" s="13"/>
      <c r="P303" s="40"/>
      <c r="Q303" s="6"/>
      <c r="R303" s="6"/>
      <c r="U303" s="14"/>
      <c r="V303" s="5"/>
    </row>
    <row r="304" spans="10:22" ht="14.25" customHeight="1" x14ac:dyDescent="0.3">
      <c r="J304" s="5"/>
      <c r="K304" s="39"/>
      <c r="L304" s="150"/>
      <c r="M304" s="5"/>
      <c r="N304" s="13"/>
      <c r="P304" s="40"/>
      <c r="Q304" s="6"/>
      <c r="R304" s="6"/>
      <c r="U304" s="14"/>
      <c r="V304" s="5"/>
    </row>
    <row r="305" spans="10:22" ht="14.25" customHeight="1" x14ac:dyDescent="0.3">
      <c r="J305" s="5"/>
      <c r="K305" s="39"/>
      <c r="L305" s="150"/>
      <c r="M305" s="5"/>
      <c r="N305" s="13"/>
      <c r="P305" s="40"/>
      <c r="Q305" s="6"/>
      <c r="R305" s="6"/>
      <c r="U305" s="14"/>
      <c r="V305" s="5"/>
    </row>
    <row r="306" spans="10:22" ht="14.25" customHeight="1" x14ac:dyDescent="0.3">
      <c r="J306" s="5"/>
      <c r="K306" s="39"/>
      <c r="L306" s="150"/>
      <c r="M306" s="5"/>
      <c r="N306" s="13"/>
      <c r="P306" s="40"/>
      <c r="Q306" s="6"/>
      <c r="R306" s="6"/>
      <c r="U306" s="14"/>
      <c r="V306" s="5"/>
    </row>
    <row r="307" spans="10:22" ht="14.25" customHeight="1" x14ac:dyDescent="0.3">
      <c r="J307" s="5"/>
      <c r="K307" s="39"/>
      <c r="L307" s="150"/>
      <c r="M307" s="5"/>
      <c r="N307" s="13"/>
      <c r="P307" s="40"/>
      <c r="Q307" s="6"/>
      <c r="R307" s="6"/>
      <c r="U307" s="14"/>
      <c r="V307" s="5"/>
    </row>
    <row r="308" spans="10:22" ht="14.25" customHeight="1" x14ac:dyDescent="0.3">
      <c r="J308" s="5"/>
      <c r="K308" s="39"/>
      <c r="L308" s="150"/>
      <c r="M308" s="5"/>
      <c r="N308" s="13"/>
      <c r="P308" s="40"/>
      <c r="Q308" s="6"/>
      <c r="R308" s="6"/>
      <c r="U308" s="14"/>
      <c r="V308" s="5"/>
    </row>
    <row r="309" spans="10:22" ht="14.25" customHeight="1" x14ac:dyDescent="0.3">
      <c r="J309" s="5"/>
      <c r="K309" s="39"/>
      <c r="L309" s="150"/>
      <c r="M309" s="5"/>
      <c r="N309" s="13"/>
      <c r="P309" s="40"/>
      <c r="Q309" s="6"/>
      <c r="R309" s="6"/>
      <c r="U309" s="14"/>
      <c r="V309" s="5"/>
    </row>
    <row r="310" spans="10:22" ht="14.25" customHeight="1" x14ac:dyDescent="0.3">
      <c r="J310" s="5"/>
      <c r="K310" s="39"/>
      <c r="L310" s="150"/>
      <c r="M310" s="5"/>
      <c r="N310" s="13"/>
      <c r="P310" s="40"/>
      <c r="Q310" s="6"/>
      <c r="R310" s="6"/>
      <c r="U310" s="14"/>
      <c r="V310" s="5"/>
    </row>
    <row r="311" spans="10:22" ht="14.25" customHeight="1" x14ac:dyDescent="0.3">
      <c r="J311" s="5"/>
      <c r="K311" s="39"/>
      <c r="L311" s="150"/>
      <c r="M311" s="5"/>
      <c r="N311" s="13"/>
      <c r="P311" s="40"/>
      <c r="Q311" s="6"/>
      <c r="R311" s="6"/>
      <c r="U311" s="14"/>
      <c r="V311" s="5"/>
    </row>
    <row r="312" spans="10:22" ht="14.25" customHeight="1" x14ac:dyDescent="0.3">
      <c r="J312" s="5"/>
      <c r="K312" s="39"/>
      <c r="L312" s="150"/>
      <c r="M312" s="5"/>
      <c r="N312" s="13"/>
      <c r="P312" s="40"/>
      <c r="Q312" s="6"/>
      <c r="R312" s="6"/>
      <c r="U312" s="14"/>
      <c r="V312" s="5"/>
    </row>
    <row r="313" spans="10:22" ht="14.25" customHeight="1" x14ac:dyDescent="0.3">
      <c r="J313" s="5"/>
      <c r="K313" s="39"/>
      <c r="L313" s="150"/>
      <c r="M313" s="5"/>
      <c r="N313" s="13"/>
      <c r="P313" s="40"/>
      <c r="Q313" s="6"/>
      <c r="R313" s="6"/>
      <c r="U313" s="14"/>
      <c r="V313" s="5"/>
    </row>
    <row r="314" spans="10:22" ht="14.25" customHeight="1" x14ac:dyDescent="0.3">
      <c r="J314" s="5"/>
      <c r="K314" s="39"/>
      <c r="L314" s="150"/>
      <c r="M314" s="5"/>
      <c r="N314" s="13"/>
      <c r="P314" s="40"/>
      <c r="Q314" s="6"/>
      <c r="R314" s="6"/>
      <c r="U314" s="14"/>
      <c r="V314" s="5"/>
    </row>
    <row r="315" spans="10:22" ht="14.25" customHeight="1" x14ac:dyDescent="0.3">
      <c r="J315" s="5"/>
      <c r="K315" s="39"/>
      <c r="L315" s="150"/>
      <c r="M315" s="5"/>
      <c r="N315" s="13"/>
      <c r="P315" s="40"/>
      <c r="Q315" s="6"/>
      <c r="R315" s="6"/>
      <c r="U315" s="14"/>
      <c r="V315" s="5"/>
    </row>
    <row r="316" spans="10:22" ht="14.25" customHeight="1" x14ac:dyDescent="0.3">
      <c r="J316" s="5"/>
      <c r="K316" s="39"/>
      <c r="L316" s="150"/>
      <c r="M316" s="5"/>
      <c r="N316" s="13"/>
      <c r="P316" s="40"/>
      <c r="Q316" s="6"/>
      <c r="R316" s="6"/>
      <c r="U316" s="14"/>
      <c r="V316" s="5"/>
    </row>
    <row r="317" spans="10:22" ht="14.25" customHeight="1" x14ac:dyDescent="0.3">
      <c r="J317" s="5"/>
      <c r="K317" s="39"/>
      <c r="L317" s="150"/>
      <c r="M317" s="5"/>
      <c r="N317" s="13"/>
      <c r="P317" s="40"/>
      <c r="Q317" s="6"/>
      <c r="R317" s="6"/>
      <c r="U317" s="14"/>
      <c r="V317" s="5"/>
    </row>
    <row r="318" spans="10:22" ht="14.25" customHeight="1" x14ac:dyDescent="0.3">
      <c r="J318" s="5"/>
      <c r="K318" s="39"/>
      <c r="L318" s="150"/>
      <c r="M318" s="5"/>
      <c r="N318" s="13"/>
      <c r="P318" s="40"/>
      <c r="Q318" s="6"/>
      <c r="R318" s="6"/>
      <c r="U318" s="14"/>
      <c r="V318" s="5"/>
    </row>
    <row r="319" spans="10:22" ht="14.25" customHeight="1" x14ac:dyDescent="0.3">
      <c r="J319" s="5"/>
      <c r="K319" s="39"/>
      <c r="L319" s="150"/>
      <c r="M319" s="5"/>
      <c r="N319" s="13"/>
      <c r="P319" s="40"/>
      <c r="Q319" s="6"/>
      <c r="R319" s="6"/>
      <c r="U319" s="14"/>
      <c r="V319" s="5"/>
    </row>
    <row r="320" spans="10:22" ht="14.25" customHeight="1" x14ac:dyDescent="0.3">
      <c r="J320" s="5"/>
      <c r="K320" s="39"/>
      <c r="L320" s="150"/>
      <c r="M320" s="5"/>
      <c r="N320" s="13"/>
      <c r="P320" s="40"/>
      <c r="Q320" s="6"/>
      <c r="R320" s="6"/>
      <c r="U320" s="14"/>
      <c r="V320" s="5"/>
    </row>
    <row r="321" spans="10:22" ht="14.25" customHeight="1" x14ac:dyDescent="0.3">
      <c r="J321" s="5"/>
      <c r="K321" s="39"/>
      <c r="L321" s="150"/>
      <c r="M321" s="5"/>
      <c r="N321" s="13"/>
      <c r="P321" s="40"/>
      <c r="Q321" s="6"/>
      <c r="R321" s="6"/>
      <c r="U321" s="14"/>
      <c r="V321" s="5"/>
    </row>
    <row r="322" spans="10:22" ht="14.25" customHeight="1" x14ac:dyDescent="0.3">
      <c r="J322" s="5"/>
      <c r="K322" s="39"/>
      <c r="L322" s="150"/>
      <c r="M322" s="5"/>
      <c r="N322" s="13"/>
      <c r="P322" s="40"/>
      <c r="Q322" s="6"/>
      <c r="R322" s="6"/>
      <c r="U322" s="14"/>
      <c r="V322" s="5"/>
    </row>
    <row r="323" spans="10:22" ht="14.25" customHeight="1" x14ac:dyDescent="0.3">
      <c r="J323" s="5"/>
      <c r="K323" s="39"/>
      <c r="L323" s="150"/>
      <c r="M323" s="5"/>
      <c r="N323" s="13"/>
      <c r="P323" s="40"/>
      <c r="Q323" s="6"/>
      <c r="R323" s="6"/>
      <c r="U323" s="14"/>
      <c r="V323" s="5"/>
    </row>
    <row r="324" spans="10:22" ht="14.25" customHeight="1" x14ac:dyDescent="0.3">
      <c r="J324" s="5"/>
      <c r="K324" s="39"/>
      <c r="L324" s="150"/>
      <c r="M324" s="5"/>
      <c r="N324" s="13"/>
      <c r="P324" s="40"/>
      <c r="Q324" s="6"/>
      <c r="R324" s="6"/>
      <c r="U324" s="14"/>
      <c r="V324" s="5"/>
    </row>
    <row r="325" spans="10:22" ht="14.25" customHeight="1" x14ac:dyDescent="0.3">
      <c r="J325" s="5"/>
      <c r="K325" s="39"/>
      <c r="L325" s="150"/>
      <c r="M325" s="5"/>
      <c r="N325" s="13"/>
      <c r="P325" s="40"/>
      <c r="Q325" s="6"/>
      <c r="R325" s="6"/>
      <c r="U325" s="14"/>
      <c r="V325" s="5"/>
    </row>
    <row r="326" spans="10:22" ht="14.25" customHeight="1" x14ac:dyDescent="0.3">
      <c r="J326" s="5"/>
      <c r="K326" s="39"/>
      <c r="L326" s="150"/>
      <c r="M326" s="5"/>
      <c r="N326" s="13"/>
      <c r="P326" s="40"/>
      <c r="Q326" s="6"/>
      <c r="R326" s="6"/>
      <c r="U326" s="14"/>
      <c r="V326" s="5"/>
    </row>
    <row r="327" spans="10:22" ht="14.25" customHeight="1" x14ac:dyDescent="0.3">
      <c r="J327" s="5"/>
      <c r="K327" s="39"/>
      <c r="L327" s="150"/>
      <c r="M327" s="5"/>
      <c r="N327" s="13"/>
      <c r="P327" s="40"/>
      <c r="Q327" s="6"/>
      <c r="R327" s="6"/>
      <c r="U327" s="14"/>
      <c r="V327" s="5"/>
    </row>
    <row r="328" spans="10:22" ht="14.25" customHeight="1" x14ac:dyDescent="0.3">
      <c r="J328" s="5"/>
      <c r="K328" s="39"/>
      <c r="L328" s="150"/>
      <c r="M328" s="5"/>
      <c r="N328" s="13"/>
      <c r="P328" s="40"/>
      <c r="Q328" s="6"/>
      <c r="R328" s="6"/>
      <c r="U328" s="14"/>
      <c r="V328" s="5"/>
    </row>
    <row r="329" spans="10:22" ht="14.25" customHeight="1" x14ac:dyDescent="0.3">
      <c r="J329" s="5"/>
      <c r="K329" s="39"/>
      <c r="L329" s="150"/>
      <c r="M329" s="5"/>
      <c r="N329" s="13"/>
      <c r="P329" s="40"/>
      <c r="Q329" s="6"/>
      <c r="R329" s="6"/>
      <c r="U329" s="14"/>
      <c r="V329" s="5"/>
    </row>
    <row r="330" spans="10:22" ht="14.25" customHeight="1" x14ac:dyDescent="0.3">
      <c r="J330" s="5"/>
      <c r="K330" s="39"/>
      <c r="L330" s="150"/>
      <c r="M330" s="5"/>
      <c r="N330" s="13"/>
      <c r="P330" s="40"/>
      <c r="Q330" s="6"/>
      <c r="R330" s="6"/>
      <c r="U330" s="14"/>
      <c r="V330" s="5"/>
    </row>
    <row r="331" spans="10:22" ht="14.25" customHeight="1" x14ac:dyDescent="0.3">
      <c r="J331" s="5"/>
      <c r="K331" s="39"/>
      <c r="L331" s="150"/>
      <c r="M331" s="5"/>
      <c r="N331" s="13"/>
      <c r="P331" s="40"/>
      <c r="Q331" s="6"/>
      <c r="R331" s="6"/>
      <c r="U331" s="14"/>
      <c r="V331" s="5"/>
    </row>
    <row r="332" spans="10:22" ht="14.25" customHeight="1" x14ac:dyDescent="0.3">
      <c r="J332" s="5"/>
      <c r="K332" s="39"/>
      <c r="L332" s="150"/>
      <c r="M332" s="5"/>
      <c r="N332" s="13"/>
      <c r="P332" s="40"/>
      <c r="Q332" s="6"/>
      <c r="R332" s="6"/>
      <c r="U332" s="14"/>
      <c r="V332" s="5"/>
    </row>
    <row r="333" spans="10:22" ht="14.25" customHeight="1" x14ac:dyDescent="0.3">
      <c r="J333" s="5"/>
      <c r="K333" s="39"/>
      <c r="L333" s="150"/>
      <c r="M333" s="5"/>
      <c r="N333" s="13"/>
      <c r="P333" s="40"/>
      <c r="Q333" s="6"/>
      <c r="R333" s="6"/>
      <c r="U333" s="14"/>
      <c r="V333" s="5"/>
    </row>
    <row r="334" spans="10:22" ht="14.25" customHeight="1" x14ac:dyDescent="0.3">
      <c r="J334" s="5"/>
      <c r="K334" s="39"/>
      <c r="L334" s="150"/>
      <c r="M334" s="5"/>
      <c r="N334" s="13"/>
      <c r="P334" s="40"/>
      <c r="Q334" s="6"/>
      <c r="R334" s="6"/>
      <c r="U334" s="14"/>
      <c r="V334" s="5"/>
    </row>
    <row r="335" spans="10:22" ht="14.25" customHeight="1" x14ac:dyDescent="0.3">
      <c r="J335" s="5"/>
      <c r="K335" s="39"/>
      <c r="L335" s="150"/>
      <c r="M335" s="5"/>
      <c r="N335" s="13"/>
      <c r="P335" s="40"/>
      <c r="Q335" s="6"/>
      <c r="R335" s="6"/>
      <c r="U335" s="14"/>
      <c r="V335" s="5"/>
    </row>
    <row r="336" spans="10:22" ht="14.25" customHeight="1" x14ac:dyDescent="0.3">
      <c r="J336" s="5"/>
      <c r="K336" s="39"/>
      <c r="L336" s="150"/>
      <c r="M336" s="5"/>
      <c r="N336" s="13"/>
      <c r="P336" s="40"/>
      <c r="Q336" s="6"/>
      <c r="R336" s="6"/>
      <c r="U336" s="14"/>
      <c r="V336" s="5"/>
    </row>
    <row r="337" spans="10:22" ht="14.25" customHeight="1" x14ac:dyDescent="0.3">
      <c r="J337" s="5"/>
      <c r="K337" s="39"/>
      <c r="L337" s="150"/>
      <c r="M337" s="5"/>
      <c r="N337" s="13"/>
      <c r="P337" s="40"/>
      <c r="Q337" s="6"/>
      <c r="R337" s="6"/>
      <c r="U337" s="14"/>
      <c r="V337" s="5"/>
    </row>
    <row r="338" spans="10:22" ht="14.25" customHeight="1" x14ac:dyDescent="0.3">
      <c r="J338" s="5"/>
      <c r="K338" s="39"/>
      <c r="L338" s="150"/>
      <c r="M338" s="5"/>
      <c r="N338" s="13"/>
      <c r="P338" s="40"/>
      <c r="Q338" s="6"/>
      <c r="R338" s="6"/>
      <c r="U338" s="14"/>
      <c r="V338" s="5"/>
    </row>
    <row r="339" spans="10:22" ht="14.25" customHeight="1" x14ac:dyDescent="0.3">
      <c r="J339" s="5"/>
      <c r="K339" s="39"/>
      <c r="L339" s="150"/>
      <c r="M339" s="5"/>
      <c r="N339" s="13"/>
      <c r="P339" s="40"/>
      <c r="Q339" s="6"/>
      <c r="R339" s="6"/>
      <c r="U339" s="14"/>
      <c r="V339" s="5"/>
    </row>
    <row r="340" spans="10:22" ht="14.25" customHeight="1" x14ac:dyDescent="0.3">
      <c r="J340" s="5"/>
      <c r="K340" s="39"/>
      <c r="L340" s="150"/>
      <c r="M340" s="5"/>
      <c r="N340" s="13"/>
      <c r="P340" s="40"/>
      <c r="Q340" s="6"/>
      <c r="R340" s="6"/>
      <c r="U340" s="14"/>
      <c r="V340" s="5"/>
    </row>
    <row r="341" spans="10:22" ht="14.25" customHeight="1" x14ac:dyDescent="0.3">
      <c r="J341" s="5"/>
      <c r="K341" s="39"/>
      <c r="L341" s="150"/>
      <c r="M341" s="5"/>
      <c r="N341" s="13"/>
      <c r="P341" s="40"/>
      <c r="Q341" s="6"/>
      <c r="R341" s="6"/>
      <c r="U341" s="14"/>
      <c r="V341" s="5"/>
    </row>
    <row r="342" spans="10:22" ht="14.25" customHeight="1" x14ac:dyDescent="0.3">
      <c r="J342" s="5"/>
      <c r="K342" s="39"/>
      <c r="L342" s="150"/>
      <c r="M342" s="5"/>
      <c r="N342" s="13"/>
      <c r="P342" s="40"/>
      <c r="Q342" s="6"/>
      <c r="R342" s="6"/>
      <c r="U342" s="14"/>
      <c r="V342" s="5"/>
    </row>
    <row r="343" spans="10:22" ht="14.25" customHeight="1" x14ac:dyDescent="0.3">
      <c r="J343" s="5"/>
      <c r="K343" s="39"/>
      <c r="L343" s="150"/>
      <c r="M343" s="5"/>
      <c r="N343" s="13"/>
      <c r="P343" s="40"/>
      <c r="Q343" s="6"/>
      <c r="R343" s="6"/>
      <c r="U343" s="14"/>
      <c r="V343" s="5"/>
    </row>
    <row r="344" spans="10:22" ht="14.25" customHeight="1" x14ac:dyDescent="0.3">
      <c r="J344" s="5"/>
      <c r="K344" s="39"/>
      <c r="L344" s="150"/>
      <c r="M344" s="5"/>
      <c r="N344" s="13"/>
      <c r="P344" s="40"/>
      <c r="Q344" s="6"/>
      <c r="R344" s="6"/>
      <c r="U344" s="14"/>
      <c r="V344" s="5"/>
    </row>
    <row r="345" spans="10:22" ht="14.25" customHeight="1" x14ac:dyDescent="0.3">
      <c r="J345" s="5"/>
      <c r="K345" s="39"/>
      <c r="L345" s="150"/>
      <c r="M345" s="5"/>
      <c r="N345" s="13"/>
      <c r="P345" s="40"/>
      <c r="Q345" s="6"/>
      <c r="R345" s="6"/>
      <c r="U345" s="14"/>
      <c r="V345" s="5"/>
    </row>
    <row r="346" spans="10:22" ht="14.25" customHeight="1" x14ac:dyDescent="0.3">
      <c r="J346" s="5"/>
      <c r="K346" s="39"/>
      <c r="L346" s="150"/>
      <c r="M346" s="5"/>
      <c r="N346" s="13"/>
      <c r="P346" s="40"/>
      <c r="Q346" s="6"/>
      <c r="R346" s="6"/>
      <c r="U346" s="14"/>
      <c r="V346" s="5"/>
    </row>
    <row r="347" spans="10:22" ht="14.25" customHeight="1" x14ac:dyDescent="0.3">
      <c r="J347" s="5"/>
      <c r="K347" s="39"/>
      <c r="L347" s="150"/>
      <c r="M347" s="5"/>
      <c r="N347" s="13"/>
      <c r="P347" s="40"/>
      <c r="Q347" s="6"/>
      <c r="R347" s="6"/>
      <c r="U347" s="14"/>
      <c r="V347" s="5"/>
    </row>
    <row r="348" spans="10:22" ht="14.25" customHeight="1" x14ac:dyDescent="0.3">
      <c r="J348" s="5"/>
      <c r="K348" s="39"/>
      <c r="L348" s="150"/>
      <c r="M348" s="5"/>
      <c r="N348" s="13"/>
      <c r="P348" s="40"/>
      <c r="Q348" s="6"/>
      <c r="R348" s="6"/>
      <c r="U348" s="14"/>
      <c r="V348" s="5"/>
    </row>
    <row r="349" spans="10:22" ht="14.25" customHeight="1" x14ac:dyDescent="0.3">
      <c r="J349" s="5"/>
      <c r="K349" s="39"/>
      <c r="L349" s="150"/>
      <c r="M349" s="5"/>
      <c r="N349" s="13"/>
      <c r="P349" s="40"/>
      <c r="Q349" s="6"/>
      <c r="R349" s="6"/>
      <c r="U349" s="14"/>
      <c r="V349" s="5"/>
    </row>
    <row r="350" spans="10:22" ht="14.25" customHeight="1" x14ac:dyDescent="0.3">
      <c r="J350" s="5"/>
      <c r="K350" s="39"/>
      <c r="L350" s="150"/>
      <c r="M350" s="5"/>
      <c r="N350" s="13"/>
      <c r="P350" s="40"/>
      <c r="Q350" s="6"/>
      <c r="R350" s="6"/>
      <c r="U350" s="14"/>
      <c r="V350" s="5"/>
    </row>
    <row r="351" spans="10:22" ht="14.25" customHeight="1" x14ac:dyDescent="0.3">
      <c r="J351" s="5"/>
      <c r="K351" s="39"/>
      <c r="L351" s="150"/>
      <c r="M351" s="5"/>
      <c r="N351" s="13"/>
      <c r="P351" s="40"/>
      <c r="Q351" s="6"/>
      <c r="R351" s="6"/>
      <c r="U351" s="14"/>
      <c r="V351" s="5"/>
    </row>
    <row r="352" spans="10:22" ht="14.25" customHeight="1" x14ac:dyDescent="0.3">
      <c r="J352" s="5"/>
      <c r="K352" s="39"/>
      <c r="L352" s="150"/>
      <c r="M352" s="5"/>
      <c r="N352" s="13"/>
      <c r="P352" s="40"/>
      <c r="Q352" s="6"/>
      <c r="R352" s="6"/>
      <c r="U352" s="14"/>
      <c r="V352" s="5"/>
    </row>
    <row r="353" spans="10:22" ht="14.25" customHeight="1" x14ac:dyDescent="0.3">
      <c r="J353" s="5"/>
      <c r="K353" s="39"/>
      <c r="L353" s="150"/>
      <c r="M353" s="5"/>
      <c r="N353" s="13"/>
      <c r="P353" s="40"/>
      <c r="Q353" s="6"/>
      <c r="R353" s="6"/>
      <c r="U353" s="14"/>
      <c r="V353" s="5"/>
    </row>
    <row r="354" spans="10:22" ht="14.25" customHeight="1" x14ac:dyDescent="0.3">
      <c r="J354" s="5"/>
      <c r="K354" s="39"/>
      <c r="L354" s="150"/>
      <c r="M354" s="5"/>
      <c r="N354" s="13"/>
      <c r="P354" s="40"/>
      <c r="Q354" s="6"/>
      <c r="R354" s="6"/>
      <c r="U354" s="14"/>
      <c r="V354" s="5"/>
    </row>
    <row r="355" spans="10:22" ht="14.25" customHeight="1" x14ac:dyDescent="0.3">
      <c r="J355" s="5"/>
      <c r="K355" s="39"/>
      <c r="L355" s="150"/>
      <c r="M355" s="5"/>
      <c r="N355" s="13"/>
      <c r="P355" s="40"/>
      <c r="Q355" s="6"/>
      <c r="R355" s="6"/>
      <c r="U355" s="14"/>
      <c r="V355" s="5"/>
    </row>
    <row r="356" spans="10:22" ht="14.25" customHeight="1" x14ac:dyDescent="0.3">
      <c r="J356" s="5"/>
      <c r="K356" s="39"/>
      <c r="L356" s="150"/>
      <c r="M356" s="5"/>
      <c r="N356" s="13"/>
      <c r="P356" s="40"/>
      <c r="Q356" s="6"/>
      <c r="R356" s="6"/>
      <c r="U356" s="14"/>
      <c r="V356" s="5"/>
    </row>
    <row r="357" spans="10:22" ht="14.25" customHeight="1" x14ac:dyDescent="0.3">
      <c r="J357" s="5"/>
      <c r="K357" s="39"/>
      <c r="L357" s="150"/>
      <c r="M357" s="5"/>
      <c r="N357" s="13"/>
      <c r="P357" s="40"/>
      <c r="Q357" s="6"/>
      <c r="R357" s="6"/>
      <c r="U357" s="14"/>
      <c r="V357" s="5"/>
    </row>
    <row r="358" spans="10:22" ht="14.25" customHeight="1" x14ac:dyDescent="0.3">
      <c r="J358" s="5"/>
      <c r="K358" s="39"/>
      <c r="L358" s="150"/>
      <c r="M358" s="5"/>
      <c r="N358" s="13"/>
      <c r="P358" s="40"/>
      <c r="Q358" s="6"/>
      <c r="R358" s="6"/>
      <c r="U358" s="14"/>
      <c r="V358" s="5"/>
    </row>
    <row r="359" spans="10:22" ht="14.25" customHeight="1" x14ac:dyDescent="0.3">
      <c r="J359" s="5"/>
      <c r="K359" s="39"/>
      <c r="L359" s="150"/>
      <c r="M359" s="5"/>
      <c r="N359" s="13"/>
      <c r="P359" s="40"/>
      <c r="Q359" s="6"/>
      <c r="R359" s="6"/>
      <c r="U359" s="14"/>
      <c r="V359" s="5"/>
    </row>
    <row r="360" spans="10:22" ht="14.25" customHeight="1" x14ac:dyDescent="0.3">
      <c r="J360" s="5"/>
      <c r="K360" s="39"/>
      <c r="L360" s="150"/>
      <c r="M360" s="5"/>
      <c r="N360" s="13"/>
      <c r="P360" s="40"/>
      <c r="Q360" s="6"/>
      <c r="R360" s="6"/>
      <c r="U360" s="14"/>
      <c r="V360" s="5"/>
    </row>
    <row r="361" spans="10:22" ht="14.25" customHeight="1" x14ac:dyDescent="0.3">
      <c r="J361" s="5"/>
      <c r="K361" s="39"/>
      <c r="L361" s="150"/>
      <c r="M361" s="5"/>
      <c r="N361" s="13"/>
      <c r="P361" s="40"/>
      <c r="Q361" s="6"/>
      <c r="R361" s="6"/>
      <c r="U361" s="14"/>
      <c r="V361" s="5"/>
    </row>
    <row r="362" spans="10:22" ht="14.25" customHeight="1" x14ac:dyDescent="0.3">
      <c r="J362" s="5"/>
      <c r="K362" s="39"/>
      <c r="L362" s="150"/>
      <c r="M362" s="5"/>
      <c r="N362" s="13"/>
      <c r="P362" s="40"/>
      <c r="Q362" s="6"/>
      <c r="R362" s="6"/>
      <c r="U362" s="14"/>
      <c r="V362" s="5"/>
    </row>
    <row r="363" spans="10:22" ht="14.25" customHeight="1" x14ac:dyDescent="0.3">
      <c r="J363" s="5"/>
      <c r="K363" s="39"/>
      <c r="L363" s="150"/>
      <c r="M363" s="5"/>
      <c r="N363" s="13"/>
      <c r="P363" s="40"/>
      <c r="Q363" s="6"/>
      <c r="R363" s="6"/>
      <c r="U363" s="14"/>
      <c r="V363" s="5"/>
    </row>
    <row r="364" spans="10:22" ht="14.25" customHeight="1" x14ac:dyDescent="0.3">
      <c r="J364" s="5"/>
      <c r="K364" s="39"/>
      <c r="L364" s="150"/>
      <c r="M364" s="5"/>
      <c r="N364" s="13"/>
      <c r="P364" s="40"/>
      <c r="Q364" s="6"/>
      <c r="R364" s="6"/>
      <c r="U364" s="14"/>
      <c r="V364" s="5"/>
    </row>
    <row r="365" spans="10:22" ht="14.25" customHeight="1" x14ac:dyDescent="0.3">
      <c r="J365" s="5"/>
      <c r="K365" s="39"/>
      <c r="L365" s="150"/>
      <c r="M365" s="5"/>
      <c r="N365" s="13"/>
      <c r="P365" s="40"/>
      <c r="Q365" s="6"/>
      <c r="R365" s="6"/>
      <c r="U365" s="14"/>
      <c r="V365" s="5"/>
    </row>
    <row r="366" spans="10:22" ht="14.25" customHeight="1" x14ac:dyDescent="0.3">
      <c r="J366" s="5"/>
      <c r="K366" s="39"/>
      <c r="L366" s="150"/>
      <c r="M366" s="5"/>
      <c r="N366" s="13"/>
      <c r="P366" s="40"/>
      <c r="Q366" s="6"/>
      <c r="R366" s="6"/>
      <c r="U366" s="14"/>
      <c r="V366" s="5"/>
    </row>
    <row r="367" spans="10:22" ht="14.25" customHeight="1" x14ac:dyDescent="0.3">
      <c r="J367" s="5"/>
      <c r="K367" s="39"/>
      <c r="L367" s="150"/>
      <c r="M367" s="5"/>
      <c r="N367" s="13"/>
      <c r="P367" s="40"/>
      <c r="Q367" s="6"/>
      <c r="R367" s="6"/>
      <c r="U367" s="14"/>
      <c r="V367" s="5"/>
    </row>
    <row r="368" spans="10:22" ht="14.25" customHeight="1" x14ac:dyDescent="0.3">
      <c r="J368" s="5"/>
      <c r="K368" s="39"/>
      <c r="L368" s="150"/>
      <c r="M368" s="5"/>
      <c r="N368" s="13"/>
      <c r="P368" s="40"/>
      <c r="Q368" s="6"/>
      <c r="R368" s="6"/>
      <c r="U368" s="14"/>
      <c r="V368" s="5"/>
    </row>
    <row r="369" spans="10:22" ht="14.25" customHeight="1" x14ac:dyDescent="0.3">
      <c r="J369" s="5"/>
      <c r="K369" s="39"/>
      <c r="L369" s="150"/>
      <c r="M369" s="5"/>
      <c r="N369" s="13"/>
      <c r="P369" s="40"/>
      <c r="Q369" s="6"/>
      <c r="R369" s="6"/>
      <c r="U369" s="14"/>
      <c r="V369" s="5"/>
    </row>
    <row r="370" spans="10:22" ht="14.25" customHeight="1" x14ac:dyDescent="0.3">
      <c r="J370" s="5"/>
      <c r="K370" s="39"/>
      <c r="L370" s="150"/>
      <c r="M370" s="5"/>
      <c r="N370" s="13"/>
      <c r="P370" s="40"/>
      <c r="Q370" s="6"/>
      <c r="R370" s="6"/>
      <c r="U370" s="14"/>
      <c r="V370" s="5"/>
    </row>
    <row r="371" spans="10:22" ht="14.25" customHeight="1" x14ac:dyDescent="0.3">
      <c r="J371" s="5"/>
      <c r="K371" s="39"/>
      <c r="L371" s="150"/>
      <c r="M371" s="5"/>
      <c r="N371" s="13"/>
      <c r="P371" s="40"/>
      <c r="Q371" s="6"/>
      <c r="R371" s="6"/>
      <c r="U371" s="14"/>
      <c r="V371" s="5"/>
    </row>
    <row r="372" spans="10:22" ht="14.25" customHeight="1" x14ac:dyDescent="0.3">
      <c r="J372" s="5"/>
      <c r="K372" s="39"/>
      <c r="L372" s="150"/>
      <c r="M372" s="5"/>
      <c r="N372" s="13"/>
      <c r="P372" s="40"/>
      <c r="Q372" s="6"/>
      <c r="R372" s="6"/>
      <c r="U372" s="14"/>
      <c r="V372" s="5"/>
    </row>
    <row r="373" spans="10:22" ht="14.25" customHeight="1" x14ac:dyDescent="0.3">
      <c r="J373" s="5"/>
      <c r="K373" s="39"/>
      <c r="L373" s="150"/>
      <c r="M373" s="5"/>
      <c r="N373" s="13"/>
      <c r="P373" s="40"/>
      <c r="Q373" s="6"/>
      <c r="R373" s="6"/>
      <c r="U373" s="14"/>
      <c r="V373" s="5"/>
    </row>
    <row r="374" spans="10:22" ht="14.25" customHeight="1" x14ac:dyDescent="0.3">
      <c r="J374" s="5"/>
      <c r="K374" s="39"/>
      <c r="L374" s="150"/>
      <c r="M374" s="5"/>
      <c r="N374" s="13"/>
      <c r="P374" s="40"/>
      <c r="Q374" s="6"/>
      <c r="R374" s="6"/>
      <c r="U374" s="14"/>
      <c r="V374" s="5"/>
    </row>
    <row r="375" spans="10:22" ht="14.25" customHeight="1" x14ac:dyDescent="0.3">
      <c r="J375" s="5"/>
      <c r="K375" s="39"/>
      <c r="L375" s="150"/>
      <c r="M375" s="5"/>
      <c r="N375" s="13"/>
      <c r="P375" s="40"/>
      <c r="Q375" s="6"/>
      <c r="R375" s="6"/>
      <c r="U375" s="14"/>
      <c r="V375" s="5"/>
    </row>
    <row r="376" spans="10:22" ht="14.25" customHeight="1" x14ac:dyDescent="0.3">
      <c r="J376" s="5"/>
      <c r="K376" s="39"/>
      <c r="L376" s="150"/>
      <c r="M376" s="5"/>
      <c r="N376" s="13"/>
      <c r="P376" s="40"/>
      <c r="Q376" s="6"/>
      <c r="R376" s="6"/>
      <c r="U376" s="14"/>
      <c r="V376" s="5"/>
    </row>
    <row r="377" spans="10:22" ht="14.25" customHeight="1" x14ac:dyDescent="0.3">
      <c r="J377" s="5"/>
      <c r="K377" s="39"/>
      <c r="L377" s="150"/>
      <c r="M377" s="5"/>
      <c r="N377" s="13"/>
      <c r="P377" s="40"/>
      <c r="Q377" s="6"/>
      <c r="R377" s="6"/>
      <c r="U377" s="14"/>
      <c r="V377" s="5"/>
    </row>
    <row r="378" spans="10:22" ht="14.25" customHeight="1" x14ac:dyDescent="0.3">
      <c r="J378" s="5"/>
      <c r="K378" s="39"/>
      <c r="L378" s="150"/>
      <c r="M378" s="5"/>
      <c r="N378" s="13"/>
      <c r="P378" s="40"/>
      <c r="Q378" s="6"/>
      <c r="R378" s="6"/>
      <c r="U378" s="14"/>
      <c r="V378" s="5"/>
    </row>
    <row r="379" spans="10:22" ht="14.25" customHeight="1" x14ac:dyDescent="0.3">
      <c r="J379" s="5"/>
      <c r="K379" s="39"/>
      <c r="L379" s="150"/>
      <c r="M379" s="5"/>
      <c r="N379" s="13"/>
      <c r="P379" s="40"/>
      <c r="Q379" s="6"/>
      <c r="R379" s="6"/>
      <c r="U379" s="14"/>
      <c r="V379" s="5"/>
    </row>
    <row r="380" spans="10:22" ht="14.25" customHeight="1" x14ac:dyDescent="0.3">
      <c r="J380" s="5"/>
      <c r="K380" s="39"/>
      <c r="L380" s="150"/>
      <c r="M380" s="5"/>
      <c r="N380" s="13"/>
      <c r="P380" s="40"/>
      <c r="Q380" s="6"/>
      <c r="R380" s="6"/>
      <c r="U380" s="14"/>
      <c r="V380" s="5"/>
    </row>
    <row r="381" spans="10:22" ht="14.25" customHeight="1" x14ac:dyDescent="0.3">
      <c r="J381" s="5"/>
      <c r="K381" s="39"/>
      <c r="L381" s="150"/>
      <c r="M381" s="5"/>
      <c r="N381" s="13"/>
      <c r="P381" s="40"/>
      <c r="Q381" s="6"/>
      <c r="R381" s="6"/>
      <c r="U381" s="14"/>
      <c r="V381" s="5"/>
    </row>
    <row r="382" spans="10:22" ht="14.25" customHeight="1" x14ac:dyDescent="0.3">
      <c r="J382" s="5"/>
      <c r="K382" s="39"/>
      <c r="L382" s="150"/>
      <c r="M382" s="5"/>
      <c r="N382" s="13"/>
      <c r="P382" s="40"/>
      <c r="Q382" s="6"/>
      <c r="R382" s="6"/>
      <c r="U382" s="14"/>
      <c r="V382" s="5"/>
    </row>
    <row r="383" spans="10:22" ht="14.25" customHeight="1" x14ac:dyDescent="0.3">
      <c r="J383" s="5"/>
      <c r="K383" s="39"/>
      <c r="L383" s="150"/>
      <c r="M383" s="5"/>
      <c r="N383" s="13"/>
      <c r="P383" s="40"/>
      <c r="Q383" s="6"/>
      <c r="R383" s="6"/>
      <c r="U383" s="14"/>
      <c r="V383" s="5"/>
    </row>
    <row r="384" spans="10:22" ht="14.25" customHeight="1" x14ac:dyDescent="0.3">
      <c r="J384" s="5"/>
      <c r="K384" s="39"/>
      <c r="L384" s="150"/>
      <c r="M384" s="5"/>
      <c r="N384" s="13"/>
      <c r="P384" s="40"/>
      <c r="Q384" s="6"/>
      <c r="R384" s="6"/>
      <c r="U384" s="14"/>
      <c r="V384" s="5"/>
    </row>
    <row r="385" spans="10:22" ht="14.25" customHeight="1" x14ac:dyDescent="0.3">
      <c r="J385" s="5"/>
      <c r="K385" s="39"/>
      <c r="L385" s="150"/>
      <c r="M385" s="5"/>
      <c r="N385" s="13"/>
      <c r="P385" s="40"/>
      <c r="Q385" s="6"/>
      <c r="R385" s="6"/>
      <c r="U385" s="14"/>
      <c r="V385" s="5"/>
    </row>
    <row r="386" spans="10:22" ht="14.25" customHeight="1" x14ac:dyDescent="0.3">
      <c r="J386" s="5"/>
      <c r="K386" s="39"/>
      <c r="L386" s="150"/>
      <c r="M386" s="5"/>
      <c r="N386" s="13"/>
      <c r="P386" s="40"/>
      <c r="Q386" s="6"/>
      <c r="R386" s="6"/>
      <c r="U386" s="14"/>
      <c r="V386" s="5"/>
    </row>
    <row r="387" spans="10:22" ht="14.25" customHeight="1" x14ac:dyDescent="0.3">
      <c r="J387" s="5"/>
      <c r="K387" s="39"/>
      <c r="L387" s="150"/>
      <c r="M387" s="5"/>
      <c r="N387" s="13"/>
      <c r="P387" s="40"/>
      <c r="Q387" s="6"/>
      <c r="R387" s="6"/>
      <c r="U387" s="14"/>
      <c r="V387" s="5"/>
    </row>
    <row r="388" spans="10:22" ht="14.25" customHeight="1" x14ac:dyDescent="0.3">
      <c r="J388" s="5"/>
      <c r="K388" s="39"/>
      <c r="L388" s="150"/>
      <c r="M388" s="5"/>
      <c r="N388" s="13"/>
      <c r="P388" s="40"/>
      <c r="Q388" s="6"/>
      <c r="R388" s="6"/>
      <c r="U388" s="14"/>
      <c r="V388" s="5"/>
    </row>
    <row r="389" spans="10:22" ht="14.25" customHeight="1" x14ac:dyDescent="0.3">
      <c r="J389" s="5"/>
      <c r="K389" s="39"/>
      <c r="L389" s="150"/>
      <c r="M389" s="5"/>
      <c r="N389" s="13"/>
      <c r="P389" s="40"/>
      <c r="Q389" s="6"/>
      <c r="R389" s="6"/>
      <c r="U389" s="14"/>
      <c r="V389" s="5"/>
    </row>
    <row r="390" spans="10:22" ht="14.25" customHeight="1" x14ac:dyDescent="0.3">
      <c r="J390" s="5"/>
      <c r="K390" s="39"/>
      <c r="L390" s="150"/>
      <c r="M390" s="5"/>
      <c r="N390" s="13"/>
      <c r="P390" s="40"/>
      <c r="Q390" s="6"/>
      <c r="R390" s="6"/>
      <c r="U390" s="14"/>
      <c r="V390" s="5"/>
    </row>
    <row r="391" spans="10:22" ht="14.25" customHeight="1" x14ac:dyDescent="0.3">
      <c r="J391" s="5"/>
      <c r="K391" s="39"/>
      <c r="L391" s="150"/>
      <c r="M391" s="5"/>
      <c r="N391" s="13"/>
      <c r="P391" s="40"/>
      <c r="Q391" s="6"/>
      <c r="R391" s="6"/>
      <c r="U391" s="14"/>
      <c r="V391" s="5"/>
    </row>
    <row r="392" spans="10:22" ht="14.25" customHeight="1" x14ac:dyDescent="0.3">
      <c r="J392" s="5"/>
      <c r="K392" s="39"/>
      <c r="L392" s="150"/>
      <c r="M392" s="5"/>
      <c r="N392" s="13"/>
      <c r="P392" s="40"/>
      <c r="Q392" s="6"/>
      <c r="R392" s="6"/>
      <c r="U392" s="14"/>
      <c r="V392" s="5"/>
    </row>
    <row r="393" spans="10:22" ht="14.25" customHeight="1" x14ac:dyDescent="0.3">
      <c r="J393" s="5"/>
      <c r="K393" s="39"/>
      <c r="L393" s="150"/>
      <c r="M393" s="5"/>
      <c r="N393" s="13"/>
      <c r="P393" s="40"/>
      <c r="Q393" s="6"/>
      <c r="R393" s="6"/>
      <c r="U393" s="14"/>
      <c r="V393" s="5"/>
    </row>
    <row r="394" spans="10:22" ht="14.25" customHeight="1" x14ac:dyDescent="0.3">
      <c r="J394" s="5"/>
      <c r="K394" s="39"/>
      <c r="L394" s="150"/>
      <c r="M394" s="5"/>
      <c r="N394" s="13"/>
      <c r="P394" s="40"/>
      <c r="Q394" s="6"/>
      <c r="R394" s="6"/>
      <c r="U394" s="14"/>
      <c r="V394" s="5"/>
    </row>
    <row r="395" spans="10:22" ht="14.25" customHeight="1" x14ac:dyDescent="0.3">
      <c r="J395" s="5"/>
      <c r="K395" s="39"/>
      <c r="L395" s="150"/>
      <c r="M395" s="5"/>
      <c r="N395" s="13"/>
      <c r="P395" s="40"/>
      <c r="Q395" s="6"/>
      <c r="R395" s="6"/>
      <c r="U395" s="14"/>
      <c r="V395" s="5"/>
    </row>
    <row r="396" spans="10:22" ht="14.25" customHeight="1" x14ac:dyDescent="0.3">
      <c r="J396" s="5"/>
      <c r="K396" s="39"/>
      <c r="L396" s="150"/>
      <c r="M396" s="5"/>
      <c r="N396" s="13"/>
      <c r="P396" s="40"/>
      <c r="Q396" s="6"/>
      <c r="R396" s="6"/>
      <c r="U396" s="14"/>
      <c r="V396" s="5"/>
    </row>
    <row r="397" spans="10:22" ht="14.25" customHeight="1" x14ac:dyDescent="0.3">
      <c r="J397" s="5"/>
      <c r="K397" s="39"/>
      <c r="L397" s="150"/>
      <c r="M397" s="5"/>
      <c r="N397" s="13"/>
      <c r="P397" s="40"/>
      <c r="Q397" s="6"/>
      <c r="R397" s="6"/>
      <c r="U397" s="14"/>
      <c r="V397" s="5"/>
    </row>
    <row r="398" spans="10:22" ht="14.25" customHeight="1" x14ac:dyDescent="0.3">
      <c r="J398" s="5"/>
      <c r="K398" s="39"/>
      <c r="L398" s="150"/>
      <c r="M398" s="5"/>
      <c r="N398" s="13"/>
      <c r="P398" s="40"/>
      <c r="Q398" s="6"/>
      <c r="R398" s="6"/>
      <c r="U398" s="14"/>
      <c r="V398" s="5"/>
    </row>
    <row r="399" spans="10:22" ht="14.25" customHeight="1" x14ac:dyDescent="0.3">
      <c r="J399" s="5"/>
      <c r="K399" s="39"/>
      <c r="L399" s="150"/>
      <c r="M399" s="5"/>
      <c r="N399" s="13"/>
      <c r="P399" s="40"/>
      <c r="Q399" s="6"/>
      <c r="R399" s="6"/>
      <c r="U399" s="14"/>
      <c r="V399" s="5"/>
    </row>
    <row r="400" spans="10:22" ht="14.25" customHeight="1" x14ac:dyDescent="0.3">
      <c r="J400" s="5"/>
      <c r="K400" s="39"/>
      <c r="L400" s="150"/>
      <c r="M400" s="5"/>
      <c r="N400" s="13"/>
      <c r="P400" s="40"/>
      <c r="Q400" s="6"/>
      <c r="R400" s="6"/>
      <c r="U400" s="14"/>
      <c r="V400" s="5"/>
    </row>
    <row r="401" spans="10:22" ht="14.25" customHeight="1" x14ac:dyDescent="0.3">
      <c r="J401" s="5"/>
      <c r="K401" s="39"/>
      <c r="L401" s="150"/>
      <c r="M401" s="5"/>
      <c r="N401" s="13"/>
      <c r="P401" s="40"/>
      <c r="Q401" s="6"/>
      <c r="R401" s="6"/>
      <c r="U401" s="14"/>
      <c r="V401" s="5"/>
    </row>
    <row r="402" spans="10:22" ht="14.25" customHeight="1" x14ac:dyDescent="0.3">
      <c r="J402" s="5"/>
      <c r="K402" s="39"/>
      <c r="L402" s="150"/>
      <c r="M402" s="5"/>
      <c r="N402" s="13"/>
      <c r="P402" s="40"/>
      <c r="Q402" s="6"/>
      <c r="R402" s="6"/>
      <c r="U402" s="14"/>
      <c r="V402" s="5"/>
    </row>
    <row r="403" spans="10:22" ht="14.25" customHeight="1" x14ac:dyDescent="0.3">
      <c r="J403" s="5"/>
      <c r="K403" s="39"/>
      <c r="L403" s="150"/>
      <c r="M403" s="5"/>
      <c r="N403" s="13"/>
      <c r="P403" s="40"/>
      <c r="Q403" s="6"/>
      <c r="R403" s="6"/>
      <c r="U403" s="14"/>
      <c r="V403" s="5"/>
    </row>
    <row r="404" spans="10:22" ht="14.25" customHeight="1" x14ac:dyDescent="0.3">
      <c r="J404" s="5"/>
      <c r="K404" s="39"/>
      <c r="L404" s="150"/>
      <c r="M404" s="5"/>
      <c r="N404" s="13"/>
      <c r="P404" s="40"/>
      <c r="Q404" s="6"/>
      <c r="R404" s="6"/>
      <c r="U404" s="14"/>
      <c r="V404" s="5"/>
    </row>
    <row r="405" spans="10:22" ht="14.25" customHeight="1" x14ac:dyDescent="0.3">
      <c r="J405" s="5"/>
      <c r="K405" s="39"/>
      <c r="L405" s="150"/>
      <c r="M405" s="5"/>
      <c r="N405" s="13"/>
      <c r="P405" s="40"/>
      <c r="Q405" s="6"/>
      <c r="R405" s="6"/>
      <c r="U405" s="14"/>
      <c r="V405" s="5"/>
    </row>
    <row r="406" spans="10:22" ht="14.25" customHeight="1" x14ac:dyDescent="0.3">
      <c r="J406" s="5"/>
      <c r="K406" s="39"/>
      <c r="L406" s="150"/>
      <c r="M406" s="5"/>
      <c r="N406" s="13"/>
      <c r="P406" s="40"/>
      <c r="Q406" s="6"/>
      <c r="R406" s="6"/>
      <c r="U406" s="14"/>
      <c r="V406" s="5"/>
    </row>
    <row r="407" spans="10:22" ht="14.25" customHeight="1" x14ac:dyDescent="0.3">
      <c r="J407" s="5"/>
      <c r="K407" s="39"/>
      <c r="L407" s="150"/>
      <c r="M407" s="5"/>
      <c r="N407" s="13"/>
      <c r="P407" s="40"/>
      <c r="Q407" s="6"/>
      <c r="R407" s="6"/>
      <c r="U407" s="14"/>
      <c r="V407" s="5"/>
    </row>
    <row r="408" spans="10:22" ht="14.25" customHeight="1" x14ac:dyDescent="0.3">
      <c r="J408" s="5"/>
      <c r="K408" s="39"/>
      <c r="L408" s="150"/>
      <c r="M408" s="5"/>
      <c r="N408" s="13"/>
      <c r="P408" s="40"/>
      <c r="Q408" s="6"/>
      <c r="R408" s="6"/>
      <c r="U408" s="14"/>
      <c r="V408" s="5"/>
    </row>
    <row r="409" spans="10:22" ht="14.25" customHeight="1" x14ac:dyDescent="0.3">
      <c r="J409" s="5"/>
      <c r="K409" s="39"/>
      <c r="L409" s="150"/>
      <c r="M409" s="5"/>
      <c r="N409" s="13"/>
      <c r="P409" s="40"/>
      <c r="Q409" s="6"/>
      <c r="R409" s="6"/>
      <c r="U409" s="14"/>
      <c r="V409" s="5"/>
    </row>
    <row r="410" spans="10:22" ht="14.25" customHeight="1" x14ac:dyDescent="0.3">
      <c r="J410" s="5"/>
      <c r="K410" s="39"/>
      <c r="L410" s="150"/>
      <c r="M410" s="5"/>
      <c r="N410" s="13"/>
      <c r="P410" s="40"/>
      <c r="Q410" s="6"/>
      <c r="R410" s="6"/>
      <c r="U410" s="14"/>
      <c r="V410" s="5"/>
    </row>
    <row r="411" spans="10:22" ht="14.25" customHeight="1" x14ac:dyDescent="0.3">
      <c r="J411" s="5"/>
      <c r="K411" s="39"/>
      <c r="L411" s="150"/>
      <c r="M411" s="5"/>
      <c r="N411" s="13"/>
      <c r="P411" s="40"/>
      <c r="Q411" s="6"/>
      <c r="R411" s="6"/>
      <c r="U411" s="14"/>
      <c r="V411" s="5"/>
    </row>
    <row r="412" spans="10:22" ht="14.25" customHeight="1" x14ac:dyDescent="0.3">
      <c r="J412" s="5"/>
      <c r="K412" s="39"/>
      <c r="L412" s="150"/>
      <c r="M412" s="5"/>
      <c r="N412" s="13"/>
      <c r="P412" s="40"/>
      <c r="Q412" s="6"/>
      <c r="R412" s="6"/>
      <c r="U412" s="14"/>
      <c r="V412" s="5"/>
    </row>
    <row r="413" spans="10:22" ht="14.25" customHeight="1" x14ac:dyDescent="0.3">
      <c r="J413" s="5"/>
      <c r="K413" s="39"/>
      <c r="L413" s="150"/>
      <c r="M413" s="5"/>
      <c r="N413" s="13"/>
      <c r="P413" s="40"/>
      <c r="Q413" s="6"/>
      <c r="R413" s="6"/>
      <c r="U413" s="14"/>
      <c r="V413" s="5"/>
    </row>
    <row r="414" spans="10:22" ht="14.25" customHeight="1" x14ac:dyDescent="0.3">
      <c r="J414" s="5"/>
      <c r="K414" s="39"/>
      <c r="L414" s="150"/>
      <c r="M414" s="5"/>
      <c r="N414" s="13"/>
      <c r="P414" s="40"/>
      <c r="Q414" s="6"/>
      <c r="R414" s="6"/>
      <c r="U414" s="14"/>
      <c r="V414" s="5"/>
    </row>
    <row r="415" spans="10:22" ht="14.25" customHeight="1" x14ac:dyDescent="0.3">
      <c r="J415" s="5"/>
      <c r="K415" s="39"/>
      <c r="L415" s="150"/>
      <c r="M415" s="5"/>
      <c r="N415" s="13"/>
      <c r="P415" s="40"/>
      <c r="Q415" s="6"/>
      <c r="R415" s="6"/>
      <c r="U415" s="14"/>
      <c r="V415" s="5"/>
    </row>
    <row r="416" spans="10:22" ht="14.25" customHeight="1" x14ac:dyDescent="0.3">
      <c r="J416" s="5"/>
      <c r="K416" s="39"/>
      <c r="L416" s="150"/>
      <c r="M416" s="5"/>
      <c r="N416" s="13"/>
      <c r="P416" s="40"/>
      <c r="Q416" s="6"/>
      <c r="R416" s="6"/>
      <c r="U416" s="14"/>
      <c r="V416" s="5"/>
    </row>
    <row r="417" spans="10:22" ht="14.25" customHeight="1" x14ac:dyDescent="0.3">
      <c r="J417" s="5"/>
      <c r="K417" s="39"/>
      <c r="L417" s="150"/>
      <c r="M417" s="5"/>
      <c r="N417" s="13"/>
      <c r="P417" s="40"/>
      <c r="Q417" s="6"/>
      <c r="R417" s="6"/>
      <c r="U417" s="14"/>
      <c r="V417" s="5"/>
    </row>
    <row r="418" spans="10:22" ht="14.25" customHeight="1" x14ac:dyDescent="0.3">
      <c r="J418" s="5"/>
      <c r="K418" s="39"/>
      <c r="L418" s="150"/>
      <c r="M418" s="5"/>
      <c r="N418" s="13"/>
      <c r="P418" s="40"/>
      <c r="Q418" s="6"/>
      <c r="R418" s="6"/>
      <c r="U418" s="14"/>
      <c r="V418" s="5"/>
    </row>
    <row r="419" spans="10:22" ht="14.25" customHeight="1" x14ac:dyDescent="0.3">
      <c r="J419" s="5"/>
      <c r="K419" s="39"/>
      <c r="L419" s="150"/>
      <c r="M419" s="5"/>
      <c r="N419" s="13"/>
      <c r="P419" s="40"/>
      <c r="Q419" s="6"/>
      <c r="R419" s="6"/>
      <c r="U419" s="14"/>
      <c r="V419" s="5"/>
    </row>
    <row r="420" spans="10:22" ht="14.25" customHeight="1" x14ac:dyDescent="0.3">
      <c r="J420" s="5"/>
      <c r="K420" s="39"/>
      <c r="L420" s="150"/>
      <c r="M420" s="5"/>
      <c r="N420" s="13"/>
      <c r="P420" s="40"/>
      <c r="Q420" s="6"/>
      <c r="R420" s="6"/>
      <c r="U420" s="14"/>
      <c r="V420" s="5"/>
    </row>
    <row r="421" spans="10:22" ht="14.25" customHeight="1" x14ac:dyDescent="0.3">
      <c r="J421" s="5"/>
      <c r="K421" s="39"/>
      <c r="L421" s="150"/>
      <c r="M421" s="5"/>
      <c r="N421" s="13"/>
      <c r="P421" s="40"/>
      <c r="Q421" s="6"/>
      <c r="R421" s="6"/>
      <c r="U421" s="14"/>
      <c r="V421" s="5"/>
    </row>
    <row r="422" spans="10:22" ht="14.25" customHeight="1" x14ac:dyDescent="0.3">
      <c r="J422" s="5"/>
      <c r="K422" s="39"/>
      <c r="L422" s="150"/>
      <c r="M422" s="5"/>
      <c r="N422" s="13"/>
      <c r="P422" s="40"/>
      <c r="Q422" s="6"/>
      <c r="R422" s="6"/>
      <c r="U422" s="14"/>
      <c r="V422" s="5"/>
    </row>
    <row r="423" spans="10:22" ht="14.25" customHeight="1" x14ac:dyDescent="0.3">
      <c r="J423" s="5"/>
      <c r="K423" s="39"/>
      <c r="L423" s="150"/>
      <c r="M423" s="5"/>
      <c r="N423" s="13"/>
      <c r="P423" s="40"/>
      <c r="Q423" s="6"/>
      <c r="R423" s="6"/>
      <c r="U423" s="14"/>
      <c r="V423" s="5"/>
    </row>
    <row r="424" spans="10:22" ht="14.25" customHeight="1" x14ac:dyDescent="0.3">
      <c r="J424" s="5"/>
      <c r="K424" s="39"/>
      <c r="L424" s="150"/>
      <c r="M424" s="5"/>
      <c r="N424" s="13"/>
      <c r="P424" s="40"/>
      <c r="Q424" s="6"/>
      <c r="R424" s="6"/>
      <c r="U424" s="14"/>
      <c r="V424" s="5"/>
    </row>
    <row r="425" spans="10:22" ht="14.25" customHeight="1" x14ac:dyDescent="0.3">
      <c r="J425" s="5"/>
      <c r="K425" s="39"/>
      <c r="L425" s="150"/>
      <c r="M425" s="5"/>
      <c r="N425" s="13"/>
      <c r="P425" s="40"/>
      <c r="Q425" s="6"/>
      <c r="R425" s="6"/>
      <c r="U425" s="14"/>
      <c r="V425" s="5"/>
    </row>
    <row r="426" spans="10:22" ht="14.25" customHeight="1" x14ac:dyDescent="0.3">
      <c r="J426" s="5"/>
      <c r="K426" s="39"/>
      <c r="L426" s="150"/>
      <c r="M426" s="5"/>
      <c r="N426" s="13"/>
      <c r="P426" s="40"/>
      <c r="Q426" s="6"/>
      <c r="R426" s="6"/>
      <c r="U426" s="14"/>
      <c r="V426" s="5"/>
    </row>
    <row r="427" spans="10:22" ht="14.25" customHeight="1" x14ac:dyDescent="0.3">
      <c r="J427" s="5"/>
      <c r="K427" s="39"/>
      <c r="L427" s="150"/>
      <c r="M427" s="5"/>
      <c r="N427" s="13"/>
      <c r="P427" s="40"/>
      <c r="Q427" s="6"/>
      <c r="R427" s="6"/>
      <c r="U427" s="14"/>
      <c r="V427" s="5"/>
    </row>
    <row r="428" spans="10:22" ht="14.25" customHeight="1" x14ac:dyDescent="0.3">
      <c r="J428" s="5"/>
      <c r="K428" s="39"/>
      <c r="L428" s="150"/>
      <c r="M428" s="5"/>
      <c r="N428" s="13"/>
      <c r="P428" s="40"/>
      <c r="Q428" s="6"/>
      <c r="R428" s="6"/>
      <c r="U428" s="14"/>
      <c r="V428" s="5"/>
    </row>
    <row r="429" spans="10:22" ht="14.25" customHeight="1" x14ac:dyDescent="0.3">
      <c r="J429" s="5"/>
      <c r="K429" s="39"/>
      <c r="L429" s="150"/>
      <c r="M429" s="5"/>
      <c r="N429" s="13"/>
      <c r="P429" s="40"/>
      <c r="Q429" s="6"/>
      <c r="R429" s="6"/>
      <c r="U429" s="14"/>
      <c r="V429" s="5"/>
    </row>
    <row r="430" spans="10:22" ht="14.25" customHeight="1" x14ac:dyDescent="0.3">
      <c r="J430" s="5"/>
      <c r="K430" s="39"/>
      <c r="L430" s="150"/>
      <c r="M430" s="5"/>
      <c r="N430" s="13"/>
      <c r="P430" s="40"/>
      <c r="Q430" s="6"/>
      <c r="R430" s="6"/>
      <c r="U430" s="14"/>
      <c r="V430" s="5"/>
    </row>
    <row r="431" spans="10:22" ht="14.25" customHeight="1" x14ac:dyDescent="0.3">
      <c r="J431" s="5"/>
      <c r="K431" s="39"/>
      <c r="L431" s="150"/>
      <c r="M431" s="5"/>
      <c r="N431" s="13"/>
      <c r="P431" s="40"/>
      <c r="Q431" s="6"/>
      <c r="R431" s="6"/>
      <c r="U431" s="14"/>
      <c r="V431" s="5"/>
    </row>
    <row r="432" spans="10:22" ht="14.25" customHeight="1" x14ac:dyDescent="0.3">
      <c r="J432" s="5"/>
      <c r="K432" s="39"/>
      <c r="L432" s="150"/>
      <c r="M432" s="5"/>
      <c r="N432" s="13"/>
      <c r="P432" s="40"/>
      <c r="Q432" s="6"/>
      <c r="R432" s="6"/>
      <c r="U432" s="14"/>
      <c r="V432" s="5"/>
    </row>
    <row r="433" spans="10:22" ht="14.25" customHeight="1" x14ac:dyDescent="0.3">
      <c r="J433" s="5"/>
      <c r="K433" s="39"/>
      <c r="L433" s="150"/>
      <c r="M433" s="5"/>
      <c r="N433" s="13"/>
      <c r="P433" s="40"/>
      <c r="Q433" s="6"/>
      <c r="R433" s="6"/>
      <c r="U433" s="14"/>
      <c r="V433" s="5"/>
    </row>
    <row r="434" spans="10:22" ht="14.25" customHeight="1" x14ac:dyDescent="0.3">
      <c r="J434" s="5"/>
      <c r="K434" s="39"/>
      <c r="L434" s="150"/>
      <c r="M434" s="5"/>
      <c r="N434" s="13"/>
      <c r="P434" s="40"/>
      <c r="Q434" s="6"/>
      <c r="R434" s="6"/>
      <c r="U434" s="14"/>
      <c r="V434" s="5"/>
    </row>
    <row r="435" spans="10:22" ht="14.25" customHeight="1" x14ac:dyDescent="0.3">
      <c r="J435" s="5"/>
      <c r="K435" s="39"/>
      <c r="L435" s="150"/>
      <c r="M435" s="5"/>
      <c r="N435" s="13"/>
      <c r="P435" s="40"/>
      <c r="Q435" s="6"/>
      <c r="R435" s="6"/>
      <c r="U435" s="14"/>
      <c r="V435" s="5"/>
    </row>
    <row r="436" spans="10:22" ht="14.25" customHeight="1" x14ac:dyDescent="0.3">
      <c r="J436" s="5"/>
      <c r="K436" s="39"/>
      <c r="L436" s="150"/>
      <c r="M436" s="5"/>
      <c r="N436" s="13"/>
      <c r="P436" s="40"/>
      <c r="Q436" s="6"/>
      <c r="R436" s="6"/>
      <c r="U436" s="14"/>
      <c r="V436" s="5"/>
    </row>
    <row r="437" spans="10:22" ht="14.25" customHeight="1" x14ac:dyDescent="0.3">
      <c r="J437" s="5"/>
      <c r="K437" s="39"/>
      <c r="L437" s="150"/>
      <c r="M437" s="5"/>
      <c r="N437" s="13"/>
      <c r="P437" s="40"/>
      <c r="Q437" s="6"/>
      <c r="R437" s="6"/>
      <c r="U437" s="14"/>
      <c r="V437" s="5"/>
    </row>
    <row r="438" spans="10:22" ht="14.25" customHeight="1" x14ac:dyDescent="0.3">
      <c r="J438" s="5"/>
      <c r="K438" s="39"/>
      <c r="L438" s="150"/>
      <c r="M438" s="5"/>
      <c r="N438" s="13"/>
      <c r="P438" s="40"/>
      <c r="Q438" s="6"/>
      <c r="R438" s="6"/>
      <c r="U438" s="14"/>
      <c r="V438" s="5"/>
    </row>
    <row r="439" spans="10:22" ht="14.25" customHeight="1" x14ac:dyDescent="0.3">
      <c r="J439" s="5"/>
      <c r="K439" s="39"/>
      <c r="L439" s="150"/>
      <c r="M439" s="5"/>
      <c r="N439" s="13"/>
      <c r="P439" s="40"/>
      <c r="Q439" s="6"/>
      <c r="R439" s="6"/>
      <c r="U439" s="14"/>
      <c r="V439" s="5"/>
    </row>
    <row r="440" spans="10:22" ht="14.25" customHeight="1" x14ac:dyDescent="0.3">
      <c r="J440" s="5"/>
      <c r="K440" s="39"/>
      <c r="L440" s="150"/>
      <c r="M440" s="5"/>
      <c r="N440" s="13"/>
      <c r="P440" s="40"/>
      <c r="Q440" s="6"/>
      <c r="R440" s="6"/>
      <c r="U440" s="14"/>
      <c r="V440" s="5"/>
    </row>
    <row r="441" spans="10:22" ht="14.25" customHeight="1" x14ac:dyDescent="0.3">
      <c r="J441" s="5"/>
      <c r="K441" s="39"/>
      <c r="L441" s="150"/>
      <c r="M441" s="5"/>
      <c r="N441" s="13"/>
      <c r="P441" s="40"/>
      <c r="Q441" s="6"/>
      <c r="R441" s="6"/>
      <c r="U441" s="14"/>
      <c r="V441" s="5"/>
    </row>
    <row r="442" spans="10:22" ht="14.25" customHeight="1" x14ac:dyDescent="0.3">
      <c r="J442" s="5"/>
      <c r="K442" s="39"/>
      <c r="L442" s="150"/>
      <c r="M442" s="5"/>
      <c r="N442" s="13"/>
      <c r="P442" s="40"/>
      <c r="Q442" s="6"/>
      <c r="R442" s="6"/>
      <c r="U442" s="14"/>
      <c r="V442" s="5"/>
    </row>
    <row r="443" spans="10:22" ht="14.25" customHeight="1" x14ac:dyDescent="0.3">
      <c r="J443" s="5"/>
      <c r="K443" s="39"/>
      <c r="L443" s="150"/>
      <c r="M443" s="5"/>
      <c r="N443" s="13"/>
      <c r="P443" s="40"/>
      <c r="Q443" s="6"/>
      <c r="R443" s="6"/>
      <c r="U443" s="14"/>
      <c r="V443" s="5"/>
    </row>
    <row r="444" spans="10:22" ht="14.25" customHeight="1" x14ac:dyDescent="0.3">
      <c r="J444" s="5"/>
      <c r="K444" s="39"/>
      <c r="L444" s="150"/>
      <c r="M444" s="5"/>
      <c r="N444" s="13"/>
      <c r="P444" s="40"/>
      <c r="Q444" s="6"/>
      <c r="R444" s="6"/>
      <c r="U444" s="14"/>
      <c r="V444" s="5"/>
    </row>
    <row r="445" spans="10:22" ht="14.25" customHeight="1" x14ac:dyDescent="0.3">
      <c r="J445" s="5"/>
      <c r="K445" s="39"/>
      <c r="L445" s="150"/>
      <c r="M445" s="5"/>
      <c r="N445" s="13"/>
      <c r="P445" s="40"/>
      <c r="Q445" s="6"/>
      <c r="R445" s="6"/>
      <c r="U445" s="14"/>
      <c r="V445" s="5"/>
    </row>
    <row r="446" spans="10:22" ht="14.25" customHeight="1" x14ac:dyDescent="0.3">
      <c r="J446" s="5"/>
      <c r="K446" s="39"/>
      <c r="L446" s="150"/>
      <c r="M446" s="5"/>
      <c r="N446" s="13"/>
      <c r="P446" s="40"/>
      <c r="Q446" s="6"/>
      <c r="R446" s="6"/>
      <c r="U446" s="14"/>
      <c r="V446" s="5"/>
    </row>
    <row r="447" spans="10:22" ht="14.25" customHeight="1" x14ac:dyDescent="0.3">
      <c r="J447" s="5"/>
      <c r="K447" s="39"/>
      <c r="L447" s="150"/>
      <c r="M447" s="5"/>
      <c r="N447" s="13"/>
      <c r="P447" s="40"/>
      <c r="Q447" s="6"/>
      <c r="R447" s="6"/>
      <c r="U447" s="14"/>
      <c r="V447" s="5"/>
    </row>
    <row r="448" spans="10:22" ht="14.25" customHeight="1" x14ac:dyDescent="0.3">
      <c r="J448" s="5"/>
      <c r="K448" s="39"/>
      <c r="L448" s="150"/>
      <c r="M448" s="5"/>
      <c r="N448" s="13"/>
      <c r="P448" s="40"/>
      <c r="Q448" s="6"/>
      <c r="R448" s="6"/>
      <c r="U448" s="14"/>
      <c r="V448" s="5"/>
    </row>
    <row r="449" spans="10:22" ht="14.25" customHeight="1" x14ac:dyDescent="0.3">
      <c r="J449" s="5"/>
      <c r="K449" s="39"/>
      <c r="L449" s="150"/>
      <c r="M449" s="5"/>
      <c r="N449" s="13"/>
      <c r="P449" s="40"/>
      <c r="Q449" s="6"/>
      <c r="R449" s="6"/>
      <c r="U449" s="14"/>
      <c r="V449" s="5"/>
    </row>
    <row r="450" spans="10:22" ht="14.25" customHeight="1" x14ac:dyDescent="0.3">
      <c r="J450" s="5"/>
      <c r="K450" s="39"/>
      <c r="L450" s="150"/>
      <c r="M450" s="5"/>
      <c r="N450" s="13"/>
      <c r="P450" s="40"/>
      <c r="Q450" s="6"/>
      <c r="R450" s="6"/>
      <c r="U450" s="14"/>
      <c r="V450" s="5"/>
    </row>
    <row r="451" spans="10:22" ht="14.25" customHeight="1" x14ac:dyDescent="0.3">
      <c r="J451" s="5"/>
      <c r="K451" s="39"/>
      <c r="L451" s="150"/>
      <c r="M451" s="5"/>
      <c r="N451" s="13"/>
      <c r="P451" s="40"/>
      <c r="Q451" s="6"/>
      <c r="R451" s="6"/>
      <c r="U451" s="14"/>
      <c r="V451" s="5"/>
    </row>
    <row r="452" spans="10:22" ht="14.25" customHeight="1" x14ac:dyDescent="0.3">
      <c r="J452" s="5"/>
      <c r="K452" s="39"/>
      <c r="L452" s="150"/>
      <c r="M452" s="5"/>
      <c r="N452" s="13"/>
      <c r="P452" s="40"/>
      <c r="Q452" s="6"/>
      <c r="R452" s="6"/>
      <c r="U452" s="14"/>
      <c r="V452" s="5"/>
    </row>
    <row r="453" spans="10:22" ht="14.25" customHeight="1" x14ac:dyDescent="0.3">
      <c r="J453" s="5"/>
      <c r="K453" s="39"/>
      <c r="L453" s="150"/>
      <c r="M453" s="5"/>
      <c r="N453" s="13"/>
      <c r="P453" s="40"/>
      <c r="Q453" s="6"/>
      <c r="R453" s="6"/>
      <c r="U453" s="14"/>
      <c r="V453" s="5"/>
    </row>
    <row r="454" spans="10:22" ht="14.25" customHeight="1" x14ac:dyDescent="0.3">
      <c r="J454" s="5"/>
      <c r="K454" s="39"/>
      <c r="L454" s="150"/>
      <c r="M454" s="5"/>
      <c r="N454" s="13"/>
      <c r="P454" s="40"/>
      <c r="Q454" s="6"/>
      <c r="R454" s="6"/>
      <c r="U454" s="14"/>
      <c r="V454" s="5"/>
    </row>
    <row r="455" spans="10:22" ht="14.25" customHeight="1" x14ac:dyDescent="0.3">
      <c r="J455" s="5"/>
      <c r="K455" s="39"/>
      <c r="L455" s="150"/>
      <c r="M455" s="5"/>
      <c r="N455" s="13"/>
      <c r="P455" s="40"/>
      <c r="Q455" s="6"/>
      <c r="R455" s="6"/>
      <c r="U455" s="14"/>
      <c r="V455" s="5"/>
    </row>
    <row r="456" spans="10:22" ht="14.25" customHeight="1" x14ac:dyDescent="0.3">
      <c r="J456" s="5"/>
      <c r="K456" s="39"/>
      <c r="L456" s="150"/>
      <c r="M456" s="5"/>
      <c r="N456" s="13"/>
      <c r="P456" s="40"/>
      <c r="Q456" s="6"/>
      <c r="R456" s="6"/>
      <c r="U456" s="14"/>
      <c r="V456" s="5"/>
    </row>
    <row r="457" spans="10:22" ht="14.25" customHeight="1" x14ac:dyDescent="0.3">
      <c r="J457" s="5"/>
      <c r="K457" s="39"/>
      <c r="L457" s="150"/>
      <c r="M457" s="5"/>
      <c r="N457" s="13"/>
      <c r="P457" s="40"/>
      <c r="Q457" s="6"/>
      <c r="R457" s="6"/>
      <c r="U457" s="14"/>
      <c r="V457" s="5"/>
    </row>
    <row r="458" spans="10:22" ht="14.25" customHeight="1" x14ac:dyDescent="0.3">
      <c r="J458" s="5"/>
      <c r="K458" s="39"/>
      <c r="L458" s="150"/>
      <c r="M458" s="5"/>
      <c r="N458" s="13"/>
      <c r="P458" s="40"/>
      <c r="Q458" s="6"/>
      <c r="R458" s="6"/>
      <c r="U458" s="14"/>
      <c r="V458" s="5"/>
    </row>
    <row r="459" spans="10:22" ht="14.25" customHeight="1" x14ac:dyDescent="0.3">
      <c r="J459" s="5"/>
      <c r="K459" s="39"/>
      <c r="L459" s="150"/>
      <c r="M459" s="5"/>
      <c r="N459" s="13"/>
      <c r="P459" s="40"/>
      <c r="Q459" s="6"/>
      <c r="R459" s="6"/>
      <c r="U459" s="14"/>
      <c r="V459" s="5"/>
    </row>
    <row r="460" spans="10:22" ht="14.25" customHeight="1" x14ac:dyDescent="0.3">
      <c r="J460" s="5"/>
      <c r="K460" s="39"/>
      <c r="L460" s="150"/>
      <c r="M460" s="5"/>
      <c r="N460" s="13"/>
      <c r="P460" s="40"/>
      <c r="Q460" s="6"/>
      <c r="R460" s="6"/>
      <c r="U460" s="14"/>
      <c r="V460" s="5"/>
    </row>
    <row r="461" spans="10:22" ht="14.25" customHeight="1" x14ac:dyDescent="0.3">
      <c r="J461" s="5"/>
      <c r="K461" s="39"/>
      <c r="L461" s="150"/>
      <c r="M461" s="5"/>
      <c r="N461" s="13"/>
      <c r="P461" s="40"/>
      <c r="Q461" s="6"/>
      <c r="R461" s="6"/>
      <c r="U461" s="14"/>
      <c r="V461" s="5"/>
    </row>
    <row r="462" spans="10:22" ht="14.25" customHeight="1" x14ac:dyDescent="0.3">
      <c r="J462" s="5"/>
      <c r="K462" s="39"/>
      <c r="L462" s="150"/>
      <c r="M462" s="5"/>
      <c r="N462" s="13"/>
      <c r="P462" s="40"/>
      <c r="Q462" s="6"/>
      <c r="R462" s="6"/>
      <c r="U462" s="14"/>
      <c r="V462" s="5"/>
    </row>
    <row r="463" spans="10:22" ht="14.25" customHeight="1" x14ac:dyDescent="0.3">
      <c r="J463" s="5"/>
      <c r="K463" s="39"/>
      <c r="L463" s="150"/>
      <c r="M463" s="5"/>
      <c r="N463" s="13"/>
      <c r="P463" s="40"/>
      <c r="Q463" s="6"/>
      <c r="R463" s="6"/>
      <c r="U463" s="14"/>
      <c r="V463" s="5"/>
    </row>
    <row r="464" spans="10:22" ht="14.25" customHeight="1" x14ac:dyDescent="0.3">
      <c r="J464" s="5"/>
      <c r="K464" s="39"/>
      <c r="L464" s="150"/>
      <c r="M464" s="5"/>
      <c r="N464" s="13"/>
      <c r="P464" s="40"/>
      <c r="Q464" s="6"/>
      <c r="R464" s="6"/>
      <c r="U464" s="14"/>
      <c r="V464" s="5"/>
    </row>
    <row r="465" spans="10:22" ht="14.25" customHeight="1" x14ac:dyDescent="0.3">
      <c r="J465" s="5"/>
      <c r="K465" s="39"/>
      <c r="L465" s="150"/>
      <c r="M465" s="5"/>
      <c r="N465" s="13"/>
      <c r="P465" s="40"/>
      <c r="Q465" s="6"/>
      <c r="R465" s="6"/>
      <c r="U465" s="14"/>
      <c r="V465" s="5"/>
    </row>
    <row r="466" spans="10:22" ht="14.25" customHeight="1" x14ac:dyDescent="0.3">
      <c r="J466" s="5"/>
      <c r="K466" s="39"/>
      <c r="L466" s="150"/>
      <c r="M466" s="5"/>
      <c r="N466" s="13"/>
      <c r="P466" s="40"/>
      <c r="Q466" s="6"/>
      <c r="R466" s="6"/>
      <c r="U466" s="14"/>
      <c r="V466" s="5"/>
    </row>
    <row r="467" spans="10:22" ht="14.25" customHeight="1" x14ac:dyDescent="0.3">
      <c r="J467" s="5"/>
      <c r="K467" s="39"/>
      <c r="L467" s="150"/>
      <c r="M467" s="5"/>
      <c r="N467" s="13"/>
      <c r="P467" s="40"/>
      <c r="Q467" s="6"/>
      <c r="R467" s="6"/>
      <c r="U467" s="14"/>
      <c r="V467" s="5"/>
    </row>
    <row r="468" spans="10:22" ht="14.25" customHeight="1" x14ac:dyDescent="0.3">
      <c r="J468" s="5"/>
      <c r="K468" s="39"/>
      <c r="L468" s="150"/>
      <c r="M468" s="5"/>
      <c r="N468" s="13"/>
      <c r="P468" s="40"/>
      <c r="Q468" s="6"/>
      <c r="R468" s="6"/>
      <c r="U468" s="14"/>
      <c r="V468" s="5"/>
    </row>
    <row r="469" spans="10:22" ht="14.25" customHeight="1" x14ac:dyDescent="0.3">
      <c r="J469" s="5"/>
      <c r="K469" s="39"/>
      <c r="L469" s="150"/>
      <c r="M469" s="5"/>
      <c r="N469" s="13"/>
      <c r="P469" s="40"/>
      <c r="Q469" s="6"/>
      <c r="R469" s="6"/>
      <c r="U469" s="14"/>
      <c r="V469" s="5"/>
    </row>
    <row r="470" spans="10:22" ht="14.25" customHeight="1" x14ac:dyDescent="0.3">
      <c r="J470" s="5"/>
      <c r="K470" s="39"/>
      <c r="L470" s="150"/>
      <c r="M470" s="5"/>
      <c r="N470" s="13"/>
      <c r="P470" s="40"/>
      <c r="Q470" s="6"/>
      <c r="R470" s="6"/>
      <c r="U470" s="14"/>
      <c r="V470" s="5"/>
    </row>
    <row r="471" spans="10:22" ht="14.25" customHeight="1" x14ac:dyDescent="0.3">
      <c r="J471" s="5"/>
      <c r="K471" s="39"/>
      <c r="L471" s="150"/>
      <c r="M471" s="5"/>
      <c r="N471" s="13"/>
      <c r="P471" s="40"/>
      <c r="Q471" s="6"/>
      <c r="R471" s="6"/>
      <c r="U471" s="14"/>
      <c r="V471" s="5"/>
    </row>
    <row r="472" spans="10:22" ht="14.25" customHeight="1" x14ac:dyDescent="0.3">
      <c r="J472" s="5"/>
      <c r="K472" s="39"/>
      <c r="L472" s="150"/>
      <c r="M472" s="5"/>
      <c r="N472" s="13"/>
      <c r="P472" s="40"/>
      <c r="Q472" s="6"/>
      <c r="R472" s="6"/>
      <c r="U472" s="14"/>
      <c r="V472" s="5"/>
    </row>
    <row r="473" spans="10:22" ht="14.25" customHeight="1" x14ac:dyDescent="0.3">
      <c r="J473" s="5"/>
      <c r="K473" s="39"/>
      <c r="L473" s="150"/>
      <c r="M473" s="5"/>
      <c r="N473" s="13"/>
      <c r="P473" s="40"/>
      <c r="Q473" s="6"/>
      <c r="R473" s="6"/>
      <c r="U473" s="14"/>
      <c r="V473" s="5"/>
    </row>
    <row r="474" spans="10:22" ht="14.25" customHeight="1" x14ac:dyDescent="0.3">
      <c r="J474" s="5"/>
      <c r="K474" s="39"/>
      <c r="L474" s="150"/>
      <c r="M474" s="5"/>
      <c r="N474" s="13"/>
      <c r="P474" s="40"/>
      <c r="Q474" s="6"/>
      <c r="R474" s="6"/>
      <c r="U474" s="14"/>
      <c r="V474" s="5"/>
    </row>
    <row r="475" spans="10:22" ht="14.25" customHeight="1" x14ac:dyDescent="0.3">
      <c r="J475" s="5"/>
      <c r="K475" s="39"/>
      <c r="L475" s="150"/>
      <c r="M475" s="5"/>
      <c r="N475" s="13"/>
      <c r="P475" s="40"/>
      <c r="Q475" s="6"/>
      <c r="R475" s="6"/>
      <c r="U475" s="14"/>
      <c r="V475" s="5"/>
    </row>
    <row r="476" spans="10:22" ht="14.25" customHeight="1" x14ac:dyDescent="0.3">
      <c r="J476" s="5"/>
      <c r="K476" s="39"/>
      <c r="L476" s="150"/>
      <c r="M476" s="5"/>
      <c r="N476" s="13"/>
      <c r="P476" s="40"/>
      <c r="Q476" s="6"/>
      <c r="R476" s="6"/>
      <c r="U476" s="14"/>
      <c r="V476" s="5"/>
    </row>
    <row r="477" spans="10:22" ht="14.25" customHeight="1" x14ac:dyDescent="0.3">
      <c r="J477" s="5"/>
      <c r="K477" s="39"/>
      <c r="L477" s="150"/>
      <c r="M477" s="5"/>
      <c r="N477" s="13"/>
      <c r="P477" s="40"/>
      <c r="Q477" s="6"/>
      <c r="R477" s="6"/>
      <c r="U477" s="14"/>
      <c r="V477" s="5"/>
    </row>
    <row r="478" spans="10:22" ht="14.25" customHeight="1" x14ac:dyDescent="0.3">
      <c r="J478" s="5"/>
      <c r="K478" s="39"/>
      <c r="L478" s="150"/>
      <c r="M478" s="5"/>
      <c r="N478" s="13"/>
      <c r="P478" s="40"/>
      <c r="Q478" s="6"/>
      <c r="R478" s="6"/>
      <c r="U478" s="14"/>
      <c r="V478" s="5"/>
    </row>
    <row r="479" spans="10:22" ht="14.25" customHeight="1" x14ac:dyDescent="0.3">
      <c r="J479" s="5"/>
      <c r="K479" s="39"/>
      <c r="L479" s="150"/>
      <c r="M479" s="5"/>
      <c r="N479" s="13"/>
      <c r="P479" s="40"/>
      <c r="Q479" s="6"/>
      <c r="R479" s="6"/>
      <c r="U479" s="14"/>
      <c r="V479" s="5"/>
    </row>
    <row r="480" spans="10:22" ht="14.25" customHeight="1" x14ac:dyDescent="0.3">
      <c r="J480" s="5"/>
      <c r="K480" s="39"/>
      <c r="L480" s="150"/>
      <c r="M480" s="5"/>
      <c r="N480" s="13"/>
      <c r="P480" s="40"/>
      <c r="Q480" s="6"/>
      <c r="R480" s="6"/>
      <c r="U480" s="14"/>
      <c r="V480" s="5"/>
    </row>
    <row r="481" spans="10:22" ht="14.25" customHeight="1" x14ac:dyDescent="0.3">
      <c r="J481" s="5"/>
      <c r="K481" s="39"/>
      <c r="L481" s="150"/>
      <c r="M481" s="5"/>
      <c r="N481" s="13"/>
      <c r="P481" s="40"/>
      <c r="Q481" s="6"/>
      <c r="R481" s="6"/>
      <c r="U481" s="14"/>
      <c r="V481" s="5"/>
    </row>
    <row r="482" spans="10:22" ht="14.25" customHeight="1" x14ac:dyDescent="0.3">
      <c r="J482" s="5"/>
      <c r="K482" s="39"/>
      <c r="L482" s="150"/>
      <c r="M482" s="5"/>
      <c r="N482" s="13"/>
      <c r="P482" s="40"/>
      <c r="Q482" s="6"/>
      <c r="R482" s="6"/>
      <c r="U482" s="14"/>
      <c r="V482" s="5"/>
    </row>
    <row r="483" spans="10:22" ht="14.25" customHeight="1" x14ac:dyDescent="0.3">
      <c r="J483" s="5"/>
      <c r="K483" s="39"/>
      <c r="L483" s="150"/>
      <c r="M483" s="5"/>
      <c r="N483" s="13"/>
      <c r="P483" s="40"/>
      <c r="Q483" s="6"/>
      <c r="R483" s="6"/>
      <c r="U483" s="14"/>
      <c r="V483" s="5"/>
    </row>
    <row r="484" spans="10:22" ht="14.25" customHeight="1" x14ac:dyDescent="0.3">
      <c r="J484" s="5"/>
      <c r="K484" s="39"/>
      <c r="L484" s="150"/>
      <c r="M484" s="5"/>
      <c r="N484" s="13"/>
      <c r="P484" s="40"/>
      <c r="Q484" s="6"/>
      <c r="R484" s="6"/>
      <c r="U484" s="14"/>
      <c r="V484" s="5"/>
    </row>
    <row r="485" spans="10:22" ht="14.25" customHeight="1" x14ac:dyDescent="0.3">
      <c r="J485" s="5"/>
      <c r="K485" s="39"/>
      <c r="L485" s="150"/>
      <c r="M485" s="5"/>
      <c r="N485" s="13"/>
      <c r="P485" s="40"/>
      <c r="Q485" s="6"/>
      <c r="R485" s="6"/>
      <c r="U485" s="14"/>
      <c r="V485" s="5"/>
    </row>
    <row r="486" spans="10:22" ht="14.25" customHeight="1" x14ac:dyDescent="0.3">
      <c r="J486" s="5"/>
      <c r="K486" s="39"/>
      <c r="L486" s="150"/>
      <c r="M486" s="5"/>
      <c r="N486" s="13"/>
      <c r="P486" s="40"/>
      <c r="Q486" s="6"/>
      <c r="R486" s="6"/>
      <c r="U486" s="14"/>
      <c r="V486" s="5"/>
    </row>
    <row r="487" spans="10:22" ht="14.25" customHeight="1" x14ac:dyDescent="0.3">
      <c r="J487" s="5"/>
      <c r="K487" s="39"/>
      <c r="L487" s="150"/>
      <c r="M487" s="5"/>
      <c r="N487" s="13"/>
      <c r="P487" s="40"/>
      <c r="Q487" s="6"/>
      <c r="R487" s="6"/>
      <c r="U487" s="14"/>
      <c r="V487" s="5"/>
    </row>
    <row r="488" spans="10:22" ht="14.25" customHeight="1" x14ac:dyDescent="0.3">
      <c r="J488" s="5"/>
      <c r="K488" s="39"/>
      <c r="L488" s="150"/>
      <c r="M488" s="5"/>
      <c r="N488" s="13"/>
      <c r="P488" s="40"/>
      <c r="Q488" s="6"/>
      <c r="R488" s="6"/>
      <c r="U488" s="14"/>
      <c r="V488" s="5"/>
    </row>
    <row r="489" spans="10:22" ht="14.25" customHeight="1" x14ac:dyDescent="0.3">
      <c r="J489" s="5"/>
      <c r="K489" s="39"/>
      <c r="L489" s="150"/>
      <c r="M489" s="5"/>
      <c r="N489" s="13"/>
      <c r="P489" s="40"/>
      <c r="Q489" s="6"/>
      <c r="R489" s="6"/>
      <c r="U489" s="14"/>
      <c r="V489" s="5"/>
    </row>
    <row r="490" spans="10:22" ht="14.25" customHeight="1" x14ac:dyDescent="0.3">
      <c r="J490" s="5"/>
      <c r="K490" s="39"/>
      <c r="L490" s="150"/>
      <c r="M490" s="5"/>
      <c r="N490" s="13"/>
      <c r="P490" s="40"/>
      <c r="Q490" s="6"/>
      <c r="R490" s="6"/>
      <c r="U490" s="14"/>
      <c r="V490" s="5"/>
    </row>
    <row r="491" spans="10:22" ht="14.25" customHeight="1" x14ac:dyDescent="0.3">
      <c r="J491" s="5"/>
      <c r="K491" s="39"/>
      <c r="L491" s="150"/>
      <c r="M491" s="5"/>
      <c r="N491" s="13"/>
      <c r="P491" s="40"/>
      <c r="Q491" s="6"/>
      <c r="R491" s="6"/>
      <c r="U491" s="14"/>
      <c r="V491" s="5"/>
    </row>
    <row r="492" spans="10:22" ht="14.25" customHeight="1" x14ac:dyDescent="0.3">
      <c r="J492" s="5"/>
      <c r="K492" s="39"/>
      <c r="L492" s="150"/>
      <c r="M492" s="5"/>
      <c r="N492" s="13"/>
      <c r="P492" s="40"/>
      <c r="Q492" s="6"/>
      <c r="R492" s="6"/>
      <c r="U492" s="14"/>
      <c r="V492" s="5"/>
    </row>
    <row r="493" spans="10:22" ht="14.25" customHeight="1" x14ac:dyDescent="0.3">
      <c r="J493" s="5"/>
      <c r="K493" s="39"/>
      <c r="L493" s="150"/>
      <c r="M493" s="5"/>
      <c r="N493" s="13"/>
      <c r="P493" s="40"/>
      <c r="Q493" s="6"/>
      <c r="R493" s="6"/>
      <c r="U493" s="14"/>
      <c r="V493" s="5"/>
    </row>
    <row r="494" spans="10:22" ht="14.25" customHeight="1" x14ac:dyDescent="0.3">
      <c r="J494" s="5"/>
      <c r="K494" s="39"/>
      <c r="L494" s="150"/>
      <c r="M494" s="5"/>
      <c r="N494" s="13"/>
      <c r="P494" s="40"/>
      <c r="Q494" s="6"/>
      <c r="R494" s="6"/>
      <c r="U494" s="14"/>
      <c r="V494" s="5"/>
    </row>
    <row r="495" spans="10:22" ht="14.25" customHeight="1" x14ac:dyDescent="0.3">
      <c r="J495" s="5"/>
      <c r="K495" s="39"/>
      <c r="L495" s="150"/>
      <c r="M495" s="5"/>
      <c r="N495" s="13"/>
      <c r="P495" s="40"/>
      <c r="Q495" s="6"/>
      <c r="R495" s="6"/>
      <c r="U495" s="14"/>
      <c r="V495" s="5"/>
    </row>
    <row r="496" spans="10:22" ht="14.25" customHeight="1" x14ac:dyDescent="0.3">
      <c r="J496" s="5"/>
      <c r="K496" s="39"/>
      <c r="L496" s="150"/>
      <c r="M496" s="5"/>
      <c r="N496" s="13"/>
      <c r="P496" s="40"/>
      <c r="Q496" s="6"/>
      <c r="R496" s="6"/>
      <c r="U496" s="14"/>
      <c r="V496" s="5"/>
    </row>
    <row r="497" spans="10:22" ht="14.25" customHeight="1" x14ac:dyDescent="0.3">
      <c r="J497" s="5"/>
      <c r="K497" s="39"/>
      <c r="L497" s="150"/>
      <c r="M497" s="5"/>
      <c r="N497" s="13"/>
      <c r="P497" s="40"/>
      <c r="Q497" s="6"/>
      <c r="R497" s="6"/>
      <c r="U497" s="14"/>
      <c r="V497" s="5"/>
    </row>
    <row r="498" spans="10:22" ht="14.25" customHeight="1" x14ac:dyDescent="0.3">
      <c r="J498" s="5"/>
      <c r="K498" s="39"/>
      <c r="L498" s="150"/>
      <c r="M498" s="5"/>
      <c r="N498" s="13"/>
      <c r="P498" s="40"/>
      <c r="Q498" s="6"/>
      <c r="R498" s="6"/>
      <c r="U498" s="14"/>
      <c r="V498" s="5"/>
    </row>
    <row r="499" spans="10:22" ht="14.25" customHeight="1" x14ac:dyDescent="0.3">
      <c r="J499" s="5"/>
      <c r="K499" s="39"/>
      <c r="L499" s="150"/>
      <c r="M499" s="5"/>
      <c r="N499" s="13"/>
      <c r="P499" s="40"/>
      <c r="Q499" s="6"/>
      <c r="R499" s="6"/>
      <c r="U499" s="14"/>
      <c r="V499" s="5"/>
    </row>
    <row r="500" spans="10:22" ht="14.25" customHeight="1" x14ac:dyDescent="0.3">
      <c r="J500" s="5"/>
      <c r="K500" s="39"/>
      <c r="L500" s="150"/>
      <c r="M500" s="5"/>
      <c r="N500" s="13"/>
      <c r="P500" s="40"/>
      <c r="Q500" s="6"/>
      <c r="R500" s="6"/>
      <c r="U500" s="14"/>
      <c r="V500" s="5"/>
    </row>
    <row r="501" spans="10:22" ht="14.25" customHeight="1" x14ac:dyDescent="0.3">
      <c r="J501" s="5"/>
      <c r="K501" s="39"/>
      <c r="L501" s="150"/>
      <c r="M501" s="5"/>
      <c r="N501" s="13"/>
      <c r="P501" s="40"/>
      <c r="Q501" s="6"/>
      <c r="R501" s="6"/>
      <c r="U501" s="14"/>
      <c r="V501" s="5"/>
    </row>
    <row r="502" spans="10:22" ht="14.25" customHeight="1" x14ac:dyDescent="0.3">
      <c r="J502" s="5"/>
      <c r="K502" s="39"/>
      <c r="L502" s="150"/>
      <c r="M502" s="5"/>
      <c r="N502" s="13"/>
      <c r="P502" s="40"/>
      <c r="Q502" s="6"/>
      <c r="R502" s="6"/>
      <c r="U502" s="14"/>
      <c r="V502" s="5"/>
    </row>
    <row r="503" spans="10:22" ht="14.25" customHeight="1" x14ac:dyDescent="0.3">
      <c r="J503" s="5"/>
      <c r="K503" s="39"/>
      <c r="L503" s="150"/>
      <c r="M503" s="5"/>
      <c r="N503" s="13"/>
      <c r="P503" s="40"/>
      <c r="Q503" s="6"/>
      <c r="R503" s="6"/>
      <c r="U503" s="14"/>
      <c r="V503" s="5"/>
    </row>
    <row r="504" spans="10:22" ht="14.25" customHeight="1" x14ac:dyDescent="0.3">
      <c r="J504" s="5"/>
      <c r="K504" s="39"/>
      <c r="L504" s="150"/>
      <c r="M504" s="5"/>
      <c r="N504" s="13"/>
      <c r="P504" s="40"/>
      <c r="Q504" s="6"/>
      <c r="R504" s="6"/>
      <c r="U504" s="14"/>
      <c r="V504" s="5"/>
    </row>
    <row r="505" spans="10:22" ht="14.25" customHeight="1" x14ac:dyDescent="0.3">
      <c r="J505" s="5"/>
      <c r="K505" s="39"/>
      <c r="L505" s="150"/>
      <c r="M505" s="5"/>
      <c r="N505" s="13"/>
      <c r="P505" s="40"/>
      <c r="Q505" s="6"/>
      <c r="R505" s="6"/>
      <c r="U505" s="14"/>
      <c r="V505" s="5"/>
    </row>
    <row r="506" spans="10:22" ht="14.25" customHeight="1" x14ac:dyDescent="0.3">
      <c r="J506" s="5"/>
      <c r="K506" s="39"/>
      <c r="L506" s="150"/>
      <c r="M506" s="5"/>
      <c r="N506" s="13"/>
      <c r="P506" s="40"/>
      <c r="Q506" s="6"/>
      <c r="R506" s="6"/>
      <c r="U506" s="14"/>
      <c r="V506" s="5"/>
    </row>
    <row r="507" spans="10:22" ht="14.25" customHeight="1" x14ac:dyDescent="0.3">
      <c r="J507" s="5"/>
      <c r="K507" s="39"/>
      <c r="L507" s="150"/>
      <c r="M507" s="5"/>
      <c r="N507" s="13"/>
      <c r="P507" s="40"/>
      <c r="Q507" s="6"/>
      <c r="R507" s="6"/>
      <c r="U507" s="14"/>
      <c r="V507" s="5"/>
    </row>
    <row r="508" spans="10:22" ht="14.25" customHeight="1" x14ac:dyDescent="0.3">
      <c r="J508" s="5"/>
      <c r="K508" s="39"/>
      <c r="L508" s="150"/>
      <c r="M508" s="5"/>
      <c r="N508" s="13"/>
      <c r="P508" s="40"/>
      <c r="Q508" s="6"/>
      <c r="R508" s="6"/>
      <c r="U508" s="14"/>
      <c r="V508" s="5"/>
    </row>
    <row r="509" spans="10:22" ht="14.25" customHeight="1" x14ac:dyDescent="0.3">
      <c r="J509" s="5"/>
      <c r="K509" s="39"/>
      <c r="L509" s="150"/>
      <c r="M509" s="5"/>
      <c r="N509" s="13"/>
      <c r="P509" s="40"/>
      <c r="Q509" s="6"/>
      <c r="R509" s="6"/>
      <c r="U509" s="14"/>
      <c r="V509" s="5"/>
    </row>
    <row r="510" spans="10:22" ht="14.25" customHeight="1" x14ac:dyDescent="0.3">
      <c r="J510" s="5"/>
      <c r="K510" s="39"/>
      <c r="L510" s="150"/>
      <c r="M510" s="5"/>
      <c r="N510" s="13"/>
      <c r="P510" s="40"/>
      <c r="Q510" s="6"/>
      <c r="R510" s="6"/>
      <c r="U510" s="14"/>
      <c r="V510" s="5"/>
    </row>
    <row r="511" spans="10:22" ht="14.25" customHeight="1" x14ac:dyDescent="0.3">
      <c r="J511" s="5"/>
      <c r="K511" s="39"/>
      <c r="L511" s="150"/>
      <c r="M511" s="5"/>
      <c r="N511" s="13"/>
      <c r="P511" s="40"/>
      <c r="Q511" s="6"/>
      <c r="R511" s="6"/>
      <c r="U511" s="14"/>
      <c r="V511" s="5"/>
    </row>
    <row r="512" spans="10:22" ht="14.25" customHeight="1" x14ac:dyDescent="0.3">
      <c r="J512" s="5"/>
      <c r="K512" s="39"/>
      <c r="L512" s="150"/>
      <c r="M512" s="5"/>
      <c r="N512" s="13"/>
      <c r="P512" s="40"/>
      <c r="Q512" s="6"/>
      <c r="R512" s="6"/>
      <c r="U512" s="14"/>
      <c r="V512" s="5"/>
    </row>
    <row r="513" spans="10:22" ht="14.25" customHeight="1" x14ac:dyDescent="0.3">
      <c r="J513" s="5"/>
      <c r="K513" s="39"/>
      <c r="L513" s="150"/>
      <c r="M513" s="5"/>
      <c r="N513" s="13"/>
      <c r="P513" s="40"/>
      <c r="Q513" s="6"/>
      <c r="R513" s="6"/>
      <c r="U513" s="14"/>
      <c r="V513" s="5"/>
    </row>
    <row r="514" spans="10:22" ht="14.25" customHeight="1" x14ac:dyDescent="0.3">
      <c r="J514" s="5"/>
      <c r="K514" s="39"/>
      <c r="L514" s="150"/>
      <c r="M514" s="5"/>
      <c r="N514" s="13"/>
      <c r="P514" s="40"/>
      <c r="Q514" s="6"/>
      <c r="R514" s="6"/>
      <c r="U514" s="14"/>
      <c r="V514" s="5"/>
    </row>
    <row r="515" spans="10:22" ht="14.25" customHeight="1" x14ac:dyDescent="0.3">
      <c r="J515" s="5"/>
      <c r="K515" s="39"/>
      <c r="L515" s="150"/>
      <c r="M515" s="5"/>
      <c r="N515" s="13"/>
      <c r="P515" s="40"/>
      <c r="Q515" s="6"/>
      <c r="R515" s="6"/>
      <c r="U515" s="14"/>
      <c r="V515" s="5"/>
    </row>
    <row r="516" spans="10:22" ht="14.25" customHeight="1" x14ac:dyDescent="0.3">
      <c r="J516" s="5"/>
      <c r="K516" s="39"/>
      <c r="L516" s="150"/>
      <c r="M516" s="5"/>
      <c r="N516" s="13"/>
      <c r="P516" s="40"/>
      <c r="Q516" s="6"/>
      <c r="R516" s="6"/>
      <c r="U516" s="14"/>
      <c r="V516" s="5"/>
    </row>
    <row r="517" spans="10:22" ht="14.25" customHeight="1" x14ac:dyDescent="0.3">
      <c r="J517" s="5"/>
      <c r="K517" s="39"/>
      <c r="L517" s="150"/>
      <c r="M517" s="5"/>
      <c r="N517" s="13"/>
      <c r="P517" s="40"/>
      <c r="Q517" s="6"/>
      <c r="R517" s="6"/>
      <c r="U517" s="14"/>
      <c r="V517" s="5"/>
    </row>
    <row r="518" spans="10:22" ht="14.25" customHeight="1" x14ac:dyDescent="0.3">
      <c r="J518" s="5"/>
      <c r="K518" s="39"/>
      <c r="L518" s="150"/>
      <c r="M518" s="5"/>
      <c r="N518" s="13"/>
      <c r="P518" s="40"/>
      <c r="Q518" s="6"/>
      <c r="R518" s="6"/>
      <c r="U518" s="14"/>
      <c r="V518" s="5"/>
    </row>
    <row r="519" spans="10:22" ht="14.25" customHeight="1" x14ac:dyDescent="0.3">
      <c r="J519" s="5"/>
      <c r="K519" s="39"/>
      <c r="L519" s="150"/>
      <c r="M519" s="5"/>
      <c r="N519" s="13"/>
      <c r="P519" s="40"/>
      <c r="Q519" s="6"/>
      <c r="R519" s="6"/>
      <c r="U519" s="14"/>
      <c r="V519" s="5"/>
    </row>
    <row r="520" spans="10:22" ht="14.25" customHeight="1" x14ac:dyDescent="0.3">
      <c r="J520" s="5"/>
      <c r="K520" s="39"/>
      <c r="L520" s="150"/>
      <c r="M520" s="5"/>
      <c r="N520" s="13"/>
      <c r="P520" s="40"/>
      <c r="Q520" s="6"/>
      <c r="R520" s="6"/>
      <c r="U520" s="14"/>
      <c r="V520" s="5"/>
    </row>
    <row r="521" spans="10:22" ht="14.25" customHeight="1" x14ac:dyDescent="0.3">
      <c r="J521" s="5"/>
      <c r="K521" s="39"/>
      <c r="L521" s="150"/>
      <c r="M521" s="5"/>
      <c r="N521" s="13"/>
      <c r="P521" s="40"/>
      <c r="Q521" s="6"/>
      <c r="R521" s="6"/>
      <c r="U521" s="14"/>
      <c r="V521" s="5"/>
    </row>
    <row r="522" spans="10:22" ht="14.25" customHeight="1" x14ac:dyDescent="0.3">
      <c r="J522" s="5"/>
      <c r="K522" s="39"/>
      <c r="L522" s="150"/>
      <c r="M522" s="5"/>
      <c r="N522" s="13"/>
      <c r="P522" s="40"/>
      <c r="Q522" s="6"/>
      <c r="R522" s="6"/>
      <c r="U522" s="14"/>
      <c r="V522" s="5"/>
    </row>
    <row r="523" spans="10:22" ht="14.25" customHeight="1" x14ac:dyDescent="0.3">
      <c r="J523" s="5"/>
      <c r="K523" s="39"/>
      <c r="L523" s="150"/>
      <c r="M523" s="5"/>
      <c r="N523" s="13"/>
      <c r="P523" s="40"/>
      <c r="Q523" s="6"/>
      <c r="R523" s="6"/>
      <c r="U523" s="14"/>
      <c r="V523" s="5"/>
    </row>
    <row r="524" spans="10:22" ht="14.25" customHeight="1" x14ac:dyDescent="0.3">
      <c r="J524" s="5"/>
      <c r="K524" s="39"/>
      <c r="L524" s="150"/>
      <c r="M524" s="5"/>
      <c r="N524" s="13"/>
      <c r="P524" s="40"/>
      <c r="Q524" s="6"/>
      <c r="R524" s="6"/>
      <c r="U524" s="14"/>
      <c r="V524" s="5"/>
    </row>
    <row r="525" spans="10:22" ht="14.25" customHeight="1" x14ac:dyDescent="0.3">
      <c r="J525" s="5"/>
      <c r="K525" s="39"/>
      <c r="L525" s="150"/>
      <c r="M525" s="5"/>
      <c r="N525" s="13"/>
      <c r="P525" s="40"/>
      <c r="Q525" s="6"/>
      <c r="R525" s="6"/>
      <c r="U525" s="14"/>
      <c r="V525" s="5"/>
    </row>
    <row r="526" spans="10:22" ht="14.25" customHeight="1" x14ac:dyDescent="0.3">
      <c r="J526" s="5"/>
      <c r="K526" s="39"/>
      <c r="L526" s="150"/>
      <c r="M526" s="5"/>
      <c r="N526" s="13"/>
      <c r="P526" s="40"/>
      <c r="Q526" s="6"/>
      <c r="R526" s="6"/>
      <c r="U526" s="14"/>
      <c r="V526" s="5"/>
    </row>
    <row r="527" spans="10:22" ht="14.25" customHeight="1" x14ac:dyDescent="0.3">
      <c r="J527" s="5"/>
      <c r="K527" s="39"/>
      <c r="L527" s="150"/>
      <c r="M527" s="5"/>
      <c r="N527" s="13"/>
      <c r="P527" s="40"/>
      <c r="Q527" s="6"/>
      <c r="R527" s="6"/>
      <c r="U527" s="14"/>
      <c r="V527" s="5"/>
    </row>
    <row r="528" spans="10:22" ht="14.25" customHeight="1" x14ac:dyDescent="0.3">
      <c r="J528" s="5"/>
      <c r="K528" s="39"/>
      <c r="L528" s="150"/>
      <c r="M528" s="5"/>
      <c r="N528" s="13"/>
      <c r="P528" s="40"/>
      <c r="Q528" s="6"/>
      <c r="R528" s="6"/>
      <c r="U528" s="14"/>
      <c r="V528" s="5"/>
    </row>
    <row r="529" spans="10:22" ht="14.25" customHeight="1" x14ac:dyDescent="0.3">
      <c r="J529" s="5"/>
      <c r="K529" s="39"/>
      <c r="L529" s="150"/>
      <c r="M529" s="5"/>
      <c r="N529" s="13"/>
      <c r="P529" s="40"/>
      <c r="Q529" s="6"/>
      <c r="R529" s="6"/>
      <c r="U529" s="14"/>
      <c r="V529" s="5"/>
    </row>
    <row r="530" spans="10:22" ht="14.25" customHeight="1" x14ac:dyDescent="0.3">
      <c r="J530" s="5"/>
      <c r="K530" s="39"/>
      <c r="L530" s="150"/>
      <c r="M530" s="5"/>
      <c r="N530" s="13"/>
      <c r="P530" s="40"/>
      <c r="Q530" s="6"/>
      <c r="R530" s="6"/>
      <c r="U530" s="14"/>
      <c r="V530" s="5"/>
    </row>
    <row r="531" spans="10:22" ht="14.25" customHeight="1" x14ac:dyDescent="0.3">
      <c r="J531" s="5"/>
      <c r="K531" s="39"/>
      <c r="L531" s="150"/>
      <c r="M531" s="5"/>
      <c r="N531" s="13"/>
      <c r="P531" s="40"/>
      <c r="Q531" s="6"/>
      <c r="R531" s="6"/>
      <c r="U531" s="14"/>
      <c r="V531" s="5"/>
    </row>
    <row r="532" spans="10:22" ht="14.25" customHeight="1" x14ac:dyDescent="0.3">
      <c r="J532" s="5"/>
      <c r="K532" s="39"/>
      <c r="L532" s="150"/>
      <c r="M532" s="5"/>
      <c r="N532" s="13"/>
      <c r="P532" s="40"/>
      <c r="Q532" s="6"/>
      <c r="R532" s="6"/>
      <c r="U532" s="14"/>
      <c r="V532" s="5"/>
    </row>
    <row r="533" spans="10:22" ht="14.25" customHeight="1" x14ac:dyDescent="0.3">
      <c r="J533" s="5"/>
      <c r="K533" s="39"/>
      <c r="L533" s="150"/>
      <c r="M533" s="5"/>
      <c r="N533" s="13"/>
      <c r="P533" s="40"/>
      <c r="Q533" s="6"/>
      <c r="R533" s="6"/>
      <c r="U533" s="14"/>
      <c r="V533" s="5"/>
    </row>
    <row r="534" spans="10:22" ht="14.25" customHeight="1" x14ac:dyDescent="0.3">
      <c r="J534" s="5"/>
      <c r="K534" s="39"/>
      <c r="L534" s="150"/>
      <c r="M534" s="5"/>
      <c r="N534" s="13"/>
      <c r="P534" s="40"/>
      <c r="Q534" s="6"/>
      <c r="R534" s="6"/>
      <c r="U534" s="14"/>
      <c r="V534" s="5"/>
    </row>
    <row r="535" spans="10:22" ht="14.25" customHeight="1" x14ac:dyDescent="0.3">
      <c r="J535" s="5"/>
      <c r="K535" s="39"/>
      <c r="L535" s="150"/>
      <c r="M535" s="5"/>
      <c r="N535" s="13"/>
      <c r="P535" s="40"/>
      <c r="Q535" s="6"/>
      <c r="R535" s="6"/>
      <c r="U535" s="14"/>
      <c r="V535" s="5"/>
    </row>
    <row r="536" spans="10:22" ht="14.25" customHeight="1" x14ac:dyDescent="0.3">
      <c r="J536" s="5"/>
      <c r="K536" s="39"/>
      <c r="L536" s="150"/>
      <c r="M536" s="5"/>
      <c r="N536" s="13"/>
      <c r="P536" s="40"/>
      <c r="Q536" s="6"/>
      <c r="R536" s="6"/>
      <c r="U536" s="14"/>
      <c r="V536" s="5"/>
    </row>
    <row r="537" spans="10:22" ht="14.25" customHeight="1" x14ac:dyDescent="0.3">
      <c r="J537" s="5"/>
      <c r="K537" s="39"/>
      <c r="L537" s="150"/>
      <c r="M537" s="5"/>
      <c r="N537" s="13"/>
      <c r="P537" s="40"/>
      <c r="Q537" s="6"/>
      <c r="R537" s="6"/>
      <c r="U537" s="14"/>
      <c r="V537" s="5"/>
    </row>
    <row r="538" spans="10:22" ht="14.25" customHeight="1" x14ac:dyDescent="0.3">
      <c r="J538" s="5"/>
      <c r="K538" s="39"/>
      <c r="L538" s="150"/>
      <c r="M538" s="5"/>
      <c r="N538" s="13"/>
      <c r="P538" s="40"/>
      <c r="Q538" s="6"/>
      <c r="R538" s="6"/>
      <c r="U538" s="14"/>
      <c r="V538" s="5"/>
    </row>
    <row r="539" spans="10:22" ht="14.25" customHeight="1" x14ac:dyDescent="0.3">
      <c r="J539" s="5"/>
      <c r="K539" s="39"/>
      <c r="L539" s="150"/>
      <c r="M539" s="5"/>
      <c r="N539" s="13"/>
      <c r="P539" s="40"/>
      <c r="Q539" s="6"/>
      <c r="R539" s="6"/>
      <c r="U539" s="14"/>
      <c r="V539" s="5"/>
    </row>
    <row r="540" spans="10:22" ht="14.25" customHeight="1" x14ac:dyDescent="0.3">
      <c r="J540" s="5"/>
      <c r="K540" s="39"/>
      <c r="L540" s="150"/>
      <c r="M540" s="5"/>
      <c r="N540" s="13"/>
      <c r="P540" s="40"/>
      <c r="Q540" s="6"/>
      <c r="R540" s="6"/>
      <c r="U540" s="14"/>
      <c r="V540" s="5"/>
    </row>
    <row r="541" spans="10:22" ht="14.25" customHeight="1" x14ac:dyDescent="0.3">
      <c r="J541" s="5"/>
      <c r="K541" s="39"/>
      <c r="L541" s="150"/>
      <c r="M541" s="5"/>
      <c r="N541" s="13"/>
      <c r="P541" s="40"/>
      <c r="Q541" s="6"/>
      <c r="R541" s="6"/>
      <c r="U541" s="14"/>
      <c r="V541" s="5"/>
    </row>
    <row r="542" spans="10:22" ht="14.25" customHeight="1" x14ac:dyDescent="0.3">
      <c r="J542" s="5"/>
      <c r="K542" s="39"/>
      <c r="L542" s="150"/>
      <c r="M542" s="5"/>
      <c r="N542" s="13"/>
      <c r="P542" s="40"/>
      <c r="Q542" s="6"/>
      <c r="R542" s="6"/>
      <c r="U542" s="14"/>
      <c r="V542" s="5"/>
    </row>
    <row r="543" spans="10:22" ht="14.25" customHeight="1" x14ac:dyDescent="0.3">
      <c r="J543" s="5"/>
      <c r="K543" s="39"/>
      <c r="L543" s="150"/>
      <c r="M543" s="5"/>
      <c r="N543" s="13"/>
      <c r="P543" s="40"/>
      <c r="Q543" s="6"/>
      <c r="R543" s="6"/>
      <c r="U543" s="14"/>
      <c r="V543" s="5"/>
    </row>
    <row r="544" spans="10:22" ht="14.25" customHeight="1" x14ac:dyDescent="0.3">
      <c r="J544" s="5"/>
      <c r="K544" s="39"/>
      <c r="L544" s="150"/>
      <c r="M544" s="5"/>
      <c r="N544" s="13"/>
      <c r="P544" s="40"/>
      <c r="Q544" s="6"/>
      <c r="R544" s="6"/>
      <c r="U544" s="14"/>
      <c r="V544" s="5"/>
    </row>
    <row r="545" spans="10:22" ht="14.25" customHeight="1" x14ac:dyDescent="0.3">
      <c r="J545" s="5"/>
      <c r="K545" s="39"/>
      <c r="L545" s="150"/>
      <c r="M545" s="5"/>
      <c r="N545" s="13"/>
      <c r="P545" s="40"/>
      <c r="Q545" s="6"/>
      <c r="R545" s="6"/>
      <c r="U545" s="14"/>
      <c r="V545" s="5"/>
    </row>
    <row r="546" spans="10:22" ht="14.25" customHeight="1" x14ac:dyDescent="0.3">
      <c r="J546" s="5"/>
      <c r="K546" s="39"/>
      <c r="L546" s="150"/>
      <c r="M546" s="5"/>
      <c r="N546" s="13"/>
      <c r="P546" s="40"/>
      <c r="Q546" s="6"/>
      <c r="R546" s="6"/>
      <c r="U546" s="14"/>
      <c r="V546" s="5"/>
    </row>
    <row r="547" spans="10:22" ht="14.25" customHeight="1" x14ac:dyDescent="0.3">
      <c r="J547" s="5"/>
      <c r="K547" s="39"/>
      <c r="L547" s="150"/>
      <c r="M547" s="5"/>
      <c r="N547" s="13"/>
      <c r="P547" s="40"/>
      <c r="Q547" s="6"/>
      <c r="R547" s="6"/>
      <c r="U547" s="14"/>
      <c r="V547" s="5"/>
    </row>
    <row r="548" spans="10:22" ht="14.25" customHeight="1" x14ac:dyDescent="0.3">
      <c r="J548" s="5"/>
      <c r="K548" s="39"/>
      <c r="L548" s="150"/>
      <c r="M548" s="5"/>
      <c r="N548" s="13"/>
      <c r="P548" s="40"/>
      <c r="Q548" s="6"/>
      <c r="R548" s="6"/>
      <c r="U548" s="14"/>
      <c r="V548" s="5"/>
    </row>
    <row r="549" spans="10:22" ht="14.25" customHeight="1" x14ac:dyDescent="0.3">
      <c r="J549" s="5"/>
      <c r="K549" s="39"/>
      <c r="L549" s="150"/>
      <c r="M549" s="5"/>
      <c r="N549" s="13"/>
      <c r="P549" s="40"/>
      <c r="Q549" s="6"/>
      <c r="R549" s="6"/>
      <c r="U549" s="14"/>
      <c r="V549" s="5"/>
    </row>
    <row r="550" spans="10:22" ht="14.25" customHeight="1" x14ac:dyDescent="0.3">
      <c r="J550" s="5"/>
      <c r="K550" s="39"/>
      <c r="L550" s="150"/>
      <c r="M550" s="5"/>
      <c r="N550" s="13"/>
      <c r="P550" s="40"/>
      <c r="Q550" s="6"/>
      <c r="R550" s="6"/>
      <c r="U550" s="14"/>
      <c r="V550" s="5"/>
    </row>
    <row r="551" spans="10:22" ht="14.25" customHeight="1" x14ac:dyDescent="0.3">
      <c r="J551" s="5"/>
      <c r="K551" s="39"/>
      <c r="L551" s="150"/>
      <c r="M551" s="5"/>
      <c r="N551" s="13"/>
      <c r="P551" s="40"/>
      <c r="Q551" s="6"/>
      <c r="R551" s="6"/>
      <c r="U551" s="14"/>
      <c r="V551" s="5"/>
    </row>
    <row r="552" spans="10:22" ht="14.25" customHeight="1" x14ac:dyDescent="0.3">
      <c r="J552" s="5"/>
      <c r="K552" s="39"/>
      <c r="L552" s="150"/>
      <c r="M552" s="5"/>
      <c r="N552" s="13"/>
      <c r="P552" s="40"/>
      <c r="Q552" s="6"/>
      <c r="R552" s="6"/>
      <c r="U552" s="14"/>
      <c r="V552" s="5"/>
    </row>
    <row r="553" spans="10:22" ht="14.25" customHeight="1" x14ac:dyDescent="0.3">
      <c r="J553" s="5"/>
      <c r="K553" s="39"/>
      <c r="L553" s="150"/>
      <c r="M553" s="5"/>
      <c r="N553" s="13"/>
      <c r="P553" s="40"/>
      <c r="Q553" s="6"/>
      <c r="R553" s="6"/>
      <c r="U553" s="14"/>
      <c r="V553" s="5"/>
    </row>
    <row r="554" spans="10:22" ht="14.25" customHeight="1" x14ac:dyDescent="0.3">
      <c r="J554" s="5"/>
      <c r="K554" s="39"/>
      <c r="L554" s="150"/>
      <c r="M554" s="5"/>
      <c r="N554" s="13"/>
      <c r="P554" s="40"/>
      <c r="Q554" s="6"/>
      <c r="R554" s="6"/>
      <c r="U554" s="14"/>
      <c r="V554" s="5"/>
    </row>
    <row r="555" spans="10:22" ht="14.25" customHeight="1" x14ac:dyDescent="0.3">
      <c r="J555" s="5"/>
      <c r="K555" s="39"/>
      <c r="L555" s="150"/>
      <c r="M555" s="5"/>
      <c r="N555" s="13"/>
      <c r="P555" s="40"/>
      <c r="Q555" s="6"/>
      <c r="R555" s="6"/>
      <c r="U555" s="14"/>
      <c r="V555" s="5"/>
    </row>
    <row r="556" spans="10:22" ht="14.25" customHeight="1" x14ac:dyDescent="0.3">
      <c r="J556" s="5"/>
      <c r="K556" s="39"/>
      <c r="L556" s="150"/>
      <c r="M556" s="5"/>
      <c r="N556" s="13"/>
      <c r="P556" s="40"/>
      <c r="Q556" s="6"/>
      <c r="R556" s="6"/>
      <c r="U556" s="14"/>
      <c r="V556" s="5"/>
    </row>
    <row r="557" spans="10:22" ht="14.25" customHeight="1" x14ac:dyDescent="0.3">
      <c r="J557" s="5"/>
      <c r="K557" s="39"/>
      <c r="L557" s="150"/>
      <c r="M557" s="5"/>
      <c r="N557" s="13"/>
      <c r="P557" s="40"/>
      <c r="Q557" s="6"/>
      <c r="R557" s="6"/>
      <c r="U557" s="14"/>
      <c r="V557" s="5"/>
    </row>
    <row r="558" spans="10:22" ht="14.25" customHeight="1" x14ac:dyDescent="0.3">
      <c r="J558" s="5"/>
      <c r="K558" s="39"/>
      <c r="L558" s="150"/>
      <c r="M558" s="5"/>
      <c r="N558" s="13"/>
      <c r="P558" s="40"/>
      <c r="Q558" s="6"/>
      <c r="R558" s="6"/>
      <c r="U558" s="14"/>
      <c r="V558" s="5"/>
    </row>
    <row r="559" spans="10:22" ht="14.25" customHeight="1" x14ac:dyDescent="0.3">
      <c r="J559" s="5"/>
      <c r="K559" s="39"/>
      <c r="L559" s="150"/>
      <c r="M559" s="5"/>
      <c r="N559" s="13"/>
      <c r="P559" s="40"/>
      <c r="Q559" s="6"/>
      <c r="R559" s="6"/>
      <c r="U559" s="14"/>
      <c r="V559" s="5"/>
    </row>
    <row r="560" spans="10:22" ht="14.25" customHeight="1" x14ac:dyDescent="0.3">
      <c r="J560" s="5"/>
      <c r="K560" s="39"/>
      <c r="L560" s="150"/>
      <c r="M560" s="5"/>
      <c r="N560" s="13"/>
      <c r="P560" s="40"/>
      <c r="Q560" s="6"/>
      <c r="R560" s="6"/>
      <c r="U560" s="14"/>
      <c r="V560" s="5"/>
    </row>
    <row r="561" spans="10:22" ht="14.25" customHeight="1" x14ac:dyDescent="0.3">
      <c r="J561" s="5"/>
      <c r="K561" s="39"/>
      <c r="L561" s="150"/>
      <c r="M561" s="5"/>
      <c r="N561" s="13"/>
      <c r="P561" s="40"/>
      <c r="Q561" s="6"/>
      <c r="R561" s="6"/>
      <c r="U561" s="14"/>
      <c r="V561" s="5"/>
    </row>
    <row r="562" spans="10:22" ht="14.25" customHeight="1" x14ac:dyDescent="0.3">
      <c r="J562" s="5"/>
      <c r="K562" s="39"/>
      <c r="L562" s="150"/>
      <c r="M562" s="5"/>
      <c r="N562" s="13"/>
      <c r="P562" s="40"/>
      <c r="Q562" s="6"/>
      <c r="R562" s="6"/>
      <c r="U562" s="14"/>
      <c r="V562" s="5"/>
    </row>
    <row r="563" spans="10:22" ht="14.25" customHeight="1" x14ac:dyDescent="0.3">
      <c r="J563" s="5"/>
      <c r="K563" s="39"/>
      <c r="L563" s="150"/>
      <c r="M563" s="5"/>
      <c r="N563" s="13"/>
      <c r="P563" s="40"/>
      <c r="Q563" s="6"/>
      <c r="R563" s="6"/>
      <c r="U563" s="14"/>
      <c r="V563" s="5"/>
    </row>
    <row r="564" spans="10:22" ht="14.25" customHeight="1" x14ac:dyDescent="0.3">
      <c r="J564" s="5"/>
      <c r="K564" s="39"/>
      <c r="L564" s="150"/>
      <c r="M564" s="5"/>
      <c r="N564" s="13"/>
      <c r="P564" s="40"/>
      <c r="Q564" s="6"/>
      <c r="R564" s="6"/>
      <c r="U564" s="14"/>
      <c r="V564" s="5"/>
    </row>
    <row r="565" spans="10:22" ht="14.25" customHeight="1" x14ac:dyDescent="0.3">
      <c r="J565" s="5"/>
      <c r="K565" s="39"/>
      <c r="L565" s="150"/>
      <c r="M565" s="5"/>
      <c r="N565" s="13"/>
      <c r="P565" s="40"/>
      <c r="Q565" s="6"/>
      <c r="R565" s="6"/>
      <c r="U565" s="14"/>
      <c r="V565" s="5"/>
    </row>
    <row r="566" spans="10:22" ht="14.25" customHeight="1" x14ac:dyDescent="0.3">
      <c r="J566" s="5"/>
      <c r="K566" s="39"/>
      <c r="L566" s="150"/>
      <c r="M566" s="5"/>
      <c r="N566" s="13"/>
      <c r="P566" s="40"/>
      <c r="Q566" s="6"/>
      <c r="R566" s="6"/>
      <c r="U566" s="14"/>
      <c r="V566" s="5"/>
    </row>
    <row r="567" spans="10:22" ht="14.25" customHeight="1" x14ac:dyDescent="0.3">
      <c r="J567" s="5"/>
      <c r="K567" s="39"/>
      <c r="L567" s="150"/>
      <c r="M567" s="5"/>
      <c r="N567" s="13"/>
      <c r="P567" s="40"/>
      <c r="Q567" s="6"/>
      <c r="R567" s="6"/>
      <c r="U567" s="14"/>
      <c r="V567" s="5"/>
    </row>
    <row r="568" spans="10:22" ht="14.25" customHeight="1" x14ac:dyDescent="0.3">
      <c r="J568" s="5"/>
      <c r="K568" s="39"/>
      <c r="L568" s="150"/>
      <c r="M568" s="5"/>
      <c r="N568" s="13"/>
      <c r="P568" s="40"/>
      <c r="Q568" s="6"/>
      <c r="R568" s="6"/>
      <c r="U568" s="14"/>
      <c r="V568" s="5"/>
    </row>
    <row r="569" spans="10:22" ht="14.25" customHeight="1" x14ac:dyDescent="0.3">
      <c r="J569" s="5"/>
      <c r="K569" s="39"/>
      <c r="L569" s="150"/>
      <c r="M569" s="5"/>
      <c r="N569" s="13"/>
      <c r="P569" s="40"/>
      <c r="Q569" s="6"/>
      <c r="R569" s="6"/>
      <c r="U569" s="14"/>
      <c r="V569" s="5"/>
    </row>
    <row r="570" spans="10:22" ht="14.25" customHeight="1" x14ac:dyDescent="0.3">
      <c r="J570" s="5"/>
      <c r="K570" s="39"/>
      <c r="L570" s="150"/>
      <c r="M570" s="5"/>
      <c r="N570" s="13"/>
      <c r="P570" s="40"/>
      <c r="Q570" s="6"/>
      <c r="R570" s="6"/>
      <c r="U570" s="14"/>
      <c r="V570" s="5"/>
    </row>
    <row r="571" spans="10:22" ht="14.25" customHeight="1" x14ac:dyDescent="0.3">
      <c r="J571" s="5"/>
      <c r="K571" s="39"/>
      <c r="L571" s="150"/>
      <c r="M571" s="5"/>
      <c r="N571" s="13"/>
      <c r="P571" s="40"/>
      <c r="Q571" s="6"/>
      <c r="R571" s="6"/>
      <c r="U571" s="14"/>
      <c r="V571" s="5"/>
    </row>
    <row r="572" spans="10:22" ht="14.25" customHeight="1" x14ac:dyDescent="0.3">
      <c r="J572" s="5"/>
      <c r="K572" s="39"/>
      <c r="L572" s="150"/>
      <c r="M572" s="5"/>
      <c r="N572" s="13"/>
      <c r="P572" s="40"/>
      <c r="Q572" s="6"/>
      <c r="R572" s="6"/>
      <c r="U572" s="14"/>
      <c r="V572" s="5"/>
    </row>
    <row r="573" spans="10:22" ht="14.25" customHeight="1" x14ac:dyDescent="0.3">
      <c r="J573" s="5"/>
      <c r="K573" s="39"/>
      <c r="L573" s="150"/>
      <c r="M573" s="5"/>
      <c r="N573" s="13"/>
      <c r="P573" s="40"/>
      <c r="Q573" s="6"/>
      <c r="R573" s="6"/>
      <c r="U573" s="14"/>
      <c r="V573" s="5"/>
    </row>
    <row r="574" spans="10:22" ht="14.25" customHeight="1" x14ac:dyDescent="0.3">
      <c r="J574" s="5"/>
      <c r="K574" s="39"/>
      <c r="L574" s="150"/>
      <c r="M574" s="5"/>
      <c r="N574" s="13"/>
      <c r="P574" s="40"/>
      <c r="Q574" s="6"/>
      <c r="R574" s="6"/>
      <c r="U574" s="14"/>
      <c r="V574" s="5"/>
    </row>
    <row r="575" spans="10:22" ht="14.25" customHeight="1" x14ac:dyDescent="0.3">
      <c r="J575" s="5"/>
      <c r="K575" s="39"/>
      <c r="L575" s="150"/>
      <c r="M575" s="5"/>
      <c r="N575" s="13"/>
      <c r="P575" s="40"/>
      <c r="Q575" s="6"/>
      <c r="R575" s="6"/>
      <c r="U575" s="14"/>
      <c r="V575" s="5"/>
    </row>
    <row r="576" spans="10:22" ht="14.25" customHeight="1" x14ac:dyDescent="0.3">
      <c r="J576" s="5"/>
      <c r="K576" s="39"/>
      <c r="L576" s="150"/>
      <c r="M576" s="5"/>
      <c r="N576" s="13"/>
      <c r="P576" s="40"/>
      <c r="Q576" s="6"/>
      <c r="R576" s="6"/>
      <c r="U576" s="14"/>
      <c r="V576" s="5"/>
    </row>
    <row r="577" spans="10:22" ht="14.25" customHeight="1" x14ac:dyDescent="0.3">
      <c r="J577" s="5"/>
      <c r="K577" s="39"/>
      <c r="L577" s="150"/>
      <c r="M577" s="5"/>
      <c r="N577" s="13"/>
      <c r="P577" s="40"/>
      <c r="Q577" s="6"/>
      <c r="R577" s="6"/>
      <c r="U577" s="14"/>
      <c r="V577" s="5"/>
    </row>
    <row r="578" spans="10:22" ht="14.25" customHeight="1" x14ac:dyDescent="0.3">
      <c r="J578" s="5"/>
      <c r="K578" s="39"/>
      <c r="L578" s="150"/>
      <c r="M578" s="5"/>
      <c r="N578" s="13"/>
      <c r="P578" s="40"/>
      <c r="Q578" s="6"/>
      <c r="R578" s="6"/>
      <c r="U578" s="14"/>
      <c r="V578" s="5"/>
    </row>
    <row r="579" spans="10:22" ht="14.25" customHeight="1" x14ac:dyDescent="0.3">
      <c r="J579" s="5"/>
      <c r="K579" s="39"/>
      <c r="L579" s="150"/>
      <c r="M579" s="5"/>
      <c r="N579" s="13"/>
      <c r="P579" s="40"/>
      <c r="Q579" s="6"/>
      <c r="R579" s="6"/>
      <c r="U579" s="14"/>
      <c r="V579" s="5"/>
    </row>
    <row r="580" spans="10:22" ht="14.25" customHeight="1" x14ac:dyDescent="0.3">
      <c r="J580" s="5"/>
      <c r="K580" s="39"/>
      <c r="L580" s="150"/>
      <c r="M580" s="5"/>
      <c r="N580" s="13"/>
      <c r="P580" s="40"/>
      <c r="Q580" s="6"/>
      <c r="R580" s="6"/>
      <c r="U580" s="14"/>
      <c r="V580" s="5"/>
    </row>
    <row r="581" spans="10:22" ht="14.25" customHeight="1" x14ac:dyDescent="0.3">
      <c r="J581" s="5"/>
      <c r="K581" s="39"/>
      <c r="L581" s="150"/>
      <c r="M581" s="5"/>
      <c r="N581" s="13"/>
      <c r="P581" s="40"/>
      <c r="Q581" s="6"/>
      <c r="R581" s="6"/>
      <c r="U581" s="14"/>
      <c r="V581" s="5"/>
    </row>
    <row r="582" spans="10:22" ht="14.25" customHeight="1" x14ac:dyDescent="0.3">
      <c r="J582" s="5"/>
      <c r="K582" s="39"/>
      <c r="L582" s="150"/>
      <c r="M582" s="5"/>
      <c r="N582" s="13"/>
      <c r="P582" s="40"/>
      <c r="Q582" s="6"/>
      <c r="R582" s="6"/>
      <c r="U582" s="14"/>
      <c r="V582" s="5"/>
    </row>
    <row r="583" spans="10:22" ht="14.25" customHeight="1" x14ac:dyDescent="0.3">
      <c r="J583" s="5"/>
      <c r="K583" s="39"/>
      <c r="L583" s="150"/>
      <c r="M583" s="5"/>
      <c r="N583" s="13"/>
      <c r="P583" s="40"/>
      <c r="Q583" s="6"/>
      <c r="R583" s="6"/>
      <c r="U583" s="14"/>
      <c r="V583" s="5"/>
    </row>
    <row r="584" spans="10:22" ht="14.25" customHeight="1" x14ac:dyDescent="0.3">
      <c r="J584" s="5"/>
      <c r="K584" s="39"/>
      <c r="L584" s="150"/>
      <c r="M584" s="5"/>
      <c r="N584" s="13"/>
      <c r="P584" s="40"/>
      <c r="Q584" s="6"/>
      <c r="R584" s="6"/>
      <c r="U584" s="14"/>
      <c r="V584" s="5"/>
    </row>
    <row r="585" spans="10:22" ht="14.25" customHeight="1" x14ac:dyDescent="0.3">
      <c r="J585" s="5"/>
      <c r="K585" s="39"/>
      <c r="L585" s="150"/>
      <c r="M585" s="5"/>
      <c r="N585" s="13"/>
      <c r="P585" s="40"/>
      <c r="Q585" s="6"/>
      <c r="R585" s="6"/>
      <c r="U585" s="14"/>
      <c r="V585" s="5"/>
    </row>
    <row r="586" spans="10:22" ht="14.25" customHeight="1" x14ac:dyDescent="0.3">
      <c r="J586" s="5"/>
      <c r="K586" s="39"/>
      <c r="L586" s="150"/>
      <c r="M586" s="5"/>
      <c r="N586" s="13"/>
      <c r="P586" s="40"/>
      <c r="Q586" s="6"/>
      <c r="R586" s="6"/>
      <c r="U586" s="14"/>
      <c r="V586" s="5"/>
    </row>
    <row r="587" spans="10:22" ht="14.25" customHeight="1" x14ac:dyDescent="0.3">
      <c r="J587" s="5"/>
      <c r="K587" s="39"/>
      <c r="L587" s="150"/>
      <c r="M587" s="5"/>
      <c r="N587" s="13"/>
      <c r="P587" s="40"/>
      <c r="Q587" s="6"/>
      <c r="R587" s="6"/>
      <c r="U587" s="14"/>
      <c r="V587" s="5"/>
    </row>
    <row r="588" spans="10:22" ht="14.25" customHeight="1" x14ac:dyDescent="0.3">
      <c r="J588" s="5"/>
      <c r="K588" s="39"/>
      <c r="L588" s="150"/>
      <c r="M588" s="5"/>
      <c r="N588" s="13"/>
      <c r="P588" s="40"/>
      <c r="Q588" s="6"/>
      <c r="R588" s="6"/>
      <c r="U588" s="14"/>
      <c r="V588" s="5"/>
    </row>
    <row r="589" spans="10:22" ht="14.25" customHeight="1" x14ac:dyDescent="0.3">
      <c r="J589" s="5"/>
      <c r="K589" s="39"/>
      <c r="L589" s="150"/>
      <c r="M589" s="5"/>
      <c r="N589" s="13"/>
      <c r="P589" s="40"/>
      <c r="Q589" s="6"/>
      <c r="R589" s="6"/>
      <c r="U589" s="14"/>
      <c r="V589" s="5"/>
    </row>
    <row r="590" spans="10:22" ht="14.25" customHeight="1" x14ac:dyDescent="0.3">
      <c r="J590" s="5"/>
      <c r="K590" s="39"/>
      <c r="L590" s="150"/>
      <c r="M590" s="5"/>
      <c r="N590" s="13"/>
      <c r="P590" s="40"/>
      <c r="Q590" s="6"/>
      <c r="R590" s="6"/>
      <c r="U590" s="14"/>
      <c r="V590" s="5"/>
    </row>
    <row r="591" spans="10:22" ht="14.25" customHeight="1" x14ac:dyDescent="0.3">
      <c r="J591" s="5"/>
      <c r="K591" s="39"/>
      <c r="L591" s="150"/>
      <c r="M591" s="5"/>
      <c r="N591" s="13"/>
      <c r="P591" s="40"/>
      <c r="Q591" s="6"/>
      <c r="R591" s="6"/>
      <c r="U591" s="14"/>
      <c r="V591" s="5"/>
    </row>
    <row r="592" spans="10:22" ht="14.25" customHeight="1" x14ac:dyDescent="0.3">
      <c r="J592" s="5"/>
      <c r="K592" s="39"/>
      <c r="L592" s="150"/>
      <c r="M592" s="5"/>
      <c r="N592" s="13"/>
      <c r="P592" s="40"/>
      <c r="Q592" s="6"/>
      <c r="R592" s="6"/>
      <c r="U592" s="14"/>
      <c r="V592" s="5"/>
    </row>
    <row r="593" spans="10:22" ht="14.25" customHeight="1" x14ac:dyDescent="0.3">
      <c r="J593" s="5"/>
      <c r="K593" s="39"/>
      <c r="L593" s="150"/>
      <c r="M593" s="5"/>
      <c r="N593" s="13"/>
      <c r="P593" s="40"/>
      <c r="Q593" s="6"/>
      <c r="R593" s="6"/>
      <c r="U593" s="14"/>
      <c r="V593" s="5"/>
    </row>
    <row r="594" spans="10:22" ht="14.25" customHeight="1" x14ac:dyDescent="0.3">
      <c r="J594" s="5"/>
      <c r="K594" s="39"/>
      <c r="L594" s="150"/>
      <c r="M594" s="5"/>
      <c r="N594" s="13"/>
      <c r="P594" s="40"/>
      <c r="Q594" s="6"/>
      <c r="R594" s="6"/>
      <c r="U594" s="14"/>
      <c r="V594" s="5"/>
    </row>
    <row r="595" spans="10:22" ht="14.25" customHeight="1" x14ac:dyDescent="0.3">
      <c r="J595" s="5"/>
      <c r="K595" s="39"/>
      <c r="L595" s="150"/>
      <c r="M595" s="5"/>
      <c r="N595" s="13"/>
      <c r="P595" s="40"/>
      <c r="Q595" s="6"/>
      <c r="R595" s="6"/>
      <c r="U595" s="14"/>
      <c r="V595" s="5"/>
    </row>
    <row r="596" spans="10:22" ht="14.25" customHeight="1" x14ac:dyDescent="0.3">
      <c r="J596" s="5"/>
      <c r="K596" s="39"/>
      <c r="L596" s="150"/>
      <c r="M596" s="5"/>
      <c r="N596" s="13"/>
      <c r="P596" s="40"/>
      <c r="Q596" s="6"/>
      <c r="R596" s="6"/>
      <c r="U596" s="14"/>
      <c r="V596" s="5"/>
    </row>
    <row r="597" spans="10:22" ht="14.25" customHeight="1" x14ac:dyDescent="0.3">
      <c r="J597" s="5"/>
      <c r="K597" s="39"/>
      <c r="L597" s="150"/>
      <c r="M597" s="5"/>
      <c r="N597" s="13"/>
      <c r="P597" s="40"/>
      <c r="Q597" s="6"/>
      <c r="R597" s="6"/>
      <c r="U597" s="14"/>
      <c r="V597" s="5"/>
    </row>
    <row r="598" spans="10:22" ht="14.25" customHeight="1" x14ac:dyDescent="0.3">
      <c r="J598" s="5"/>
      <c r="K598" s="39"/>
      <c r="L598" s="150"/>
      <c r="M598" s="5"/>
      <c r="N598" s="13"/>
      <c r="P598" s="40"/>
      <c r="Q598" s="6"/>
      <c r="R598" s="6"/>
      <c r="U598" s="14"/>
      <c r="V598" s="5"/>
    </row>
    <row r="599" spans="10:22" ht="14.25" customHeight="1" x14ac:dyDescent="0.3">
      <c r="J599" s="5"/>
      <c r="K599" s="39"/>
      <c r="L599" s="150"/>
      <c r="M599" s="5"/>
      <c r="N599" s="13"/>
      <c r="P599" s="40"/>
      <c r="Q599" s="6"/>
      <c r="R599" s="6"/>
      <c r="U599" s="14"/>
      <c r="V599" s="5"/>
    </row>
    <row r="600" spans="10:22" ht="14.25" customHeight="1" x14ac:dyDescent="0.3">
      <c r="J600" s="5"/>
      <c r="K600" s="39"/>
      <c r="L600" s="150"/>
      <c r="M600" s="5"/>
      <c r="N600" s="13"/>
      <c r="P600" s="40"/>
      <c r="Q600" s="6"/>
      <c r="R600" s="6"/>
      <c r="U600" s="14"/>
      <c r="V600" s="5"/>
    </row>
    <row r="601" spans="10:22" ht="14.25" customHeight="1" x14ac:dyDescent="0.3">
      <c r="J601" s="5"/>
      <c r="K601" s="39"/>
      <c r="L601" s="150"/>
      <c r="M601" s="5"/>
      <c r="N601" s="13"/>
      <c r="P601" s="40"/>
      <c r="Q601" s="6"/>
      <c r="R601" s="6"/>
      <c r="U601" s="14"/>
      <c r="V601" s="5"/>
    </row>
    <row r="602" spans="10:22" ht="14.25" customHeight="1" x14ac:dyDescent="0.3">
      <c r="J602" s="5"/>
      <c r="K602" s="39"/>
      <c r="L602" s="150"/>
      <c r="M602" s="5"/>
      <c r="N602" s="13"/>
      <c r="P602" s="40"/>
      <c r="Q602" s="6"/>
      <c r="R602" s="6"/>
      <c r="U602" s="14"/>
      <c r="V602" s="5"/>
    </row>
    <row r="603" spans="10:22" ht="14.25" customHeight="1" x14ac:dyDescent="0.3">
      <c r="J603" s="5"/>
      <c r="K603" s="39"/>
      <c r="L603" s="150"/>
      <c r="M603" s="5"/>
      <c r="N603" s="13"/>
      <c r="P603" s="40"/>
      <c r="Q603" s="6"/>
      <c r="R603" s="6"/>
      <c r="U603" s="14"/>
      <c r="V603" s="5"/>
    </row>
    <row r="604" spans="10:22" ht="14.25" customHeight="1" x14ac:dyDescent="0.3">
      <c r="J604" s="5"/>
      <c r="K604" s="39"/>
      <c r="L604" s="150"/>
      <c r="M604" s="5"/>
      <c r="N604" s="13"/>
      <c r="P604" s="40"/>
      <c r="Q604" s="6"/>
      <c r="R604" s="6"/>
      <c r="U604" s="14"/>
      <c r="V604" s="5"/>
    </row>
    <row r="605" spans="10:22" ht="14.25" customHeight="1" x14ac:dyDescent="0.3">
      <c r="J605" s="5"/>
      <c r="K605" s="39"/>
      <c r="L605" s="150"/>
      <c r="M605" s="5"/>
      <c r="N605" s="13"/>
      <c r="P605" s="40"/>
      <c r="Q605" s="6"/>
      <c r="R605" s="6"/>
      <c r="U605" s="14"/>
      <c r="V605" s="5"/>
    </row>
    <row r="606" spans="10:22" ht="14.25" customHeight="1" x14ac:dyDescent="0.3">
      <c r="J606" s="5"/>
      <c r="K606" s="39"/>
      <c r="L606" s="150"/>
      <c r="M606" s="5"/>
      <c r="N606" s="13"/>
      <c r="P606" s="40"/>
      <c r="Q606" s="6"/>
      <c r="R606" s="6"/>
      <c r="U606" s="14"/>
      <c r="V606" s="5"/>
    </row>
    <row r="607" spans="10:22" ht="14.25" customHeight="1" x14ac:dyDescent="0.3">
      <c r="J607" s="5"/>
      <c r="K607" s="39"/>
      <c r="L607" s="150"/>
      <c r="M607" s="5"/>
      <c r="N607" s="13"/>
      <c r="P607" s="40"/>
      <c r="Q607" s="6"/>
      <c r="R607" s="6"/>
      <c r="U607" s="14"/>
      <c r="V607" s="5"/>
    </row>
    <row r="608" spans="10:22" ht="14.25" customHeight="1" x14ac:dyDescent="0.3">
      <c r="J608" s="5"/>
      <c r="K608" s="39"/>
      <c r="L608" s="150"/>
      <c r="M608" s="5"/>
      <c r="N608" s="13"/>
      <c r="P608" s="40"/>
      <c r="Q608" s="6"/>
      <c r="R608" s="6"/>
      <c r="U608" s="14"/>
      <c r="V608" s="5"/>
    </row>
    <row r="609" spans="10:22" ht="14.25" customHeight="1" x14ac:dyDescent="0.3">
      <c r="J609" s="5"/>
      <c r="K609" s="39"/>
      <c r="L609" s="150"/>
      <c r="M609" s="5"/>
      <c r="N609" s="13"/>
      <c r="P609" s="40"/>
      <c r="Q609" s="6"/>
      <c r="R609" s="6"/>
      <c r="U609" s="14"/>
      <c r="V609" s="5"/>
    </row>
    <row r="610" spans="10:22" ht="14.25" customHeight="1" x14ac:dyDescent="0.3">
      <c r="J610" s="5"/>
      <c r="K610" s="39"/>
      <c r="L610" s="150"/>
      <c r="M610" s="5"/>
      <c r="N610" s="13"/>
      <c r="P610" s="40"/>
      <c r="Q610" s="6"/>
      <c r="R610" s="6"/>
      <c r="U610" s="14"/>
      <c r="V610" s="5"/>
    </row>
    <row r="611" spans="10:22" ht="14.25" customHeight="1" x14ac:dyDescent="0.3">
      <c r="J611" s="5"/>
      <c r="K611" s="39"/>
      <c r="L611" s="150"/>
      <c r="M611" s="5"/>
      <c r="N611" s="13"/>
      <c r="P611" s="40"/>
      <c r="Q611" s="6"/>
      <c r="R611" s="6"/>
      <c r="U611" s="14"/>
      <c r="V611" s="5"/>
    </row>
    <row r="612" spans="10:22" ht="14.25" customHeight="1" x14ac:dyDescent="0.3">
      <c r="J612" s="5"/>
      <c r="K612" s="39"/>
      <c r="L612" s="150"/>
      <c r="M612" s="5"/>
      <c r="N612" s="13"/>
      <c r="P612" s="40"/>
      <c r="Q612" s="6"/>
      <c r="R612" s="6"/>
      <c r="U612" s="14"/>
      <c r="V612" s="5"/>
    </row>
    <row r="613" spans="10:22" ht="14.25" customHeight="1" x14ac:dyDescent="0.3">
      <c r="J613" s="5"/>
      <c r="K613" s="39"/>
      <c r="L613" s="150"/>
      <c r="M613" s="5"/>
      <c r="N613" s="13"/>
      <c r="P613" s="40"/>
      <c r="Q613" s="6"/>
      <c r="R613" s="6"/>
      <c r="U613" s="14"/>
      <c r="V613" s="5"/>
    </row>
    <row r="614" spans="10:22" ht="14.25" customHeight="1" x14ac:dyDescent="0.3">
      <c r="J614" s="5"/>
      <c r="K614" s="39"/>
      <c r="L614" s="150"/>
      <c r="M614" s="5"/>
      <c r="N614" s="13"/>
      <c r="P614" s="40"/>
      <c r="Q614" s="6"/>
      <c r="R614" s="6"/>
      <c r="U614" s="14"/>
      <c r="V614" s="5"/>
    </row>
    <row r="615" spans="10:22" ht="14.25" customHeight="1" x14ac:dyDescent="0.3">
      <c r="J615" s="5"/>
      <c r="K615" s="39"/>
      <c r="L615" s="150"/>
      <c r="M615" s="5"/>
      <c r="N615" s="13"/>
      <c r="P615" s="40"/>
      <c r="Q615" s="6"/>
      <c r="R615" s="6"/>
      <c r="U615" s="14"/>
      <c r="V615" s="5"/>
    </row>
    <row r="616" spans="10:22" ht="14.25" customHeight="1" x14ac:dyDescent="0.3">
      <c r="J616" s="5"/>
      <c r="K616" s="39"/>
      <c r="L616" s="150"/>
      <c r="M616" s="5"/>
      <c r="N616" s="13"/>
      <c r="P616" s="40"/>
      <c r="Q616" s="6"/>
      <c r="R616" s="6"/>
      <c r="U616" s="14"/>
      <c r="V616" s="5"/>
    </row>
    <row r="617" spans="10:22" ht="14.25" customHeight="1" x14ac:dyDescent="0.3">
      <c r="J617" s="5"/>
      <c r="K617" s="39"/>
      <c r="L617" s="150"/>
      <c r="M617" s="5"/>
      <c r="N617" s="13"/>
      <c r="P617" s="40"/>
      <c r="Q617" s="6"/>
      <c r="R617" s="6"/>
      <c r="U617" s="14"/>
      <c r="V617" s="5"/>
    </row>
    <row r="618" spans="10:22" ht="14.25" customHeight="1" x14ac:dyDescent="0.3">
      <c r="J618" s="5"/>
      <c r="K618" s="39"/>
      <c r="L618" s="150"/>
      <c r="M618" s="5"/>
      <c r="N618" s="13"/>
      <c r="P618" s="40"/>
      <c r="Q618" s="6"/>
      <c r="R618" s="6"/>
      <c r="U618" s="14"/>
      <c r="V618" s="5"/>
    </row>
    <row r="619" spans="10:22" ht="14.25" customHeight="1" x14ac:dyDescent="0.3">
      <c r="J619" s="5"/>
      <c r="K619" s="39"/>
      <c r="L619" s="150"/>
      <c r="M619" s="5"/>
      <c r="N619" s="13"/>
      <c r="P619" s="40"/>
      <c r="Q619" s="6"/>
      <c r="R619" s="6"/>
      <c r="U619" s="14"/>
      <c r="V619" s="5"/>
    </row>
    <row r="620" spans="10:22" ht="14.25" customHeight="1" x14ac:dyDescent="0.3">
      <c r="J620" s="5"/>
      <c r="K620" s="39"/>
      <c r="L620" s="150"/>
      <c r="M620" s="5"/>
      <c r="N620" s="13"/>
      <c r="P620" s="40"/>
      <c r="Q620" s="6"/>
      <c r="R620" s="6"/>
      <c r="U620" s="14"/>
      <c r="V620" s="5"/>
    </row>
    <row r="621" spans="10:22" ht="14.25" customHeight="1" x14ac:dyDescent="0.3">
      <c r="J621" s="5"/>
      <c r="K621" s="39"/>
      <c r="L621" s="150"/>
      <c r="M621" s="5"/>
      <c r="N621" s="13"/>
      <c r="P621" s="40"/>
      <c r="Q621" s="6"/>
      <c r="R621" s="6"/>
      <c r="U621" s="14"/>
      <c r="V621" s="5"/>
    </row>
    <row r="622" spans="10:22" ht="14.25" customHeight="1" x14ac:dyDescent="0.3">
      <c r="J622" s="5"/>
      <c r="K622" s="39"/>
      <c r="L622" s="150"/>
      <c r="M622" s="5"/>
      <c r="N622" s="13"/>
      <c r="P622" s="40"/>
      <c r="Q622" s="6"/>
      <c r="R622" s="6"/>
      <c r="U622" s="14"/>
      <c r="V622" s="5"/>
    </row>
    <row r="623" spans="10:22" ht="14.25" customHeight="1" x14ac:dyDescent="0.3">
      <c r="J623" s="5"/>
      <c r="K623" s="39"/>
      <c r="L623" s="150"/>
      <c r="M623" s="5"/>
      <c r="N623" s="13"/>
      <c r="P623" s="40"/>
      <c r="Q623" s="6"/>
      <c r="R623" s="6"/>
      <c r="U623" s="14"/>
      <c r="V623" s="5"/>
    </row>
    <row r="624" spans="10:22" ht="14.25" customHeight="1" x14ac:dyDescent="0.3">
      <c r="J624" s="5"/>
      <c r="K624" s="39"/>
      <c r="L624" s="150"/>
      <c r="M624" s="5"/>
      <c r="N624" s="13"/>
      <c r="P624" s="40"/>
      <c r="Q624" s="6"/>
      <c r="R624" s="6"/>
      <c r="U624" s="14"/>
      <c r="V624" s="5"/>
    </row>
    <row r="625" spans="10:22" ht="14.25" customHeight="1" x14ac:dyDescent="0.3">
      <c r="J625" s="5"/>
      <c r="K625" s="39"/>
      <c r="L625" s="150"/>
      <c r="M625" s="5"/>
      <c r="N625" s="13"/>
      <c r="P625" s="40"/>
      <c r="Q625" s="6"/>
      <c r="R625" s="6"/>
      <c r="U625" s="14"/>
      <c r="V625" s="5"/>
    </row>
    <row r="626" spans="10:22" ht="14.25" customHeight="1" x14ac:dyDescent="0.3">
      <c r="J626" s="5"/>
      <c r="K626" s="39"/>
      <c r="L626" s="150"/>
      <c r="M626" s="5"/>
      <c r="N626" s="13"/>
      <c r="P626" s="40"/>
      <c r="Q626" s="6"/>
      <c r="R626" s="6"/>
      <c r="U626" s="14"/>
      <c r="V626" s="5"/>
    </row>
    <row r="627" spans="10:22" ht="14.25" customHeight="1" x14ac:dyDescent="0.3">
      <c r="J627" s="5"/>
      <c r="K627" s="39"/>
      <c r="L627" s="150"/>
      <c r="M627" s="5"/>
      <c r="N627" s="13"/>
      <c r="P627" s="40"/>
      <c r="Q627" s="6"/>
      <c r="R627" s="6"/>
      <c r="U627" s="14"/>
      <c r="V627" s="5"/>
    </row>
    <row r="628" spans="10:22" ht="14.25" customHeight="1" x14ac:dyDescent="0.3">
      <c r="J628" s="5"/>
      <c r="K628" s="39"/>
      <c r="L628" s="150"/>
      <c r="M628" s="5"/>
      <c r="N628" s="13"/>
      <c r="P628" s="40"/>
      <c r="Q628" s="6"/>
      <c r="R628" s="6"/>
      <c r="U628" s="14"/>
      <c r="V628" s="5"/>
    </row>
    <row r="629" spans="10:22" ht="14.25" customHeight="1" x14ac:dyDescent="0.3">
      <c r="J629" s="5"/>
      <c r="K629" s="39"/>
      <c r="L629" s="150"/>
      <c r="M629" s="5"/>
      <c r="N629" s="13"/>
      <c r="P629" s="40"/>
      <c r="Q629" s="6"/>
      <c r="R629" s="6"/>
      <c r="U629" s="14"/>
      <c r="V629" s="5"/>
    </row>
    <row r="630" spans="10:22" ht="14.25" customHeight="1" x14ac:dyDescent="0.3">
      <c r="J630" s="5"/>
      <c r="K630" s="39"/>
      <c r="L630" s="150"/>
      <c r="M630" s="5"/>
      <c r="N630" s="13"/>
      <c r="P630" s="40"/>
      <c r="Q630" s="6"/>
      <c r="R630" s="6"/>
      <c r="U630" s="14"/>
      <c r="V630" s="5"/>
    </row>
    <row r="631" spans="10:22" ht="14.25" customHeight="1" x14ac:dyDescent="0.3">
      <c r="J631" s="5"/>
      <c r="K631" s="39"/>
      <c r="L631" s="150"/>
      <c r="M631" s="5"/>
      <c r="N631" s="13"/>
      <c r="P631" s="40"/>
      <c r="Q631" s="6"/>
      <c r="R631" s="6"/>
      <c r="U631" s="14"/>
      <c r="V631" s="5"/>
    </row>
    <row r="632" spans="10:22" ht="14.25" customHeight="1" x14ac:dyDescent="0.3">
      <c r="J632" s="5"/>
      <c r="K632" s="39"/>
      <c r="L632" s="150"/>
      <c r="M632" s="5"/>
      <c r="N632" s="13"/>
      <c r="P632" s="40"/>
      <c r="Q632" s="6"/>
      <c r="R632" s="6"/>
      <c r="U632" s="14"/>
      <c r="V632" s="5"/>
    </row>
    <row r="633" spans="10:22" ht="14.25" customHeight="1" x14ac:dyDescent="0.3">
      <c r="J633" s="5"/>
      <c r="K633" s="39"/>
      <c r="L633" s="150"/>
      <c r="M633" s="5"/>
      <c r="N633" s="13"/>
      <c r="P633" s="40"/>
      <c r="Q633" s="6"/>
      <c r="R633" s="6"/>
      <c r="U633" s="14"/>
      <c r="V633" s="5"/>
    </row>
    <row r="634" spans="10:22" ht="14.25" customHeight="1" x14ac:dyDescent="0.3">
      <c r="J634" s="5"/>
      <c r="K634" s="39"/>
      <c r="L634" s="150"/>
      <c r="M634" s="5"/>
      <c r="N634" s="13"/>
      <c r="P634" s="40"/>
      <c r="Q634" s="6"/>
      <c r="R634" s="6"/>
      <c r="U634" s="14"/>
      <c r="V634" s="5"/>
    </row>
    <row r="635" spans="10:22" ht="14.25" customHeight="1" x14ac:dyDescent="0.3">
      <c r="J635" s="5"/>
      <c r="K635" s="39"/>
      <c r="L635" s="150"/>
      <c r="M635" s="5"/>
      <c r="N635" s="13"/>
      <c r="P635" s="40"/>
      <c r="Q635" s="6"/>
      <c r="R635" s="6"/>
      <c r="U635" s="14"/>
      <c r="V635" s="5"/>
    </row>
    <row r="636" spans="10:22" ht="14.25" customHeight="1" x14ac:dyDescent="0.3">
      <c r="J636" s="5"/>
      <c r="K636" s="39"/>
      <c r="L636" s="150"/>
      <c r="M636" s="5"/>
      <c r="N636" s="13"/>
      <c r="P636" s="40"/>
      <c r="Q636" s="6"/>
      <c r="R636" s="6"/>
      <c r="U636" s="14"/>
      <c r="V636" s="5"/>
    </row>
    <row r="637" spans="10:22" ht="14.25" customHeight="1" x14ac:dyDescent="0.3">
      <c r="J637" s="5"/>
      <c r="K637" s="39"/>
      <c r="L637" s="150"/>
      <c r="M637" s="5"/>
      <c r="N637" s="13"/>
      <c r="P637" s="40"/>
      <c r="Q637" s="6"/>
      <c r="R637" s="6"/>
      <c r="U637" s="14"/>
      <c r="V637" s="5"/>
    </row>
    <row r="638" spans="10:22" ht="14.25" customHeight="1" x14ac:dyDescent="0.3">
      <c r="J638" s="5"/>
      <c r="K638" s="39"/>
      <c r="L638" s="150"/>
      <c r="M638" s="5"/>
      <c r="N638" s="13"/>
      <c r="P638" s="40"/>
      <c r="Q638" s="6"/>
      <c r="R638" s="6"/>
      <c r="U638" s="14"/>
      <c r="V638" s="5"/>
    </row>
    <row r="639" spans="10:22" ht="14.25" customHeight="1" x14ac:dyDescent="0.3">
      <c r="J639" s="5"/>
      <c r="K639" s="39"/>
      <c r="L639" s="150"/>
      <c r="M639" s="5"/>
      <c r="N639" s="13"/>
      <c r="P639" s="40"/>
      <c r="Q639" s="6"/>
      <c r="R639" s="6"/>
      <c r="U639" s="14"/>
      <c r="V639" s="5"/>
    </row>
    <row r="640" spans="10:22" ht="14.25" customHeight="1" x14ac:dyDescent="0.3">
      <c r="J640" s="5"/>
      <c r="K640" s="39"/>
      <c r="L640" s="150"/>
      <c r="M640" s="5"/>
      <c r="N640" s="13"/>
      <c r="P640" s="40"/>
      <c r="Q640" s="6"/>
      <c r="R640" s="6"/>
      <c r="U640" s="14"/>
      <c r="V640" s="5"/>
    </row>
    <row r="641" spans="10:22" ht="14.25" customHeight="1" x14ac:dyDescent="0.3">
      <c r="J641" s="5"/>
      <c r="K641" s="39"/>
      <c r="L641" s="150"/>
      <c r="M641" s="5"/>
      <c r="N641" s="13"/>
      <c r="P641" s="40"/>
      <c r="Q641" s="6"/>
      <c r="R641" s="6"/>
      <c r="U641" s="14"/>
      <c r="V641" s="5"/>
    </row>
    <row r="642" spans="10:22" ht="14.25" customHeight="1" x14ac:dyDescent="0.3">
      <c r="J642" s="5"/>
      <c r="K642" s="39"/>
      <c r="L642" s="150"/>
      <c r="M642" s="5"/>
      <c r="N642" s="13"/>
      <c r="P642" s="40"/>
      <c r="Q642" s="6"/>
      <c r="R642" s="6"/>
      <c r="U642" s="14"/>
      <c r="V642" s="5"/>
    </row>
    <row r="643" spans="10:22" ht="14.25" customHeight="1" x14ac:dyDescent="0.3">
      <c r="J643" s="5"/>
      <c r="K643" s="39"/>
      <c r="L643" s="150"/>
      <c r="M643" s="5"/>
      <c r="N643" s="13"/>
      <c r="P643" s="40"/>
      <c r="Q643" s="6"/>
      <c r="R643" s="6"/>
      <c r="U643" s="14"/>
      <c r="V643" s="5"/>
    </row>
    <row r="644" spans="10:22" ht="14.25" customHeight="1" x14ac:dyDescent="0.3">
      <c r="J644" s="5"/>
      <c r="K644" s="39"/>
      <c r="L644" s="150"/>
      <c r="M644" s="5"/>
      <c r="N644" s="13"/>
      <c r="P644" s="40"/>
      <c r="Q644" s="6"/>
      <c r="R644" s="6"/>
      <c r="U644" s="14"/>
      <c r="V644" s="5"/>
    </row>
    <row r="645" spans="10:22" ht="14.25" customHeight="1" x14ac:dyDescent="0.3">
      <c r="J645" s="5"/>
      <c r="K645" s="39"/>
      <c r="L645" s="150"/>
      <c r="M645" s="5"/>
      <c r="N645" s="13"/>
      <c r="P645" s="40"/>
      <c r="Q645" s="6"/>
      <c r="R645" s="6"/>
      <c r="U645" s="14"/>
      <c r="V645" s="5"/>
    </row>
    <row r="646" spans="10:22" ht="14.25" customHeight="1" x14ac:dyDescent="0.3">
      <c r="J646" s="5"/>
      <c r="K646" s="39"/>
      <c r="L646" s="150"/>
      <c r="M646" s="5"/>
      <c r="N646" s="13"/>
      <c r="P646" s="40"/>
      <c r="Q646" s="6"/>
      <c r="R646" s="6"/>
      <c r="U646" s="14"/>
      <c r="V646" s="5"/>
    </row>
    <row r="647" spans="10:22" ht="14.25" customHeight="1" x14ac:dyDescent="0.3">
      <c r="J647" s="5"/>
      <c r="K647" s="39"/>
      <c r="L647" s="150"/>
      <c r="M647" s="5"/>
      <c r="N647" s="13"/>
      <c r="P647" s="40"/>
      <c r="Q647" s="6"/>
      <c r="R647" s="6"/>
      <c r="U647" s="14"/>
      <c r="V647" s="5"/>
    </row>
    <row r="648" spans="10:22" ht="14.25" customHeight="1" x14ac:dyDescent="0.3">
      <c r="J648" s="5"/>
      <c r="K648" s="39"/>
      <c r="L648" s="150"/>
      <c r="M648" s="5"/>
      <c r="N648" s="13"/>
      <c r="P648" s="40"/>
      <c r="Q648" s="6"/>
      <c r="R648" s="6"/>
      <c r="U648" s="14"/>
      <c r="V648" s="5"/>
    </row>
    <row r="649" spans="10:22" ht="14.25" customHeight="1" x14ac:dyDescent="0.3">
      <c r="J649" s="5"/>
      <c r="K649" s="39"/>
      <c r="L649" s="150"/>
      <c r="M649" s="5"/>
      <c r="N649" s="13"/>
      <c r="P649" s="40"/>
      <c r="Q649" s="6"/>
      <c r="R649" s="6"/>
      <c r="U649" s="14"/>
      <c r="V649" s="5"/>
    </row>
    <row r="650" spans="10:22" ht="14.25" customHeight="1" x14ac:dyDescent="0.3">
      <c r="J650" s="5"/>
      <c r="K650" s="39"/>
      <c r="L650" s="150"/>
      <c r="M650" s="5"/>
      <c r="N650" s="13"/>
      <c r="P650" s="40"/>
      <c r="Q650" s="6"/>
      <c r="R650" s="6"/>
      <c r="U650" s="14"/>
      <c r="V650" s="5"/>
    </row>
    <row r="651" spans="10:22" ht="14.25" customHeight="1" x14ac:dyDescent="0.3">
      <c r="J651" s="5"/>
      <c r="K651" s="39"/>
      <c r="L651" s="150"/>
      <c r="M651" s="5"/>
      <c r="N651" s="13"/>
      <c r="P651" s="40"/>
      <c r="Q651" s="6"/>
      <c r="R651" s="6"/>
      <c r="U651" s="14"/>
      <c r="V651" s="5"/>
    </row>
    <row r="652" spans="10:22" ht="14.25" customHeight="1" x14ac:dyDescent="0.3">
      <c r="J652" s="5"/>
      <c r="K652" s="39"/>
      <c r="L652" s="150"/>
      <c r="M652" s="5"/>
      <c r="N652" s="13"/>
      <c r="P652" s="40"/>
      <c r="Q652" s="6"/>
      <c r="R652" s="6"/>
      <c r="U652" s="14"/>
      <c r="V652" s="5"/>
    </row>
    <row r="653" spans="10:22" ht="14.25" customHeight="1" x14ac:dyDescent="0.3">
      <c r="J653" s="5"/>
      <c r="K653" s="39"/>
      <c r="L653" s="150"/>
      <c r="M653" s="5"/>
      <c r="N653" s="13"/>
      <c r="P653" s="40"/>
      <c r="Q653" s="6"/>
      <c r="R653" s="6"/>
      <c r="U653" s="14"/>
      <c r="V653" s="5"/>
    </row>
    <row r="654" spans="10:22" ht="14.25" customHeight="1" x14ac:dyDescent="0.3">
      <c r="J654" s="5"/>
      <c r="K654" s="39"/>
      <c r="L654" s="150"/>
      <c r="M654" s="5"/>
      <c r="N654" s="13"/>
      <c r="P654" s="40"/>
      <c r="Q654" s="6"/>
      <c r="R654" s="6"/>
      <c r="U654" s="14"/>
      <c r="V654" s="5"/>
    </row>
    <row r="655" spans="10:22" ht="14.25" customHeight="1" x14ac:dyDescent="0.3">
      <c r="J655" s="5"/>
      <c r="K655" s="39"/>
      <c r="L655" s="150"/>
      <c r="M655" s="5"/>
      <c r="N655" s="13"/>
      <c r="P655" s="40"/>
      <c r="Q655" s="6"/>
      <c r="R655" s="6"/>
      <c r="U655" s="14"/>
      <c r="V655" s="5"/>
    </row>
    <row r="656" spans="10:22" ht="14.25" customHeight="1" x14ac:dyDescent="0.3">
      <c r="J656" s="5"/>
      <c r="K656" s="39"/>
      <c r="L656" s="150"/>
      <c r="M656" s="5"/>
      <c r="N656" s="13"/>
      <c r="P656" s="40"/>
      <c r="Q656" s="6"/>
      <c r="R656" s="6"/>
      <c r="U656" s="14"/>
      <c r="V656" s="5"/>
    </row>
    <row r="657" spans="10:22" ht="14.25" customHeight="1" x14ac:dyDescent="0.3">
      <c r="J657" s="5"/>
      <c r="K657" s="39"/>
      <c r="L657" s="150"/>
      <c r="M657" s="5"/>
      <c r="N657" s="13"/>
      <c r="P657" s="40"/>
      <c r="Q657" s="6"/>
      <c r="R657" s="6"/>
      <c r="U657" s="14"/>
      <c r="V657" s="5"/>
    </row>
    <row r="658" spans="10:22" ht="14.25" customHeight="1" x14ac:dyDescent="0.3">
      <c r="J658" s="5"/>
      <c r="K658" s="39"/>
      <c r="L658" s="150"/>
      <c r="M658" s="5"/>
      <c r="N658" s="13"/>
      <c r="P658" s="40"/>
      <c r="Q658" s="6"/>
      <c r="R658" s="6"/>
      <c r="U658" s="14"/>
      <c r="V658" s="5"/>
    </row>
    <row r="659" spans="10:22" ht="14.25" customHeight="1" x14ac:dyDescent="0.3">
      <c r="J659" s="5"/>
      <c r="K659" s="39"/>
      <c r="L659" s="150"/>
      <c r="M659" s="5"/>
      <c r="N659" s="13"/>
      <c r="P659" s="40"/>
      <c r="Q659" s="6"/>
      <c r="R659" s="6"/>
      <c r="U659" s="14"/>
      <c r="V659" s="5"/>
    </row>
    <row r="660" spans="10:22" ht="14.25" customHeight="1" x14ac:dyDescent="0.3">
      <c r="J660" s="5"/>
      <c r="K660" s="39"/>
      <c r="L660" s="150"/>
      <c r="M660" s="5"/>
      <c r="N660" s="13"/>
      <c r="P660" s="40"/>
      <c r="Q660" s="6"/>
      <c r="R660" s="6"/>
      <c r="U660" s="14"/>
      <c r="V660" s="5"/>
    </row>
    <row r="661" spans="10:22" ht="14.25" customHeight="1" x14ac:dyDescent="0.3">
      <c r="J661" s="5"/>
      <c r="K661" s="39"/>
      <c r="L661" s="150"/>
      <c r="M661" s="5"/>
      <c r="N661" s="13"/>
      <c r="P661" s="40"/>
      <c r="Q661" s="6"/>
      <c r="R661" s="6"/>
      <c r="U661" s="14"/>
      <c r="V661" s="5"/>
    </row>
    <row r="662" spans="10:22" ht="14.25" customHeight="1" x14ac:dyDescent="0.3">
      <c r="J662" s="5"/>
      <c r="K662" s="39"/>
      <c r="L662" s="150"/>
      <c r="M662" s="5"/>
      <c r="N662" s="13"/>
      <c r="P662" s="40"/>
      <c r="Q662" s="6"/>
      <c r="R662" s="6"/>
      <c r="U662" s="14"/>
      <c r="V662" s="5"/>
    </row>
    <row r="663" spans="10:22" ht="14.25" customHeight="1" x14ac:dyDescent="0.3">
      <c r="J663" s="5"/>
      <c r="K663" s="39"/>
      <c r="L663" s="150"/>
      <c r="M663" s="5"/>
      <c r="N663" s="13"/>
      <c r="P663" s="40"/>
      <c r="Q663" s="6"/>
      <c r="R663" s="6"/>
      <c r="U663" s="14"/>
      <c r="V663" s="5"/>
    </row>
    <row r="664" spans="10:22" ht="14.25" customHeight="1" x14ac:dyDescent="0.3">
      <c r="J664" s="5"/>
      <c r="K664" s="39"/>
      <c r="L664" s="150"/>
      <c r="M664" s="5"/>
      <c r="N664" s="13"/>
      <c r="P664" s="40"/>
      <c r="Q664" s="6"/>
      <c r="R664" s="6"/>
      <c r="U664" s="14"/>
      <c r="V664" s="5"/>
    </row>
    <row r="665" spans="10:22" ht="14.25" customHeight="1" x14ac:dyDescent="0.3">
      <c r="J665" s="5"/>
      <c r="K665" s="39"/>
      <c r="L665" s="150"/>
      <c r="M665" s="5"/>
      <c r="N665" s="13"/>
      <c r="P665" s="40"/>
      <c r="Q665" s="6"/>
      <c r="R665" s="6"/>
      <c r="U665" s="14"/>
      <c r="V665" s="5"/>
    </row>
    <row r="666" spans="10:22" ht="14.25" customHeight="1" x14ac:dyDescent="0.3">
      <c r="J666" s="5"/>
      <c r="K666" s="39"/>
      <c r="L666" s="150"/>
      <c r="M666" s="5"/>
      <c r="N666" s="13"/>
      <c r="P666" s="40"/>
      <c r="Q666" s="6"/>
      <c r="R666" s="6"/>
      <c r="U666" s="14"/>
      <c r="V666" s="5"/>
    </row>
    <row r="667" spans="10:22" ht="14.25" customHeight="1" x14ac:dyDescent="0.3">
      <c r="J667" s="5"/>
      <c r="K667" s="39"/>
      <c r="L667" s="150"/>
      <c r="M667" s="5"/>
      <c r="N667" s="13"/>
      <c r="P667" s="40"/>
      <c r="Q667" s="6"/>
      <c r="R667" s="6"/>
      <c r="U667" s="14"/>
      <c r="V667" s="5"/>
    </row>
    <row r="668" spans="10:22" ht="14.25" customHeight="1" x14ac:dyDescent="0.3">
      <c r="J668" s="5"/>
      <c r="K668" s="39"/>
      <c r="L668" s="150"/>
      <c r="M668" s="5"/>
      <c r="N668" s="13"/>
      <c r="P668" s="40"/>
      <c r="Q668" s="6"/>
      <c r="R668" s="6"/>
      <c r="U668" s="14"/>
      <c r="V668" s="5"/>
    </row>
    <row r="669" spans="10:22" ht="14.25" customHeight="1" x14ac:dyDescent="0.3">
      <c r="J669" s="5"/>
      <c r="K669" s="39"/>
      <c r="L669" s="150"/>
      <c r="M669" s="5"/>
      <c r="N669" s="13"/>
      <c r="P669" s="40"/>
      <c r="Q669" s="6"/>
      <c r="R669" s="6"/>
      <c r="U669" s="14"/>
      <c r="V669" s="5"/>
    </row>
    <row r="670" spans="10:22" ht="14.25" customHeight="1" x14ac:dyDescent="0.3">
      <c r="J670" s="5"/>
      <c r="K670" s="39"/>
      <c r="L670" s="150"/>
      <c r="M670" s="5"/>
      <c r="N670" s="13"/>
      <c r="P670" s="40"/>
      <c r="Q670" s="6"/>
      <c r="R670" s="6"/>
      <c r="U670" s="14"/>
      <c r="V670" s="5"/>
    </row>
    <row r="671" spans="10:22" ht="14.25" customHeight="1" x14ac:dyDescent="0.3">
      <c r="J671" s="5"/>
      <c r="K671" s="39"/>
      <c r="L671" s="150"/>
      <c r="M671" s="5"/>
      <c r="N671" s="13"/>
      <c r="P671" s="40"/>
      <c r="Q671" s="6"/>
      <c r="R671" s="6"/>
      <c r="U671" s="14"/>
      <c r="V671" s="5"/>
    </row>
    <row r="672" spans="10:22" ht="14.25" customHeight="1" x14ac:dyDescent="0.3">
      <c r="J672" s="5"/>
      <c r="K672" s="39"/>
      <c r="L672" s="150"/>
      <c r="M672" s="5"/>
      <c r="N672" s="13"/>
      <c r="P672" s="40"/>
      <c r="Q672" s="6"/>
      <c r="R672" s="6"/>
      <c r="U672" s="14"/>
      <c r="V672" s="5"/>
    </row>
    <row r="673" spans="10:22" ht="14.25" customHeight="1" x14ac:dyDescent="0.3">
      <c r="J673" s="5"/>
      <c r="K673" s="39"/>
      <c r="L673" s="150"/>
      <c r="M673" s="5"/>
      <c r="N673" s="13"/>
      <c r="P673" s="40"/>
      <c r="Q673" s="6"/>
      <c r="R673" s="6"/>
      <c r="U673" s="14"/>
      <c r="V673" s="5"/>
    </row>
    <row r="674" spans="10:22" ht="14.25" customHeight="1" x14ac:dyDescent="0.3">
      <c r="J674" s="5"/>
      <c r="K674" s="39"/>
      <c r="L674" s="150"/>
      <c r="M674" s="5"/>
      <c r="N674" s="13"/>
      <c r="P674" s="40"/>
      <c r="Q674" s="6"/>
      <c r="R674" s="6"/>
      <c r="U674" s="14"/>
      <c r="V674" s="5"/>
    </row>
    <row r="675" spans="10:22" ht="14.25" customHeight="1" x14ac:dyDescent="0.3">
      <c r="J675" s="5"/>
      <c r="K675" s="39"/>
      <c r="L675" s="150"/>
      <c r="M675" s="5"/>
      <c r="N675" s="13"/>
      <c r="P675" s="40"/>
      <c r="Q675" s="6"/>
      <c r="R675" s="6"/>
      <c r="U675" s="14"/>
      <c r="V675" s="5"/>
    </row>
    <row r="676" spans="10:22" ht="14.25" customHeight="1" x14ac:dyDescent="0.3">
      <c r="J676" s="5"/>
      <c r="K676" s="39"/>
      <c r="L676" s="150"/>
      <c r="M676" s="5"/>
      <c r="N676" s="13"/>
      <c r="P676" s="40"/>
      <c r="Q676" s="6"/>
      <c r="R676" s="6"/>
      <c r="U676" s="14"/>
      <c r="V676" s="5"/>
    </row>
    <row r="677" spans="10:22" ht="14.25" customHeight="1" x14ac:dyDescent="0.3">
      <c r="J677" s="5"/>
      <c r="K677" s="39"/>
      <c r="L677" s="150"/>
      <c r="M677" s="5"/>
      <c r="N677" s="13"/>
      <c r="P677" s="40"/>
      <c r="Q677" s="6"/>
      <c r="R677" s="6"/>
      <c r="U677" s="14"/>
      <c r="V677" s="5"/>
    </row>
    <row r="678" spans="10:22" ht="14.25" customHeight="1" x14ac:dyDescent="0.3">
      <c r="J678" s="5"/>
      <c r="K678" s="39"/>
      <c r="L678" s="150"/>
      <c r="M678" s="5"/>
      <c r="N678" s="13"/>
      <c r="P678" s="40"/>
      <c r="Q678" s="6"/>
      <c r="R678" s="6"/>
      <c r="U678" s="14"/>
      <c r="V678" s="5"/>
    </row>
    <row r="679" spans="10:22" ht="14.25" customHeight="1" x14ac:dyDescent="0.3">
      <c r="J679" s="5"/>
      <c r="K679" s="39"/>
      <c r="L679" s="150"/>
      <c r="M679" s="5"/>
      <c r="N679" s="13"/>
      <c r="P679" s="40"/>
      <c r="Q679" s="6"/>
      <c r="R679" s="6"/>
      <c r="U679" s="14"/>
      <c r="V679" s="5"/>
    </row>
    <row r="680" spans="10:22" ht="14.25" customHeight="1" x14ac:dyDescent="0.3">
      <c r="J680" s="5"/>
      <c r="K680" s="39"/>
      <c r="L680" s="150"/>
      <c r="M680" s="5"/>
      <c r="N680" s="13"/>
      <c r="P680" s="40"/>
      <c r="Q680" s="6"/>
      <c r="R680" s="6"/>
      <c r="U680" s="14"/>
      <c r="V680" s="5"/>
    </row>
    <row r="681" spans="10:22" ht="14.25" customHeight="1" x14ac:dyDescent="0.3">
      <c r="J681" s="5"/>
      <c r="K681" s="39"/>
      <c r="L681" s="150"/>
      <c r="M681" s="5"/>
      <c r="N681" s="13"/>
      <c r="P681" s="40"/>
      <c r="Q681" s="6"/>
      <c r="R681" s="6"/>
      <c r="U681" s="14"/>
      <c r="V681" s="5"/>
    </row>
    <row r="682" spans="10:22" ht="14.25" customHeight="1" x14ac:dyDescent="0.3">
      <c r="J682" s="5"/>
      <c r="K682" s="39"/>
      <c r="L682" s="150"/>
      <c r="M682" s="5"/>
      <c r="N682" s="13"/>
      <c r="P682" s="40"/>
      <c r="Q682" s="6"/>
      <c r="R682" s="6"/>
      <c r="U682" s="14"/>
      <c r="V682" s="5"/>
    </row>
    <row r="683" spans="10:22" ht="14.25" customHeight="1" x14ac:dyDescent="0.3">
      <c r="J683" s="5"/>
      <c r="K683" s="39"/>
      <c r="L683" s="150"/>
      <c r="M683" s="5"/>
      <c r="N683" s="13"/>
      <c r="P683" s="40"/>
      <c r="Q683" s="6"/>
      <c r="R683" s="6"/>
      <c r="U683" s="14"/>
      <c r="V683" s="5"/>
    </row>
    <row r="684" spans="10:22" ht="14.25" customHeight="1" x14ac:dyDescent="0.3">
      <c r="J684" s="5"/>
      <c r="K684" s="39"/>
      <c r="L684" s="150"/>
      <c r="M684" s="5"/>
      <c r="N684" s="13"/>
      <c r="P684" s="40"/>
      <c r="Q684" s="6"/>
      <c r="R684" s="6"/>
      <c r="U684" s="14"/>
      <c r="V684" s="5"/>
    </row>
    <row r="685" spans="10:22" ht="14.25" customHeight="1" x14ac:dyDescent="0.3">
      <c r="J685" s="5"/>
      <c r="K685" s="39"/>
      <c r="L685" s="150"/>
      <c r="M685" s="5"/>
      <c r="N685" s="13"/>
      <c r="P685" s="40"/>
      <c r="Q685" s="6"/>
      <c r="R685" s="6"/>
      <c r="U685" s="14"/>
      <c r="V685" s="5"/>
    </row>
    <row r="686" spans="10:22" ht="14.25" customHeight="1" x14ac:dyDescent="0.3">
      <c r="J686" s="5"/>
      <c r="K686" s="39"/>
      <c r="L686" s="150"/>
      <c r="M686" s="5"/>
      <c r="N686" s="13"/>
      <c r="P686" s="40"/>
      <c r="Q686" s="6"/>
      <c r="R686" s="6"/>
      <c r="U686" s="14"/>
      <c r="V686" s="5"/>
    </row>
    <row r="687" spans="10:22" ht="14.25" customHeight="1" x14ac:dyDescent="0.3">
      <c r="J687" s="5"/>
      <c r="K687" s="39"/>
      <c r="L687" s="150"/>
      <c r="M687" s="5"/>
      <c r="N687" s="13"/>
      <c r="P687" s="40"/>
      <c r="Q687" s="6"/>
      <c r="R687" s="6"/>
      <c r="U687" s="14"/>
      <c r="V687" s="5"/>
    </row>
    <row r="688" spans="10:22" ht="14.25" customHeight="1" x14ac:dyDescent="0.3">
      <c r="J688" s="5"/>
      <c r="K688" s="39"/>
      <c r="L688" s="150"/>
      <c r="M688" s="5"/>
      <c r="N688" s="13"/>
      <c r="P688" s="40"/>
      <c r="Q688" s="6"/>
      <c r="R688" s="6"/>
      <c r="U688" s="14"/>
      <c r="V688" s="5"/>
    </row>
    <row r="689" spans="10:22" ht="14.25" customHeight="1" x14ac:dyDescent="0.3">
      <c r="J689" s="5"/>
      <c r="K689" s="39"/>
      <c r="L689" s="150"/>
      <c r="M689" s="5"/>
      <c r="N689" s="13"/>
      <c r="P689" s="40"/>
      <c r="Q689" s="6"/>
      <c r="R689" s="6"/>
      <c r="U689" s="14"/>
      <c r="V689" s="5"/>
    </row>
    <row r="690" spans="10:22" ht="14.25" customHeight="1" x14ac:dyDescent="0.3">
      <c r="J690" s="5"/>
      <c r="K690" s="39"/>
      <c r="L690" s="150"/>
      <c r="M690" s="5"/>
      <c r="N690" s="13"/>
      <c r="P690" s="40"/>
      <c r="Q690" s="6"/>
      <c r="R690" s="6"/>
      <c r="U690" s="14"/>
      <c r="V690" s="5"/>
    </row>
    <row r="691" spans="10:22" ht="14.25" customHeight="1" x14ac:dyDescent="0.3">
      <c r="J691" s="5"/>
      <c r="K691" s="39"/>
      <c r="L691" s="150"/>
      <c r="M691" s="5"/>
      <c r="N691" s="13"/>
      <c r="P691" s="40"/>
      <c r="Q691" s="6"/>
      <c r="R691" s="6"/>
      <c r="U691" s="14"/>
      <c r="V691" s="5"/>
    </row>
    <row r="692" spans="10:22" ht="14.25" customHeight="1" x14ac:dyDescent="0.3">
      <c r="J692" s="5"/>
      <c r="K692" s="39"/>
      <c r="L692" s="150"/>
      <c r="M692" s="5"/>
      <c r="N692" s="13"/>
      <c r="P692" s="40"/>
      <c r="Q692" s="6"/>
      <c r="R692" s="6"/>
      <c r="U692" s="14"/>
      <c r="V692" s="5"/>
    </row>
    <row r="693" spans="10:22" ht="14.25" customHeight="1" x14ac:dyDescent="0.3">
      <c r="J693" s="5"/>
      <c r="K693" s="39"/>
      <c r="L693" s="150"/>
      <c r="M693" s="5"/>
      <c r="N693" s="13"/>
      <c r="P693" s="40"/>
      <c r="Q693" s="6"/>
      <c r="R693" s="6"/>
      <c r="U693" s="14"/>
      <c r="V693" s="5"/>
    </row>
    <row r="694" spans="10:22" ht="14.25" customHeight="1" x14ac:dyDescent="0.3">
      <c r="J694" s="5"/>
      <c r="K694" s="39"/>
      <c r="L694" s="150"/>
      <c r="M694" s="5"/>
      <c r="N694" s="13"/>
      <c r="P694" s="40"/>
      <c r="Q694" s="6"/>
      <c r="R694" s="6"/>
      <c r="U694" s="14"/>
      <c r="V694" s="5"/>
    </row>
    <row r="695" spans="10:22" ht="14.25" customHeight="1" x14ac:dyDescent="0.3">
      <c r="J695" s="5"/>
      <c r="K695" s="39"/>
      <c r="L695" s="150"/>
      <c r="M695" s="5"/>
      <c r="N695" s="13"/>
      <c r="P695" s="40"/>
      <c r="Q695" s="6"/>
      <c r="R695" s="6"/>
      <c r="U695" s="14"/>
      <c r="V695" s="5"/>
    </row>
    <row r="696" spans="10:22" ht="14.25" customHeight="1" x14ac:dyDescent="0.3">
      <c r="J696" s="5"/>
      <c r="K696" s="39"/>
      <c r="L696" s="150"/>
      <c r="M696" s="5"/>
      <c r="N696" s="13"/>
      <c r="P696" s="40"/>
      <c r="Q696" s="6"/>
      <c r="R696" s="6"/>
      <c r="U696" s="14"/>
      <c r="V696" s="5"/>
    </row>
    <row r="697" spans="10:22" ht="14.25" customHeight="1" x14ac:dyDescent="0.3">
      <c r="J697" s="5"/>
      <c r="K697" s="39"/>
      <c r="L697" s="150"/>
      <c r="M697" s="5"/>
      <c r="N697" s="13"/>
      <c r="P697" s="40"/>
      <c r="Q697" s="6"/>
      <c r="R697" s="6"/>
      <c r="U697" s="14"/>
      <c r="V697" s="5"/>
    </row>
    <row r="698" spans="10:22" ht="14.25" customHeight="1" x14ac:dyDescent="0.3">
      <c r="J698" s="5"/>
      <c r="K698" s="39"/>
      <c r="L698" s="150"/>
      <c r="M698" s="5"/>
      <c r="N698" s="13"/>
      <c r="P698" s="40"/>
      <c r="Q698" s="6"/>
      <c r="R698" s="6"/>
      <c r="U698" s="14"/>
      <c r="V698" s="5"/>
    </row>
    <row r="699" spans="10:22" ht="14.25" customHeight="1" x14ac:dyDescent="0.3">
      <c r="J699" s="5"/>
      <c r="K699" s="39"/>
      <c r="L699" s="150"/>
      <c r="M699" s="5"/>
      <c r="N699" s="13"/>
      <c r="P699" s="40"/>
      <c r="Q699" s="6"/>
      <c r="R699" s="6"/>
      <c r="U699" s="14"/>
      <c r="V699" s="5"/>
    </row>
    <row r="700" spans="10:22" ht="14.25" customHeight="1" x14ac:dyDescent="0.3">
      <c r="J700" s="5"/>
      <c r="K700" s="39"/>
      <c r="L700" s="150"/>
      <c r="M700" s="5"/>
      <c r="N700" s="13"/>
      <c r="P700" s="40"/>
      <c r="Q700" s="6"/>
      <c r="R700" s="6"/>
      <c r="U700" s="14"/>
      <c r="V700" s="5"/>
    </row>
    <row r="701" spans="10:22" ht="14.25" customHeight="1" x14ac:dyDescent="0.3">
      <c r="J701" s="5"/>
      <c r="K701" s="39"/>
      <c r="L701" s="150"/>
      <c r="M701" s="5"/>
      <c r="N701" s="13"/>
      <c r="P701" s="40"/>
      <c r="Q701" s="6"/>
      <c r="R701" s="6"/>
      <c r="U701" s="14"/>
      <c r="V701" s="5"/>
    </row>
    <row r="702" spans="10:22" ht="14.25" customHeight="1" x14ac:dyDescent="0.3">
      <c r="J702" s="5"/>
      <c r="K702" s="39"/>
      <c r="L702" s="150"/>
      <c r="M702" s="5"/>
      <c r="N702" s="13"/>
      <c r="P702" s="40"/>
      <c r="Q702" s="6"/>
      <c r="R702" s="6"/>
      <c r="U702" s="14"/>
      <c r="V702" s="5"/>
    </row>
    <row r="703" spans="10:22" ht="14.25" customHeight="1" x14ac:dyDescent="0.3">
      <c r="J703" s="5"/>
      <c r="K703" s="39"/>
      <c r="L703" s="150"/>
      <c r="M703" s="5"/>
      <c r="N703" s="13"/>
      <c r="P703" s="40"/>
      <c r="Q703" s="6"/>
      <c r="R703" s="6"/>
      <c r="U703" s="14"/>
      <c r="V703" s="5"/>
    </row>
    <row r="704" spans="10:22" ht="14.25" customHeight="1" x14ac:dyDescent="0.3">
      <c r="J704" s="5"/>
      <c r="K704" s="39"/>
      <c r="L704" s="150"/>
      <c r="M704" s="5"/>
      <c r="N704" s="13"/>
      <c r="P704" s="40"/>
      <c r="Q704" s="6"/>
      <c r="R704" s="6"/>
      <c r="U704" s="14"/>
      <c r="V704" s="5"/>
    </row>
    <row r="705" spans="10:22" ht="14.25" customHeight="1" x14ac:dyDescent="0.3">
      <c r="J705" s="5"/>
      <c r="K705" s="39"/>
      <c r="L705" s="150"/>
      <c r="M705" s="5"/>
      <c r="N705" s="13"/>
      <c r="P705" s="40"/>
      <c r="Q705" s="6"/>
      <c r="R705" s="6"/>
      <c r="U705" s="14"/>
      <c r="V705" s="5"/>
    </row>
    <row r="706" spans="10:22" ht="14.25" customHeight="1" x14ac:dyDescent="0.3">
      <c r="J706" s="5"/>
      <c r="K706" s="39"/>
      <c r="L706" s="150"/>
      <c r="M706" s="5"/>
      <c r="N706" s="13"/>
      <c r="P706" s="40"/>
      <c r="Q706" s="6"/>
      <c r="R706" s="6"/>
      <c r="U706" s="14"/>
      <c r="V706" s="5"/>
    </row>
    <row r="707" spans="10:22" ht="14.25" customHeight="1" x14ac:dyDescent="0.3">
      <c r="J707" s="5"/>
      <c r="K707" s="39"/>
      <c r="L707" s="150"/>
      <c r="M707" s="5"/>
      <c r="N707" s="13"/>
      <c r="P707" s="40"/>
      <c r="Q707" s="6"/>
      <c r="R707" s="6"/>
      <c r="U707" s="14"/>
      <c r="V707" s="5"/>
    </row>
    <row r="708" spans="10:22" ht="14.25" customHeight="1" x14ac:dyDescent="0.3">
      <c r="J708" s="5"/>
      <c r="K708" s="39"/>
      <c r="L708" s="150"/>
      <c r="M708" s="5"/>
      <c r="N708" s="13"/>
      <c r="P708" s="40"/>
      <c r="Q708" s="6"/>
      <c r="R708" s="6"/>
      <c r="U708" s="14"/>
      <c r="V708" s="5"/>
    </row>
    <row r="709" spans="10:22" ht="14.25" customHeight="1" x14ac:dyDescent="0.3">
      <c r="J709" s="5"/>
      <c r="K709" s="39"/>
      <c r="L709" s="150"/>
      <c r="M709" s="5"/>
      <c r="N709" s="13"/>
      <c r="P709" s="40"/>
      <c r="Q709" s="6"/>
      <c r="R709" s="6"/>
      <c r="U709" s="14"/>
      <c r="V709" s="5"/>
    </row>
    <row r="710" spans="10:22" ht="14.25" customHeight="1" x14ac:dyDescent="0.3">
      <c r="J710" s="5"/>
      <c r="K710" s="39"/>
      <c r="L710" s="150"/>
      <c r="M710" s="5"/>
      <c r="N710" s="13"/>
      <c r="P710" s="40"/>
      <c r="Q710" s="6"/>
      <c r="R710" s="6"/>
      <c r="U710" s="14"/>
      <c r="V710" s="5"/>
    </row>
    <row r="711" spans="10:22" ht="14.25" customHeight="1" x14ac:dyDescent="0.3">
      <c r="J711" s="5"/>
      <c r="K711" s="39"/>
      <c r="L711" s="150"/>
      <c r="M711" s="5"/>
      <c r="N711" s="13"/>
      <c r="P711" s="40"/>
      <c r="Q711" s="6"/>
      <c r="R711" s="6"/>
      <c r="U711" s="14"/>
      <c r="V711" s="5"/>
    </row>
    <row r="712" spans="10:22" ht="14.25" customHeight="1" x14ac:dyDescent="0.3">
      <c r="J712" s="5"/>
      <c r="K712" s="39"/>
      <c r="L712" s="150"/>
      <c r="M712" s="5"/>
      <c r="N712" s="13"/>
      <c r="P712" s="40"/>
      <c r="Q712" s="6"/>
      <c r="R712" s="6"/>
      <c r="U712" s="14"/>
      <c r="V712" s="5"/>
    </row>
    <row r="713" spans="10:22" ht="14.25" customHeight="1" x14ac:dyDescent="0.3">
      <c r="J713" s="5"/>
      <c r="K713" s="39"/>
      <c r="L713" s="150"/>
      <c r="M713" s="5"/>
      <c r="N713" s="13"/>
      <c r="P713" s="40"/>
      <c r="Q713" s="6"/>
      <c r="R713" s="6"/>
      <c r="U713" s="14"/>
      <c r="V713" s="5"/>
    </row>
    <row r="714" spans="10:22" ht="14.25" customHeight="1" x14ac:dyDescent="0.3">
      <c r="J714" s="5"/>
      <c r="K714" s="39"/>
      <c r="L714" s="150"/>
      <c r="M714" s="5"/>
      <c r="N714" s="13"/>
      <c r="P714" s="40"/>
      <c r="Q714" s="6"/>
      <c r="R714" s="6"/>
      <c r="U714" s="14"/>
      <c r="V714" s="5"/>
    </row>
    <row r="715" spans="10:22" ht="14.25" customHeight="1" x14ac:dyDescent="0.3">
      <c r="J715" s="5"/>
      <c r="K715" s="39"/>
      <c r="L715" s="150"/>
      <c r="M715" s="5"/>
      <c r="N715" s="13"/>
      <c r="P715" s="40"/>
      <c r="Q715" s="6"/>
      <c r="R715" s="6"/>
      <c r="U715" s="14"/>
      <c r="V715" s="5"/>
    </row>
    <row r="716" spans="10:22" ht="14.25" customHeight="1" x14ac:dyDescent="0.3">
      <c r="J716" s="5"/>
      <c r="K716" s="39"/>
      <c r="L716" s="150"/>
      <c r="M716" s="5"/>
      <c r="N716" s="13"/>
      <c r="P716" s="40"/>
      <c r="Q716" s="6"/>
      <c r="R716" s="6"/>
      <c r="U716" s="14"/>
      <c r="V716" s="5"/>
    </row>
    <row r="717" spans="10:22" ht="14.25" customHeight="1" x14ac:dyDescent="0.3">
      <c r="J717" s="5"/>
      <c r="K717" s="39"/>
      <c r="L717" s="150"/>
      <c r="M717" s="5"/>
      <c r="N717" s="13"/>
      <c r="P717" s="40"/>
      <c r="Q717" s="6"/>
      <c r="R717" s="6"/>
      <c r="U717" s="14"/>
      <c r="V717" s="5"/>
    </row>
    <row r="718" spans="10:22" ht="14.25" customHeight="1" x14ac:dyDescent="0.3">
      <c r="J718" s="5"/>
      <c r="K718" s="39"/>
      <c r="L718" s="150"/>
      <c r="M718" s="5"/>
      <c r="N718" s="13"/>
      <c r="P718" s="40"/>
      <c r="Q718" s="6"/>
      <c r="R718" s="6"/>
      <c r="U718" s="14"/>
      <c r="V718" s="5"/>
    </row>
    <row r="719" spans="10:22" ht="14.25" customHeight="1" x14ac:dyDescent="0.3">
      <c r="J719" s="5"/>
      <c r="K719" s="39"/>
      <c r="L719" s="150"/>
      <c r="M719" s="5"/>
      <c r="N719" s="13"/>
      <c r="P719" s="40"/>
      <c r="Q719" s="6"/>
      <c r="R719" s="6"/>
      <c r="U719" s="14"/>
      <c r="V719" s="5"/>
    </row>
    <row r="720" spans="10:22" ht="14.25" customHeight="1" x14ac:dyDescent="0.3">
      <c r="J720" s="5"/>
      <c r="K720" s="39"/>
      <c r="L720" s="150"/>
      <c r="M720" s="5"/>
      <c r="N720" s="13"/>
      <c r="P720" s="40"/>
      <c r="Q720" s="6"/>
      <c r="R720" s="6"/>
      <c r="U720" s="14"/>
      <c r="V720" s="5"/>
    </row>
    <row r="721" spans="10:22" ht="14.25" customHeight="1" x14ac:dyDescent="0.3">
      <c r="J721" s="5"/>
      <c r="K721" s="39"/>
      <c r="L721" s="150"/>
      <c r="M721" s="5"/>
      <c r="N721" s="13"/>
      <c r="P721" s="40"/>
      <c r="Q721" s="6"/>
      <c r="R721" s="6"/>
      <c r="U721" s="14"/>
      <c r="V721" s="5"/>
    </row>
    <row r="722" spans="10:22" ht="14.25" customHeight="1" x14ac:dyDescent="0.3">
      <c r="J722" s="5"/>
      <c r="K722" s="39"/>
      <c r="L722" s="150"/>
      <c r="M722" s="5"/>
      <c r="N722" s="13"/>
      <c r="P722" s="40"/>
      <c r="Q722" s="6"/>
      <c r="R722" s="6"/>
      <c r="U722" s="14"/>
      <c r="V722" s="5"/>
    </row>
    <row r="723" spans="10:22" ht="14.25" customHeight="1" x14ac:dyDescent="0.3">
      <c r="J723" s="5"/>
      <c r="K723" s="39"/>
      <c r="L723" s="150"/>
      <c r="M723" s="5"/>
      <c r="N723" s="13"/>
      <c r="P723" s="40"/>
      <c r="Q723" s="6"/>
      <c r="R723" s="6"/>
      <c r="U723" s="14"/>
      <c r="V723" s="5"/>
    </row>
    <row r="724" spans="10:22" ht="14.25" customHeight="1" x14ac:dyDescent="0.3">
      <c r="J724" s="5"/>
      <c r="K724" s="39"/>
      <c r="L724" s="150"/>
      <c r="M724" s="5"/>
      <c r="N724" s="13"/>
      <c r="P724" s="40"/>
      <c r="Q724" s="6"/>
      <c r="R724" s="6"/>
      <c r="U724" s="14"/>
      <c r="V724" s="5"/>
    </row>
    <row r="725" spans="10:22" ht="14.25" customHeight="1" x14ac:dyDescent="0.3">
      <c r="J725" s="5"/>
      <c r="K725" s="39"/>
      <c r="L725" s="150"/>
      <c r="M725" s="5"/>
      <c r="N725" s="13"/>
      <c r="P725" s="40"/>
      <c r="Q725" s="6"/>
      <c r="R725" s="6"/>
      <c r="U725" s="14"/>
      <c r="V725" s="5"/>
    </row>
    <row r="726" spans="10:22" ht="14.25" customHeight="1" x14ac:dyDescent="0.3">
      <c r="J726" s="5"/>
      <c r="K726" s="39"/>
      <c r="L726" s="150"/>
      <c r="M726" s="5"/>
      <c r="N726" s="13"/>
      <c r="P726" s="40"/>
      <c r="Q726" s="6"/>
      <c r="R726" s="6"/>
      <c r="U726" s="14"/>
      <c r="V726" s="5"/>
    </row>
    <row r="727" spans="10:22" ht="14.25" customHeight="1" x14ac:dyDescent="0.3">
      <c r="J727" s="5"/>
      <c r="K727" s="39"/>
      <c r="L727" s="150"/>
      <c r="M727" s="5"/>
      <c r="N727" s="13"/>
      <c r="P727" s="40"/>
      <c r="Q727" s="6"/>
      <c r="R727" s="6"/>
      <c r="U727" s="14"/>
      <c r="V727" s="5"/>
    </row>
    <row r="728" spans="10:22" ht="14.25" customHeight="1" x14ac:dyDescent="0.3">
      <c r="J728" s="5"/>
      <c r="K728" s="39"/>
      <c r="L728" s="150"/>
      <c r="M728" s="5"/>
      <c r="N728" s="13"/>
      <c r="P728" s="40"/>
      <c r="Q728" s="6"/>
      <c r="R728" s="6"/>
      <c r="U728" s="14"/>
      <c r="V728" s="5"/>
    </row>
    <row r="729" spans="10:22" ht="14.25" customHeight="1" x14ac:dyDescent="0.3">
      <c r="J729" s="5"/>
      <c r="K729" s="39"/>
      <c r="L729" s="150"/>
      <c r="M729" s="5"/>
      <c r="N729" s="13"/>
      <c r="P729" s="40"/>
      <c r="Q729" s="6"/>
      <c r="R729" s="6"/>
      <c r="U729" s="14"/>
      <c r="V729" s="5"/>
    </row>
    <row r="730" spans="10:22" ht="14.25" customHeight="1" x14ac:dyDescent="0.3">
      <c r="J730" s="5"/>
      <c r="K730" s="39"/>
      <c r="L730" s="150"/>
      <c r="M730" s="5"/>
      <c r="N730" s="13"/>
      <c r="P730" s="40"/>
      <c r="Q730" s="6"/>
      <c r="R730" s="6"/>
      <c r="U730" s="14"/>
      <c r="V730" s="5"/>
    </row>
    <row r="731" spans="10:22" ht="14.25" customHeight="1" x14ac:dyDescent="0.3">
      <c r="J731" s="5"/>
      <c r="K731" s="39"/>
      <c r="L731" s="150"/>
      <c r="M731" s="5"/>
      <c r="N731" s="13"/>
      <c r="P731" s="40"/>
      <c r="Q731" s="6"/>
      <c r="R731" s="6"/>
      <c r="U731" s="14"/>
      <c r="V731" s="5"/>
    </row>
    <row r="732" spans="10:22" ht="14.25" customHeight="1" x14ac:dyDescent="0.3">
      <c r="J732" s="5"/>
      <c r="K732" s="39"/>
      <c r="L732" s="150"/>
      <c r="M732" s="5"/>
      <c r="N732" s="13"/>
      <c r="P732" s="40"/>
      <c r="Q732" s="6"/>
      <c r="R732" s="6"/>
      <c r="U732" s="14"/>
      <c r="V732" s="5"/>
    </row>
    <row r="733" spans="10:22" ht="14.25" customHeight="1" x14ac:dyDescent="0.3">
      <c r="J733" s="5"/>
      <c r="K733" s="39"/>
      <c r="L733" s="150"/>
      <c r="M733" s="5"/>
      <c r="N733" s="13"/>
      <c r="P733" s="40"/>
      <c r="Q733" s="6"/>
      <c r="R733" s="6"/>
      <c r="U733" s="14"/>
      <c r="V733" s="5"/>
    </row>
    <row r="734" spans="10:22" ht="14.25" customHeight="1" x14ac:dyDescent="0.3">
      <c r="J734" s="5"/>
      <c r="K734" s="39"/>
      <c r="L734" s="150"/>
      <c r="M734" s="5"/>
      <c r="N734" s="13"/>
      <c r="P734" s="40"/>
      <c r="Q734" s="6"/>
      <c r="R734" s="6"/>
      <c r="U734" s="14"/>
      <c r="V734" s="5"/>
    </row>
    <row r="735" spans="10:22" ht="14.25" customHeight="1" x14ac:dyDescent="0.3">
      <c r="J735" s="5"/>
      <c r="K735" s="39"/>
      <c r="L735" s="150"/>
      <c r="M735" s="5"/>
      <c r="N735" s="13"/>
      <c r="P735" s="40"/>
      <c r="Q735" s="6"/>
      <c r="R735" s="6"/>
      <c r="U735" s="14"/>
      <c r="V735" s="5"/>
    </row>
    <row r="736" spans="10:22" ht="14.25" customHeight="1" x14ac:dyDescent="0.3">
      <c r="J736" s="5"/>
      <c r="K736" s="39"/>
      <c r="L736" s="150"/>
      <c r="M736" s="5"/>
      <c r="N736" s="13"/>
      <c r="P736" s="40"/>
      <c r="Q736" s="6"/>
      <c r="R736" s="6"/>
      <c r="U736" s="14"/>
      <c r="V736" s="5"/>
    </row>
    <row r="737" spans="10:22" ht="14.25" customHeight="1" x14ac:dyDescent="0.3">
      <c r="J737" s="5"/>
      <c r="K737" s="39"/>
      <c r="L737" s="150"/>
      <c r="M737" s="5"/>
      <c r="N737" s="13"/>
      <c r="P737" s="40"/>
      <c r="Q737" s="6"/>
      <c r="R737" s="6"/>
      <c r="U737" s="14"/>
      <c r="V737" s="5"/>
    </row>
    <row r="738" spans="10:22" ht="14.25" customHeight="1" x14ac:dyDescent="0.3">
      <c r="J738" s="5"/>
      <c r="K738" s="39"/>
      <c r="L738" s="150"/>
      <c r="M738" s="5"/>
      <c r="N738" s="13"/>
      <c r="P738" s="40"/>
      <c r="Q738" s="6"/>
      <c r="R738" s="6"/>
      <c r="U738" s="14"/>
      <c r="V738" s="5"/>
    </row>
    <row r="739" spans="10:22" ht="14.25" customHeight="1" x14ac:dyDescent="0.3">
      <c r="J739" s="5"/>
      <c r="K739" s="39"/>
      <c r="L739" s="150"/>
      <c r="M739" s="5"/>
      <c r="N739" s="13"/>
      <c r="P739" s="40"/>
      <c r="Q739" s="6"/>
      <c r="R739" s="6"/>
      <c r="U739" s="14"/>
      <c r="V739" s="5"/>
    </row>
    <row r="740" spans="10:22" ht="14.25" customHeight="1" x14ac:dyDescent="0.3">
      <c r="J740" s="5"/>
      <c r="K740" s="39"/>
      <c r="L740" s="150"/>
      <c r="M740" s="5"/>
      <c r="N740" s="13"/>
      <c r="P740" s="40"/>
      <c r="Q740" s="6"/>
      <c r="R740" s="6"/>
      <c r="U740" s="14"/>
      <c r="V740" s="5"/>
    </row>
    <row r="741" spans="10:22" ht="14.25" customHeight="1" x14ac:dyDescent="0.3">
      <c r="J741" s="5"/>
      <c r="K741" s="39"/>
      <c r="L741" s="150"/>
      <c r="M741" s="5"/>
      <c r="N741" s="13"/>
      <c r="P741" s="40"/>
      <c r="Q741" s="6"/>
      <c r="R741" s="6"/>
      <c r="U741" s="14"/>
      <c r="V741" s="5"/>
    </row>
    <row r="742" spans="10:22" ht="14.25" customHeight="1" x14ac:dyDescent="0.3">
      <c r="J742" s="5"/>
      <c r="K742" s="39"/>
      <c r="L742" s="150"/>
      <c r="M742" s="5"/>
      <c r="N742" s="13"/>
      <c r="P742" s="40"/>
      <c r="Q742" s="6"/>
      <c r="R742" s="6"/>
      <c r="U742" s="14"/>
      <c r="V742" s="5"/>
    </row>
    <row r="743" spans="10:22" ht="14.25" customHeight="1" x14ac:dyDescent="0.3">
      <c r="J743" s="5"/>
      <c r="K743" s="39"/>
      <c r="L743" s="150"/>
      <c r="M743" s="5"/>
      <c r="N743" s="13"/>
      <c r="P743" s="40"/>
      <c r="Q743" s="6"/>
      <c r="R743" s="6"/>
      <c r="U743" s="14"/>
      <c r="V743" s="5"/>
    </row>
    <row r="744" spans="10:22" ht="14.25" customHeight="1" x14ac:dyDescent="0.3">
      <c r="J744" s="5"/>
      <c r="K744" s="39"/>
      <c r="L744" s="150"/>
      <c r="M744" s="5"/>
      <c r="N744" s="13"/>
      <c r="P744" s="40"/>
      <c r="Q744" s="6"/>
      <c r="R744" s="6"/>
      <c r="U744" s="14"/>
      <c r="V744" s="5"/>
    </row>
    <row r="745" spans="10:22" ht="14.25" customHeight="1" x14ac:dyDescent="0.3">
      <c r="J745" s="5"/>
      <c r="K745" s="39"/>
      <c r="L745" s="150"/>
      <c r="M745" s="5"/>
      <c r="N745" s="13"/>
      <c r="P745" s="40"/>
      <c r="Q745" s="6"/>
      <c r="R745" s="6"/>
      <c r="U745" s="14"/>
      <c r="V745" s="5"/>
    </row>
    <row r="746" spans="10:22" ht="14.25" customHeight="1" x14ac:dyDescent="0.3">
      <c r="J746" s="5"/>
      <c r="K746" s="39"/>
      <c r="L746" s="150"/>
      <c r="M746" s="5"/>
      <c r="N746" s="13"/>
      <c r="P746" s="40"/>
      <c r="Q746" s="6"/>
      <c r="R746" s="6"/>
      <c r="U746" s="14"/>
      <c r="V746" s="5"/>
    </row>
    <row r="747" spans="10:22" ht="14.25" customHeight="1" x14ac:dyDescent="0.3">
      <c r="J747" s="5"/>
      <c r="K747" s="39"/>
      <c r="L747" s="150"/>
      <c r="M747" s="5"/>
      <c r="N747" s="13"/>
      <c r="P747" s="40"/>
      <c r="Q747" s="6"/>
      <c r="R747" s="6"/>
      <c r="U747" s="14"/>
      <c r="V747" s="5"/>
    </row>
    <row r="748" spans="10:22" ht="14.25" customHeight="1" x14ac:dyDescent="0.3">
      <c r="J748" s="5"/>
      <c r="K748" s="39"/>
      <c r="L748" s="150"/>
      <c r="M748" s="5"/>
      <c r="N748" s="13"/>
      <c r="P748" s="40"/>
      <c r="Q748" s="6"/>
      <c r="R748" s="6"/>
      <c r="U748" s="14"/>
      <c r="V748" s="5"/>
    </row>
    <row r="749" spans="10:22" ht="14.25" customHeight="1" x14ac:dyDescent="0.3">
      <c r="J749" s="5"/>
      <c r="K749" s="39"/>
      <c r="L749" s="150"/>
      <c r="M749" s="5"/>
      <c r="N749" s="13"/>
      <c r="P749" s="40"/>
      <c r="Q749" s="6"/>
      <c r="R749" s="6"/>
      <c r="U749" s="14"/>
      <c r="V749" s="5"/>
    </row>
    <row r="750" spans="10:22" ht="14.25" customHeight="1" x14ac:dyDescent="0.3">
      <c r="J750" s="5"/>
      <c r="K750" s="39"/>
      <c r="L750" s="150"/>
      <c r="M750" s="5"/>
      <c r="N750" s="13"/>
      <c r="P750" s="40"/>
      <c r="Q750" s="6"/>
      <c r="R750" s="6"/>
      <c r="U750" s="14"/>
      <c r="V750" s="5"/>
    </row>
    <row r="751" spans="10:22" ht="14.25" customHeight="1" x14ac:dyDescent="0.3">
      <c r="J751" s="5"/>
      <c r="K751" s="39"/>
      <c r="L751" s="150"/>
      <c r="M751" s="5"/>
      <c r="N751" s="13"/>
      <c r="P751" s="40"/>
      <c r="Q751" s="6"/>
      <c r="R751" s="6"/>
      <c r="U751" s="14"/>
      <c r="V751" s="5"/>
    </row>
    <row r="752" spans="10:22" ht="14.25" customHeight="1" x14ac:dyDescent="0.3">
      <c r="J752" s="5"/>
      <c r="K752" s="39"/>
      <c r="L752" s="150"/>
      <c r="M752" s="5"/>
      <c r="N752" s="13"/>
      <c r="P752" s="40"/>
      <c r="Q752" s="6"/>
      <c r="R752" s="6"/>
      <c r="U752" s="14"/>
      <c r="V752" s="5"/>
    </row>
    <row r="753" spans="10:22" ht="14.25" customHeight="1" x14ac:dyDescent="0.3">
      <c r="J753" s="5"/>
      <c r="K753" s="39"/>
      <c r="L753" s="150"/>
      <c r="M753" s="5"/>
      <c r="N753" s="13"/>
      <c r="P753" s="40"/>
      <c r="Q753" s="6"/>
      <c r="R753" s="6"/>
      <c r="U753" s="14"/>
      <c r="V753" s="5"/>
    </row>
    <row r="754" spans="10:22" ht="14.25" customHeight="1" x14ac:dyDescent="0.3">
      <c r="J754" s="5"/>
      <c r="K754" s="39"/>
      <c r="L754" s="150"/>
      <c r="M754" s="5"/>
      <c r="N754" s="13"/>
      <c r="P754" s="40"/>
      <c r="Q754" s="6"/>
      <c r="R754" s="6"/>
      <c r="U754" s="14"/>
      <c r="V754" s="5"/>
    </row>
    <row r="755" spans="10:22" ht="14.25" customHeight="1" x14ac:dyDescent="0.3">
      <c r="J755" s="5"/>
      <c r="K755" s="39"/>
      <c r="L755" s="150"/>
      <c r="M755" s="5"/>
      <c r="N755" s="13"/>
      <c r="P755" s="40"/>
      <c r="Q755" s="6"/>
      <c r="R755" s="6"/>
      <c r="U755" s="14"/>
      <c r="V755" s="5"/>
    </row>
    <row r="756" spans="10:22" ht="14.25" customHeight="1" x14ac:dyDescent="0.3">
      <c r="J756" s="5"/>
      <c r="K756" s="39"/>
      <c r="L756" s="150"/>
      <c r="M756" s="5"/>
      <c r="N756" s="13"/>
      <c r="P756" s="40"/>
      <c r="Q756" s="6"/>
      <c r="R756" s="6"/>
      <c r="U756" s="14"/>
      <c r="V756" s="5"/>
    </row>
    <row r="757" spans="10:22" ht="14.25" customHeight="1" x14ac:dyDescent="0.3">
      <c r="J757" s="5"/>
      <c r="K757" s="39"/>
      <c r="L757" s="150"/>
      <c r="M757" s="5"/>
      <c r="N757" s="13"/>
      <c r="P757" s="40"/>
      <c r="Q757" s="6"/>
      <c r="R757" s="6"/>
      <c r="U757" s="14"/>
      <c r="V757" s="5"/>
    </row>
    <row r="758" spans="10:22" ht="14.25" customHeight="1" x14ac:dyDescent="0.3">
      <c r="J758" s="5"/>
      <c r="K758" s="39"/>
      <c r="L758" s="150"/>
      <c r="M758" s="5"/>
      <c r="N758" s="13"/>
      <c r="P758" s="40"/>
      <c r="Q758" s="6"/>
      <c r="R758" s="6"/>
      <c r="U758" s="14"/>
      <c r="V758" s="5"/>
    </row>
    <row r="759" spans="10:22" ht="14.25" customHeight="1" x14ac:dyDescent="0.3">
      <c r="J759" s="5"/>
      <c r="K759" s="39"/>
      <c r="L759" s="150"/>
      <c r="M759" s="5"/>
      <c r="N759" s="13"/>
      <c r="P759" s="40"/>
      <c r="Q759" s="6"/>
      <c r="R759" s="6"/>
      <c r="U759" s="14"/>
      <c r="V759" s="5"/>
    </row>
    <row r="760" spans="10:22" ht="14.25" customHeight="1" x14ac:dyDescent="0.3">
      <c r="J760" s="5"/>
      <c r="K760" s="39"/>
      <c r="L760" s="150"/>
      <c r="M760" s="5"/>
      <c r="N760" s="13"/>
      <c r="P760" s="40"/>
      <c r="Q760" s="6"/>
      <c r="R760" s="6"/>
      <c r="U760" s="14"/>
      <c r="V760" s="5"/>
    </row>
    <row r="761" spans="10:22" ht="14.25" customHeight="1" x14ac:dyDescent="0.3">
      <c r="J761" s="5"/>
      <c r="K761" s="39"/>
      <c r="L761" s="150"/>
      <c r="M761" s="5"/>
      <c r="N761" s="13"/>
      <c r="P761" s="40"/>
      <c r="Q761" s="6"/>
      <c r="R761" s="6"/>
      <c r="U761" s="14"/>
      <c r="V761" s="5"/>
    </row>
    <row r="762" spans="10:22" ht="14.25" customHeight="1" x14ac:dyDescent="0.3">
      <c r="J762" s="5"/>
      <c r="K762" s="39"/>
      <c r="L762" s="150"/>
      <c r="M762" s="5"/>
      <c r="N762" s="13"/>
      <c r="P762" s="40"/>
      <c r="Q762" s="6"/>
      <c r="R762" s="6"/>
      <c r="U762" s="14"/>
      <c r="V762" s="5"/>
    </row>
    <row r="763" spans="10:22" ht="14.25" customHeight="1" x14ac:dyDescent="0.3">
      <c r="J763" s="5"/>
      <c r="K763" s="39"/>
      <c r="L763" s="150"/>
      <c r="M763" s="5"/>
      <c r="N763" s="13"/>
      <c r="P763" s="40"/>
      <c r="Q763" s="6"/>
      <c r="R763" s="6"/>
      <c r="U763" s="14"/>
      <c r="V763" s="5"/>
    </row>
    <row r="764" spans="10:22" ht="14.25" customHeight="1" x14ac:dyDescent="0.3">
      <c r="J764" s="5"/>
      <c r="K764" s="39"/>
      <c r="L764" s="150"/>
      <c r="M764" s="5"/>
      <c r="N764" s="13"/>
      <c r="P764" s="40"/>
      <c r="Q764" s="6"/>
      <c r="R764" s="6"/>
      <c r="U764" s="14"/>
      <c r="V764" s="5"/>
    </row>
    <row r="765" spans="10:22" ht="14.25" customHeight="1" x14ac:dyDescent="0.3">
      <c r="J765" s="5"/>
      <c r="K765" s="39"/>
      <c r="L765" s="150"/>
      <c r="M765" s="5"/>
      <c r="N765" s="13"/>
      <c r="P765" s="40"/>
      <c r="Q765" s="6"/>
      <c r="R765" s="6"/>
      <c r="U765" s="14"/>
      <c r="V765" s="5"/>
    </row>
    <row r="766" spans="10:22" ht="14.25" customHeight="1" x14ac:dyDescent="0.3">
      <c r="J766" s="5"/>
      <c r="K766" s="39"/>
      <c r="L766" s="150"/>
      <c r="M766" s="5"/>
      <c r="N766" s="13"/>
      <c r="P766" s="40"/>
      <c r="Q766" s="6"/>
      <c r="R766" s="6"/>
      <c r="U766" s="14"/>
      <c r="V766" s="5"/>
    </row>
    <row r="767" spans="10:22" ht="14.25" customHeight="1" x14ac:dyDescent="0.3">
      <c r="J767" s="5"/>
      <c r="K767" s="39"/>
      <c r="L767" s="150"/>
      <c r="M767" s="5"/>
      <c r="N767" s="13"/>
      <c r="P767" s="40"/>
      <c r="Q767" s="6"/>
      <c r="R767" s="6"/>
      <c r="U767" s="14"/>
      <c r="V767" s="5"/>
    </row>
    <row r="768" spans="10:22" ht="14.25" customHeight="1" x14ac:dyDescent="0.3">
      <c r="J768" s="5"/>
      <c r="K768" s="39"/>
      <c r="L768" s="150"/>
      <c r="M768" s="5"/>
      <c r="N768" s="13"/>
      <c r="P768" s="40"/>
      <c r="Q768" s="6"/>
      <c r="R768" s="6"/>
      <c r="U768" s="14"/>
      <c r="V768" s="5"/>
    </row>
    <row r="769" spans="10:22" ht="14.25" customHeight="1" x14ac:dyDescent="0.3">
      <c r="J769" s="5"/>
      <c r="K769" s="39"/>
      <c r="L769" s="150"/>
      <c r="M769" s="5"/>
      <c r="N769" s="13"/>
      <c r="P769" s="40"/>
      <c r="Q769" s="6"/>
      <c r="R769" s="6"/>
      <c r="U769" s="14"/>
      <c r="V769" s="5"/>
    </row>
    <row r="770" spans="10:22" ht="14.25" customHeight="1" x14ac:dyDescent="0.3">
      <c r="J770" s="5"/>
      <c r="K770" s="39"/>
      <c r="L770" s="150"/>
      <c r="M770" s="5"/>
      <c r="N770" s="13"/>
      <c r="P770" s="40"/>
      <c r="Q770" s="6"/>
      <c r="R770" s="6"/>
      <c r="U770" s="14"/>
      <c r="V770" s="5"/>
    </row>
    <row r="771" spans="10:22" ht="14.25" customHeight="1" x14ac:dyDescent="0.3">
      <c r="J771" s="5"/>
      <c r="K771" s="39"/>
      <c r="L771" s="150"/>
      <c r="M771" s="5"/>
      <c r="N771" s="13"/>
      <c r="P771" s="40"/>
      <c r="Q771" s="6"/>
      <c r="R771" s="6"/>
      <c r="U771" s="14"/>
      <c r="V771" s="5"/>
    </row>
    <row r="772" spans="10:22" ht="14.25" customHeight="1" x14ac:dyDescent="0.3">
      <c r="J772" s="5"/>
      <c r="K772" s="39"/>
      <c r="L772" s="150"/>
      <c r="M772" s="5"/>
      <c r="N772" s="13"/>
      <c r="P772" s="40"/>
      <c r="Q772" s="6"/>
      <c r="R772" s="6"/>
      <c r="U772" s="14"/>
      <c r="V772" s="5"/>
    </row>
    <row r="773" spans="10:22" ht="14.25" customHeight="1" x14ac:dyDescent="0.3">
      <c r="J773" s="5"/>
      <c r="K773" s="39"/>
      <c r="L773" s="150"/>
      <c r="M773" s="5"/>
      <c r="N773" s="13"/>
      <c r="P773" s="40"/>
      <c r="Q773" s="6"/>
      <c r="R773" s="6"/>
      <c r="U773" s="14"/>
      <c r="V773" s="5"/>
    </row>
    <row r="774" spans="10:22" ht="14.25" customHeight="1" x14ac:dyDescent="0.3">
      <c r="J774" s="5"/>
      <c r="K774" s="39"/>
      <c r="L774" s="150"/>
      <c r="M774" s="5"/>
      <c r="N774" s="13"/>
      <c r="P774" s="40"/>
      <c r="Q774" s="6"/>
      <c r="R774" s="6"/>
      <c r="U774" s="14"/>
      <c r="V774" s="5"/>
    </row>
    <row r="775" spans="10:22" ht="14.25" customHeight="1" x14ac:dyDescent="0.3">
      <c r="J775" s="5"/>
      <c r="K775" s="39"/>
      <c r="L775" s="150"/>
      <c r="M775" s="5"/>
      <c r="N775" s="13"/>
      <c r="P775" s="40"/>
      <c r="Q775" s="6"/>
      <c r="R775" s="6"/>
      <c r="U775" s="14"/>
      <c r="V775" s="5"/>
    </row>
    <row r="776" spans="10:22" ht="14.25" customHeight="1" x14ac:dyDescent="0.3">
      <c r="J776" s="5"/>
      <c r="K776" s="39"/>
      <c r="L776" s="150"/>
      <c r="M776" s="5"/>
      <c r="N776" s="13"/>
      <c r="P776" s="40"/>
      <c r="Q776" s="6"/>
      <c r="R776" s="6"/>
      <c r="U776" s="14"/>
      <c r="V776" s="5"/>
    </row>
    <row r="777" spans="10:22" ht="14.25" customHeight="1" x14ac:dyDescent="0.3">
      <c r="J777" s="5"/>
      <c r="K777" s="39"/>
      <c r="L777" s="150"/>
      <c r="M777" s="5"/>
      <c r="N777" s="13"/>
      <c r="P777" s="40"/>
      <c r="Q777" s="6"/>
      <c r="R777" s="6"/>
      <c r="U777" s="14"/>
      <c r="V777" s="5"/>
    </row>
    <row r="778" spans="10:22" ht="14.25" customHeight="1" x14ac:dyDescent="0.3">
      <c r="J778" s="5"/>
      <c r="K778" s="39"/>
      <c r="L778" s="150"/>
      <c r="M778" s="5"/>
      <c r="N778" s="13"/>
      <c r="P778" s="40"/>
      <c r="Q778" s="6"/>
      <c r="R778" s="6"/>
      <c r="U778" s="14"/>
      <c r="V778" s="5"/>
    </row>
    <row r="779" spans="10:22" ht="14.25" customHeight="1" x14ac:dyDescent="0.3">
      <c r="J779" s="5"/>
      <c r="K779" s="39"/>
      <c r="L779" s="150"/>
      <c r="M779" s="5"/>
      <c r="N779" s="13"/>
      <c r="P779" s="40"/>
      <c r="Q779" s="6"/>
      <c r="R779" s="6"/>
      <c r="U779" s="14"/>
      <c r="V779" s="5"/>
    </row>
    <row r="780" spans="10:22" ht="14.25" customHeight="1" x14ac:dyDescent="0.3">
      <c r="J780" s="5"/>
      <c r="K780" s="39"/>
      <c r="L780" s="150"/>
      <c r="M780" s="5"/>
      <c r="N780" s="13"/>
      <c r="P780" s="40"/>
      <c r="Q780" s="6"/>
      <c r="R780" s="6"/>
      <c r="U780" s="14"/>
      <c r="V780" s="5"/>
    </row>
    <row r="781" spans="10:22" ht="14.25" customHeight="1" x14ac:dyDescent="0.3">
      <c r="J781" s="5"/>
      <c r="K781" s="39"/>
      <c r="L781" s="150"/>
      <c r="M781" s="5"/>
      <c r="N781" s="13"/>
      <c r="P781" s="40"/>
      <c r="Q781" s="6"/>
      <c r="R781" s="6"/>
      <c r="U781" s="14"/>
      <c r="V781" s="5"/>
    </row>
  </sheetData>
  <sheetProtection insertRows="0"/>
  <autoFilter ref="B2:L197" xr:uid="{00000000-0009-0000-0000-000003000000}"/>
  <pageMargins left="0.7" right="0.7" top="0.75" bottom="0.75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7AE26-6413-46A8-B7B6-21D934B42413}">
  <dimension ref="A1:AM66"/>
  <sheetViews>
    <sheetView workbookViewId="0">
      <selection activeCell="D62" sqref="D62:F66"/>
    </sheetView>
  </sheetViews>
  <sheetFormatPr defaultRowHeight="14.4" x14ac:dyDescent="0.3"/>
  <cols>
    <col min="2" max="2" width="8.33203125" bestFit="1" customWidth="1"/>
    <col min="3" max="3" width="7.21875" customWidth="1"/>
    <col min="4" max="4" width="21.109375" bestFit="1" customWidth="1"/>
    <col min="5" max="5" width="27.109375" bestFit="1" customWidth="1"/>
    <col min="6" max="6" width="14.77734375" customWidth="1"/>
    <col min="7" max="7" width="16.33203125" customWidth="1"/>
    <col min="8" max="8" width="13.6640625" bestFit="1" customWidth="1"/>
    <col min="10" max="10" width="10.21875" bestFit="1" customWidth="1"/>
    <col min="11" max="11" width="10.88671875" bestFit="1" customWidth="1"/>
    <col min="12" max="12" width="11.5546875" bestFit="1" customWidth="1"/>
    <col min="13" max="13" width="10.21875" bestFit="1" customWidth="1"/>
    <col min="15" max="15" width="10.21875" bestFit="1" customWidth="1"/>
    <col min="16" max="16" width="3.21875" customWidth="1"/>
    <col min="17" max="17" width="14.5546875" customWidth="1"/>
    <col min="18" max="18" width="14.77734375" customWidth="1"/>
    <col min="19" max="19" width="11.109375" bestFit="1" customWidth="1"/>
    <col min="20" max="20" width="14.33203125" customWidth="1"/>
    <col min="21" max="21" width="12.77734375" bestFit="1" customWidth="1"/>
    <col min="22" max="22" width="12.109375" bestFit="1" customWidth="1"/>
  </cols>
  <sheetData>
    <row r="1" spans="1:39" ht="15" customHeight="1" x14ac:dyDescent="0.3">
      <c r="A1" s="43"/>
      <c r="B1" s="37"/>
      <c r="C1" s="29"/>
      <c r="D1" s="29"/>
      <c r="E1" s="29"/>
      <c r="F1" s="29"/>
      <c r="G1" s="153" t="s">
        <v>421</v>
      </c>
      <c r="H1" s="159" t="s">
        <v>426</v>
      </c>
      <c r="I1" s="154" t="s">
        <v>420</v>
      </c>
      <c r="J1" s="157" t="s">
        <v>419</v>
      </c>
      <c r="K1" s="153" t="s">
        <v>422</v>
      </c>
      <c r="L1" s="151"/>
      <c r="N1" s="155" t="s">
        <v>423</v>
      </c>
      <c r="O1" s="17"/>
      <c r="P1" s="29"/>
      <c r="R1" s="155" t="s">
        <v>424</v>
      </c>
      <c r="S1" s="156" t="s">
        <v>425</v>
      </c>
      <c r="T1" s="158" t="s">
        <v>428</v>
      </c>
      <c r="U1" s="155" t="s">
        <v>427</v>
      </c>
    </row>
    <row r="2" spans="1:39" s="48" customFormat="1" ht="30" customHeight="1" x14ac:dyDescent="0.3">
      <c r="A2" s="56" t="s">
        <v>22</v>
      </c>
      <c r="B2" s="56" t="s">
        <v>0</v>
      </c>
      <c r="C2" s="44" t="s">
        <v>1</v>
      </c>
      <c r="D2" s="44" t="s">
        <v>2</v>
      </c>
      <c r="E2" s="44" t="s">
        <v>3</v>
      </c>
      <c r="F2" s="44" t="s">
        <v>4</v>
      </c>
      <c r="G2" s="44" t="s">
        <v>5</v>
      </c>
      <c r="H2" s="78" t="s">
        <v>6</v>
      </c>
      <c r="I2" s="45" t="s">
        <v>7</v>
      </c>
      <c r="J2" s="54" t="s">
        <v>8</v>
      </c>
      <c r="K2" s="47" t="s">
        <v>24</v>
      </c>
      <c r="L2" s="148" t="s">
        <v>25</v>
      </c>
      <c r="M2" s="46" t="s">
        <v>9</v>
      </c>
      <c r="N2" s="53" t="s">
        <v>26</v>
      </c>
      <c r="O2" s="53" t="s">
        <v>27</v>
      </c>
      <c r="P2" s="44"/>
      <c r="Q2" s="50" t="s">
        <v>10</v>
      </c>
      <c r="R2" s="50" t="s">
        <v>11</v>
      </c>
      <c r="S2" s="51" t="s">
        <v>12</v>
      </c>
      <c r="T2" s="51" t="s">
        <v>13</v>
      </c>
      <c r="U2" s="52" t="s">
        <v>14</v>
      </c>
      <c r="V2" s="46" t="s">
        <v>23</v>
      </c>
      <c r="W2" s="49"/>
      <c r="X2" s="49"/>
      <c r="Y2" s="49"/>
      <c r="Z2" s="49"/>
      <c r="AA2" s="49"/>
      <c r="AB2" s="49"/>
    </row>
    <row r="3" spans="1:39" ht="15" customHeight="1" x14ac:dyDescent="0.3">
      <c r="A3" s="43">
        <v>372</v>
      </c>
      <c r="B3" s="88">
        <v>45253</v>
      </c>
      <c r="C3" s="3" t="s">
        <v>110</v>
      </c>
      <c r="D3" s="106" t="s">
        <v>417</v>
      </c>
      <c r="E3" s="3" t="s">
        <v>418</v>
      </c>
      <c r="F3" s="57" t="s">
        <v>71</v>
      </c>
      <c r="G3" s="3">
        <v>200</v>
      </c>
      <c r="H3" s="161">
        <f>2500+440</f>
        <v>2940</v>
      </c>
      <c r="I3" s="144"/>
      <c r="J3" s="19">
        <f>(G3*H3)+I3</f>
        <v>588000</v>
      </c>
      <c r="K3" s="39">
        <f>4000+4000+J3*0.05</f>
        <v>37400</v>
      </c>
      <c r="L3" s="149">
        <f>ROUND(IF((U3*A3*G3)&gt;(J3+(T3*A3)+K3+(Q3*A3)),(U3*A3),((J3+(T3*A3)+K3+(Q3*A3))/G3)),1)</f>
        <v>4467.1000000000004</v>
      </c>
      <c r="M3" s="5">
        <f t="shared" ref="M3" si="0">+L3*G3</f>
        <v>893420.00000000012</v>
      </c>
      <c r="N3" s="8">
        <f>VLOOKUP((J3/A3),Variables!$A$3:$C$8,2,TRUE())</f>
        <v>0.25</v>
      </c>
      <c r="O3" s="42">
        <f t="shared" ref="O3" si="1">+Q3*A3</f>
        <v>223357.14285714293</v>
      </c>
      <c r="P3" s="40"/>
      <c r="Q3" s="24">
        <f t="shared" ref="Q3" si="2">+IF(((U3*G3)-S3-T3)&lt;R3,R3,((U3*G3)-S3-T3))</f>
        <v>600.42242703533043</v>
      </c>
      <c r="R3" s="27">
        <f>VLOOKUP((J3/A3),Variables!$A$3:$C$8,3,TRUE())</f>
        <v>400</v>
      </c>
      <c r="S3" s="27">
        <f t="shared" ref="S3" si="3">+(J3+K3)/A3</f>
        <v>1681.1827956989248</v>
      </c>
      <c r="T3" s="24">
        <f>+V3/A3*Variables!$B$10</f>
        <v>120.08448540706607</v>
      </c>
      <c r="U3" s="28">
        <f>+(S3/(1-(N3+Variables!$B$10)))/G3</f>
        <v>12.008448540706606</v>
      </c>
      <c r="V3" s="5">
        <f t="shared" ref="V3" si="4">+U3*G3*A3</f>
        <v>893428.57142857148</v>
      </c>
      <c r="AI3" s="18"/>
      <c r="AJ3" s="18"/>
      <c r="AK3" s="18"/>
      <c r="AL3" s="18"/>
      <c r="AM3" s="18"/>
    </row>
    <row r="4" spans="1:39" x14ac:dyDescent="0.3">
      <c r="V4" s="24">
        <f>+V3/A3</f>
        <v>2401.6897081413213</v>
      </c>
    </row>
    <row r="7" spans="1:39" x14ac:dyDescent="0.3">
      <c r="D7" s="21" t="s">
        <v>433</v>
      </c>
    </row>
    <row r="8" spans="1:39" x14ac:dyDescent="0.3">
      <c r="D8" s="67" t="s">
        <v>0</v>
      </c>
      <c r="E8" s="168">
        <v>45253</v>
      </c>
    </row>
    <row r="9" spans="1:39" x14ac:dyDescent="0.3">
      <c r="D9" s="67" t="s">
        <v>1</v>
      </c>
      <c r="E9" s="167" t="s">
        <v>110</v>
      </c>
    </row>
    <row r="10" spans="1:39" x14ac:dyDescent="0.3">
      <c r="D10" t="s">
        <v>429</v>
      </c>
      <c r="E10" s="167" t="s">
        <v>430</v>
      </c>
    </row>
    <row r="11" spans="1:39" x14ac:dyDescent="0.3">
      <c r="D11" t="s">
        <v>431</v>
      </c>
      <c r="E11" s="164">
        <v>372</v>
      </c>
    </row>
    <row r="12" spans="1:39" x14ac:dyDescent="0.3">
      <c r="E12" s="161"/>
    </row>
    <row r="13" spans="1:39" x14ac:dyDescent="0.3">
      <c r="D13" s="21" t="s">
        <v>439</v>
      </c>
      <c r="E13" s="161"/>
    </row>
    <row r="14" spans="1:39" x14ac:dyDescent="0.3">
      <c r="D14" t="s">
        <v>432</v>
      </c>
      <c r="E14" s="167">
        <f>+G3</f>
        <v>200</v>
      </c>
    </row>
    <row r="16" spans="1:39" x14ac:dyDescent="0.3">
      <c r="D16" s="21" t="s">
        <v>440</v>
      </c>
    </row>
    <row r="17" spans="3:8" x14ac:dyDescent="0.3">
      <c r="D17" s="67" t="s">
        <v>434</v>
      </c>
      <c r="E17" s="67" t="s">
        <v>418</v>
      </c>
    </row>
    <row r="18" spans="3:8" x14ac:dyDescent="0.3">
      <c r="D18" s="67" t="s">
        <v>2</v>
      </c>
      <c r="E18" s="67" t="s">
        <v>441</v>
      </c>
    </row>
    <row r="19" spans="3:8" x14ac:dyDescent="0.3">
      <c r="D19" s="67" t="s">
        <v>435</v>
      </c>
      <c r="E19" s="164">
        <v>2500</v>
      </c>
      <c r="F19" s="24">
        <f>+E19/$E$11</f>
        <v>6.720430107526882</v>
      </c>
    </row>
    <row r="20" spans="3:8" x14ac:dyDescent="0.3">
      <c r="D20" s="67" t="s">
        <v>436</v>
      </c>
      <c r="E20" s="164">
        <v>0</v>
      </c>
      <c r="F20" s="24">
        <f t="shared" ref="F20" si="5">+E20/$E$11</f>
        <v>0</v>
      </c>
    </row>
    <row r="21" spans="3:8" x14ac:dyDescent="0.3">
      <c r="F21" s="27"/>
    </row>
    <row r="22" spans="3:8" x14ac:dyDescent="0.3">
      <c r="D22" s="67" t="s">
        <v>434</v>
      </c>
      <c r="E22" s="67" t="s">
        <v>437</v>
      </c>
      <c r="F22" s="27"/>
    </row>
    <row r="23" spans="3:8" x14ac:dyDescent="0.3">
      <c r="D23" s="67" t="s">
        <v>2</v>
      </c>
      <c r="E23" s="67" t="s">
        <v>442</v>
      </c>
      <c r="F23" s="27"/>
    </row>
    <row r="24" spans="3:8" x14ac:dyDescent="0.3">
      <c r="D24" s="67" t="s">
        <v>435</v>
      </c>
      <c r="E24" s="164">
        <v>440</v>
      </c>
      <c r="F24" s="24">
        <f t="shared" ref="F24:F30" si="6">+E24/$E$11</f>
        <v>1.1827956989247312</v>
      </c>
    </row>
    <row r="25" spans="3:8" x14ac:dyDescent="0.3">
      <c r="D25" s="67" t="s">
        <v>436</v>
      </c>
      <c r="E25" s="164">
        <v>0</v>
      </c>
      <c r="F25" s="24">
        <f t="shared" si="6"/>
        <v>0</v>
      </c>
    </row>
    <row r="26" spans="3:8" x14ac:dyDescent="0.3">
      <c r="D26" s="172"/>
    </row>
    <row r="27" spans="3:8" x14ac:dyDescent="0.3">
      <c r="C27" s="67" t="s">
        <v>447</v>
      </c>
      <c r="D27" s="172" t="s">
        <v>446</v>
      </c>
      <c r="E27" s="166">
        <f>+F27*$E$11</f>
        <v>588000</v>
      </c>
      <c r="F27" s="24">
        <f>+(E14*F19)+F20+F25+(E14*F24)</f>
        <v>1580.6451612903227</v>
      </c>
      <c r="G27" s="166"/>
    </row>
    <row r="28" spans="3:8" x14ac:dyDescent="0.3">
      <c r="C28" s="67"/>
      <c r="D28" s="67" t="s">
        <v>24</v>
      </c>
      <c r="E28" s="177">
        <v>8000</v>
      </c>
      <c r="F28" s="24"/>
      <c r="G28" s="166"/>
    </row>
    <row r="29" spans="3:8" x14ac:dyDescent="0.3">
      <c r="C29" s="67"/>
      <c r="D29" s="67" t="s">
        <v>24</v>
      </c>
      <c r="E29" s="177">
        <f>+E27*0.05</f>
        <v>29400</v>
      </c>
      <c r="F29" s="24"/>
      <c r="G29" s="166"/>
    </row>
    <row r="30" spans="3:8" x14ac:dyDescent="0.3">
      <c r="C30" s="67" t="s">
        <v>448</v>
      </c>
      <c r="D30" s="67" t="s">
        <v>456</v>
      </c>
      <c r="E30" s="161">
        <f>+E28+E29</f>
        <v>37400</v>
      </c>
      <c r="F30" s="24">
        <f t="shared" si="6"/>
        <v>100.53763440860214</v>
      </c>
    </row>
    <row r="32" spans="3:8" x14ac:dyDescent="0.3">
      <c r="D32" s="67" t="s">
        <v>445</v>
      </c>
      <c r="E32" s="166">
        <f>+F32*$E$11</f>
        <v>4467.1428571428578</v>
      </c>
      <c r="F32" s="24">
        <f>IF((F54*E14)&gt;(F27+F53+F30+F56),+F62,+F63)</f>
        <v>12.008448540706606</v>
      </c>
      <c r="G32" s="176">
        <f>+L3</f>
        <v>4467.1000000000004</v>
      </c>
      <c r="H32" s="166">
        <f>+G32-E32</f>
        <v>-4.2857142857428698E-2</v>
      </c>
    </row>
    <row r="34" spans="1:7" x14ac:dyDescent="0.3">
      <c r="D34" s="67"/>
      <c r="E34" s="166"/>
      <c r="F34" s="24"/>
    </row>
    <row r="35" spans="1:7" x14ac:dyDescent="0.3">
      <c r="D35" s="67"/>
      <c r="E35" s="166"/>
      <c r="F35" s="24"/>
    </row>
    <row r="41" spans="1:7" x14ac:dyDescent="0.3">
      <c r="F41" s="24"/>
    </row>
    <row r="42" spans="1:7" x14ac:dyDescent="0.3">
      <c r="F42" s="24"/>
    </row>
    <row r="47" spans="1:7" x14ac:dyDescent="0.3">
      <c r="A47" s="67" t="s">
        <v>444</v>
      </c>
      <c r="D47" s="175" t="s">
        <v>21</v>
      </c>
      <c r="F47" s="171">
        <f>+Variables!B10</f>
        <v>0.05</v>
      </c>
    </row>
    <row r="48" spans="1:7" x14ac:dyDescent="0.3">
      <c r="C48" s="67" t="s">
        <v>453</v>
      </c>
      <c r="D48" s="175" t="s">
        <v>26</v>
      </c>
      <c r="F48" s="8">
        <f>VLOOKUP(F27,Variables!$A$3:$C$8,2,TRUE())</f>
        <v>0.25</v>
      </c>
      <c r="G48" s="67" t="s">
        <v>486</v>
      </c>
    </row>
    <row r="49" spans="3:7" x14ac:dyDescent="0.3">
      <c r="D49" s="175" t="s">
        <v>11</v>
      </c>
      <c r="E49" s="166">
        <f>+F49*$E$11</f>
        <v>148800</v>
      </c>
      <c r="F49" s="24">
        <f>VLOOKUP(F27,Variables!$A$3:$C$8,3,TRUE())</f>
        <v>400</v>
      </c>
    </row>
    <row r="50" spans="3:7" x14ac:dyDescent="0.3">
      <c r="D50" s="170" t="s">
        <v>443</v>
      </c>
      <c r="E50" s="166"/>
      <c r="F50" s="24">
        <f>+(F54*E14)-F52-F53</f>
        <v>600.42242703533043</v>
      </c>
    </row>
    <row r="51" spans="3:7" x14ac:dyDescent="0.3">
      <c r="D51" s="67"/>
      <c r="E51" s="166"/>
      <c r="F51" s="24"/>
    </row>
    <row r="52" spans="3:7" x14ac:dyDescent="0.3">
      <c r="C52" s="67" t="s">
        <v>451</v>
      </c>
      <c r="D52" s="170" t="s">
        <v>438</v>
      </c>
      <c r="E52" s="166"/>
      <c r="F52" s="24">
        <f>+F27+F30</f>
        <v>1681.1827956989248</v>
      </c>
    </row>
    <row r="53" spans="3:7" x14ac:dyDescent="0.3">
      <c r="C53" s="67" t="s">
        <v>449</v>
      </c>
      <c r="D53" s="169" t="s">
        <v>428</v>
      </c>
      <c r="F53" s="24">
        <f>+F54*E14*F47</f>
        <v>120.08448540706607</v>
      </c>
    </row>
    <row r="54" spans="3:7" x14ac:dyDescent="0.3">
      <c r="C54" s="67" t="s">
        <v>450</v>
      </c>
      <c r="D54" s="155" t="s">
        <v>427</v>
      </c>
      <c r="E54" s="166">
        <f>+F54*$E$11</f>
        <v>4467.1428571428578</v>
      </c>
      <c r="F54" s="24">
        <f>+(F52/(1-(F48+F47)))/E14</f>
        <v>12.008448540706606</v>
      </c>
    </row>
    <row r="55" spans="3:7" x14ac:dyDescent="0.3">
      <c r="D55" s="174"/>
      <c r="F55" s="24"/>
    </row>
    <row r="56" spans="3:7" x14ac:dyDescent="0.3">
      <c r="C56" s="67" t="s">
        <v>452</v>
      </c>
      <c r="D56" s="173" t="s">
        <v>10</v>
      </c>
      <c r="F56" s="24">
        <f>IF(F50&lt;F49,F49,F50)</f>
        <v>600.42242703533043</v>
      </c>
      <c r="G56" s="67" t="s">
        <v>486</v>
      </c>
    </row>
    <row r="57" spans="3:7" x14ac:dyDescent="0.3">
      <c r="D57" s="174"/>
      <c r="F57" s="24"/>
    </row>
    <row r="62" spans="3:7" x14ac:dyDescent="0.3">
      <c r="D62" s="67" t="b">
        <v>1</v>
      </c>
      <c r="E62" s="166">
        <f>+F62*$E$11</f>
        <v>4467.1428571428578</v>
      </c>
      <c r="F62" s="24">
        <f>+F54</f>
        <v>12.008448540706606</v>
      </c>
    </row>
    <row r="63" spans="3:7" x14ac:dyDescent="0.3">
      <c r="D63" s="67" t="b">
        <v>0</v>
      </c>
      <c r="E63" s="166">
        <f>+F63*$E$11</f>
        <v>4467.1428571428578</v>
      </c>
      <c r="F63" s="24">
        <f>(+F27+F53+F30+F56)/E14</f>
        <v>12.008448540706606</v>
      </c>
    </row>
    <row r="65" spans="4:6" x14ac:dyDescent="0.3">
      <c r="D65" s="67" t="s">
        <v>455</v>
      </c>
      <c r="F65" s="24">
        <f>+F54*E14</f>
        <v>2401.6897081413213</v>
      </c>
    </row>
    <row r="66" spans="4:6" x14ac:dyDescent="0.3">
      <c r="D66" s="67" t="s">
        <v>454</v>
      </c>
      <c r="F66" s="24">
        <f>+F27+F30+F53+F56</f>
        <v>2401.6897081413213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3F221-6C74-4FF3-857E-CED8345D3C62}">
  <dimension ref="A2:H58"/>
  <sheetViews>
    <sheetView topLeftCell="A4" workbookViewId="0">
      <selection activeCell="E12" sqref="E12"/>
    </sheetView>
  </sheetViews>
  <sheetFormatPr defaultRowHeight="14.4" x14ac:dyDescent="0.3"/>
  <cols>
    <col min="2" max="2" width="8.33203125" bestFit="1" customWidth="1"/>
    <col min="3" max="3" width="7.21875" customWidth="1"/>
    <col min="4" max="4" width="21.109375" bestFit="1" customWidth="1"/>
    <col min="5" max="5" width="27.109375" bestFit="1" customWidth="1"/>
    <col min="6" max="6" width="14.77734375" customWidth="1"/>
    <col min="7" max="7" width="16.33203125" customWidth="1"/>
    <col min="8" max="8" width="13.6640625" bestFit="1" customWidth="1"/>
    <col min="10" max="10" width="10.21875" bestFit="1" customWidth="1"/>
    <col min="11" max="11" width="10.88671875" bestFit="1" customWidth="1"/>
    <col min="12" max="12" width="11.5546875" bestFit="1" customWidth="1"/>
    <col min="13" max="13" width="10.21875" bestFit="1" customWidth="1"/>
    <col min="15" max="15" width="10.21875" bestFit="1" customWidth="1"/>
    <col min="16" max="16" width="3.21875" customWidth="1"/>
    <col min="17" max="17" width="14.5546875" customWidth="1"/>
    <col min="18" max="18" width="14.77734375" customWidth="1"/>
    <col min="19" max="19" width="11.109375" bestFit="1" customWidth="1"/>
    <col min="20" max="20" width="14.33203125" customWidth="1"/>
    <col min="21" max="21" width="12.77734375" bestFit="1" customWidth="1"/>
    <col min="22" max="22" width="12.109375" bestFit="1" customWidth="1"/>
  </cols>
  <sheetData>
    <row r="2" spans="4:5" x14ac:dyDescent="0.3">
      <c r="D2" s="21" t="s">
        <v>433</v>
      </c>
    </row>
    <row r="3" spans="4:5" x14ac:dyDescent="0.3">
      <c r="D3" s="67" t="s">
        <v>0</v>
      </c>
      <c r="E3" s="168">
        <v>45722</v>
      </c>
    </row>
    <row r="4" spans="4:5" x14ac:dyDescent="0.3">
      <c r="D4" s="67" t="s">
        <v>1</v>
      </c>
      <c r="E4" s="178" t="s">
        <v>465</v>
      </c>
    </row>
    <row r="5" spans="4:5" x14ac:dyDescent="0.3">
      <c r="D5" s="67" t="s">
        <v>462</v>
      </c>
      <c r="E5" s="178" t="s">
        <v>464</v>
      </c>
    </row>
    <row r="6" spans="4:5" x14ac:dyDescent="0.3">
      <c r="D6" s="67" t="s">
        <v>461</v>
      </c>
      <c r="E6" s="167">
        <v>30</v>
      </c>
    </row>
    <row r="7" spans="4:5" x14ac:dyDescent="0.3">
      <c r="D7" s="67" t="s">
        <v>463</v>
      </c>
      <c r="E7" s="167">
        <v>30</v>
      </c>
    </row>
    <row r="8" spans="4:5" x14ac:dyDescent="0.3">
      <c r="D8" t="s">
        <v>429</v>
      </c>
      <c r="E8" s="167" t="s">
        <v>430</v>
      </c>
    </row>
    <row r="9" spans="4:5" x14ac:dyDescent="0.3">
      <c r="D9" t="s">
        <v>431</v>
      </c>
      <c r="E9" s="164">
        <v>1075</v>
      </c>
    </row>
    <row r="10" spans="4:5" x14ac:dyDescent="0.3">
      <c r="E10" s="161"/>
    </row>
    <row r="11" spans="4:5" x14ac:dyDescent="0.3">
      <c r="D11" s="21" t="s">
        <v>439</v>
      </c>
      <c r="E11" s="161"/>
    </row>
    <row r="12" spans="4:5" x14ac:dyDescent="0.3">
      <c r="D12" t="s">
        <v>432</v>
      </c>
      <c r="E12" s="167">
        <v>10000</v>
      </c>
    </row>
    <row r="14" spans="4:5" x14ac:dyDescent="0.3">
      <c r="D14" s="21" t="s">
        <v>440</v>
      </c>
    </row>
    <row r="15" spans="4:5" x14ac:dyDescent="0.3">
      <c r="D15" s="67" t="s">
        <v>434</v>
      </c>
      <c r="E15" s="67" t="s">
        <v>466</v>
      </c>
    </row>
    <row r="16" spans="4:5" x14ac:dyDescent="0.3">
      <c r="D16" s="67" t="s">
        <v>2</v>
      </c>
      <c r="E16" s="67"/>
    </row>
    <row r="17" spans="3:8" x14ac:dyDescent="0.3">
      <c r="D17" s="67" t="s">
        <v>460</v>
      </c>
      <c r="E17" s="67">
        <v>0</v>
      </c>
    </row>
    <row r="18" spans="3:8" x14ac:dyDescent="0.3">
      <c r="D18" s="67" t="s">
        <v>435</v>
      </c>
      <c r="E18" s="164">
        <v>93.87</v>
      </c>
      <c r="F18" s="24">
        <f>+E18/$E$9</f>
        <v>8.7320930232558144E-2</v>
      </c>
    </row>
    <row r="19" spans="3:8" x14ac:dyDescent="0.3">
      <c r="D19" s="67" t="s">
        <v>436</v>
      </c>
      <c r="E19" s="164">
        <v>0</v>
      </c>
      <c r="F19" s="24">
        <f t="shared" ref="F19" si="0">+E19/$E$9</f>
        <v>0</v>
      </c>
    </row>
    <row r="20" spans="3:8" x14ac:dyDescent="0.3">
      <c r="F20" s="27"/>
    </row>
    <row r="21" spans="3:8" x14ac:dyDescent="0.3">
      <c r="D21" s="67" t="s">
        <v>434</v>
      </c>
      <c r="E21" s="67" t="s">
        <v>467</v>
      </c>
      <c r="F21" s="27"/>
    </row>
    <row r="22" spans="3:8" x14ac:dyDescent="0.3">
      <c r="D22" s="67" t="s">
        <v>2</v>
      </c>
      <c r="E22" s="67"/>
      <c r="F22" s="27"/>
    </row>
    <row r="23" spans="3:8" x14ac:dyDescent="0.3">
      <c r="D23" s="67" t="s">
        <v>460</v>
      </c>
      <c r="E23" s="67">
        <v>0</v>
      </c>
      <c r="F23" s="27"/>
    </row>
    <row r="24" spans="3:8" x14ac:dyDescent="0.3">
      <c r="D24" s="67" t="s">
        <v>435</v>
      </c>
      <c r="E24" s="164">
        <v>199.16</v>
      </c>
      <c r="F24" s="24">
        <f t="shared" ref="F24:F25" si="1">+E24/$E$9</f>
        <v>0.18526511627906977</v>
      </c>
    </row>
    <row r="25" spans="3:8" x14ac:dyDescent="0.3">
      <c r="D25" s="67" t="s">
        <v>436</v>
      </c>
      <c r="E25" s="164">
        <v>0</v>
      </c>
      <c r="F25" s="24">
        <f t="shared" si="1"/>
        <v>0</v>
      </c>
    </row>
    <row r="26" spans="3:8" x14ac:dyDescent="0.3">
      <c r="D26" s="172"/>
    </row>
    <row r="27" spans="3:8" x14ac:dyDescent="0.3">
      <c r="C27" s="67" t="s">
        <v>447</v>
      </c>
      <c r="D27" s="172" t="s">
        <v>446</v>
      </c>
      <c r="E27" s="166">
        <f>+F27*$E$9</f>
        <v>2930300</v>
      </c>
      <c r="F27" s="24">
        <f>+(E12*F18)+F19+F25+(E12*F24)</f>
        <v>2725.8604651162791</v>
      </c>
      <c r="G27" s="166"/>
    </row>
    <row r="28" spans="3:8" x14ac:dyDescent="0.3">
      <c r="C28" s="67"/>
      <c r="G28" s="166"/>
      <c r="H28" s="67" t="s">
        <v>459</v>
      </c>
    </row>
    <row r="29" spans="3:8" x14ac:dyDescent="0.3">
      <c r="C29" s="67"/>
      <c r="D29" s="172" t="s">
        <v>457</v>
      </c>
      <c r="E29" s="166"/>
      <c r="F29" s="179">
        <f>+F27*0.1</f>
        <v>272.5860465116279</v>
      </c>
      <c r="G29" s="166"/>
    </row>
    <row r="30" spans="3:8" x14ac:dyDescent="0.3">
      <c r="C30" s="67"/>
      <c r="D30" s="172" t="s">
        <v>458</v>
      </c>
      <c r="E30" s="177">
        <v>50000</v>
      </c>
      <c r="F30" s="24">
        <f>+E30/$E$9</f>
        <v>46.511627906976742</v>
      </c>
      <c r="G30" s="166"/>
    </row>
    <row r="31" spans="3:8" x14ac:dyDescent="0.3">
      <c r="C31" s="67"/>
      <c r="D31" s="172" t="s">
        <v>470</v>
      </c>
      <c r="E31" s="177"/>
      <c r="F31" s="24">
        <f t="shared" ref="F31:F32" si="2">+E31/$E$9</f>
        <v>0</v>
      </c>
      <c r="G31" s="166"/>
    </row>
    <row r="32" spans="3:8" x14ac:dyDescent="0.3">
      <c r="C32" s="67"/>
      <c r="D32" s="172" t="s">
        <v>470</v>
      </c>
      <c r="E32" s="177"/>
      <c r="F32" s="24">
        <f t="shared" si="2"/>
        <v>0</v>
      </c>
      <c r="G32" s="166"/>
    </row>
    <row r="33" spans="1:8" x14ac:dyDescent="0.3">
      <c r="C33" s="67" t="s">
        <v>448</v>
      </c>
      <c r="D33" s="67" t="s">
        <v>456</v>
      </c>
      <c r="E33" s="166">
        <f>+F33*$E$9</f>
        <v>343030</v>
      </c>
      <c r="F33" s="24">
        <f>+F29+F30</f>
        <v>319.09767441860464</v>
      </c>
    </row>
    <row r="35" spans="1:8" x14ac:dyDescent="0.3">
      <c r="D35" s="67" t="s">
        <v>445</v>
      </c>
      <c r="E35" s="166">
        <f>+F35*$E$9</f>
        <v>448.40136986301377</v>
      </c>
      <c r="F35" s="24">
        <f>IF((F50*E12)&gt;(F27+F49+F33+F52),+F54,+F55)</f>
        <v>0.41711755336094303</v>
      </c>
      <c r="G35" s="176"/>
      <c r="H35" s="166"/>
    </row>
    <row r="37" spans="1:8" x14ac:dyDescent="0.3">
      <c r="D37" s="67"/>
      <c r="E37" s="166"/>
      <c r="F37" s="24"/>
    </row>
    <row r="38" spans="1:8" x14ac:dyDescent="0.3">
      <c r="D38" s="67"/>
      <c r="E38" s="166"/>
      <c r="F38" s="24"/>
    </row>
    <row r="42" spans="1:8" x14ac:dyDescent="0.3">
      <c r="A42" s="67" t="s">
        <v>444</v>
      </c>
      <c r="D42" s="67" t="s">
        <v>469</v>
      </c>
      <c r="F42" s="171">
        <f>+Variables!B11</f>
        <v>0.05</v>
      </c>
    </row>
    <row r="43" spans="1:8" x14ac:dyDescent="0.3">
      <c r="D43" s="175" t="s">
        <v>21</v>
      </c>
      <c r="F43" s="171">
        <f>+Variables!B10</f>
        <v>0.05</v>
      </c>
    </row>
    <row r="44" spans="1:8" x14ac:dyDescent="0.3">
      <c r="C44" s="67" t="s">
        <v>453</v>
      </c>
      <c r="D44" s="175" t="s">
        <v>26</v>
      </c>
      <c r="F44" s="8">
        <f>VLOOKUP(F27,Variables!$A$3:$C$8,2,TRUE())</f>
        <v>0.22</v>
      </c>
    </row>
    <row r="45" spans="1:8" x14ac:dyDescent="0.3">
      <c r="D45" s="175" t="s">
        <v>11</v>
      </c>
      <c r="E45" s="166">
        <f>+F45*$E$9</f>
        <v>548250</v>
      </c>
      <c r="F45" s="24">
        <f>VLOOKUP(F27,Variables!$A$3:$C$8,3,TRUE())</f>
        <v>510</v>
      </c>
    </row>
    <row r="46" spans="1:8" x14ac:dyDescent="0.3">
      <c r="D46" s="170" t="s">
        <v>443</v>
      </c>
      <c r="E46" s="166"/>
      <c r="F46" s="24">
        <f>+(F50*E12)-F48-F49</f>
        <v>917.65861739407501</v>
      </c>
    </row>
    <row r="47" spans="1:8" x14ac:dyDescent="0.3">
      <c r="D47" s="67"/>
      <c r="E47" s="166"/>
      <c r="F47" s="24"/>
    </row>
    <row r="48" spans="1:8" x14ac:dyDescent="0.3">
      <c r="C48" s="67" t="s">
        <v>451</v>
      </c>
      <c r="D48" s="170" t="s">
        <v>438</v>
      </c>
      <c r="E48" s="166"/>
      <c r="F48" s="24">
        <f>+F27+F33</f>
        <v>3044.9581395348837</v>
      </c>
    </row>
    <row r="49" spans="3:6" x14ac:dyDescent="0.3">
      <c r="C49" s="67" t="s">
        <v>449</v>
      </c>
      <c r="D49" s="169" t="s">
        <v>428</v>
      </c>
      <c r="F49" s="24">
        <f>+F50*E12*F43</f>
        <v>208.55877668047151</v>
      </c>
    </row>
    <row r="50" spans="3:6" x14ac:dyDescent="0.3">
      <c r="C50" s="67" t="s">
        <v>450</v>
      </c>
      <c r="D50" s="155" t="s">
        <v>427</v>
      </c>
      <c r="E50" s="166">
        <f>+F50*$E$9</f>
        <v>448.40136986301377</v>
      </c>
      <c r="F50" s="24">
        <f>+(F48/(1-(F44+F43)))/E12</f>
        <v>0.41711755336094303</v>
      </c>
    </row>
    <row r="51" spans="3:6" x14ac:dyDescent="0.3">
      <c r="D51" s="174"/>
      <c r="F51" s="24"/>
    </row>
    <row r="52" spans="3:6" x14ac:dyDescent="0.3">
      <c r="C52" s="67" t="s">
        <v>452</v>
      </c>
      <c r="D52" s="173" t="s">
        <v>10</v>
      </c>
      <c r="F52" s="24">
        <f>IF(F46&lt;F45,F45,F46)</f>
        <v>917.65861739407501</v>
      </c>
    </row>
    <row r="53" spans="3:6" x14ac:dyDescent="0.3">
      <c r="D53" s="174"/>
      <c r="F53" s="24"/>
    </row>
    <row r="54" spans="3:6" x14ac:dyDescent="0.3">
      <c r="D54" s="67" t="b">
        <v>1</v>
      </c>
      <c r="E54" s="166">
        <f>+F54*$E$9</f>
        <v>448.40136986301377</v>
      </c>
      <c r="F54" s="24">
        <f>+F50</f>
        <v>0.41711755336094303</v>
      </c>
    </row>
    <row r="55" spans="3:6" x14ac:dyDescent="0.3">
      <c r="D55" s="67" t="b">
        <v>0</v>
      </c>
      <c r="E55" s="166">
        <f>+F55*$E$9</f>
        <v>448.40136986301377</v>
      </c>
      <c r="F55" s="24">
        <f>(+F27+F49+F33+F52)/E12</f>
        <v>0.41711755336094303</v>
      </c>
    </row>
    <row r="57" spans="3:6" x14ac:dyDescent="0.3">
      <c r="D57" s="67" t="s">
        <v>455</v>
      </c>
      <c r="F57" s="24">
        <f>+F50*E12</f>
        <v>4171.1755336094302</v>
      </c>
    </row>
    <row r="58" spans="3:6" x14ac:dyDescent="0.3">
      <c r="D58" s="67" t="s">
        <v>454</v>
      </c>
      <c r="F58" s="24">
        <f>+F27+F33+F49+F52</f>
        <v>4171.1755336094302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5B39E-99CF-46FC-92D8-4E0D28F0E890}">
  <dimension ref="A2:G68"/>
  <sheetViews>
    <sheetView workbookViewId="0">
      <selection activeCell="C14" sqref="C14"/>
    </sheetView>
  </sheetViews>
  <sheetFormatPr defaultRowHeight="14.4" x14ac:dyDescent="0.3"/>
  <cols>
    <col min="1" max="1" width="3.77734375" customWidth="1"/>
    <col min="2" max="2" width="5.21875" customWidth="1"/>
    <col min="3" max="3" width="21.109375" bestFit="1" customWidth="1"/>
    <col min="4" max="4" width="27.109375" bestFit="1" customWidth="1"/>
    <col min="5" max="5" width="14.77734375" customWidth="1"/>
    <col min="6" max="6" width="16.33203125" customWidth="1"/>
    <col min="7" max="7" width="13.6640625" bestFit="1" customWidth="1"/>
    <col min="9" max="9" width="10.21875" bestFit="1" customWidth="1"/>
    <col min="10" max="10" width="10.88671875" bestFit="1" customWidth="1"/>
    <col min="11" max="11" width="11.5546875" bestFit="1" customWidth="1"/>
    <col min="12" max="12" width="10.21875" bestFit="1" customWidth="1"/>
    <col min="14" max="14" width="10.21875" bestFit="1" customWidth="1"/>
    <col min="15" max="15" width="3.21875" customWidth="1"/>
    <col min="16" max="16" width="14.5546875" customWidth="1"/>
    <col min="17" max="17" width="14.77734375" customWidth="1"/>
    <col min="18" max="18" width="11.109375" bestFit="1" customWidth="1"/>
    <col min="19" max="19" width="14.33203125" customWidth="1"/>
    <col min="20" max="20" width="12.77734375" bestFit="1" customWidth="1"/>
    <col min="21" max="21" width="12.109375" bestFit="1" customWidth="1"/>
  </cols>
  <sheetData>
    <row r="2" spans="1:5" x14ac:dyDescent="0.3">
      <c r="A2" s="21" t="s">
        <v>433</v>
      </c>
    </row>
    <row r="3" spans="1:5" x14ac:dyDescent="0.3">
      <c r="A3" s="67" t="s">
        <v>0</v>
      </c>
      <c r="D3" s="168">
        <v>45722</v>
      </c>
    </row>
    <row r="4" spans="1:5" x14ac:dyDescent="0.3">
      <c r="A4" s="67" t="s">
        <v>1</v>
      </c>
      <c r="D4" s="178" t="s">
        <v>471</v>
      </c>
    </row>
    <row r="5" spans="1:5" x14ac:dyDescent="0.3">
      <c r="A5" s="67" t="s">
        <v>462</v>
      </c>
      <c r="D5" s="170" t="s">
        <v>464</v>
      </c>
      <c r="E5" s="67" t="s">
        <v>474</v>
      </c>
    </row>
    <row r="6" spans="1:5" x14ac:dyDescent="0.3">
      <c r="A6" s="67" t="s">
        <v>461</v>
      </c>
      <c r="D6" s="155">
        <v>90</v>
      </c>
      <c r="E6" s="67" t="s">
        <v>475</v>
      </c>
    </row>
    <row r="7" spans="1:5" x14ac:dyDescent="0.3">
      <c r="A7" t="s">
        <v>429</v>
      </c>
      <c r="D7" s="167" t="s">
        <v>430</v>
      </c>
    </row>
    <row r="8" spans="1:5" x14ac:dyDescent="0.3">
      <c r="A8" t="s">
        <v>431</v>
      </c>
      <c r="D8" s="164">
        <v>1075</v>
      </c>
      <c r="E8" s="67" t="s">
        <v>476</v>
      </c>
    </row>
    <row r="9" spans="1:5" x14ac:dyDescent="0.3">
      <c r="D9" s="161"/>
    </row>
    <row r="10" spans="1:5" x14ac:dyDescent="0.3">
      <c r="B10" s="21" t="s">
        <v>439</v>
      </c>
      <c r="D10" s="161"/>
    </row>
    <row r="11" spans="1:5" x14ac:dyDescent="0.3">
      <c r="B11" t="s">
        <v>432</v>
      </c>
      <c r="D11" s="167">
        <v>40</v>
      </c>
    </row>
    <row r="12" spans="1:5" x14ac:dyDescent="0.3">
      <c r="B12" s="67" t="s">
        <v>463</v>
      </c>
      <c r="D12" s="167">
        <v>30</v>
      </c>
    </row>
    <row r="14" spans="1:5" x14ac:dyDescent="0.3">
      <c r="C14" s="21" t="s">
        <v>440</v>
      </c>
    </row>
    <row r="15" spans="1:5" x14ac:dyDescent="0.3">
      <c r="C15" s="67" t="s">
        <v>434</v>
      </c>
      <c r="D15" s="178"/>
    </row>
    <row r="16" spans="1:5" x14ac:dyDescent="0.3">
      <c r="C16" s="67" t="s">
        <v>2</v>
      </c>
      <c r="D16" s="170" t="s">
        <v>464</v>
      </c>
      <c r="E16" s="67" t="s">
        <v>477</v>
      </c>
    </row>
    <row r="17" spans="3:7" x14ac:dyDescent="0.3">
      <c r="C17" s="67" t="s">
        <v>472</v>
      </c>
      <c r="D17" s="155">
        <v>90</v>
      </c>
      <c r="E17" s="67" t="s">
        <v>478</v>
      </c>
    </row>
    <row r="18" spans="3:7" x14ac:dyDescent="0.3">
      <c r="C18" s="67" t="s">
        <v>460</v>
      </c>
      <c r="D18" s="175">
        <v>0</v>
      </c>
    </row>
    <row r="19" spans="3:7" x14ac:dyDescent="0.3">
      <c r="C19" s="67" t="s">
        <v>435</v>
      </c>
      <c r="D19" s="164">
        <v>11800</v>
      </c>
      <c r="E19" s="24">
        <f>+D19/$D$8</f>
        <v>10.976744186046512</v>
      </c>
    </row>
    <row r="20" spans="3:7" x14ac:dyDescent="0.3">
      <c r="C20" s="67" t="s">
        <v>436</v>
      </c>
      <c r="D20" s="164">
        <v>0</v>
      </c>
      <c r="E20" s="24">
        <f>+D20/$D$8</f>
        <v>0</v>
      </c>
    </row>
    <row r="21" spans="3:7" x14ac:dyDescent="0.3">
      <c r="C21" s="67"/>
      <c r="D21" s="161"/>
      <c r="E21" s="24"/>
    </row>
    <row r="22" spans="3:7" x14ac:dyDescent="0.3">
      <c r="E22" s="27"/>
    </row>
    <row r="23" spans="3:7" x14ac:dyDescent="0.3">
      <c r="C23" s="67" t="s">
        <v>434</v>
      </c>
      <c r="D23" s="178"/>
      <c r="E23" s="27"/>
    </row>
    <row r="24" spans="3:7" x14ac:dyDescent="0.3">
      <c r="C24" s="67" t="s">
        <v>2</v>
      </c>
      <c r="D24" s="170" t="s">
        <v>464</v>
      </c>
      <c r="E24" s="67" t="s">
        <v>477</v>
      </c>
    </row>
    <row r="25" spans="3:7" x14ac:dyDescent="0.3">
      <c r="C25" s="67" t="s">
        <v>472</v>
      </c>
      <c r="D25" s="155">
        <v>90</v>
      </c>
      <c r="E25" s="67" t="s">
        <v>478</v>
      </c>
    </row>
    <row r="26" spans="3:7" x14ac:dyDescent="0.3">
      <c r="C26" s="67" t="s">
        <v>460</v>
      </c>
      <c r="D26" s="175">
        <v>0</v>
      </c>
      <c r="E26" s="27"/>
    </row>
    <row r="27" spans="3:7" x14ac:dyDescent="0.3">
      <c r="C27" s="67" t="s">
        <v>435</v>
      </c>
      <c r="D27" s="164">
        <v>780</v>
      </c>
      <c r="E27" s="24">
        <f>+D27/$D$8</f>
        <v>0.72558139534883725</v>
      </c>
    </row>
    <row r="28" spans="3:7" x14ac:dyDescent="0.3">
      <c r="C28" s="67" t="s">
        <v>436</v>
      </c>
      <c r="D28" s="164">
        <v>0</v>
      </c>
      <c r="E28" s="24">
        <f>+D28/$D$8</f>
        <v>0</v>
      </c>
    </row>
    <row r="29" spans="3:7" x14ac:dyDescent="0.3">
      <c r="C29" s="172"/>
    </row>
    <row r="30" spans="3:7" x14ac:dyDescent="0.3">
      <c r="C30" s="172" t="s">
        <v>446</v>
      </c>
      <c r="D30" s="166">
        <f>+E30*$D$8</f>
        <v>503200</v>
      </c>
      <c r="E30" s="24">
        <f>+(D11*E19)+E20+E28+(D11*E27)</f>
        <v>468.09302325581393</v>
      </c>
      <c r="F30" s="166"/>
    </row>
    <row r="31" spans="3:7" x14ac:dyDescent="0.3">
      <c r="F31" s="180" t="s">
        <v>473</v>
      </c>
      <c r="G31" s="170">
        <v>105</v>
      </c>
    </row>
    <row r="32" spans="3:7" x14ac:dyDescent="0.3">
      <c r="C32" s="172" t="s">
        <v>457</v>
      </c>
      <c r="D32" s="166">
        <f>+E32*$D$8</f>
        <v>88060</v>
      </c>
      <c r="E32" s="179">
        <f>+E30*F32</f>
        <v>81.916279069767441</v>
      </c>
      <c r="F32" s="181">
        <f>+G31/30*E52</f>
        <v>0.17500000000000002</v>
      </c>
    </row>
    <row r="33" spans="3:7" x14ac:dyDescent="0.3">
      <c r="C33" s="172" t="s">
        <v>458</v>
      </c>
      <c r="D33" s="177">
        <v>60000</v>
      </c>
      <c r="E33" s="24">
        <f>+D33/$D$8</f>
        <v>55.813953488372093</v>
      </c>
      <c r="F33" s="166"/>
    </row>
    <row r="34" spans="3:7" x14ac:dyDescent="0.3">
      <c r="C34" s="172" t="s">
        <v>470</v>
      </c>
      <c r="D34" s="177"/>
      <c r="E34" s="24">
        <f>+D34/$D$8</f>
        <v>0</v>
      </c>
      <c r="F34" s="166"/>
    </row>
    <row r="35" spans="3:7" x14ac:dyDescent="0.3">
      <c r="C35" s="172" t="s">
        <v>470</v>
      </c>
      <c r="D35" s="177"/>
      <c r="E35" s="24">
        <f>+D35/$D$8</f>
        <v>0</v>
      </c>
      <c r="F35" s="166"/>
    </row>
    <row r="36" spans="3:7" x14ac:dyDescent="0.3">
      <c r="C36" s="67" t="s">
        <v>456</v>
      </c>
      <c r="D36" s="166">
        <f>+E36*$D$8</f>
        <v>148060</v>
      </c>
      <c r="E36" s="24">
        <f>+E32+E33</f>
        <v>137.73023255813953</v>
      </c>
    </row>
    <row r="37" spans="3:7" x14ac:dyDescent="0.3">
      <c r="G37">
        <f>0.5*0.2+0.5*0.15</f>
        <v>0.17499999999999999</v>
      </c>
    </row>
    <row r="38" spans="3:7" x14ac:dyDescent="0.3">
      <c r="C38" s="67" t="s">
        <v>445</v>
      </c>
      <c r="D38" s="166">
        <f>+E38*$D$8</f>
        <v>24300.74626865672</v>
      </c>
      <c r="E38" s="24">
        <f>IF((E60*D11)&gt;(E30+E59+E36+E62),+E64,+E65)</f>
        <v>22.605345366192296</v>
      </c>
      <c r="F38" s="176"/>
      <c r="G38" s="166"/>
    </row>
    <row r="40" spans="3:7" x14ac:dyDescent="0.3">
      <c r="C40" s="67"/>
      <c r="D40" s="166"/>
      <c r="E40" s="24"/>
    </row>
    <row r="41" spans="3:7" x14ac:dyDescent="0.3">
      <c r="C41" s="67"/>
      <c r="D41" s="166"/>
      <c r="E41" s="24"/>
    </row>
    <row r="47" spans="3:7" x14ac:dyDescent="0.3">
      <c r="E47" s="24"/>
    </row>
    <row r="48" spans="3:7" x14ac:dyDescent="0.3">
      <c r="E48" s="24"/>
    </row>
    <row r="52" spans="3:5" x14ac:dyDescent="0.3">
      <c r="C52" s="175" t="s">
        <v>469</v>
      </c>
      <c r="E52" s="171">
        <f>+Variables!B11</f>
        <v>0.05</v>
      </c>
    </row>
    <row r="53" spans="3:5" x14ac:dyDescent="0.3">
      <c r="C53" s="175" t="s">
        <v>21</v>
      </c>
      <c r="E53" s="171">
        <f>+Variables!B10</f>
        <v>0.05</v>
      </c>
    </row>
    <row r="54" spans="3:5" x14ac:dyDescent="0.3">
      <c r="C54" s="175" t="s">
        <v>26</v>
      </c>
      <c r="E54" s="8">
        <f>VLOOKUP(E30,Variables!$A$3:$C$8,2,TRUE())</f>
        <v>0.28000000000000003</v>
      </c>
    </row>
    <row r="55" spans="3:5" x14ac:dyDescent="0.3">
      <c r="C55" s="175" t="s">
        <v>11</v>
      </c>
      <c r="D55" s="166">
        <f>+E55*$D$8</f>
        <v>131150</v>
      </c>
      <c r="E55" s="24">
        <f>VLOOKUP(E30,Variables!$A$3:$C$8,3,TRUE())</f>
        <v>122</v>
      </c>
    </row>
    <row r="56" spans="3:5" x14ac:dyDescent="0.3">
      <c r="C56" s="170" t="s">
        <v>443</v>
      </c>
      <c r="D56" s="166"/>
      <c r="E56" s="24">
        <f>+(E60*D11)-E58-E59</f>
        <v>253.1798681013538</v>
      </c>
    </row>
    <row r="57" spans="3:5" x14ac:dyDescent="0.3">
      <c r="C57" s="67"/>
      <c r="D57" s="166"/>
      <c r="E57" s="24"/>
    </row>
    <row r="58" spans="3:5" x14ac:dyDescent="0.3">
      <c r="C58" s="170" t="s">
        <v>438</v>
      </c>
      <c r="D58" s="166"/>
      <c r="E58" s="24">
        <f>+E30+E36</f>
        <v>605.82325581395344</v>
      </c>
    </row>
    <row r="59" spans="3:5" x14ac:dyDescent="0.3">
      <c r="C59" s="169" t="s">
        <v>428</v>
      </c>
      <c r="E59" s="24">
        <f>+E60*D11*E53</f>
        <v>45.210690732384592</v>
      </c>
    </row>
    <row r="60" spans="3:5" x14ac:dyDescent="0.3">
      <c r="C60" s="155" t="s">
        <v>427</v>
      </c>
      <c r="D60" s="166">
        <f>+E60*$D$8</f>
        <v>24300.74626865672</v>
      </c>
      <c r="E60" s="24">
        <f>+(E58/(1-(E54+E53)))/D11</f>
        <v>22.605345366192296</v>
      </c>
    </row>
    <row r="61" spans="3:5" x14ac:dyDescent="0.3">
      <c r="C61" s="174"/>
      <c r="E61" s="24"/>
    </row>
    <row r="62" spans="3:5" x14ac:dyDescent="0.3">
      <c r="C62" s="173" t="s">
        <v>10</v>
      </c>
      <c r="E62" s="24">
        <f>IF(E56&lt;E55,E55,E56)</f>
        <v>253.1798681013538</v>
      </c>
    </row>
    <row r="63" spans="3:5" x14ac:dyDescent="0.3">
      <c r="C63" s="174"/>
      <c r="E63" s="24"/>
    </row>
    <row r="64" spans="3:5" x14ac:dyDescent="0.3">
      <c r="C64" s="67" t="b">
        <v>1</v>
      </c>
      <c r="D64" s="166">
        <f>+E64*$D$8</f>
        <v>24300.74626865672</v>
      </c>
      <c r="E64" s="24">
        <f>+E60</f>
        <v>22.605345366192296</v>
      </c>
    </row>
    <row r="65" spans="3:5" x14ac:dyDescent="0.3">
      <c r="C65" s="67" t="b">
        <v>0</v>
      </c>
      <c r="D65" s="166">
        <f>+E65*$D$8</f>
        <v>24300.74626865672</v>
      </c>
      <c r="E65" s="24">
        <f>(+E30+E59+E36+E62)/D11</f>
        <v>22.605345366192296</v>
      </c>
    </row>
    <row r="67" spans="3:5" x14ac:dyDescent="0.3">
      <c r="C67" s="67" t="s">
        <v>455</v>
      </c>
      <c r="E67" s="24">
        <f>+E60*D11</f>
        <v>904.21381464769183</v>
      </c>
    </row>
    <row r="68" spans="3:5" x14ac:dyDescent="0.3">
      <c r="C68" s="67" t="s">
        <v>454</v>
      </c>
      <c r="E68" s="24">
        <f>+E30+E36+E59+E62</f>
        <v>904.21381464769183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7493A-B794-4D1F-BA63-B4EEB528F9A3}">
  <dimension ref="A1:G91"/>
  <sheetViews>
    <sheetView topLeftCell="A22" workbookViewId="0">
      <selection activeCell="E9" sqref="E9"/>
    </sheetView>
  </sheetViews>
  <sheetFormatPr defaultRowHeight="14.4" x14ac:dyDescent="0.3"/>
  <cols>
    <col min="1" max="1" width="3.77734375" customWidth="1"/>
    <col min="2" max="2" width="5.21875" customWidth="1"/>
    <col min="3" max="3" width="21.109375" bestFit="1" customWidth="1"/>
    <col min="4" max="4" width="27.109375" bestFit="1" customWidth="1"/>
    <col min="5" max="5" width="14.77734375" customWidth="1"/>
    <col min="6" max="6" width="16.33203125" customWidth="1"/>
    <col min="7" max="7" width="13.6640625" bestFit="1" customWidth="1"/>
    <col min="9" max="9" width="10.21875" bestFit="1" customWidth="1"/>
    <col min="10" max="10" width="10.88671875" bestFit="1" customWidth="1"/>
    <col min="11" max="11" width="11.5546875" bestFit="1" customWidth="1"/>
    <col min="12" max="12" width="10.21875" bestFit="1" customWidth="1"/>
    <col min="14" max="14" width="10.21875" bestFit="1" customWidth="1"/>
    <col min="15" max="15" width="3.21875" customWidth="1"/>
    <col min="16" max="16" width="14.5546875" customWidth="1"/>
    <col min="17" max="17" width="14.77734375" customWidth="1"/>
    <col min="18" max="18" width="11.109375" bestFit="1" customWidth="1"/>
    <col min="19" max="19" width="14.33203125" customWidth="1"/>
    <col min="20" max="20" width="12.77734375" bestFit="1" customWidth="1"/>
    <col min="21" max="21" width="12.109375" bestFit="1" customWidth="1"/>
  </cols>
  <sheetData>
    <row r="1" spans="1:5" x14ac:dyDescent="0.3">
      <c r="A1" s="21" t="s">
        <v>483</v>
      </c>
    </row>
    <row r="2" spans="1:5" x14ac:dyDescent="0.3">
      <c r="A2" s="67" t="s">
        <v>0</v>
      </c>
      <c r="D2" s="168">
        <v>45715</v>
      </c>
    </row>
    <row r="3" spans="1:5" x14ac:dyDescent="0.3">
      <c r="A3" s="67" t="s">
        <v>1</v>
      </c>
      <c r="D3" s="178" t="s">
        <v>479</v>
      </c>
    </row>
    <row r="4" spans="1:5" x14ac:dyDescent="0.3">
      <c r="A4" s="67" t="s">
        <v>462</v>
      </c>
      <c r="D4" s="170" t="s">
        <v>480</v>
      </c>
      <c r="E4" s="67" t="s">
        <v>474</v>
      </c>
    </row>
    <row r="5" spans="1:5" x14ac:dyDescent="0.3">
      <c r="A5" s="67" t="s">
        <v>461</v>
      </c>
      <c r="D5" s="155">
        <v>-15</v>
      </c>
      <c r="E5" s="67" t="s">
        <v>475</v>
      </c>
    </row>
    <row r="6" spans="1:5" x14ac:dyDescent="0.3">
      <c r="A6" t="s">
        <v>429</v>
      </c>
      <c r="D6" s="167" t="s">
        <v>430</v>
      </c>
    </row>
    <row r="7" spans="1:5" x14ac:dyDescent="0.3">
      <c r="A7" t="s">
        <v>431</v>
      </c>
      <c r="D7" s="164">
        <v>1075</v>
      </c>
      <c r="E7" s="67" t="s">
        <v>476</v>
      </c>
    </row>
    <row r="8" spans="1:5" x14ac:dyDescent="0.3">
      <c r="A8" s="67" t="s">
        <v>492</v>
      </c>
      <c r="D8" s="164" t="s">
        <v>493</v>
      </c>
      <c r="E8" s="67" t="s">
        <v>494</v>
      </c>
    </row>
    <row r="9" spans="1:5" x14ac:dyDescent="0.3">
      <c r="D9" s="161"/>
    </row>
    <row r="10" spans="1:5" x14ac:dyDescent="0.3">
      <c r="B10" s="21" t="s">
        <v>484</v>
      </c>
      <c r="D10" s="161"/>
    </row>
    <row r="11" spans="1:5" x14ac:dyDescent="0.3">
      <c r="B11" t="s">
        <v>432</v>
      </c>
      <c r="D11" s="167">
        <v>50</v>
      </c>
    </row>
    <row r="12" spans="1:5" x14ac:dyDescent="0.3">
      <c r="B12" s="67" t="s">
        <v>463</v>
      </c>
      <c r="D12" s="167">
        <v>30</v>
      </c>
    </row>
    <row r="14" spans="1:5" x14ac:dyDescent="0.3">
      <c r="C14" s="21" t="s">
        <v>440</v>
      </c>
    </row>
    <row r="15" spans="1:5" x14ac:dyDescent="0.3">
      <c r="C15" s="67" t="s">
        <v>434</v>
      </c>
      <c r="D15" s="178" t="s">
        <v>481</v>
      </c>
    </row>
    <row r="16" spans="1:5" x14ac:dyDescent="0.3">
      <c r="C16" s="67" t="s">
        <v>2</v>
      </c>
      <c r="D16" s="170" t="s">
        <v>464</v>
      </c>
      <c r="E16" s="67" t="s">
        <v>477</v>
      </c>
    </row>
    <row r="17" spans="1:7" x14ac:dyDescent="0.3">
      <c r="C17" s="67" t="s">
        <v>472</v>
      </c>
      <c r="D17" s="155">
        <v>60</v>
      </c>
      <c r="E17" s="67" t="s">
        <v>478</v>
      </c>
    </row>
    <row r="18" spans="1:7" x14ac:dyDescent="0.3">
      <c r="C18" s="67" t="s">
        <v>460</v>
      </c>
      <c r="D18" s="175">
        <v>0</v>
      </c>
    </row>
    <row r="19" spans="1:7" x14ac:dyDescent="0.3">
      <c r="C19" s="67" t="s">
        <v>435</v>
      </c>
      <c r="D19" s="164">
        <f>0.85*20911.41</f>
        <v>17774.698499999999</v>
      </c>
      <c r="E19" s="24">
        <f>+D19/$D$7</f>
        <v>16.534603255813952</v>
      </c>
    </row>
    <row r="20" spans="1:7" x14ac:dyDescent="0.3">
      <c r="A20" s="183" t="s">
        <v>485</v>
      </c>
      <c r="C20" s="67" t="s">
        <v>436</v>
      </c>
      <c r="D20" s="164">
        <v>0</v>
      </c>
      <c r="E20" s="24">
        <f>+D20/$D$7</f>
        <v>0</v>
      </c>
    </row>
    <row r="21" spans="1:7" x14ac:dyDescent="0.3">
      <c r="C21" s="67"/>
      <c r="D21" s="161"/>
      <c r="E21" s="24"/>
    </row>
    <row r="22" spans="1:7" x14ac:dyDescent="0.3">
      <c r="E22" s="27"/>
    </row>
    <row r="23" spans="1:7" x14ac:dyDescent="0.3">
      <c r="C23" s="67" t="s">
        <v>434</v>
      </c>
      <c r="D23" s="178" t="s">
        <v>482</v>
      </c>
      <c r="E23" s="27"/>
    </row>
    <row r="24" spans="1:7" x14ac:dyDescent="0.3">
      <c r="C24" s="67" t="s">
        <v>2</v>
      </c>
      <c r="D24" s="170" t="s">
        <v>464</v>
      </c>
      <c r="E24" s="67" t="s">
        <v>477</v>
      </c>
    </row>
    <row r="25" spans="1:7" x14ac:dyDescent="0.3">
      <c r="C25" s="67" t="s">
        <v>472</v>
      </c>
      <c r="D25" s="155">
        <v>60</v>
      </c>
      <c r="E25" s="67" t="s">
        <v>478</v>
      </c>
    </row>
    <row r="26" spans="1:7" x14ac:dyDescent="0.3">
      <c r="C26" s="67" t="s">
        <v>460</v>
      </c>
      <c r="D26" s="175">
        <v>0</v>
      </c>
      <c r="E26" s="27"/>
    </row>
    <row r="27" spans="1:7" x14ac:dyDescent="0.3">
      <c r="C27" s="67" t="s">
        <v>435</v>
      </c>
      <c r="D27" s="164">
        <v>3123.7</v>
      </c>
      <c r="E27" s="24">
        <f>+D27/$D$7</f>
        <v>2.9057674418604651</v>
      </c>
    </row>
    <row r="28" spans="1:7" x14ac:dyDescent="0.3">
      <c r="A28" s="183" t="s">
        <v>485</v>
      </c>
      <c r="C28" s="67" t="s">
        <v>436</v>
      </c>
      <c r="D28" s="164">
        <v>0</v>
      </c>
      <c r="E28" s="24">
        <f>+D28/$D$7</f>
        <v>0</v>
      </c>
    </row>
    <row r="29" spans="1:7" x14ac:dyDescent="0.3">
      <c r="C29" s="172"/>
    </row>
    <row r="30" spans="1:7" x14ac:dyDescent="0.3">
      <c r="A30" s="183" t="s">
        <v>447</v>
      </c>
      <c r="C30" s="172" t="s">
        <v>446</v>
      </c>
      <c r="D30" s="166">
        <f>+E30*$D$7</f>
        <v>1044919.9249999998</v>
      </c>
      <c r="E30" s="24">
        <f>+(D11*E19)+E20+E28+(D11*E27)</f>
        <v>972.0185348837208</v>
      </c>
      <c r="F30" s="166"/>
    </row>
    <row r="31" spans="1:7" x14ac:dyDescent="0.3">
      <c r="F31" s="180" t="s">
        <v>473</v>
      </c>
      <c r="G31" s="178">
        <v>0</v>
      </c>
    </row>
    <row r="32" spans="1:7" x14ac:dyDescent="0.3">
      <c r="B32" s="172" t="s">
        <v>457</v>
      </c>
      <c r="D32" s="166">
        <f>+E32*$D$7</f>
        <v>0</v>
      </c>
      <c r="E32" s="179">
        <f>+E30*F32</f>
        <v>0</v>
      </c>
      <c r="F32" s="181">
        <f>+G31/30*E75</f>
        <v>0</v>
      </c>
    </row>
    <row r="33" spans="1:7" x14ac:dyDescent="0.3">
      <c r="B33" s="172" t="s">
        <v>458</v>
      </c>
      <c r="D33" s="177">
        <v>60000</v>
      </c>
      <c r="E33" s="24">
        <f>+D33/$D$7</f>
        <v>55.813953488372093</v>
      </c>
      <c r="F33" s="166"/>
    </row>
    <row r="34" spans="1:7" x14ac:dyDescent="0.3">
      <c r="B34" s="172" t="s">
        <v>470</v>
      </c>
      <c r="D34" s="177"/>
      <c r="E34" s="24">
        <f>+D34/$D$7</f>
        <v>0</v>
      </c>
      <c r="F34" s="166"/>
    </row>
    <row r="35" spans="1:7" x14ac:dyDescent="0.3">
      <c r="A35" s="183" t="s">
        <v>448</v>
      </c>
      <c r="B35" s="67" t="s">
        <v>456</v>
      </c>
      <c r="D35" s="166">
        <f>+E35*$D$7</f>
        <v>60000</v>
      </c>
      <c r="E35" s="24">
        <f>+E32+E33</f>
        <v>55.813953488372093</v>
      </c>
    </row>
    <row r="36" spans="1:7" x14ac:dyDescent="0.3">
      <c r="G36">
        <f>0.5*0.2+0.5*0.15</f>
        <v>0.17499999999999999</v>
      </c>
    </row>
    <row r="37" spans="1:7" x14ac:dyDescent="0.3">
      <c r="B37" s="67" t="s">
        <v>445</v>
      </c>
      <c r="D37" s="166">
        <f>+E37*$D$7</f>
        <v>32982.684328358213</v>
      </c>
      <c r="E37" s="24">
        <f>IF((E83*D11)&gt;(E30+E82+E35+E85),+E87,+E88)</f>
        <v>30.681566817077407</v>
      </c>
      <c r="F37" s="176"/>
      <c r="G37" s="166"/>
    </row>
    <row r="39" spans="1:7" x14ac:dyDescent="0.3">
      <c r="B39" s="21" t="s">
        <v>484</v>
      </c>
      <c r="D39" s="161"/>
    </row>
    <row r="40" spans="1:7" x14ac:dyDescent="0.3">
      <c r="B40" t="s">
        <v>432</v>
      </c>
      <c r="D40" s="167">
        <v>150</v>
      </c>
    </row>
    <row r="41" spans="1:7" x14ac:dyDescent="0.3">
      <c r="B41" s="67" t="s">
        <v>463</v>
      </c>
      <c r="D41" s="167">
        <v>30</v>
      </c>
    </row>
    <row r="43" spans="1:7" x14ac:dyDescent="0.3">
      <c r="C43" s="21" t="s">
        <v>440</v>
      </c>
    </row>
    <row r="44" spans="1:7" x14ac:dyDescent="0.3">
      <c r="C44" s="67" t="s">
        <v>434</v>
      </c>
      <c r="D44" s="178" t="s">
        <v>481</v>
      </c>
    </row>
    <row r="45" spans="1:7" x14ac:dyDescent="0.3">
      <c r="C45" s="67" t="s">
        <v>2</v>
      </c>
      <c r="D45" s="170" t="s">
        <v>464</v>
      </c>
      <c r="E45" s="67" t="s">
        <v>477</v>
      </c>
    </row>
    <row r="46" spans="1:7" x14ac:dyDescent="0.3">
      <c r="C46" s="67" t="s">
        <v>472</v>
      </c>
      <c r="D46" s="155">
        <v>30</v>
      </c>
      <c r="E46" s="67" t="s">
        <v>478</v>
      </c>
    </row>
    <row r="47" spans="1:7" x14ac:dyDescent="0.3">
      <c r="C47" s="67" t="s">
        <v>460</v>
      </c>
      <c r="D47" s="175">
        <v>0</v>
      </c>
    </row>
    <row r="48" spans="1:7" x14ac:dyDescent="0.3">
      <c r="C48" s="67" t="s">
        <v>435</v>
      </c>
      <c r="D48" s="164">
        <f>0.85*20911.41</f>
        <v>17774.698499999999</v>
      </c>
      <c r="E48" s="24">
        <f>+D48/$D$7</f>
        <v>16.534603255813952</v>
      </c>
    </row>
    <row r="49" spans="2:7" x14ac:dyDescent="0.3">
      <c r="C49" s="67" t="s">
        <v>436</v>
      </c>
      <c r="D49" s="164">
        <v>0</v>
      </c>
      <c r="E49" s="24">
        <f>+D49/$D$7</f>
        <v>0</v>
      </c>
    </row>
    <row r="50" spans="2:7" x14ac:dyDescent="0.3">
      <c r="C50" s="67"/>
      <c r="D50" s="161"/>
      <c r="E50" s="24"/>
    </row>
    <row r="51" spans="2:7" x14ac:dyDescent="0.3">
      <c r="E51" s="27"/>
    </row>
    <row r="52" spans="2:7" x14ac:dyDescent="0.3">
      <c r="C52" s="67" t="s">
        <v>434</v>
      </c>
      <c r="D52" s="178" t="s">
        <v>482</v>
      </c>
      <c r="E52" s="27"/>
    </row>
    <row r="53" spans="2:7" x14ac:dyDescent="0.3">
      <c r="C53" s="67" t="s">
        <v>2</v>
      </c>
      <c r="D53" s="170" t="s">
        <v>464</v>
      </c>
      <c r="E53" s="67" t="s">
        <v>477</v>
      </c>
    </row>
    <row r="54" spans="2:7" x14ac:dyDescent="0.3">
      <c r="C54" s="67" t="s">
        <v>472</v>
      </c>
      <c r="D54" s="155">
        <v>90</v>
      </c>
      <c r="E54" s="67" t="s">
        <v>478</v>
      </c>
    </row>
    <row r="55" spans="2:7" x14ac:dyDescent="0.3">
      <c r="C55" s="67" t="s">
        <v>460</v>
      </c>
      <c r="D55" s="175">
        <v>0</v>
      </c>
      <c r="E55" s="27"/>
    </row>
    <row r="56" spans="2:7" x14ac:dyDescent="0.3">
      <c r="C56" s="67" t="s">
        <v>435</v>
      </c>
      <c r="D56" s="164">
        <v>3123.7</v>
      </c>
      <c r="E56" s="24">
        <f>+D56/$D$7</f>
        <v>2.9057674418604651</v>
      </c>
    </row>
    <row r="57" spans="2:7" x14ac:dyDescent="0.3">
      <c r="C57" s="67" t="s">
        <v>436</v>
      </c>
      <c r="D57" s="164">
        <v>0</v>
      </c>
      <c r="E57" s="24">
        <f>+D57/$D$7</f>
        <v>0</v>
      </c>
    </row>
    <row r="58" spans="2:7" x14ac:dyDescent="0.3">
      <c r="C58" s="172"/>
    </row>
    <row r="59" spans="2:7" x14ac:dyDescent="0.3">
      <c r="C59" s="172" t="s">
        <v>446</v>
      </c>
      <c r="D59" s="166">
        <f>+E59*$D$7</f>
        <v>3134759.7749999994</v>
      </c>
      <c r="E59" s="24">
        <f>+(D40*E48)+E49+E57+(D40*E56)</f>
        <v>2916.0556046511624</v>
      </c>
      <c r="F59" s="166"/>
    </row>
    <row r="60" spans="2:7" x14ac:dyDescent="0.3">
      <c r="F60" s="180" t="s">
        <v>473</v>
      </c>
      <c r="G60" s="170">
        <v>0</v>
      </c>
    </row>
    <row r="61" spans="2:7" x14ac:dyDescent="0.3">
      <c r="B61" s="172" t="s">
        <v>457</v>
      </c>
      <c r="D61" s="166">
        <f>+E61*$D$7</f>
        <v>0</v>
      </c>
      <c r="E61" s="182">
        <f>+E59*F61</f>
        <v>0</v>
      </c>
      <c r="F61" s="181">
        <f>+G60/30*E105</f>
        <v>0</v>
      </c>
    </row>
    <row r="62" spans="2:7" x14ac:dyDescent="0.3">
      <c r="B62" s="172" t="s">
        <v>458</v>
      </c>
      <c r="D62" s="177">
        <v>60000</v>
      </c>
      <c r="E62" s="24">
        <f>+D62/$D$7</f>
        <v>55.813953488372093</v>
      </c>
      <c r="F62" s="166"/>
    </row>
    <row r="63" spans="2:7" x14ac:dyDescent="0.3">
      <c r="B63" s="172" t="s">
        <v>470</v>
      </c>
      <c r="D63" s="177"/>
      <c r="E63" s="24">
        <f>+D63/$D$7</f>
        <v>0</v>
      </c>
      <c r="F63" s="166"/>
    </row>
    <row r="64" spans="2:7" x14ac:dyDescent="0.3">
      <c r="B64" s="67" t="s">
        <v>456</v>
      </c>
      <c r="D64" s="166">
        <f>+E64*$D$7</f>
        <v>60000</v>
      </c>
      <c r="E64" s="24">
        <f>+E61+E62</f>
        <v>55.813953488372093</v>
      </c>
    </row>
    <row r="65" spans="2:7" x14ac:dyDescent="0.3">
      <c r="G65">
        <f>0.5*0.2+0.5*0.15</f>
        <v>0.17499999999999999</v>
      </c>
    </row>
    <row r="66" spans="2:7" x14ac:dyDescent="0.3">
      <c r="B66" s="67" t="s">
        <v>445</v>
      </c>
      <c r="D66" s="166">
        <f>+E66*$D$7</f>
        <v>0</v>
      </c>
      <c r="E66" s="24">
        <f>IF((E113*D40)&gt;(E59+E112+E64+E115),+E117,+E118)</f>
        <v>0</v>
      </c>
      <c r="F66" s="176"/>
      <c r="G66" s="166"/>
    </row>
    <row r="70" spans="2:7" x14ac:dyDescent="0.3">
      <c r="E70" s="24"/>
    </row>
    <row r="71" spans="2:7" x14ac:dyDescent="0.3">
      <c r="E71" s="24"/>
    </row>
    <row r="75" spans="2:7" x14ac:dyDescent="0.3">
      <c r="C75" s="175" t="s">
        <v>469</v>
      </c>
      <c r="E75" s="171">
        <f>+Variables!B11</f>
        <v>0.05</v>
      </c>
    </row>
    <row r="76" spans="2:7" x14ac:dyDescent="0.3">
      <c r="C76" s="175" t="s">
        <v>21</v>
      </c>
      <c r="E76" s="171">
        <f>+Variables!B10</f>
        <v>0.05</v>
      </c>
    </row>
    <row r="77" spans="2:7" x14ac:dyDescent="0.3">
      <c r="C77" s="175" t="s">
        <v>26</v>
      </c>
      <c r="E77" s="8">
        <f>VLOOKUP(E30,Variables!$A$3:$C$8,2,TRUE())</f>
        <v>0.28000000000000003</v>
      </c>
    </row>
    <row r="78" spans="2:7" x14ac:dyDescent="0.3">
      <c r="C78" s="175" t="s">
        <v>11</v>
      </c>
      <c r="D78" s="166">
        <f>+E78*$D$7</f>
        <v>131150</v>
      </c>
      <c r="E78" s="24">
        <f>VLOOKUP(E30,Variables!$A$3:$C$8,3,TRUE())</f>
        <v>122</v>
      </c>
    </row>
    <row r="79" spans="2:7" x14ac:dyDescent="0.3">
      <c r="C79" s="170" t="s">
        <v>443</v>
      </c>
      <c r="D79" s="166"/>
      <c r="E79" s="24">
        <f>+(E83*D11)-E81-E82</f>
        <v>429.54193543908377</v>
      </c>
    </row>
    <row r="80" spans="2:7" x14ac:dyDescent="0.3">
      <c r="C80" s="67"/>
      <c r="D80" s="166"/>
      <c r="E80" s="24"/>
    </row>
    <row r="81" spans="3:5" x14ac:dyDescent="0.3">
      <c r="C81" s="170" t="s">
        <v>438</v>
      </c>
      <c r="D81" s="166"/>
      <c r="E81" s="24">
        <f>+E30+E35</f>
        <v>1027.8324883720929</v>
      </c>
    </row>
    <row r="82" spans="3:5" x14ac:dyDescent="0.3">
      <c r="C82" s="169" t="s">
        <v>428</v>
      </c>
      <c r="E82" s="24">
        <f>+E83*D11*E76</f>
        <v>76.703917042693519</v>
      </c>
    </row>
    <row r="83" spans="3:5" x14ac:dyDescent="0.3">
      <c r="C83" s="155" t="s">
        <v>427</v>
      </c>
      <c r="D83" s="166">
        <f>+E83*$D$7</f>
        <v>32982.684328358213</v>
      </c>
      <c r="E83" s="24">
        <f>+(E81/(1-(E77+E76)))/D11</f>
        <v>30.681566817077407</v>
      </c>
    </row>
    <row r="84" spans="3:5" x14ac:dyDescent="0.3">
      <c r="C84" s="174"/>
      <c r="E84" s="24"/>
    </row>
    <row r="85" spans="3:5" x14ac:dyDescent="0.3">
      <c r="C85" s="173" t="s">
        <v>10</v>
      </c>
      <c r="E85" s="24">
        <f>IF(E79&lt;E78,E78,E79)</f>
        <v>429.54193543908377</v>
      </c>
    </row>
    <row r="86" spans="3:5" x14ac:dyDescent="0.3">
      <c r="C86" s="174"/>
      <c r="E86" s="24"/>
    </row>
    <row r="87" spans="3:5" x14ac:dyDescent="0.3">
      <c r="C87" s="67" t="b">
        <v>1</v>
      </c>
      <c r="D87" s="166">
        <f>+E87*$D$7</f>
        <v>32982.684328358213</v>
      </c>
      <c r="E87" s="24">
        <f>+E83</f>
        <v>30.681566817077407</v>
      </c>
    </row>
    <row r="88" spans="3:5" x14ac:dyDescent="0.3">
      <c r="C88" s="67" t="b">
        <v>0</v>
      </c>
      <c r="D88" s="166">
        <f>+E88*$D$7</f>
        <v>32982.684328358213</v>
      </c>
      <c r="E88" s="24">
        <f>(+E30+E82+E35+E85)/D11</f>
        <v>30.681566817077407</v>
      </c>
    </row>
    <row r="90" spans="3:5" x14ac:dyDescent="0.3">
      <c r="C90" s="67" t="s">
        <v>455</v>
      </c>
      <c r="E90" s="24">
        <f>+E83*D11</f>
        <v>1534.0783408538703</v>
      </c>
    </row>
    <row r="91" spans="3:5" x14ac:dyDescent="0.3">
      <c r="C91" s="67" t="s">
        <v>454</v>
      </c>
      <c r="E91" s="24">
        <f>+E30+E35+E82+E85</f>
        <v>1534.0783408538703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4F259-0F9A-48F7-9F07-96F529FE3107}">
  <dimension ref="A1:B10"/>
  <sheetViews>
    <sheetView tabSelected="1" workbookViewId="0">
      <selection activeCell="A6" sqref="A6"/>
    </sheetView>
  </sheetViews>
  <sheetFormatPr defaultRowHeight="14.4" x14ac:dyDescent="0.3"/>
  <cols>
    <col min="1" max="1" width="24.33203125" bestFit="1" customWidth="1"/>
  </cols>
  <sheetData>
    <row r="1" spans="1:2" x14ac:dyDescent="0.3">
      <c r="A1" s="151" t="s">
        <v>502</v>
      </c>
      <c r="B1" t="s">
        <v>501</v>
      </c>
    </row>
    <row r="3" spans="1:2" x14ac:dyDescent="0.3">
      <c r="A3" t="s">
        <v>495</v>
      </c>
    </row>
    <row r="4" spans="1:2" x14ac:dyDescent="0.3">
      <c r="A4" s="151" t="s">
        <v>496</v>
      </c>
      <c r="B4" t="s">
        <v>501</v>
      </c>
    </row>
    <row r="5" spans="1:2" x14ac:dyDescent="0.3">
      <c r="A5" t="s">
        <v>497</v>
      </c>
    </row>
    <row r="6" spans="1:2" x14ac:dyDescent="0.3">
      <c r="A6" s="151" t="s">
        <v>498</v>
      </c>
      <c r="B6" t="s">
        <v>501</v>
      </c>
    </row>
    <row r="8" spans="1:2" x14ac:dyDescent="0.3">
      <c r="A8" t="s">
        <v>499</v>
      </c>
    </row>
    <row r="9" spans="1:2" x14ac:dyDescent="0.3">
      <c r="A9" t="s">
        <v>500</v>
      </c>
    </row>
    <row r="10" spans="1:2" x14ac:dyDescent="0.3">
      <c r="A10" t="s">
        <v>440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29</vt:i4>
      </vt:variant>
    </vt:vector>
  </HeadingPairs>
  <TitlesOfParts>
    <vt:vector size="38" baseType="lpstr">
      <vt:lpstr>Varios</vt:lpstr>
      <vt:lpstr>Variables</vt:lpstr>
      <vt:lpstr>Kits</vt:lpstr>
      <vt:lpstr>Maxi</vt:lpstr>
      <vt:lpstr>Version 2025</vt:lpstr>
      <vt:lpstr>BPN</vt:lpstr>
      <vt:lpstr>Imeda</vt:lpstr>
      <vt:lpstr>Kit</vt:lpstr>
      <vt:lpstr>Tablas</vt:lpstr>
      <vt:lpstr>Maxi!_FilterDatabase_0</vt:lpstr>
      <vt:lpstr>Varios!_FilterDatabase_0</vt:lpstr>
      <vt:lpstr>Maxi!_FilterDatabase_0_0</vt:lpstr>
      <vt:lpstr>Varios!_FilterDatabase_0_0</vt:lpstr>
      <vt:lpstr>Maxi!_FilterDatabase_0_0_0</vt:lpstr>
      <vt:lpstr>Varios!_FilterDatabase_0_0_0</vt:lpstr>
      <vt:lpstr>Maxi!_FilterDatabase_0_0_0_0</vt:lpstr>
      <vt:lpstr>Varios!_FilterDatabase_0_0_0_0</vt:lpstr>
      <vt:lpstr>Maxi!_FilterDatabase_0_0_0_0_0</vt:lpstr>
      <vt:lpstr>Varios!_FilterDatabase_0_0_0_0_0</vt:lpstr>
      <vt:lpstr>Maxi!_FilterDatabase_0_0_0_0_0_0</vt:lpstr>
      <vt:lpstr>Varios!_FilterDatabase_0_0_0_0_0_0</vt:lpstr>
      <vt:lpstr>Maxi!_FilterDatabase_0_0_0_0_0_0_0</vt:lpstr>
      <vt:lpstr>Varios!_FilterDatabase_0_0_0_0_0_0_0</vt:lpstr>
      <vt:lpstr>Maxi!_FilterDatabase_0_0_0_0_0_0_0_0</vt:lpstr>
      <vt:lpstr>Varios!_FilterDatabase_0_0_0_0_0_0_0_0</vt:lpstr>
      <vt:lpstr>Maxi!_FilterDatabase_0_0_0_0_0_0_0_0_0</vt:lpstr>
      <vt:lpstr>Varios!_FilterDatabase_0_0_0_0_0_0_0_0_0</vt:lpstr>
      <vt:lpstr>Maxi!_FilterDatabase_0_0_0_0_0_0_0_0_0_0</vt:lpstr>
      <vt:lpstr>Varios!_FilterDatabase_0_0_0_0_0_0_0_0_0_0</vt:lpstr>
      <vt:lpstr>Maxi!_FilterDatabase_0_0_0_0_0_0_0_0_0_0_0</vt:lpstr>
      <vt:lpstr>Varios!_FilterDatabase_0_0_0_0_0_0_0_0_0_0_0</vt:lpstr>
      <vt:lpstr>Maxi!_FilterDatabase_0_0_0_0_0_0_0_0_0_0_0_0</vt:lpstr>
      <vt:lpstr>Varios!_FilterDatabase_0_0_0_0_0_0_0_0_0_0_0_0</vt:lpstr>
      <vt:lpstr>Maxi!_FilterDatabase_0_0_0_0_0_0_0_0_0_0_0_0_0</vt:lpstr>
      <vt:lpstr>Varios!_FilterDatabase_0_0_0_0_0_0_0_0_0_0_0_0_0</vt:lpstr>
      <vt:lpstr>Maxi!_FilterDatabase_0_0_0_0_0_0_0_0_0_0_0_0_0_0</vt:lpstr>
      <vt:lpstr>Varios!_FilterDatabase_0_0_0_0_0_0_0_0_0_0_0_0_0_0</vt:lpstr>
      <vt:lpstr>utilidad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Usuario1</dc:creator>
  <cp:lastModifiedBy>Maximiliano Fabbri</cp:lastModifiedBy>
  <dcterms:created xsi:type="dcterms:W3CDTF">2022-03-21T00:26:42Z</dcterms:created>
  <dcterms:modified xsi:type="dcterms:W3CDTF">2025-03-07T21:58:32Z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