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.muchsel/Documents/Source/ai84/"/>
    </mc:Choice>
  </mc:AlternateContent>
  <xr:revisionPtr revIDLastSave="0" documentId="13_ncr:1_{210DACD1-81F5-CC41-BFBF-D679AA398971}" xr6:coauthVersionLast="43" xr6:coauthVersionMax="43" xr10:uidLastSave="{00000000-0000-0000-0000-000000000000}"/>
  <bookViews>
    <workbookView xWindow="2580" yWindow="460" windowWidth="39220" windowHeight="25000" xr2:uid="{4AA6D0C7-A62E-F548-98BD-7B50E78677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6" i="1" l="1"/>
  <c r="G36" i="1"/>
  <c r="E36" i="1"/>
  <c r="D57" i="1"/>
  <c r="F57" i="1" s="1"/>
  <c r="G57" i="1" s="1"/>
  <c r="H57" i="1" s="1"/>
  <c r="D56" i="1"/>
  <c r="D55" i="1"/>
  <c r="F55" i="1" s="1"/>
  <c r="G55" i="1" s="1"/>
  <c r="D54" i="1"/>
  <c r="D53" i="1"/>
  <c r="I37" i="1"/>
  <c r="G37" i="1"/>
  <c r="E37" i="1"/>
  <c r="J36" i="1"/>
  <c r="H36" i="1"/>
  <c r="F36" i="1"/>
  <c r="D36" i="1"/>
  <c r="J37" i="1"/>
  <c r="H37" i="1"/>
  <c r="F37" i="1"/>
  <c r="D37" i="1"/>
  <c r="L37" i="1"/>
  <c r="L36" i="1"/>
  <c r="D31" i="1"/>
  <c r="J57" i="1"/>
  <c r="C57" i="1"/>
  <c r="J56" i="1"/>
  <c r="K56" i="1"/>
  <c r="C56" i="1"/>
  <c r="K55" i="1"/>
  <c r="J55" i="1"/>
  <c r="C55" i="1"/>
  <c r="J54" i="1"/>
  <c r="K54" i="1"/>
  <c r="C54" i="1"/>
  <c r="F53" i="1"/>
  <c r="G53" i="1" s="1"/>
  <c r="C53" i="1"/>
  <c r="I52" i="1"/>
  <c r="K57" i="1" l="1"/>
  <c r="H53" i="1"/>
  <c r="H55" i="1"/>
  <c r="L54" i="1"/>
  <c r="L56" i="1"/>
  <c r="L55" i="1"/>
  <c r="L57" i="1"/>
  <c r="F54" i="1"/>
  <c r="G54" i="1" s="1"/>
  <c r="H54" i="1" s="1"/>
  <c r="F56" i="1"/>
  <c r="G56" i="1" s="1"/>
  <c r="H56" i="1" s="1"/>
  <c r="C47" i="1"/>
  <c r="C46" i="1"/>
  <c r="J46" i="1"/>
  <c r="J45" i="1"/>
  <c r="C43" i="1" l="1"/>
  <c r="C45" i="1" l="1"/>
  <c r="C44" i="1"/>
  <c r="K10" i="1" l="1"/>
  <c r="H25" i="1"/>
  <c r="H15" i="1"/>
  <c r="F25" i="1"/>
  <c r="F15" i="1"/>
  <c r="H16" i="1"/>
  <c r="I42" i="1"/>
  <c r="J26" i="1" l="1"/>
  <c r="J16" i="1"/>
  <c r="H26" i="1"/>
  <c r="F26" i="1"/>
  <c r="F16" i="1"/>
  <c r="D16" i="1"/>
  <c r="D15" i="1"/>
  <c r="J47" i="1" l="1"/>
  <c r="J44" i="1"/>
  <c r="L32" i="1" l="1"/>
  <c r="L31" i="1"/>
  <c r="J31" i="1"/>
  <c r="J32" i="1"/>
  <c r="H32" i="1"/>
  <c r="F32" i="1"/>
  <c r="D26" i="1"/>
  <c r="D25" i="1"/>
  <c r="D32" i="1" l="1"/>
  <c r="K32" i="1" s="1"/>
  <c r="M32" i="1" s="1"/>
  <c r="K36" i="1"/>
  <c r="M36" i="1" s="1"/>
  <c r="D52" i="1" s="1"/>
  <c r="F31" i="1"/>
  <c r="H31" i="1"/>
  <c r="F52" i="1" l="1"/>
  <c r="G52" i="1" s="1"/>
  <c r="H52" i="1" s="1"/>
  <c r="K52" i="1"/>
  <c r="L52" i="1" s="1"/>
  <c r="K37" i="1"/>
  <c r="M37" i="1" s="1"/>
  <c r="D44" i="1"/>
  <c r="D47" i="1"/>
  <c r="D43" i="1"/>
  <c r="F43" i="1" s="1"/>
  <c r="D46" i="1"/>
  <c r="D45" i="1"/>
  <c r="K31" i="1"/>
  <c r="M31" i="1" s="1"/>
  <c r="K46" i="1" l="1"/>
  <c r="L46" i="1" s="1"/>
  <c r="F46" i="1"/>
  <c r="G46" i="1" s="1"/>
  <c r="H46" i="1" s="1"/>
  <c r="K47" i="1"/>
  <c r="L47" i="1" s="1"/>
  <c r="F47" i="1"/>
  <c r="G47" i="1" s="1"/>
  <c r="H47" i="1" s="1"/>
  <c r="D42" i="1"/>
  <c r="K42" i="1" s="1"/>
  <c r="K45" i="1"/>
  <c r="L45" i="1" s="1"/>
  <c r="F45" i="1"/>
  <c r="G45" i="1" s="1"/>
  <c r="H45" i="1" s="1"/>
  <c r="K44" i="1"/>
  <c r="L44" i="1" s="1"/>
  <c r="F44" i="1"/>
  <c r="G44" i="1" s="1"/>
  <c r="H44" i="1" s="1"/>
  <c r="G43" i="1"/>
  <c r="H43" i="1" s="1"/>
  <c r="N56" i="1" l="1"/>
  <c r="N55" i="1"/>
  <c r="N57" i="1"/>
  <c r="N54" i="1"/>
  <c r="F42" i="1"/>
  <c r="G42" i="1" s="1"/>
  <c r="H42" i="1" s="1"/>
  <c r="L42" i="1"/>
  <c r="N45" i="1"/>
  <c r="N46" i="1"/>
  <c r="N44" i="1"/>
  <c r="N47" i="1"/>
  <c r="O46" i="1" l="1"/>
  <c r="O57" i="1"/>
  <c r="O54" i="1"/>
  <c r="O56" i="1"/>
  <c r="O55" i="1"/>
  <c r="O44" i="1"/>
  <c r="O45" i="1"/>
  <c r="O47" i="1"/>
</calcChain>
</file>

<file path=xl/sharedStrings.xml><?xml version="1.0" encoding="utf-8"?>
<sst xmlns="http://schemas.openxmlformats.org/spreadsheetml/2006/main" count="103" uniqueCount="46">
  <si>
    <t>FC</t>
  </si>
  <si>
    <t>AI84</t>
  </si>
  <si>
    <t>ARM</t>
  </si>
  <si>
    <t>Input Channels</t>
  </si>
  <si>
    <t>Output Channels</t>
  </si>
  <si>
    <t>Output Size</t>
  </si>
  <si>
    <t>TIME ms</t>
  </si>
  <si>
    <t>Layer</t>
  </si>
  <si>
    <t>POWER mW</t>
  </si>
  <si>
    <t>Kernel Size</t>
  </si>
  <si>
    <t>JOULE/MAC</t>
  </si>
  <si>
    <t>MAC/JOULE</t>
  </si>
  <si>
    <t>MAC/s</t>
  </si>
  <si>
    <t>ENERGY uJ</t>
  </si>
  <si>
    <t>Input Size</t>
  </si>
  <si>
    <t>MACs/s/MHz</t>
  </si>
  <si>
    <t>AI84 RTL sim</t>
  </si>
  <si>
    <t>AI84 1.1V (default trim)</t>
  </si>
  <si>
    <t>MHz</t>
  </si>
  <si>
    <t>ENERGY</t>
  </si>
  <si>
    <t>MEASURED</t>
  </si>
  <si>
    <t>AI84 1.1V (100 MHz)</t>
  </si>
  <si>
    <t>ME11 1.8V-3.3V</t>
  </si>
  <si>
    <t>TIME (MHz)</t>
  </si>
  <si>
    <t>AI84 0.9V (default trim)</t>
  </si>
  <si>
    <t>AI84 0.9V (46 MHz)</t>
  </si>
  <si>
    <t>Clock</t>
  </si>
  <si>
    <t>AI84 Energy vs. ARM Energy (CIFAR-10)</t>
  </si>
  <si>
    <t>Pool</t>
  </si>
  <si>
    <t>Subtotal</t>
  </si>
  <si>
    <t>OP/s</t>
  </si>
  <si>
    <t>OP</t>
  </si>
  <si>
    <t>OP/s/MHz</t>
  </si>
  <si>
    <t>JOULE/OP</t>
  </si>
  <si>
    <t>OP/JOULE</t>
  </si>
  <si>
    <t>CIFAR-10 MAC</t>
  </si>
  <si>
    <t>CIFAR-10 OP</t>
  </si>
  <si>
    <t>MAC</t>
  </si>
  <si>
    <t>TIME/MAC (s)</t>
  </si>
  <si>
    <t>TIME/OP (s)</t>
  </si>
  <si>
    <t>OP calculated for layer (includes padding)</t>
  </si>
  <si>
    <t>MAC calculated for layer (includes padding)</t>
  </si>
  <si>
    <t>OP TOTAL</t>
  </si>
  <si>
    <t>MAC TOTAL</t>
  </si>
  <si>
    <t>ME11 vs AI84 (OP):</t>
  </si>
  <si>
    <t>ME11 vs AI84 (MAC):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</si>
</sst>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13" applyNumberFormat="0" applyFill="0" applyAlignment="0" applyProtection="0"/>
  </cellStyleXfs>
  <cellXfs count="68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3" xfId="0" applyFont="1" applyBorder="1"/>
    <xf numFmtId="0" fontId="0" fillId="0" borderId="4" xfId="0" applyBorder="1"/>
    <xf numFmtId="0" fontId="0" fillId="0" borderId="1" xfId="0" applyBorder="1"/>
    <xf numFmtId="0" fontId="0" fillId="0" borderId="5" xfId="0" applyFont="1" applyBorder="1" applyAlignment="1">
      <alignment horizontal="right"/>
    </xf>
    <xf numFmtId="0" fontId="0" fillId="0" borderId="0" xfId="0" applyBorder="1"/>
    <xf numFmtId="0" fontId="0" fillId="0" borderId="5" xfId="0" applyFont="1" applyBorder="1"/>
    <xf numFmtId="0" fontId="0" fillId="0" borderId="6" xfId="0" applyBorder="1"/>
    <xf numFmtId="0" fontId="0" fillId="0" borderId="7" xfId="0" applyFont="1" applyBorder="1"/>
    <xf numFmtId="0" fontId="0" fillId="0" borderId="8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9" xfId="0" applyBorder="1" applyAlignment="1">
      <alignment horizontal="right"/>
    </xf>
    <xf numFmtId="0" fontId="0" fillId="0" borderId="9" xfId="0" applyBorder="1"/>
    <xf numFmtId="164" fontId="0" fillId="0" borderId="0" xfId="0" applyNumberFormat="1" applyBorder="1"/>
    <xf numFmtId="165" fontId="1" fillId="0" borderId="2" xfId="1" applyNumberFormat="1" applyFont="1" applyBorder="1"/>
    <xf numFmtId="165" fontId="0" fillId="0" borderId="0" xfId="1" applyNumberFormat="1" applyFont="1" applyBorder="1"/>
    <xf numFmtId="166" fontId="1" fillId="0" borderId="0" xfId="1" applyNumberFormat="1" applyFont="1" applyBorder="1"/>
    <xf numFmtId="165" fontId="1" fillId="0" borderId="6" xfId="1" applyNumberFormat="1" applyFont="1" applyBorder="1"/>
    <xf numFmtId="0" fontId="0" fillId="0" borderId="7" xfId="0" applyFill="1" applyBorder="1"/>
    <xf numFmtId="165" fontId="0" fillId="0" borderId="6" xfId="1" applyNumberFormat="1" applyFont="1" applyBorder="1"/>
    <xf numFmtId="0" fontId="0" fillId="0" borderId="0" xfId="0" applyFill="1" applyBorder="1"/>
    <xf numFmtId="0" fontId="1" fillId="0" borderId="0" xfId="0" applyFon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0" borderId="4" xfId="0" applyFont="1" applyBorder="1"/>
    <xf numFmtId="0" fontId="0" fillId="0" borderId="8" xfId="0" applyFont="1" applyBorder="1"/>
    <xf numFmtId="0" fontId="0" fillId="0" borderId="8" xfId="0" applyFill="1" applyBorder="1"/>
    <xf numFmtId="165" fontId="2" fillId="0" borderId="0" xfId="1" applyNumberFormat="1" applyFont="1" applyBorder="1"/>
    <xf numFmtId="165" fontId="2" fillId="0" borderId="8" xfId="1" applyNumberFormat="1" applyFon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0" fontId="0" fillId="0" borderId="12" xfId="0" applyBorder="1"/>
    <xf numFmtId="0" fontId="1" fillId="0" borderId="10" xfId="0" applyFont="1" applyBorder="1"/>
    <xf numFmtId="2" fontId="1" fillId="0" borderId="8" xfId="0" applyNumberFormat="1" applyFont="1" applyBorder="1"/>
    <xf numFmtId="0" fontId="0" fillId="0" borderId="10" xfId="0" applyFont="1" applyBorder="1"/>
    <xf numFmtId="164" fontId="1" fillId="0" borderId="8" xfId="0" applyNumberFormat="1" applyFont="1" applyBorder="1"/>
    <xf numFmtId="166" fontId="2" fillId="0" borderId="0" xfId="1" applyNumberFormat="1" applyFont="1" applyBorder="1"/>
    <xf numFmtId="0" fontId="1" fillId="0" borderId="12" xfId="0" applyFont="1" applyBorder="1"/>
    <xf numFmtId="165" fontId="1" fillId="0" borderId="5" xfId="1" applyNumberFormat="1" applyFont="1" applyBorder="1"/>
    <xf numFmtId="165" fontId="1" fillId="0" borderId="5" xfId="1" applyNumberFormat="1" applyFont="1" applyFill="1" applyBorder="1"/>
    <xf numFmtId="165" fontId="1" fillId="0" borderId="7" xfId="1" applyNumberFormat="1" applyFont="1" applyBorder="1"/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ill="1" applyBorder="1"/>
    <xf numFmtId="3" fontId="0" fillId="0" borderId="8" xfId="0" applyNumberFormat="1" applyBorder="1"/>
    <xf numFmtId="3" fontId="3" fillId="0" borderId="8" xfId="0" applyNumberFormat="1" applyFont="1" applyBorder="1"/>
    <xf numFmtId="0" fontId="0" fillId="0" borderId="4" xfId="0" applyFont="1" applyBorder="1"/>
    <xf numFmtId="0" fontId="0" fillId="0" borderId="10" xfId="0" applyFont="1" applyBorder="1" applyAlignment="1">
      <alignment horizontal="left"/>
    </xf>
    <xf numFmtId="165" fontId="1" fillId="0" borderId="11" xfId="1" applyNumberFormat="1" applyFont="1" applyBorder="1"/>
    <xf numFmtId="0" fontId="1" fillId="0" borderId="0" xfId="0" applyNumberFormat="1" applyFont="1" applyBorder="1"/>
    <xf numFmtId="0" fontId="1" fillId="0" borderId="8" xfId="0" applyNumberFormat="1" applyFont="1" applyBorder="1"/>
    <xf numFmtId="0" fontId="1" fillId="0" borderId="3" xfId="0" applyFont="1" applyBorder="1" applyAlignment="1">
      <alignment horizontal="left"/>
    </xf>
    <xf numFmtId="166" fontId="4" fillId="0" borderId="8" xfId="1" applyNumberFormat="1" applyFont="1" applyBorder="1"/>
    <xf numFmtId="3" fontId="0" fillId="0" borderId="0" xfId="0" applyNumberFormat="1" applyFont="1" applyBorder="1"/>
    <xf numFmtId="3" fontId="0" fillId="0" borderId="6" xfId="0" applyNumberFormat="1" applyBorder="1"/>
    <xf numFmtId="3" fontId="0" fillId="0" borderId="2" xfId="0" applyNumberFormat="1" applyFill="1" applyBorder="1"/>
    <xf numFmtId="0" fontId="5" fillId="0" borderId="13" xfId="2"/>
    <xf numFmtId="0" fontId="0" fillId="0" borderId="10" xfId="0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9" xfId="0" applyFont="1" applyBorder="1" applyAlignment="1">
      <alignment horizontal="right"/>
    </xf>
  </cellXfs>
  <cellStyles count="3">
    <cellStyle name="Comma" xfId="1" builtinId="3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0710-60CE-6449-AD77-7E6717109F43}">
  <dimension ref="B1:O57"/>
  <sheetViews>
    <sheetView tabSelected="1" workbookViewId="0">
      <selection activeCell="N41" sqref="N41"/>
    </sheetView>
  </sheetViews>
  <sheetFormatPr baseColWidth="10" defaultRowHeight="16"/>
  <cols>
    <col min="1" max="1" width="2.5" customWidth="1"/>
    <col min="2" max="2" width="21" customWidth="1"/>
    <col min="3" max="3" width="5.6640625" customWidth="1"/>
    <col min="4" max="15" width="15.83203125" customWidth="1"/>
    <col min="16" max="16" width="13.6640625" customWidth="1"/>
    <col min="18" max="18" width="12.1640625" bestFit="1" customWidth="1"/>
    <col min="19" max="19" width="17.5" customWidth="1"/>
  </cols>
  <sheetData>
    <row r="1" spans="2:15" ht="21" thickBot="1">
      <c r="B1" s="64" t="s">
        <v>27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2:15" ht="18" thickTop="1" thickBot="1"/>
    <row r="3" spans="2:15">
      <c r="B3" s="3" t="s">
        <v>9</v>
      </c>
      <c r="C3" s="30"/>
      <c r="D3" s="4"/>
      <c r="E3" s="4"/>
      <c r="F3" s="4"/>
      <c r="G3" s="4"/>
      <c r="H3" s="4"/>
      <c r="I3" s="4"/>
      <c r="J3" s="4"/>
      <c r="K3" s="5"/>
    </row>
    <row r="4" spans="2:15">
      <c r="B4" s="6"/>
      <c r="C4" s="28" t="s">
        <v>7</v>
      </c>
      <c r="D4" s="14">
        <v>0</v>
      </c>
      <c r="E4" s="66" t="s">
        <v>28</v>
      </c>
      <c r="F4" s="14">
        <v>1</v>
      </c>
      <c r="G4" s="66" t="s">
        <v>28</v>
      </c>
      <c r="H4" s="14">
        <v>2</v>
      </c>
      <c r="I4" s="66" t="s">
        <v>28</v>
      </c>
      <c r="J4" s="14">
        <v>3</v>
      </c>
      <c r="K4" s="67" t="s">
        <v>0</v>
      </c>
    </row>
    <row r="5" spans="2:15">
      <c r="B5" s="8" t="s">
        <v>2</v>
      </c>
      <c r="C5" s="29"/>
      <c r="D5" s="7">
        <v>25</v>
      </c>
      <c r="E5" s="7">
        <v>9</v>
      </c>
      <c r="F5" s="7">
        <v>25</v>
      </c>
      <c r="G5" s="24">
        <v>9</v>
      </c>
      <c r="H5" s="7">
        <v>25</v>
      </c>
      <c r="I5" s="24">
        <v>9</v>
      </c>
      <c r="J5" s="7">
        <v>0</v>
      </c>
      <c r="K5" s="9">
        <v>1</v>
      </c>
    </row>
    <row r="6" spans="2:15" ht="17" thickBot="1">
      <c r="B6" s="10" t="s">
        <v>1</v>
      </c>
      <c r="C6" s="31"/>
      <c r="D6" s="11">
        <v>9</v>
      </c>
      <c r="E6" s="11">
        <v>4</v>
      </c>
      <c r="F6" s="11">
        <v>9</v>
      </c>
      <c r="G6" s="11">
        <v>4</v>
      </c>
      <c r="H6" s="11">
        <v>9</v>
      </c>
      <c r="I6" s="11">
        <v>4</v>
      </c>
      <c r="J6" s="11">
        <v>9</v>
      </c>
      <c r="K6" s="1">
        <v>1</v>
      </c>
    </row>
    <row r="7" spans="2:15" ht="17" thickBot="1">
      <c r="B7" s="2"/>
      <c r="C7" s="2"/>
    </row>
    <row r="8" spans="2:15">
      <c r="B8" s="3" t="s">
        <v>3</v>
      </c>
      <c r="C8" s="30"/>
      <c r="D8" s="4"/>
      <c r="E8" s="4"/>
      <c r="F8" s="4"/>
      <c r="G8" s="4"/>
      <c r="H8" s="4"/>
      <c r="I8" s="4"/>
      <c r="J8" s="4"/>
      <c r="K8" s="5"/>
    </row>
    <row r="9" spans="2:15">
      <c r="B9" s="6"/>
      <c r="C9" s="28"/>
      <c r="D9" s="14">
        <v>0</v>
      </c>
      <c r="E9" s="66" t="s">
        <v>28</v>
      </c>
      <c r="F9" s="14">
        <v>1</v>
      </c>
      <c r="G9" s="66" t="s">
        <v>28</v>
      </c>
      <c r="H9" s="14">
        <v>2</v>
      </c>
      <c r="I9" s="66" t="s">
        <v>28</v>
      </c>
      <c r="J9" s="14">
        <v>3</v>
      </c>
      <c r="K9" s="15" t="s">
        <v>0</v>
      </c>
    </row>
    <row r="10" spans="2:15">
      <c r="B10" s="12" t="s">
        <v>2</v>
      </c>
      <c r="C10" s="7"/>
      <c r="D10" s="7">
        <v>3</v>
      </c>
      <c r="E10" s="7">
        <v>32</v>
      </c>
      <c r="F10" s="7">
        <v>32</v>
      </c>
      <c r="G10" s="24">
        <v>16</v>
      </c>
      <c r="H10" s="7">
        <v>16</v>
      </c>
      <c r="I10" s="24">
        <v>32</v>
      </c>
      <c r="J10" s="7">
        <v>0</v>
      </c>
      <c r="K10" s="9">
        <f>288</f>
        <v>288</v>
      </c>
    </row>
    <row r="11" spans="2:15" ht="17" thickBot="1">
      <c r="B11" s="13" t="s">
        <v>1</v>
      </c>
      <c r="C11" s="11"/>
      <c r="D11" s="11">
        <v>3</v>
      </c>
      <c r="E11" s="11">
        <v>60</v>
      </c>
      <c r="F11" s="11">
        <v>60</v>
      </c>
      <c r="G11" s="11">
        <v>60</v>
      </c>
      <c r="H11" s="11">
        <v>60</v>
      </c>
      <c r="I11" s="11">
        <v>56</v>
      </c>
      <c r="J11" s="11">
        <v>56</v>
      </c>
      <c r="K11" s="1">
        <v>192</v>
      </c>
    </row>
    <row r="12" spans="2:15" ht="17" thickBot="1">
      <c r="B12" s="7"/>
      <c r="C12" s="7"/>
      <c r="D12" s="7"/>
      <c r="F12" s="7"/>
      <c r="H12" s="7"/>
      <c r="J12" s="7"/>
      <c r="K12" s="7"/>
    </row>
    <row r="13" spans="2:15">
      <c r="B13" s="3" t="s">
        <v>14</v>
      </c>
      <c r="C13" s="30"/>
      <c r="D13" s="4"/>
      <c r="E13" s="4"/>
      <c r="F13" s="4"/>
      <c r="G13" s="4"/>
      <c r="H13" s="4"/>
      <c r="I13" s="4"/>
      <c r="J13" s="4"/>
      <c r="K13" s="5"/>
    </row>
    <row r="14" spans="2:15">
      <c r="B14" s="6"/>
      <c r="C14" s="28" t="s">
        <v>7</v>
      </c>
      <c r="D14" s="14">
        <v>0</v>
      </c>
      <c r="E14" s="66" t="s">
        <v>28</v>
      </c>
      <c r="F14" s="14">
        <v>1</v>
      </c>
      <c r="G14" s="66" t="s">
        <v>28</v>
      </c>
      <c r="H14" s="14">
        <v>2</v>
      </c>
      <c r="I14" s="66" t="s">
        <v>28</v>
      </c>
      <c r="J14" s="14">
        <v>3</v>
      </c>
      <c r="K14" s="15" t="s">
        <v>0</v>
      </c>
    </row>
    <row r="15" spans="2:15">
      <c r="B15" s="12" t="s">
        <v>2</v>
      </c>
      <c r="C15" s="7"/>
      <c r="D15" s="7">
        <f>32*32</f>
        <v>1024</v>
      </c>
      <c r="E15" s="7">
        <v>1024</v>
      </c>
      <c r="F15" s="7">
        <f>15*15</f>
        <v>225</v>
      </c>
      <c r="G15" s="7">
        <v>256</v>
      </c>
      <c r="H15" s="7">
        <f>7*7</f>
        <v>49</v>
      </c>
      <c r="I15" s="7">
        <v>64</v>
      </c>
      <c r="J15" s="24">
        <v>0</v>
      </c>
      <c r="K15" s="9">
        <v>1</v>
      </c>
    </row>
    <row r="16" spans="2:15" ht="17" thickBot="1">
      <c r="B16" s="13" t="s">
        <v>1</v>
      </c>
      <c r="C16" s="11"/>
      <c r="D16" s="11">
        <f>32*32</f>
        <v>1024</v>
      </c>
      <c r="E16" s="11">
        <v>1024</v>
      </c>
      <c r="F16" s="11">
        <f>16*16</f>
        <v>256</v>
      </c>
      <c r="G16" s="11">
        <v>256</v>
      </c>
      <c r="H16" s="11">
        <f>8*8</f>
        <v>64</v>
      </c>
      <c r="I16" s="11">
        <v>64</v>
      </c>
      <c r="J16" s="11">
        <f>4*4</f>
        <v>16</v>
      </c>
      <c r="K16" s="1">
        <v>1</v>
      </c>
    </row>
    <row r="17" spans="2:13" ht="17" thickBot="1"/>
    <row r="18" spans="2:13">
      <c r="B18" s="3" t="s">
        <v>4</v>
      </c>
      <c r="C18" s="30"/>
      <c r="D18" s="4"/>
      <c r="E18" s="4"/>
      <c r="F18" s="4"/>
      <c r="G18" s="4"/>
      <c r="H18" s="4"/>
      <c r="I18" s="4"/>
      <c r="J18" s="4"/>
      <c r="K18" s="5"/>
    </row>
    <row r="19" spans="2:13">
      <c r="B19" s="6"/>
      <c r="C19" s="28" t="s">
        <v>7</v>
      </c>
      <c r="D19" s="14">
        <v>0</v>
      </c>
      <c r="E19" s="66" t="s">
        <v>28</v>
      </c>
      <c r="F19" s="14">
        <v>1</v>
      </c>
      <c r="G19" s="66" t="s">
        <v>28</v>
      </c>
      <c r="H19" s="14">
        <v>2</v>
      </c>
      <c r="I19" s="66" t="s">
        <v>28</v>
      </c>
      <c r="J19" s="14">
        <v>3</v>
      </c>
      <c r="K19" s="15" t="s">
        <v>0</v>
      </c>
    </row>
    <row r="20" spans="2:13">
      <c r="B20" s="12" t="s">
        <v>2</v>
      </c>
      <c r="C20" s="7"/>
      <c r="D20" s="7">
        <v>32</v>
      </c>
      <c r="E20" s="7">
        <v>32</v>
      </c>
      <c r="F20" s="7">
        <v>16</v>
      </c>
      <c r="G20" s="24">
        <v>16</v>
      </c>
      <c r="H20" s="7">
        <v>32</v>
      </c>
      <c r="I20" s="24">
        <v>32</v>
      </c>
      <c r="J20" s="7">
        <v>0</v>
      </c>
      <c r="K20" s="9">
        <v>10</v>
      </c>
    </row>
    <row r="21" spans="2:13" ht="17" thickBot="1">
      <c r="B21" s="13" t="s">
        <v>1</v>
      </c>
      <c r="C21" s="11"/>
      <c r="D21" s="11">
        <v>60</v>
      </c>
      <c r="E21" s="11">
        <v>60</v>
      </c>
      <c r="F21" s="11">
        <v>60</v>
      </c>
      <c r="G21" s="11">
        <v>60</v>
      </c>
      <c r="H21" s="11">
        <v>56</v>
      </c>
      <c r="I21" s="11">
        <v>56</v>
      </c>
      <c r="J21" s="11">
        <v>12</v>
      </c>
      <c r="K21" s="1">
        <v>10</v>
      </c>
    </row>
    <row r="22" spans="2:13" ht="17" thickBot="1"/>
    <row r="23" spans="2:13">
      <c r="B23" s="3" t="s">
        <v>5</v>
      </c>
      <c r="C23" s="30"/>
      <c r="D23" s="4"/>
      <c r="E23" s="4"/>
      <c r="F23" s="4"/>
      <c r="G23" s="4"/>
      <c r="H23" s="4"/>
      <c r="I23" s="4"/>
      <c r="J23" s="4"/>
      <c r="K23" s="5"/>
    </row>
    <row r="24" spans="2:13">
      <c r="B24" s="6"/>
      <c r="C24" s="28" t="s">
        <v>7</v>
      </c>
      <c r="D24" s="14">
        <v>0</v>
      </c>
      <c r="E24" s="66" t="s">
        <v>28</v>
      </c>
      <c r="F24" s="14">
        <v>1</v>
      </c>
      <c r="G24" s="66" t="s">
        <v>28</v>
      </c>
      <c r="H24" s="14">
        <v>2</v>
      </c>
      <c r="I24" s="66" t="s">
        <v>28</v>
      </c>
      <c r="J24" s="14">
        <v>3</v>
      </c>
      <c r="K24" s="15" t="s">
        <v>0</v>
      </c>
    </row>
    <row r="25" spans="2:13">
      <c r="B25" s="12" t="s">
        <v>2</v>
      </c>
      <c r="C25" s="7"/>
      <c r="D25" s="7">
        <f>32*32</f>
        <v>1024</v>
      </c>
      <c r="E25" s="7">
        <v>225</v>
      </c>
      <c r="F25" s="7">
        <f>15*15</f>
        <v>225</v>
      </c>
      <c r="G25" s="7">
        <v>49</v>
      </c>
      <c r="H25" s="7">
        <f>7*7</f>
        <v>49</v>
      </c>
      <c r="I25" s="7">
        <v>9</v>
      </c>
      <c r="J25" s="7">
        <v>0</v>
      </c>
      <c r="K25" s="9">
        <v>1</v>
      </c>
    </row>
    <row r="26" spans="2:13" ht="17" thickBot="1">
      <c r="B26" s="13" t="s">
        <v>1</v>
      </c>
      <c r="C26" s="11"/>
      <c r="D26" s="11">
        <f>32*32</f>
        <v>1024</v>
      </c>
      <c r="E26" s="11">
        <v>256</v>
      </c>
      <c r="F26" s="11">
        <f>16*16</f>
        <v>256</v>
      </c>
      <c r="G26" s="11">
        <v>64</v>
      </c>
      <c r="H26" s="11">
        <f>8*8</f>
        <v>64</v>
      </c>
      <c r="I26" s="11">
        <v>16</v>
      </c>
      <c r="J26" s="11">
        <f>4*4</f>
        <v>16</v>
      </c>
      <c r="K26" s="1">
        <v>1</v>
      </c>
    </row>
    <row r="28" spans="2:13" ht="17" thickBot="1"/>
    <row r="29" spans="2:13">
      <c r="B29" s="3" t="s">
        <v>35</v>
      </c>
      <c r="C29" s="54"/>
      <c r="D29" s="4" t="s">
        <v>41</v>
      </c>
      <c r="E29" s="4"/>
      <c r="F29" s="4"/>
      <c r="G29" s="4"/>
      <c r="H29" s="4"/>
      <c r="I29" s="4"/>
      <c r="J29" s="4"/>
      <c r="K29" s="4"/>
      <c r="L29" s="4"/>
      <c r="M29" s="5"/>
    </row>
    <row r="30" spans="2:13">
      <c r="B30" s="6"/>
      <c r="C30" s="55" t="s">
        <v>7</v>
      </c>
      <c r="D30" s="14">
        <v>0</v>
      </c>
      <c r="E30" s="14"/>
      <c r="F30" s="14">
        <v>1</v>
      </c>
      <c r="G30" s="14"/>
      <c r="H30" s="14">
        <v>2</v>
      </c>
      <c r="I30" s="14"/>
      <c r="J30" s="14">
        <v>3</v>
      </c>
      <c r="K30" s="65" t="s">
        <v>29</v>
      </c>
      <c r="L30" s="65" t="s">
        <v>0</v>
      </c>
      <c r="M30" s="15" t="s">
        <v>43</v>
      </c>
    </row>
    <row r="31" spans="2:13">
      <c r="B31" s="12" t="s">
        <v>2</v>
      </c>
      <c r="C31" s="7"/>
      <c r="D31" s="49">
        <f>D5*D10*D20*D25</f>
        <v>2457600</v>
      </c>
      <c r="E31" s="7"/>
      <c r="F31" s="49">
        <f>F5*F10*F20*F25</f>
        <v>2880000</v>
      </c>
      <c r="G31" s="7"/>
      <c r="H31" s="49">
        <f>H5*H10*H20*H25</f>
        <v>627200</v>
      </c>
      <c r="I31" s="7"/>
      <c r="J31" s="49">
        <f>J5*J10*J20*J25</f>
        <v>0</v>
      </c>
      <c r="K31" s="49">
        <f>SUM(D31:J31)</f>
        <v>5964800</v>
      </c>
      <c r="L31" s="61">
        <f>K5*K10*K20*K25</f>
        <v>2880</v>
      </c>
      <c r="M31" s="62">
        <f>SUM(K31:L31)</f>
        <v>5967680</v>
      </c>
    </row>
    <row r="32" spans="2:13" ht="17" thickBot="1">
      <c r="B32" s="13" t="s">
        <v>1</v>
      </c>
      <c r="C32" s="11"/>
      <c r="D32" s="52">
        <f>D6*D11*D21*D26</f>
        <v>1658880</v>
      </c>
      <c r="E32" s="11"/>
      <c r="F32" s="52">
        <f>F6*F11*F21*F26</f>
        <v>8294400</v>
      </c>
      <c r="G32" s="11"/>
      <c r="H32" s="52">
        <f>H6*H11*H21*H26</f>
        <v>1935360</v>
      </c>
      <c r="I32" s="11"/>
      <c r="J32" s="52">
        <f>J6*J11*J21*J26</f>
        <v>96768</v>
      </c>
      <c r="K32" s="52">
        <f>SUM(D32:J32)</f>
        <v>11985408</v>
      </c>
      <c r="L32" s="53">
        <f>K6*K11*K21*K26</f>
        <v>1920</v>
      </c>
      <c r="M32" s="63">
        <f>K32</f>
        <v>11985408</v>
      </c>
    </row>
    <row r="33" spans="2:15" ht="17" thickBot="1">
      <c r="B33" s="7"/>
      <c r="C33" s="7"/>
      <c r="D33" s="49"/>
      <c r="F33" s="49"/>
      <c r="H33" s="49"/>
      <c r="J33" s="49"/>
      <c r="K33" s="49"/>
      <c r="L33" s="50"/>
      <c r="M33" s="51"/>
    </row>
    <row r="34" spans="2:15">
      <c r="B34" s="3" t="s">
        <v>36</v>
      </c>
      <c r="C34" s="54"/>
      <c r="D34" s="4" t="s">
        <v>40</v>
      </c>
      <c r="E34" s="4"/>
      <c r="F34" s="4"/>
      <c r="G34" s="4"/>
      <c r="H34" s="4"/>
      <c r="I34" s="4"/>
      <c r="J34" s="4"/>
      <c r="K34" s="4"/>
      <c r="L34" s="4"/>
      <c r="M34" s="5"/>
    </row>
    <row r="35" spans="2:15">
      <c r="B35" s="6"/>
      <c r="C35" s="55" t="s">
        <v>7</v>
      </c>
      <c r="D35" s="14">
        <v>0</v>
      </c>
      <c r="E35" s="66" t="s">
        <v>28</v>
      </c>
      <c r="F35" s="14">
        <v>1</v>
      </c>
      <c r="G35" s="66" t="s">
        <v>28</v>
      </c>
      <c r="H35" s="14">
        <v>2</v>
      </c>
      <c r="I35" s="66" t="s">
        <v>28</v>
      </c>
      <c r="J35" s="14">
        <v>3</v>
      </c>
      <c r="K35" s="65" t="s">
        <v>29</v>
      </c>
      <c r="L35" s="65" t="s">
        <v>0</v>
      </c>
      <c r="M35" s="15" t="s">
        <v>42</v>
      </c>
    </row>
    <row r="36" spans="2:15">
      <c r="B36" s="12" t="s">
        <v>2</v>
      </c>
      <c r="C36" s="7"/>
      <c r="D36" s="49">
        <f>D5*D10*D20*D25+D26*D20</f>
        <v>2490368</v>
      </c>
      <c r="E36" s="49">
        <f>E25*E20*E5</f>
        <v>64800</v>
      </c>
      <c r="F36" s="49">
        <f>F5*F10*F20*F25+F26*F20</f>
        <v>2884096</v>
      </c>
      <c r="G36" s="49">
        <f>G25*G20*G5</f>
        <v>7056</v>
      </c>
      <c r="H36" s="49">
        <f>H5*H10*H20*H25+H26*H20</f>
        <v>629248</v>
      </c>
      <c r="I36" s="49">
        <f>I25*I20*I5</f>
        <v>2592</v>
      </c>
      <c r="J36" s="49">
        <f>J5*J10*J20*J25+J26*J20</f>
        <v>0</v>
      </c>
      <c r="K36" s="49">
        <f>SUM(D36:J36)</f>
        <v>6078160</v>
      </c>
      <c r="L36" s="49">
        <f>K5*K10*K20*K25</f>
        <v>2880</v>
      </c>
      <c r="M36" s="62">
        <f>SUM(K36:L36)</f>
        <v>6081040</v>
      </c>
    </row>
    <row r="37" spans="2:15" ht="17" thickBot="1">
      <c r="B37" s="13" t="s">
        <v>1</v>
      </c>
      <c r="C37" s="11"/>
      <c r="D37" s="52">
        <f>D6*D11*D21*D26+D26*D21</f>
        <v>1720320</v>
      </c>
      <c r="E37" s="52">
        <f>E26*E21*E6</f>
        <v>61440</v>
      </c>
      <c r="F37" s="52">
        <f>F6*F11*F21*F26+F26*F21</f>
        <v>8309760</v>
      </c>
      <c r="G37" s="52">
        <f>G26*G21*G6</f>
        <v>15360</v>
      </c>
      <c r="H37" s="52">
        <f>H6*H11*H21*H26+H26*H21</f>
        <v>1938944</v>
      </c>
      <c r="I37" s="52">
        <f>I26*I21*I6</f>
        <v>3584</v>
      </c>
      <c r="J37" s="52">
        <f>J6*J11*J21*J26+J26*J21</f>
        <v>96960</v>
      </c>
      <c r="K37" s="52">
        <f>SUM(D37:J37)</f>
        <v>12146368</v>
      </c>
      <c r="L37" s="53">
        <f>K6*K11*K21*K26</f>
        <v>1920</v>
      </c>
      <c r="M37" s="63">
        <f>K37</f>
        <v>12146368</v>
      </c>
    </row>
    <row r="38" spans="2:15">
      <c r="B38" s="7"/>
      <c r="C38" s="7"/>
      <c r="D38" s="49"/>
      <c r="F38" s="49"/>
      <c r="H38" s="49"/>
      <c r="J38" s="49"/>
      <c r="K38" s="49"/>
      <c r="L38" s="50"/>
      <c r="M38" s="51"/>
    </row>
    <row r="39" spans="2:15" ht="17" thickBot="1"/>
    <row r="40" spans="2:15">
      <c r="B40" s="3" t="s">
        <v>35</v>
      </c>
      <c r="C40" s="54"/>
      <c r="D40" s="3" t="s">
        <v>20</v>
      </c>
      <c r="E40" s="4"/>
      <c r="F40" s="4"/>
      <c r="G40" s="4"/>
      <c r="H40" s="4"/>
      <c r="I40" s="4"/>
      <c r="J40" s="4"/>
      <c r="K40" s="4"/>
      <c r="L40" s="5"/>
      <c r="N40" s="59" t="s">
        <v>45</v>
      </c>
      <c r="O40" s="5"/>
    </row>
    <row r="41" spans="2:15">
      <c r="B41" s="6" t="s">
        <v>26</v>
      </c>
      <c r="C41" s="55" t="s">
        <v>18</v>
      </c>
      <c r="D41" s="45" t="s">
        <v>37</v>
      </c>
      <c r="E41" s="40" t="s">
        <v>6</v>
      </c>
      <c r="F41" s="14" t="s">
        <v>38</v>
      </c>
      <c r="G41" s="42" t="s">
        <v>12</v>
      </c>
      <c r="H41" s="14" t="s">
        <v>15</v>
      </c>
      <c r="I41" s="40" t="s">
        <v>13</v>
      </c>
      <c r="J41" s="40" t="s">
        <v>8</v>
      </c>
      <c r="K41" s="14" t="s">
        <v>10</v>
      </c>
      <c r="L41" s="16" t="s">
        <v>11</v>
      </c>
      <c r="N41" s="39" t="s">
        <v>19</v>
      </c>
      <c r="O41" s="16" t="s">
        <v>23</v>
      </c>
    </row>
    <row r="42" spans="2:15">
      <c r="B42" s="12" t="s">
        <v>22</v>
      </c>
      <c r="C42" s="7">
        <v>96</v>
      </c>
      <c r="D42" s="46">
        <f>M31</f>
        <v>5967680</v>
      </c>
      <c r="E42" s="25">
        <v>236.54</v>
      </c>
      <c r="F42" s="7">
        <f t="shared" ref="F42:F47" si="0">E42/1000/D42</f>
        <v>3.9636843798595096E-8</v>
      </c>
      <c r="G42" s="33">
        <f t="shared" ref="G42:G47" si="1">1/F42</f>
        <v>25229052.168766383</v>
      </c>
      <c r="H42" s="33">
        <f>G42/C42</f>
        <v>262802.62675798318</v>
      </c>
      <c r="I42" s="44">
        <f>E42*J42</f>
        <v>2649.2479999999996</v>
      </c>
      <c r="J42" s="26">
        <v>11.2</v>
      </c>
      <c r="K42" s="57">
        <f>I42/D42/1000000</f>
        <v>4.4393265054426499E-10</v>
      </c>
      <c r="L42" s="56">
        <f>1/K42</f>
        <v>2252593943.6398563</v>
      </c>
      <c r="N42" s="12"/>
      <c r="O42" s="9"/>
    </row>
    <row r="43" spans="2:15">
      <c r="B43" s="12" t="s">
        <v>16</v>
      </c>
      <c r="C43" s="7">
        <f>121.95/4</f>
        <v>30.487500000000001</v>
      </c>
      <c r="D43" s="47">
        <f>M32</f>
        <v>11985408</v>
      </c>
      <c r="E43" s="27">
        <v>2.809812</v>
      </c>
      <c r="F43" s="7">
        <f t="shared" si="0"/>
        <v>2.3443607426630781E-10</v>
      </c>
      <c r="G43" s="33">
        <f t="shared" si="1"/>
        <v>4265555133.2259955</v>
      </c>
      <c r="H43" s="33">
        <f>G43/C43</f>
        <v>139911607.4858875</v>
      </c>
      <c r="I43" s="19"/>
      <c r="J43" s="17"/>
      <c r="K43" s="7"/>
      <c r="L43" s="23"/>
      <c r="N43" s="12"/>
      <c r="O43" s="9"/>
    </row>
    <row r="44" spans="2:15">
      <c r="B44" s="12" t="s">
        <v>17</v>
      </c>
      <c r="C44" s="7">
        <f>31.44/2</f>
        <v>15.72</v>
      </c>
      <c r="D44" s="47">
        <f>M32</f>
        <v>11985408</v>
      </c>
      <c r="E44" s="27">
        <v>5.4</v>
      </c>
      <c r="F44" s="7">
        <f t="shared" si="0"/>
        <v>4.5054786620530567E-10</v>
      </c>
      <c r="G44" s="33">
        <f t="shared" si="1"/>
        <v>2219520000</v>
      </c>
      <c r="H44" s="33">
        <f>G44/C44</f>
        <v>141190839.69465649</v>
      </c>
      <c r="I44" s="20">
        <v>43</v>
      </c>
      <c r="J44" s="26">
        <f>I44/E44</f>
        <v>7.9629629629629628</v>
      </c>
      <c r="K44" s="57">
        <f>I44/D44/1000000</f>
        <v>3.5876959716348413E-12</v>
      </c>
      <c r="L44" s="21">
        <f>1/K44</f>
        <v>278730418604.65118</v>
      </c>
      <c r="N44" s="35">
        <f>K$42/K44</f>
        <v>123.7375335184753</v>
      </c>
      <c r="O44" s="36">
        <f>H44/H$42</f>
        <v>537.25048884187959</v>
      </c>
    </row>
    <row r="45" spans="2:15">
      <c r="B45" s="12" t="s">
        <v>21</v>
      </c>
      <c r="C45" s="24">
        <f>100/2</f>
        <v>50</v>
      </c>
      <c r="D45" s="47">
        <f>M32</f>
        <v>11985408</v>
      </c>
      <c r="E45" s="27">
        <v>1.7</v>
      </c>
      <c r="F45" s="7">
        <f t="shared" si="0"/>
        <v>1.4183914306463326E-10</v>
      </c>
      <c r="G45" s="33">
        <f t="shared" si="1"/>
        <v>7050240000</v>
      </c>
      <c r="H45" s="33">
        <f>G45/C45</f>
        <v>141004800</v>
      </c>
      <c r="I45" s="20">
        <v>34.6</v>
      </c>
      <c r="J45" s="26">
        <f>I45/E45</f>
        <v>20.352941176470591</v>
      </c>
      <c r="K45" s="57">
        <f>I45/D45/1000000</f>
        <v>2.886843735315477E-12</v>
      </c>
      <c r="L45" s="21">
        <f>1/K45</f>
        <v>346399075144.50867</v>
      </c>
      <c r="N45" s="35">
        <f>K$42/K45</f>
        <v>153.77785957498375</v>
      </c>
      <c r="O45" s="36">
        <f>H45/H$42</f>
        <v>536.54258231540564</v>
      </c>
    </row>
    <row r="46" spans="2:15">
      <c r="B46" s="12" t="s">
        <v>24</v>
      </c>
      <c r="C46" s="7">
        <f>31.44/2</f>
        <v>15.72</v>
      </c>
      <c r="D46" s="47">
        <f>M32</f>
        <v>11985408</v>
      </c>
      <c r="E46" s="27">
        <v>5.4</v>
      </c>
      <c r="F46" s="7">
        <f t="shared" si="0"/>
        <v>4.5054786620530567E-10</v>
      </c>
      <c r="G46" s="33">
        <f t="shared" si="1"/>
        <v>2219520000</v>
      </c>
      <c r="H46" s="33">
        <f>G46/C46</f>
        <v>141190839.69465649</v>
      </c>
      <c r="I46" s="20">
        <v>26.6</v>
      </c>
      <c r="J46" s="26">
        <f>I46/E46</f>
        <v>4.9259259259259256</v>
      </c>
      <c r="K46" s="57">
        <f>I46/D46/1000000</f>
        <v>2.2193654150113206E-12</v>
      </c>
      <c r="L46" s="21">
        <f>1/K46</f>
        <v>450579248120.30072</v>
      </c>
      <c r="N46" s="35">
        <f>K$42/K46</f>
        <v>200.02683989828714</v>
      </c>
      <c r="O46" s="36">
        <f>H46/H$42</f>
        <v>537.25048884187959</v>
      </c>
    </row>
    <row r="47" spans="2:15" ht="17" thickBot="1">
      <c r="B47" s="22" t="s">
        <v>25</v>
      </c>
      <c r="C47" s="32">
        <f>46/2</f>
        <v>23</v>
      </c>
      <c r="D47" s="48">
        <f>M32</f>
        <v>11985408</v>
      </c>
      <c r="E47" s="41">
        <v>3.7</v>
      </c>
      <c r="F47" s="11">
        <f t="shared" si="0"/>
        <v>3.0870872314067238E-10</v>
      </c>
      <c r="G47" s="34">
        <f t="shared" si="1"/>
        <v>3239299459.4594598</v>
      </c>
      <c r="H47" s="34">
        <f>G47/C47</f>
        <v>140839106.93302</v>
      </c>
      <c r="I47" s="60">
        <v>18.5</v>
      </c>
      <c r="J47" s="43">
        <f>I47/E47</f>
        <v>5</v>
      </c>
      <c r="K47" s="58">
        <f>I47/D47/1000000</f>
        <v>1.5435436157033621E-12</v>
      </c>
      <c r="L47" s="18">
        <f>1/K47</f>
        <v>647859891891.89185</v>
      </c>
      <c r="N47" s="37">
        <f>K$42/K47</f>
        <v>287.60615898888852</v>
      </c>
      <c r="O47" s="38">
        <f>H47/H$42</f>
        <v>535.91209749482357</v>
      </c>
    </row>
    <row r="49" spans="2:15" ht="17" thickBot="1"/>
    <row r="50" spans="2:15">
      <c r="B50" s="3" t="s">
        <v>36</v>
      </c>
      <c r="C50" s="54"/>
      <c r="D50" s="3" t="s">
        <v>20</v>
      </c>
      <c r="E50" s="4"/>
      <c r="F50" s="4"/>
      <c r="G50" s="4"/>
      <c r="H50" s="4"/>
      <c r="I50" s="4"/>
      <c r="J50" s="4"/>
      <c r="K50" s="4"/>
      <c r="L50" s="5"/>
      <c r="N50" s="59" t="s">
        <v>44</v>
      </c>
      <c r="O50" s="5"/>
    </row>
    <row r="51" spans="2:15">
      <c r="B51" s="6" t="s">
        <v>26</v>
      </c>
      <c r="C51" s="55" t="s">
        <v>18</v>
      </c>
      <c r="D51" s="45" t="s">
        <v>31</v>
      </c>
      <c r="E51" s="40" t="s">
        <v>6</v>
      </c>
      <c r="F51" s="14" t="s">
        <v>39</v>
      </c>
      <c r="G51" s="42" t="s">
        <v>30</v>
      </c>
      <c r="H51" s="14" t="s">
        <v>32</v>
      </c>
      <c r="I51" s="40" t="s">
        <v>13</v>
      </c>
      <c r="J51" s="40" t="s">
        <v>8</v>
      </c>
      <c r="K51" s="14" t="s">
        <v>33</v>
      </c>
      <c r="L51" s="16" t="s">
        <v>34</v>
      </c>
      <c r="N51" s="39" t="s">
        <v>19</v>
      </c>
      <c r="O51" s="16" t="s">
        <v>23</v>
      </c>
    </row>
    <row r="52" spans="2:15">
      <c r="B52" s="12" t="s">
        <v>22</v>
      </c>
      <c r="C52" s="7">
        <v>96</v>
      </c>
      <c r="D52" s="46">
        <f>M36</f>
        <v>6081040</v>
      </c>
      <c r="E52" s="25">
        <v>236.54</v>
      </c>
      <c r="F52" s="7">
        <f t="shared" ref="F52:F57" si="2">E52/1000/D52</f>
        <v>3.8897951666162365E-8</v>
      </c>
      <c r="G52" s="33">
        <f t="shared" ref="G52:G57" si="3">1/F52</f>
        <v>25708294.580197852</v>
      </c>
      <c r="H52" s="33">
        <f>G52/C52</f>
        <v>267794.73521039431</v>
      </c>
      <c r="I52" s="44">
        <f>E52*J52</f>
        <v>2649.2479999999996</v>
      </c>
      <c r="J52" s="26">
        <v>11.2</v>
      </c>
      <c r="K52" s="57">
        <f>I52/D52/1000000</f>
        <v>4.356570586610184E-10</v>
      </c>
      <c r="L52" s="56">
        <f>1/K52</f>
        <v>2295383444.6605229</v>
      </c>
      <c r="N52" s="12"/>
      <c r="O52" s="9"/>
    </row>
    <row r="53" spans="2:15">
      <c r="B53" s="12" t="s">
        <v>16</v>
      </c>
      <c r="C53" s="7">
        <f>121.95/4</f>
        <v>30.487500000000001</v>
      </c>
      <c r="D53" s="47">
        <f>M37</f>
        <v>12146368</v>
      </c>
      <c r="E53" s="27">
        <v>2.809812</v>
      </c>
      <c r="F53" s="7">
        <f t="shared" si="2"/>
        <v>2.3132939822010991E-10</v>
      </c>
      <c r="G53" s="33">
        <f t="shared" si="3"/>
        <v>4322840104.6048632</v>
      </c>
      <c r="H53" s="33">
        <f>G53/C53</f>
        <v>141790573.33677289</v>
      </c>
      <c r="I53" s="19"/>
      <c r="J53" s="17"/>
      <c r="K53" s="7"/>
      <c r="L53" s="23"/>
      <c r="N53" s="12"/>
      <c r="O53" s="9"/>
    </row>
    <row r="54" spans="2:15">
      <c r="B54" s="12" t="s">
        <v>17</v>
      </c>
      <c r="C54" s="7">
        <f>31.44/2</f>
        <v>15.72</v>
      </c>
      <c r="D54" s="47">
        <f>M37</f>
        <v>12146368</v>
      </c>
      <c r="E54" s="27">
        <v>5.4</v>
      </c>
      <c r="F54" s="7">
        <f t="shared" si="2"/>
        <v>4.4457734196757422E-10</v>
      </c>
      <c r="G54" s="33">
        <f t="shared" si="3"/>
        <v>2249327407.4074073</v>
      </c>
      <c r="H54" s="33">
        <f>G54/C54</f>
        <v>143086985.20403352</v>
      </c>
      <c r="I54" s="20">
        <v>43</v>
      </c>
      <c r="J54" s="26">
        <f>I54/E54</f>
        <v>7.9629629629629628</v>
      </c>
      <c r="K54" s="57">
        <f>I54/D54/1000000</f>
        <v>3.5401529082603129E-12</v>
      </c>
      <c r="L54" s="21">
        <f>1/K54</f>
        <v>282473674418.60468</v>
      </c>
      <c r="N54" s="35">
        <f>K$42/K54</f>
        <v>125.39928699362891</v>
      </c>
      <c r="O54" s="36">
        <f>H54/H$42</f>
        <v>544.46558228583979</v>
      </c>
    </row>
    <row r="55" spans="2:15">
      <c r="B55" s="12" t="s">
        <v>21</v>
      </c>
      <c r="C55" s="24">
        <f>100/2</f>
        <v>50</v>
      </c>
      <c r="D55" s="47">
        <f>M37</f>
        <v>12146368</v>
      </c>
      <c r="E55" s="27">
        <v>1.7</v>
      </c>
      <c r="F55" s="7">
        <f t="shared" si="2"/>
        <v>1.3995953358238445E-10</v>
      </c>
      <c r="G55" s="33">
        <f t="shared" si="3"/>
        <v>7144922352.9411764</v>
      </c>
      <c r="H55" s="33">
        <f>G55/C55</f>
        <v>142898447.05882353</v>
      </c>
      <c r="I55" s="20">
        <v>34.6</v>
      </c>
      <c r="J55" s="26">
        <f>I55/E55</f>
        <v>20.352941176470591</v>
      </c>
      <c r="K55" s="57">
        <f>I55/D55/1000000</f>
        <v>2.8485881540885306E-12</v>
      </c>
      <c r="L55" s="21">
        <f>1/K55</f>
        <v>351051098265.896</v>
      </c>
      <c r="N55" s="35">
        <f>K$42/K55</f>
        <v>155.84304452965443</v>
      </c>
      <c r="O55" s="36">
        <f>H55/H$42</f>
        <v>543.74816881271022</v>
      </c>
    </row>
    <row r="56" spans="2:15">
      <c r="B56" s="12" t="s">
        <v>24</v>
      </c>
      <c r="C56" s="7">
        <f>31.44/2</f>
        <v>15.72</v>
      </c>
      <c r="D56" s="47">
        <f>M37</f>
        <v>12146368</v>
      </c>
      <c r="E56" s="27">
        <v>5.4</v>
      </c>
      <c r="F56" s="7">
        <f t="shared" si="2"/>
        <v>4.4457734196757422E-10</v>
      </c>
      <c r="G56" s="33">
        <f t="shared" si="3"/>
        <v>2249327407.4074073</v>
      </c>
      <c r="H56" s="33">
        <f>G56/C56</f>
        <v>143086985.20403352</v>
      </c>
      <c r="I56" s="20">
        <v>26.6</v>
      </c>
      <c r="J56" s="26">
        <f>I56/E56</f>
        <v>4.9259259259259256</v>
      </c>
      <c r="K56" s="57">
        <f>I56/D56/1000000</f>
        <v>2.1899550548773102E-12</v>
      </c>
      <c r="L56" s="21">
        <f>1/K56</f>
        <v>456630375939.84955</v>
      </c>
      <c r="N56" s="35">
        <f>K$42/K56</f>
        <v>202.71313311000159</v>
      </c>
      <c r="O56" s="36">
        <f>H56/H$42</f>
        <v>544.46558228583979</v>
      </c>
    </row>
    <row r="57" spans="2:15" ht="17" thickBot="1">
      <c r="B57" s="22" t="s">
        <v>25</v>
      </c>
      <c r="C57" s="32">
        <f>46/2</f>
        <v>23</v>
      </c>
      <c r="D57" s="48">
        <f>M37</f>
        <v>12146368</v>
      </c>
      <c r="E57" s="41">
        <v>3.7</v>
      </c>
      <c r="F57" s="11">
        <f t="shared" si="2"/>
        <v>3.0461780838518974E-10</v>
      </c>
      <c r="G57" s="34">
        <f t="shared" si="3"/>
        <v>3282802162.1621618</v>
      </c>
      <c r="H57" s="34">
        <f>G57/C57</f>
        <v>142730528.7896592</v>
      </c>
      <c r="I57" s="60">
        <v>18.5</v>
      </c>
      <c r="J57" s="43">
        <f>I57/E57</f>
        <v>5</v>
      </c>
      <c r="K57" s="58">
        <f>I57/D57/1000000</f>
        <v>1.5230890419259486E-12</v>
      </c>
      <c r="L57" s="18">
        <f>1/K57</f>
        <v>656560432432.43237</v>
      </c>
      <c r="N57" s="37">
        <f>K$42/K57</f>
        <v>291.46861301221855</v>
      </c>
      <c r="O57" s="38">
        <f>H57/H$42</f>
        <v>543.10921679295382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Muchsel</dc:creator>
  <cp:lastModifiedBy>Robert Muchsel</cp:lastModifiedBy>
  <dcterms:created xsi:type="dcterms:W3CDTF">2019-06-03T20:08:31Z</dcterms:created>
  <dcterms:modified xsi:type="dcterms:W3CDTF">2019-06-19T14:27:16Z</dcterms:modified>
</cp:coreProperties>
</file>