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B8BE5D7-4E9C-4B60-B2A3-F09D9F8BC745}" xr6:coauthVersionLast="45" xr6:coauthVersionMax="45" xr10:uidLastSave="{00000000-0000-0000-0000-000000000000}"/>
  <bookViews>
    <workbookView xWindow="20370" yWindow="-120" windowWidth="15600" windowHeight="11760" xr2:uid="{00000000-000D-0000-FFFF-FFFF00000000}"/>
  </bookViews>
  <sheets>
    <sheet name="Лист1" sheetId="4" r:id="rId1"/>
    <sheet name="Лист2" sheetId="6" r:id="rId2"/>
    <sheet name="Лист3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4" l="1"/>
  <c r="E7" i="4"/>
  <c r="E10" i="4"/>
  <c r="C34" i="4"/>
  <c r="C32" i="4"/>
  <c r="D32" i="4"/>
  <c r="C33" i="4"/>
  <c r="C35" i="4"/>
  <c r="B8" i="4"/>
  <c r="E3" i="4" l="1"/>
  <c r="B7" i="4"/>
  <c r="I3" i="4" l="1"/>
  <c r="I4" i="4"/>
  <c r="I10" i="4" l="1"/>
  <c r="I2" i="4" l="1"/>
  <c r="I5" i="4" s="1"/>
  <c r="I9" i="4" l="1"/>
  <c r="I6" i="4"/>
  <c r="I11" i="4"/>
  <c r="I12" i="4"/>
  <c r="I13" i="4" l="1"/>
  <c r="E1" i="4" l="1"/>
  <c r="E5" i="4"/>
  <c r="F5" i="4" s="1"/>
  <c r="E8" i="4"/>
  <c r="E14" i="4" l="1"/>
</calcChain>
</file>

<file path=xl/sharedStrings.xml><?xml version="1.0" encoding="utf-8"?>
<sst xmlns="http://schemas.openxmlformats.org/spreadsheetml/2006/main" count="37" uniqueCount="34">
  <si>
    <t>х</t>
  </si>
  <si>
    <t>у</t>
  </si>
  <si>
    <t>ИТОГО</t>
  </si>
  <si>
    <t>ФЗП АУП</t>
  </si>
  <si>
    <t>Сумма</t>
  </si>
  <si>
    <t>Накладные расходы по проекты - 10% от ФЗП АУП</t>
  </si>
  <si>
    <t>Плановое ежемесячное гашение кредита</t>
  </si>
  <si>
    <t>Выплата среднего банковского процента</t>
  </si>
  <si>
    <t>Прочие расходы - 10% от накладных расходов</t>
  </si>
  <si>
    <t>Основная зарплата спец.</t>
  </si>
  <si>
    <t>Страховые взносы</t>
  </si>
  <si>
    <t>Компл. и расходные материалы</t>
  </si>
  <si>
    <t xml:space="preserve">Накладные расходы отд. маркетинга </t>
  </si>
  <si>
    <t xml:space="preserve">Скидка </t>
  </si>
  <si>
    <t>Сок</t>
  </si>
  <si>
    <t>P</t>
  </si>
  <si>
    <t>Параметр</t>
  </si>
  <si>
    <t>Значение</t>
  </si>
  <si>
    <t>Стоимость продажи одной копии</t>
  </si>
  <si>
    <t>Xo</t>
  </si>
  <si>
    <t>Sm</t>
  </si>
  <si>
    <t>Xd</t>
  </si>
  <si>
    <t>Xn</t>
  </si>
  <si>
    <t>Договорная цена ПС</t>
  </si>
  <si>
    <t>Срок месяцев (Д)</t>
  </si>
  <si>
    <t>Процент годовых</t>
  </si>
  <si>
    <t>Объем рынка продаж</t>
  </si>
  <si>
    <t>Доп прибыль</t>
  </si>
  <si>
    <t>ЗП отдела маркетинга</t>
  </si>
  <si>
    <t>Оклад директора</t>
  </si>
  <si>
    <t>Оклад секретаря</t>
  </si>
  <si>
    <t>Оклад глав. бухгалтера</t>
  </si>
  <si>
    <t>Наименование расходов</t>
  </si>
  <si>
    <t>увелич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</si>
</sst>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9" fontId="1" fillId="0" borderId="1" xfId="0" applyNumberFormat="1" applyFont="1" applyBorder="1"/>
    <xf numFmtId="0" fontId="1" fillId="0" borderId="2" xfId="0" applyFont="1" applyBorder="1" applyAlignment="1">
      <alignment wrapText="1"/>
    </xf>
    <xf numFmtId="0" fontId="3" fillId="0" borderId="0" xfId="0" applyFont="1"/>
    <xf numFmtId="0" fontId="3" fillId="0" borderId="3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9" fontId="1" fillId="0" borderId="1" xfId="1" applyFont="1" applyBorder="1"/>
    <xf numFmtId="164" fontId="1" fillId="0" borderId="1" xfId="0" applyNumberFormat="1" applyFont="1" applyBorder="1"/>
    <xf numFmtId="0" fontId="3" fillId="2" borderId="1" xfId="0" applyFont="1" applyFill="1" applyBorder="1"/>
    <xf numFmtId="0" fontId="4" fillId="0" borderId="1" xfId="0" applyFont="1" applyBorder="1"/>
    <xf numFmtId="0" fontId="1" fillId="0" borderId="1" xfId="0" applyNumberFormat="1" applyFon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197636336618318E-2"/>
          <c:y val="2.6666661576394832E-2"/>
          <c:w val="0.8845334848611961"/>
          <c:h val="0.91709512439129093"/>
        </c:manualLayout>
      </c:layout>
      <c:scatterChart>
        <c:scatterStyle val="lineMarker"/>
        <c:varyColors val="0"/>
        <c:ser>
          <c:idx val="0"/>
          <c:order val="0"/>
          <c:tx>
            <c:v>Постоянные издрежки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Лист1!$B$31:$B$32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(Лист1!$I$6,Лист1!$I$6)</c:f>
              <c:numCache>
                <c:formatCode>General</c:formatCode>
                <c:ptCount val="2"/>
                <c:pt idx="0">
                  <c:v>139945.97163333333</c:v>
                </c:pt>
                <c:pt idx="1">
                  <c:v>139945.97163333333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6A-4F20-8E0E-25EB29359BF9}"/>
            </c:ext>
          </c:extLst>
        </c:ser>
        <c:ser>
          <c:idx val="1"/>
          <c:order val="1"/>
          <c:tx>
            <c:v>Переменные издержки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Лист1!$B$31:$B$32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(Лист1!$C$31,Лист1!$D$32)</c:f>
              <c:numCache>
                <c:formatCode>General</c:formatCode>
                <c:ptCount val="2"/>
                <c:pt idx="0">
                  <c:v>0</c:v>
                </c:pt>
                <c:pt idx="1">
                  <c:v>1304184.1199999999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6A-4F20-8E0E-25EB29359BF9}"/>
            </c:ext>
          </c:extLst>
        </c:ser>
        <c:ser>
          <c:idx val="2"/>
          <c:order val="2"/>
          <c:tx>
            <c:v>Доход от продаж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Лист1!$B$31:$B$32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(Лист1!$C$31,Лист1!$C$33)</c:f>
              <c:numCache>
                <c:formatCode>General</c:formatCode>
                <c:ptCount val="2"/>
                <c:pt idx="0">
                  <c:v>0</c:v>
                </c:pt>
                <c:pt idx="1">
                  <c:v>1482492.8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6A-4F20-8E0E-25EB29359BF9}"/>
            </c:ext>
          </c:extLst>
        </c:ser>
        <c:ser>
          <c:idx val="3"/>
          <c:order val="3"/>
          <c:tx>
            <c:v>Общие издержки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Лист1!$B$31:$B$32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Лист1!$C$34:$C$35</c:f>
              <c:numCache>
                <c:formatCode>General</c:formatCode>
                <c:ptCount val="2"/>
                <c:pt idx="0">
                  <c:v>139945.97163333333</c:v>
                </c:pt>
                <c:pt idx="1">
                  <c:v>1444130.0916333331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6A-4F20-8E0E-25EB29359BF9}"/>
            </c:ext>
          </c:extLst>
        </c:ser>
        <c:ser>
          <c:idx val="4"/>
          <c:order val="4"/>
          <c:tx>
            <c:v>Пересечение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  <a:prstDash val="dashDot"/>
                </a:ln>
                <a:effectLst/>
              </c:spPr>
            </c:marker>
            <c:bubble3D val="0"/>
            <c:spPr>
              <a:ln w="19050" cap="rnd">
                <a:solidFill>
                  <a:schemeClr val="accent5"/>
                </a:solidFill>
                <a:prstDash val="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6C6A-4F20-8E0E-25EB29359BF9}"/>
              </c:ext>
            </c:extLst>
          </c:dPt>
          <c:xVal>
            <c:numRef>
              <c:f>(Лист1!$E$5,Лист1!$E$5)</c:f>
              <c:numCache>
                <c:formatCode>General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(Лист1!$C$31,Лист1!$F$5)</c:f>
              <c:numCache>
                <c:formatCode>General</c:formatCode>
                <c:ptCount val="2"/>
                <c:pt idx="0">
                  <c:v>0</c:v>
                </c:pt>
                <c:pt idx="1">
                  <c:v>1185994.24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C6A-4F20-8E0E-25EB29359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196335"/>
        <c:axId val="1689482671"/>
      </c:scatterChart>
      <c:valAx>
        <c:axId val="1684196335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482671"/>
        <c:crosses val="autoZero"/>
        <c:crossBetween val="midCat"/>
      </c:valAx>
      <c:valAx>
        <c:axId val="168948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4196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965766195531528"/>
          <c:y val="9.9544719724224323E-2"/>
          <c:w val="0.242094265164494"/>
          <c:h val="0.203870916189128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457199</xdr:colOff>
      <xdr:row>17</xdr:row>
      <xdr:rowOff>66674</xdr:rowOff>
    </xdr:from>
    <xdr:to>
      <xdr:col>8</xdr:col>
      <xdr:colOff>561975</xdr:colOff>
      <xdr:row>44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49EC365-FEDA-4EAB-A411-50FAFFA1F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B1" zoomScale="85" zoomScaleNormal="85" workbookViewId="0">
      <selection activeCell="F12" sqref="F12"/>
    </sheetView>
  </sheetViews>
  <sheetFormatPr defaultRowHeight="15" x14ac:dyDescent="0.25"/>
  <cols>
    <col min="1" max="1" width="36" customWidth="1"/>
    <col min="2" max="2" width="12.28515625" customWidth="1"/>
    <col min="3" max="3" width="11.85546875" customWidth="1"/>
    <col min="4" max="4" width="11.85546875" bestFit="1" customWidth="1"/>
    <col min="5" max="5" width="12" customWidth="1"/>
    <col min="6" max="6" width="12.28515625" customWidth="1"/>
    <col min="7" max="7" width="11.28515625" customWidth="1"/>
    <col min="8" max="8" width="57.42578125" customWidth="1"/>
  </cols>
  <sheetData>
    <row r="1" spans="1:9" ht="16.5" thickBot="1" x14ac:dyDescent="0.3">
      <c r="A1" s="10" t="s">
        <v>16</v>
      </c>
      <c r="B1" s="9" t="s">
        <v>17</v>
      </c>
      <c r="D1" s="10" t="s">
        <v>15</v>
      </c>
      <c r="E1" s="3">
        <f>ROUNDUP((B8-I13)*B5-I6,2)</f>
        <v>38362.71</v>
      </c>
      <c r="F1" s="4"/>
      <c r="H1" s="15" t="s">
        <v>32</v>
      </c>
      <c r="I1" s="15" t="s">
        <v>4</v>
      </c>
    </row>
    <row r="2" spans="1:9" ht="16.5" thickBot="1" x14ac:dyDescent="0.3">
      <c r="A2" s="5" t="s">
        <v>23</v>
      </c>
      <c r="B2" s="3">
        <v>926557.88</v>
      </c>
      <c r="D2" s="8"/>
      <c r="E2" s="4"/>
      <c r="F2" s="4"/>
      <c r="H2" s="5" t="s">
        <v>5</v>
      </c>
      <c r="I2" s="3">
        <f>E3*0.1</f>
        <v>10000</v>
      </c>
    </row>
    <row r="3" spans="1:9" ht="16.5" thickBot="1" x14ac:dyDescent="0.3">
      <c r="A3" s="3" t="s">
        <v>24</v>
      </c>
      <c r="B3" s="3">
        <v>8</v>
      </c>
      <c r="C3" s="2"/>
      <c r="D3" s="11" t="s">
        <v>3</v>
      </c>
      <c r="E3" s="3">
        <f>SUM(B9:B11)</f>
        <v>100000</v>
      </c>
      <c r="F3" s="4"/>
      <c r="H3" s="5" t="s">
        <v>6</v>
      </c>
      <c r="I3" s="3">
        <f>B2/B3</f>
        <v>115819.735</v>
      </c>
    </row>
    <row r="4" spans="1:9" ht="17.25" customHeight="1" thickBot="1" x14ac:dyDescent="0.3">
      <c r="A4" s="5" t="s">
        <v>25</v>
      </c>
      <c r="B4" s="6">
        <v>0.17</v>
      </c>
      <c r="D4" s="8"/>
      <c r="E4" s="4"/>
      <c r="F4" s="4"/>
      <c r="H4" s="5" t="s">
        <v>7</v>
      </c>
      <c r="I4" s="3">
        <f>B2*B4/12</f>
        <v>13126.236633333334</v>
      </c>
    </row>
    <row r="5" spans="1:9" ht="17.25" customHeight="1" thickBot="1" x14ac:dyDescent="0.3">
      <c r="A5" s="5" t="s">
        <v>26</v>
      </c>
      <c r="B5" s="3">
        <v>20</v>
      </c>
      <c r="D5" s="10" t="s">
        <v>19</v>
      </c>
      <c r="E5" s="3">
        <f>ROUNDUP(I6/(B8-I13),0)</f>
        <v>16</v>
      </c>
      <c r="F5" s="3">
        <f>E5*B8</f>
        <v>1185994.24</v>
      </c>
      <c r="H5" s="5" t="s">
        <v>8</v>
      </c>
      <c r="I5" s="3">
        <f>I2*0.1</f>
        <v>1000</v>
      </c>
    </row>
    <row r="6" spans="1:9" ht="17.25" customHeight="1" thickBot="1" x14ac:dyDescent="0.3">
      <c r="A6" s="5" t="s">
        <v>27</v>
      </c>
      <c r="B6" s="3">
        <v>200000</v>
      </c>
      <c r="D6" s="8"/>
      <c r="E6" s="4"/>
      <c r="F6" s="4"/>
      <c r="H6" s="11" t="s">
        <v>2</v>
      </c>
      <c r="I6" s="10">
        <f>SUM(I2:I5)</f>
        <v>139945.97163333333</v>
      </c>
    </row>
    <row r="7" spans="1:9" ht="18" customHeight="1" thickBot="1" x14ac:dyDescent="0.3">
      <c r="A7" s="5" t="s">
        <v>28</v>
      </c>
      <c r="B7" s="3">
        <f>ROUNDUP(B8*0.45,2)</f>
        <v>33356.090000000004</v>
      </c>
      <c r="D7" s="10" t="s">
        <v>20</v>
      </c>
      <c r="E7" s="3">
        <f>ROUNDUP((I6+I13*B5)/B5,2)</f>
        <v>72206.509999999995</v>
      </c>
      <c r="F7" s="4"/>
    </row>
    <row r="8" spans="1:9" ht="16.5" customHeight="1" thickBot="1" x14ac:dyDescent="0.3">
      <c r="A8" s="7" t="s">
        <v>18</v>
      </c>
      <c r="B8" s="3">
        <f>ROUNDUP(B2*0.08,2)</f>
        <v>74124.639999999999</v>
      </c>
      <c r="C8" t="s">
        <v>33</v>
      </c>
      <c r="D8" s="10" t="s">
        <v>13</v>
      </c>
      <c r="E8" s="13">
        <f>(100%-(E7*100%/B8))</f>
        <v>2.5877090263102809E-2</v>
      </c>
      <c r="F8" s="4"/>
      <c r="H8" s="15" t="s">
        <v>32</v>
      </c>
      <c r="I8" s="15" t="s">
        <v>4</v>
      </c>
    </row>
    <row r="9" spans="1:9" ht="16.5" customHeight="1" thickBot="1" x14ac:dyDescent="0.3">
      <c r="A9" s="5" t="s">
        <v>29</v>
      </c>
      <c r="B9" s="3">
        <v>50000</v>
      </c>
      <c r="D9" s="8"/>
      <c r="E9" s="4"/>
      <c r="F9" s="4"/>
      <c r="H9" s="3" t="s">
        <v>9</v>
      </c>
      <c r="I9" s="3">
        <f>B7</f>
        <v>33356.090000000004</v>
      </c>
    </row>
    <row r="10" spans="1:9" ht="16.5" thickBot="1" x14ac:dyDescent="0.3">
      <c r="A10" s="5" t="s">
        <v>31</v>
      </c>
      <c r="B10" s="3">
        <v>30000</v>
      </c>
      <c r="D10" s="10" t="s">
        <v>21</v>
      </c>
      <c r="E10" s="17">
        <f>ROUNDUP((B6+I6)/(B8-I13),0)</f>
        <v>39</v>
      </c>
      <c r="F10" s="4"/>
      <c r="H10" s="3" t="s">
        <v>10</v>
      </c>
      <c r="I10" s="3">
        <f>E3*0.3</f>
        <v>30000</v>
      </c>
    </row>
    <row r="11" spans="1:9" ht="16.5" thickBot="1" x14ac:dyDescent="0.3">
      <c r="A11" s="5" t="s">
        <v>30</v>
      </c>
      <c r="B11" s="3">
        <v>20000</v>
      </c>
      <c r="D11" s="8"/>
      <c r="E11" s="4"/>
      <c r="F11" s="4"/>
      <c r="H11" s="5" t="s">
        <v>11</v>
      </c>
      <c r="I11" s="14">
        <f>B8*0.01</f>
        <v>741.24639999999999</v>
      </c>
    </row>
    <row r="12" spans="1:9" ht="16.5" thickBot="1" x14ac:dyDescent="0.3">
      <c r="D12" s="10" t="s">
        <v>22</v>
      </c>
      <c r="E12" s="17">
        <f>ROUNDUP((B3*I6)/(B8-I13),0)</f>
        <v>126</v>
      </c>
      <c r="F12" s="4"/>
      <c r="H12" s="5" t="s">
        <v>12</v>
      </c>
      <c r="I12" s="3">
        <f>B8*0.015</f>
        <v>1111.8696</v>
      </c>
    </row>
    <row r="13" spans="1:9" ht="15.75" customHeight="1" thickBot="1" x14ac:dyDescent="0.3">
      <c r="D13" s="8"/>
      <c r="E13" s="4"/>
      <c r="F13" s="4"/>
      <c r="H13" s="10" t="s">
        <v>2</v>
      </c>
      <c r="I13" s="10">
        <f>SUM(I9:I12)</f>
        <v>65209.205999999998</v>
      </c>
    </row>
    <row r="14" spans="1:9" ht="16.5" customHeight="1" thickBot="1" x14ac:dyDescent="0.3">
      <c r="A14" s="12"/>
      <c r="B14" s="4"/>
      <c r="D14" s="10" t="s">
        <v>14</v>
      </c>
      <c r="E14" s="3">
        <f>E12/E5</f>
        <v>7.875</v>
      </c>
      <c r="F14" s="4"/>
    </row>
    <row r="16" spans="1:9" x14ac:dyDescent="0.25">
      <c r="A16" s="1"/>
    </row>
    <row r="29" spans="2:4" ht="15.75" thickBot="1" x14ac:dyDescent="0.3"/>
    <row r="30" spans="2:4" ht="19.5" thickBot="1" x14ac:dyDescent="0.35">
      <c r="B30" s="16" t="s">
        <v>0</v>
      </c>
      <c r="C30" s="16" t="s">
        <v>1</v>
      </c>
      <c r="D30" s="4"/>
    </row>
    <row r="31" spans="2:4" ht="16.5" thickBot="1" x14ac:dyDescent="0.3">
      <c r="B31" s="3">
        <v>0</v>
      </c>
      <c r="C31" s="3">
        <v>0</v>
      </c>
      <c r="D31" s="4"/>
    </row>
    <row r="32" spans="2:4" ht="16.5" thickBot="1" x14ac:dyDescent="0.3">
      <c r="B32" s="3">
        <v>20</v>
      </c>
      <c r="C32" s="3">
        <f>I6*20</f>
        <v>2798919.4326666668</v>
      </c>
      <c r="D32" s="3">
        <f>I13*20</f>
        <v>1304184.1199999999</v>
      </c>
    </row>
    <row r="33" spans="2:4" ht="16.5" thickBot="1" x14ac:dyDescent="0.3">
      <c r="B33" s="4"/>
      <c r="C33" s="3">
        <f>B8*B32</f>
        <v>1482492.8</v>
      </c>
      <c r="D33" s="4"/>
    </row>
    <row r="34" spans="2:4" ht="16.5" thickBot="1" x14ac:dyDescent="0.3">
      <c r="B34" s="4"/>
      <c r="C34" s="3">
        <f>I6</f>
        <v>139945.97163333333</v>
      </c>
      <c r="D34" s="4"/>
    </row>
    <row r="35" spans="2:4" ht="16.5" thickBot="1" x14ac:dyDescent="0.3">
      <c r="B35" s="4"/>
      <c r="C35" s="3">
        <f>I6+D32</f>
        <v>1444130.0916333331</v>
      </c>
      <c r="D35" s="4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2020-03-22T12:38:16Z</dcterms:modified>
</cp:coreProperties>
</file>