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5.xml" ContentType="application/vnd.openxmlformats-officedocument.drawing+xml"/>
  <Override PartName="/xl/drawings/drawing4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ewrik\OneDrive\Desktop\invest klasur zusammenfügen - Kopie\"/>
    </mc:Choice>
  </mc:AlternateContent>
  <xr:revisionPtr revIDLastSave="0" documentId="13_ncr:1_{0D13073D-0D4B-4EE6-B4CB-E6AA509DA141}" xr6:coauthVersionLast="47" xr6:coauthVersionMax="47" xr10:uidLastSave="{00000000-0000-0000-0000-000000000000}"/>
  <bookViews>
    <workbookView xWindow="14400" yWindow="0" windowWidth="14400" windowHeight="15600" firstSheet="52" activeTab="54" xr2:uid="{45221636-6BDE-48BB-960B-A46E293FABEA}"/>
  </bookViews>
  <sheets>
    <sheet name="1" sheetId="1" r:id="rId1"/>
    <sheet name="2" sheetId="2" r:id="rId2"/>
    <sheet name="3" sheetId="3" r:id="rId3"/>
    <sheet name="6" sheetId="6" r:id="rId4"/>
    <sheet name="5" sheetId="5" r:id="rId5"/>
    <sheet name="7" sheetId="7" r:id="rId6"/>
    <sheet name="8" sheetId="9" r:id="rId7"/>
    <sheet name="9" sheetId="10" r:id="rId8"/>
    <sheet name="10" sheetId="11" r:id="rId9"/>
    <sheet name="Aufgabe 1" sheetId="12" r:id="rId10"/>
    <sheet name="Aufgabe 2" sheetId="13" r:id="rId11"/>
    <sheet name="Aufgabe 3" sheetId="14" r:id="rId12"/>
    <sheet name="Aufgabe 4" sheetId="15" r:id="rId13"/>
    <sheet name="Aufgabe 5" sheetId="16" r:id="rId14"/>
    <sheet name="Aufgabe 6" sheetId="17" r:id="rId15"/>
    <sheet name="Aufgabe 7" sheetId="18" r:id="rId16"/>
    <sheet name="Aufgabe 8" sheetId="19" r:id="rId17"/>
    <sheet name="Übung 1" sheetId="20" r:id="rId18"/>
    <sheet name="Übung 2" sheetId="21" r:id="rId19"/>
    <sheet name="Übung 3" sheetId="22" r:id="rId20"/>
    <sheet name="Übung 4" sheetId="23" r:id="rId21"/>
    <sheet name="Übung 1 (2)" sheetId="24" r:id="rId22"/>
    <sheet name="Übung 2 (2)" sheetId="25" r:id="rId23"/>
    <sheet name="Übung 3 (2)" sheetId="26" r:id="rId24"/>
    <sheet name="Übung 4 (2)" sheetId="27" r:id="rId25"/>
    <sheet name="Übung 5 (2)" sheetId="28" r:id="rId26"/>
    <sheet name="Übung 1 (3)" sheetId="29" r:id="rId27"/>
    <sheet name="Übung 2 (3)" sheetId="30" r:id="rId28"/>
    <sheet name="Übung 3 (3)" sheetId="31" r:id="rId29"/>
    <sheet name="Übung 4 (3)" sheetId="32" r:id="rId30"/>
    <sheet name="Übung 5 (3)" sheetId="33" r:id="rId31"/>
    <sheet name="Aufgabe 1 (2)" sheetId="35" r:id="rId32"/>
    <sheet name="Aufgabe 2 (2)" sheetId="36" r:id="rId33"/>
    <sheet name="Aufgabe 3 (2)" sheetId="37" r:id="rId34"/>
    <sheet name="Aufgabe 4 (2)" sheetId="38" r:id="rId35"/>
    <sheet name="Aufgabe 1 (3)" sheetId="39" r:id="rId36"/>
    <sheet name="Aufgabe 2 (3)" sheetId="40" r:id="rId37"/>
    <sheet name="Aufgabe 1 (4)" sheetId="41" r:id="rId38"/>
    <sheet name="Aufgabe 2 (4)" sheetId="42" r:id="rId39"/>
    <sheet name="Aufgabe 3 (3)" sheetId="43" r:id="rId40"/>
    <sheet name="Aufgabe 1 (5)" sheetId="44" r:id="rId41"/>
    <sheet name="Aufgabe 2 (5)" sheetId="45" r:id="rId42"/>
    <sheet name="Übung 1 (4)" sheetId="46" r:id="rId43"/>
    <sheet name="Übung 2 (4)" sheetId="47" r:id="rId44"/>
    <sheet name="Übung 3 (4)" sheetId="48" r:id="rId45"/>
    <sheet name="Übung 4 (4)" sheetId="49" r:id="rId46"/>
    <sheet name="Übung 5" sheetId="50" r:id="rId47"/>
    <sheet name="Aufgabe 1 (6)" sheetId="51" r:id="rId48"/>
    <sheet name="Aufgabe 2 (6)" sheetId="52" r:id="rId49"/>
    <sheet name="Aufgabe 3 (4)" sheetId="53" r:id="rId50"/>
    <sheet name="Aufgabe 1 (7)" sheetId="54" r:id="rId51"/>
    <sheet name="Aufgabe 2 (7)" sheetId="55" r:id="rId52"/>
    <sheet name="Aufgabe 1 (8)" sheetId="56" r:id="rId53"/>
    <sheet name="Aufgabe 2 (8)" sheetId="57" r:id="rId54"/>
    <sheet name="Aufgabe 3 (5)" sheetId="58" r:id="rId5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58" l="1"/>
  <c r="C13" i="58" s="1"/>
  <c r="C15" i="58" s="1"/>
  <c r="C21" i="58"/>
  <c r="D21" i="58"/>
  <c r="E21" i="58"/>
  <c r="F21" i="58"/>
  <c r="F23" i="58" s="1"/>
  <c r="G21" i="58"/>
  <c r="G23" i="58" s="1"/>
  <c r="C22" i="58"/>
  <c r="D22" i="58"/>
  <c r="E22" i="58"/>
  <c r="F22" i="58"/>
  <c r="G22" i="58"/>
  <c r="C23" i="58"/>
  <c r="D23" i="58"/>
  <c r="D26" i="58" s="1"/>
  <c r="D27" i="58" s="1"/>
  <c r="E23" i="58"/>
  <c r="E26" i="58" s="1"/>
  <c r="E27" i="58" s="1"/>
  <c r="C25" i="58"/>
  <c r="D25" i="58"/>
  <c r="E25" i="58"/>
  <c r="F25" i="58"/>
  <c r="G25" i="58"/>
  <c r="C26" i="58"/>
  <c r="C27" i="58" s="1"/>
  <c r="C7" i="57"/>
  <c r="D7" i="57"/>
  <c r="E7" i="57"/>
  <c r="F7" i="57"/>
  <c r="G7" i="57"/>
  <c r="C16" i="57"/>
  <c r="B23" i="57" s="1"/>
  <c r="D16" i="57"/>
  <c r="E16" i="57"/>
  <c r="F16" i="57"/>
  <c r="G16" i="57"/>
  <c r="H16" i="57"/>
  <c r="B20" i="57"/>
  <c r="B26" i="57"/>
  <c r="B28" i="57"/>
  <c r="B32" i="57" s="1"/>
  <c r="B38" i="57" s="1"/>
  <c r="B30" i="57"/>
  <c r="B36" i="57" s="1"/>
  <c r="D7" i="56"/>
  <c r="D13" i="56"/>
  <c r="D14" i="56"/>
  <c r="D15" i="56"/>
  <c r="D17" i="56" s="1"/>
  <c r="D20" i="56"/>
  <c r="F26" i="58" l="1"/>
  <c r="F27" i="58" s="1"/>
  <c r="F29" i="58" s="1"/>
  <c r="C29" i="58"/>
  <c r="C30" i="58" s="1"/>
  <c r="G26" i="58"/>
  <c r="G27" i="58" s="1"/>
  <c r="G29" i="58" s="1"/>
  <c r="G30" i="58" s="1"/>
  <c r="E29" i="58"/>
  <c r="E30" i="58" s="1"/>
  <c r="D29" i="58"/>
  <c r="D30" i="58" s="1"/>
  <c r="D3" i="55"/>
  <c r="E3" i="55" s="1"/>
  <c r="D4" i="55"/>
  <c r="D5" i="55"/>
  <c r="D6" i="55"/>
  <c r="D7" i="55"/>
  <c r="D8" i="55"/>
  <c r="D9" i="55"/>
  <c r="D10" i="55"/>
  <c r="C17" i="55"/>
  <c r="D28" i="55"/>
  <c r="E28" i="55" s="1"/>
  <c r="E29" i="55" s="1"/>
  <c r="E30" i="55" s="1"/>
  <c r="E31" i="55" s="1"/>
  <c r="E32" i="55" s="1"/>
  <c r="E33" i="55" s="1"/>
  <c r="E34" i="55" s="1"/>
  <c r="E35" i="55" s="1"/>
  <c r="D29" i="55"/>
  <c r="D30" i="55"/>
  <c r="D31" i="55"/>
  <c r="D32" i="55"/>
  <c r="D33" i="55"/>
  <c r="D34" i="55"/>
  <c r="D35" i="55"/>
  <c r="C4" i="54"/>
  <c r="D4" i="54" s="1"/>
  <c r="D5" i="54" s="1"/>
  <c r="G4" i="54"/>
  <c r="H4" i="54" s="1"/>
  <c r="H5" i="54" s="1"/>
  <c r="C5" i="54"/>
  <c r="G5" i="54"/>
  <c r="C6" i="54"/>
  <c r="D6" i="54" s="1"/>
  <c r="G6" i="54"/>
  <c r="H6" i="54" s="1"/>
  <c r="L6" i="54"/>
  <c r="M6" i="54"/>
  <c r="M7" i="54" s="1"/>
  <c r="M8" i="54" s="1"/>
  <c r="M9" i="54" s="1"/>
  <c r="M10" i="54" s="1"/>
  <c r="O6" i="54"/>
  <c r="P6" i="54"/>
  <c r="P7" i="54" s="1"/>
  <c r="P8" i="54" s="1"/>
  <c r="C7" i="54"/>
  <c r="D7" i="54" s="1"/>
  <c r="D8" i="54" s="1"/>
  <c r="L7" i="54"/>
  <c r="O7" i="54"/>
  <c r="C8" i="54"/>
  <c r="L8" i="54"/>
  <c r="O8" i="54"/>
  <c r="L9" i="54"/>
  <c r="L10" i="54"/>
  <c r="F30" i="58" l="1"/>
  <c r="C38" i="58"/>
  <c r="C32" i="58"/>
  <c r="C35" i="58" s="1"/>
  <c r="F3" i="55"/>
  <c r="E4" i="55"/>
  <c r="C7" i="53"/>
  <c r="C13" i="53"/>
  <c r="C19" i="53"/>
  <c r="E19" i="53"/>
  <c r="C20" i="53"/>
  <c r="E20" i="53"/>
  <c r="C21" i="53"/>
  <c r="E21" i="53"/>
  <c r="C22" i="53"/>
  <c r="E22" i="53"/>
  <c r="C23" i="53"/>
  <c r="E23" i="53"/>
  <c r="C24" i="53"/>
  <c r="E24" i="53"/>
  <c r="C25" i="53"/>
  <c r="E25" i="53"/>
  <c r="C26" i="53"/>
  <c r="E26" i="53"/>
  <c r="C27" i="53"/>
  <c r="E27" i="53"/>
  <c r="C28" i="53"/>
  <c r="E28" i="53"/>
  <c r="C29" i="53"/>
  <c r="E29" i="53"/>
  <c r="C30" i="53"/>
  <c r="E30" i="53"/>
  <c r="C31" i="53"/>
  <c r="E31" i="53"/>
  <c r="C32" i="53"/>
  <c r="E32" i="53"/>
  <c r="C33" i="53"/>
  <c r="E33" i="53"/>
  <c r="C34" i="53"/>
  <c r="E34" i="53"/>
  <c r="C35" i="53"/>
  <c r="E35" i="53"/>
  <c r="C36" i="53"/>
  <c r="E36" i="53"/>
  <c r="C37" i="53"/>
  <c r="E37" i="53"/>
  <c r="C38" i="53"/>
  <c r="E38" i="53"/>
  <c r="C39" i="53"/>
  <c r="E39" i="53"/>
  <c r="C40" i="53"/>
  <c r="E40" i="53"/>
  <c r="C41" i="53"/>
  <c r="E41" i="53"/>
  <c r="C42" i="53"/>
  <c r="E42" i="53"/>
  <c r="C43" i="53"/>
  <c r="E43" i="53"/>
  <c r="C44" i="53"/>
  <c r="E44" i="53"/>
  <c r="C45" i="53"/>
  <c r="E45" i="53"/>
  <c r="C46" i="53"/>
  <c r="E46" i="53"/>
  <c r="C47" i="53"/>
  <c r="E47" i="53"/>
  <c r="C48" i="53"/>
  <c r="E48" i="53"/>
  <c r="C49" i="53"/>
  <c r="E49" i="53"/>
  <c r="C50" i="53"/>
  <c r="E50" i="53"/>
  <c r="C51" i="53"/>
  <c r="E51" i="53"/>
  <c r="C52" i="53"/>
  <c r="E52" i="53"/>
  <c r="C53" i="53"/>
  <c r="E53" i="53"/>
  <c r="C54" i="53"/>
  <c r="E54" i="53"/>
  <c r="C55" i="53"/>
  <c r="E55" i="53"/>
  <c r="C56" i="53"/>
  <c r="E56" i="53"/>
  <c r="C57" i="53"/>
  <c r="E57" i="53"/>
  <c r="C58" i="53"/>
  <c r="E58" i="53"/>
  <c r="C59" i="53"/>
  <c r="E59" i="53"/>
  <c r="C60" i="53"/>
  <c r="E60" i="53"/>
  <c r="C61" i="53"/>
  <c r="E61" i="53"/>
  <c r="C62" i="53"/>
  <c r="E62" i="53"/>
  <c r="C63" i="53"/>
  <c r="E63" i="53"/>
  <c r="C64" i="53"/>
  <c r="E64" i="53"/>
  <c r="C65" i="53"/>
  <c r="E65" i="53"/>
  <c r="C66" i="53"/>
  <c r="E66" i="53"/>
  <c r="C67" i="53"/>
  <c r="E67" i="53"/>
  <c r="C68" i="53"/>
  <c r="E68" i="53"/>
  <c r="C69" i="53"/>
  <c r="E69" i="53"/>
  <c r="C70" i="53"/>
  <c r="E70" i="53"/>
  <c r="C71" i="53"/>
  <c r="E71" i="53"/>
  <c r="C72" i="53"/>
  <c r="E72" i="53"/>
  <c r="C73" i="53"/>
  <c r="E73" i="53"/>
  <c r="C74" i="53"/>
  <c r="E74" i="53"/>
  <c r="C75" i="53"/>
  <c r="E75" i="53"/>
  <c r="C76" i="53"/>
  <c r="E76" i="53"/>
  <c r="C77" i="53"/>
  <c r="E77" i="53"/>
  <c r="C78" i="53"/>
  <c r="E78" i="53"/>
  <c r="C79" i="53"/>
  <c r="E79" i="53"/>
  <c r="C80" i="53"/>
  <c r="E80" i="53"/>
  <c r="C83" i="53"/>
  <c r="E83" i="53"/>
  <c r="C91" i="53"/>
  <c r="C93" i="53"/>
  <c r="C95" i="53"/>
  <c r="C96" i="53"/>
  <c r="C97" i="53"/>
  <c r="C98" i="53"/>
  <c r="C99" i="53"/>
  <c r="C100" i="53"/>
  <c r="C101" i="53"/>
  <c r="C102" i="53"/>
  <c r="C103" i="53"/>
  <c r="C104" i="53"/>
  <c r="C105" i="53"/>
  <c r="C106" i="53"/>
  <c r="C107" i="53"/>
  <c r="C108" i="53"/>
  <c r="C109" i="53"/>
  <c r="C110" i="53"/>
  <c r="C111" i="53"/>
  <c r="C112" i="53"/>
  <c r="C113" i="53"/>
  <c r="C114" i="53"/>
  <c r="C115" i="53"/>
  <c r="C116" i="53"/>
  <c r="C117" i="53"/>
  <c r="C118" i="53"/>
  <c r="C119" i="53"/>
  <c r="C120" i="53"/>
  <c r="C121" i="53"/>
  <c r="C122" i="53"/>
  <c r="C123" i="53"/>
  <c r="C124" i="53"/>
  <c r="C125" i="53"/>
  <c r="C126" i="53"/>
  <c r="C127" i="53"/>
  <c r="C128" i="53"/>
  <c r="C129" i="53"/>
  <c r="C130" i="53"/>
  <c r="C131" i="53"/>
  <c r="C132" i="53"/>
  <c r="C133" i="53"/>
  <c r="C134" i="53"/>
  <c r="C135" i="53"/>
  <c r="C136" i="53"/>
  <c r="C137" i="53"/>
  <c r="C138" i="53"/>
  <c r="C139" i="53"/>
  <c r="C140" i="53"/>
  <c r="C141" i="53"/>
  <c r="C142" i="53"/>
  <c r="C143" i="53"/>
  <c r="C144" i="53"/>
  <c r="C145" i="53"/>
  <c r="C146" i="53"/>
  <c r="C147" i="53"/>
  <c r="C148" i="53"/>
  <c r="C149" i="53"/>
  <c r="C150" i="53"/>
  <c r="C151" i="53"/>
  <c r="C152" i="53"/>
  <c r="C153" i="53"/>
  <c r="C154" i="53"/>
  <c r="C155" i="53"/>
  <c r="C156" i="53"/>
  <c r="B8" i="52"/>
  <c r="C8" i="52"/>
  <c r="D8" i="52"/>
  <c r="B10" i="52"/>
  <c r="Q3" i="51"/>
  <c r="R3" i="51"/>
  <c r="Q4" i="51"/>
  <c r="R4" i="51"/>
  <c r="Q5" i="51"/>
  <c r="R5" i="51"/>
  <c r="Q6" i="51"/>
  <c r="R6" i="51"/>
  <c r="Q7" i="51"/>
  <c r="R7" i="51"/>
  <c r="C8" i="51"/>
  <c r="Q8" i="51"/>
  <c r="R8" i="51"/>
  <c r="C9" i="51"/>
  <c r="Q9" i="51"/>
  <c r="R9" i="51"/>
  <c r="Q10" i="51"/>
  <c r="R10" i="51"/>
  <c r="Q11" i="51"/>
  <c r="R11" i="51"/>
  <c r="Q12" i="51"/>
  <c r="R12" i="51"/>
  <c r="Q13" i="51"/>
  <c r="R13" i="51"/>
  <c r="Q14" i="51"/>
  <c r="R14" i="51"/>
  <c r="E17" i="51"/>
  <c r="F17" i="51" s="1"/>
  <c r="G17" i="51" s="1"/>
  <c r="H17" i="51" s="1"/>
  <c r="C19" i="51" s="1"/>
  <c r="C21" i="51" s="1"/>
  <c r="D28" i="51"/>
  <c r="E28" i="51"/>
  <c r="F28" i="51"/>
  <c r="G28" i="51" s="1"/>
  <c r="H28" i="51" s="1"/>
  <c r="C30" i="51" s="1"/>
  <c r="C32" i="51" s="1"/>
  <c r="C36" i="51"/>
  <c r="C37" i="51"/>
  <c r="E5" i="55" l="1"/>
  <c r="F4" i="55"/>
  <c r="C5" i="50"/>
  <c r="C6" i="50"/>
  <c r="C7" i="50"/>
  <c r="C8" i="50"/>
  <c r="C11" i="50"/>
  <c r="E14" i="50" s="1"/>
  <c r="C4" i="49"/>
  <c r="D4" i="49"/>
  <c r="D7" i="49" s="1"/>
  <c r="C7" i="49"/>
  <c r="D13" i="49"/>
  <c r="C15" i="49"/>
  <c r="C17" i="49" s="1"/>
  <c r="C19" i="49" s="1"/>
  <c r="C21" i="49" s="1"/>
  <c r="B17" i="49"/>
  <c r="B19" i="49" s="1"/>
  <c r="B21" i="49" s="1"/>
  <c r="D4" i="48"/>
  <c r="E4" i="48"/>
  <c r="E9" i="48" s="1"/>
  <c r="I4" i="48"/>
  <c r="J4" i="48" s="1"/>
  <c r="D5" i="48"/>
  <c r="E5" i="48"/>
  <c r="I5" i="48"/>
  <c r="J5" i="48" s="1"/>
  <c r="D6" i="48"/>
  <c r="E6" i="48"/>
  <c r="I6" i="48"/>
  <c r="J6" i="48" s="1"/>
  <c r="D7" i="48"/>
  <c r="E7" i="48"/>
  <c r="I7" i="48"/>
  <c r="J7" i="48" s="1"/>
  <c r="H12" i="48"/>
  <c r="H17" i="48"/>
  <c r="C4" i="47"/>
  <c r="D4" i="47"/>
  <c r="E4" i="47"/>
  <c r="K4" i="47" s="1"/>
  <c r="F4" i="47"/>
  <c r="G4" i="47"/>
  <c r="H4" i="47"/>
  <c r="I4" i="47"/>
  <c r="J4" i="47"/>
  <c r="C11" i="47"/>
  <c r="D11" i="47"/>
  <c r="K11" i="47" s="1"/>
  <c r="E11" i="47"/>
  <c r="F11" i="47"/>
  <c r="G11" i="47"/>
  <c r="H11" i="47"/>
  <c r="I11" i="47"/>
  <c r="J11" i="47"/>
  <c r="B17" i="47"/>
  <c r="C26" i="47"/>
  <c r="D26" i="47"/>
  <c r="K26" i="47" s="1"/>
  <c r="E26" i="47"/>
  <c r="F26" i="47"/>
  <c r="G26" i="47"/>
  <c r="H26" i="47"/>
  <c r="I26" i="47"/>
  <c r="J26" i="47"/>
  <c r="C5" i="46"/>
  <c r="C16" i="46" s="1"/>
  <c r="C6" i="46"/>
  <c r="C7" i="46"/>
  <c r="C8" i="46"/>
  <c r="C9" i="46"/>
  <c r="C10" i="46"/>
  <c r="C11" i="46"/>
  <c r="F5" i="55" l="1"/>
  <c r="E6" i="55"/>
  <c r="D15" i="49"/>
  <c r="D17" i="49" s="1"/>
  <c r="D19" i="49" s="1"/>
  <c r="J9" i="48"/>
  <c r="H19" i="48"/>
  <c r="H14" i="48"/>
  <c r="C13" i="46"/>
  <c r="E7" i="55" l="1"/>
  <c r="F6" i="55"/>
  <c r="D21" i="49"/>
  <c r="F21" i="49" s="1"/>
  <c r="B24" i="49"/>
  <c r="E8" i="55" l="1"/>
  <c r="F7" i="55"/>
  <c r="B8" i="45"/>
  <c r="B9" i="45"/>
  <c r="B10" i="45"/>
  <c r="B11" i="45"/>
  <c r="B18" i="45"/>
  <c r="B19" i="45"/>
  <c r="B20" i="45"/>
  <c r="B21" i="45"/>
  <c r="B31" i="45"/>
  <c r="B32" i="45"/>
  <c r="B9" i="44"/>
  <c r="B10" i="44"/>
  <c r="B11" i="44"/>
  <c r="B12" i="44"/>
  <c r="B13" i="44"/>
  <c r="B14" i="44"/>
  <c r="C7" i="43"/>
  <c r="C13" i="43"/>
  <c r="C15" i="43" s="1"/>
  <c r="C21" i="43"/>
  <c r="D21" i="43"/>
  <c r="E21" i="43"/>
  <c r="F21" i="43"/>
  <c r="F23" i="43" s="1"/>
  <c r="G21" i="43"/>
  <c r="G23" i="43" s="1"/>
  <c r="C22" i="43"/>
  <c r="D22" i="43"/>
  <c r="E22" i="43"/>
  <c r="F22" i="43"/>
  <c r="G22" i="43"/>
  <c r="C23" i="43"/>
  <c r="D23" i="43"/>
  <c r="D26" i="43" s="1"/>
  <c r="D27" i="43" s="1"/>
  <c r="E23" i="43"/>
  <c r="E26" i="43" s="1"/>
  <c r="E27" i="43" s="1"/>
  <c r="C25" i="43"/>
  <c r="D25" i="43"/>
  <c r="E25" i="43"/>
  <c r="F25" i="43"/>
  <c r="G25" i="43"/>
  <c r="C26" i="43"/>
  <c r="C27" i="43" s="1"/>
  <c r="C7" i="42"/>
  <c r="D7" i="42"/>
  <c r="E7" i="42"/>
  <c r="F7" i="42"/>
  <c r="G7" i="42"/>
  <c r="C16" i="42"/>
  <c r="B23" i="42" s="1"/>
  <c r="D16" i="42"/>
  <c r="E16" i="42"/>
  <c r="F16" i="42"/>
  <c r="G16" i="42"/>
  <c r="H16" i="42"/>
  <c r="B20" i="42"/>
  <c r="B26" i="42"/>
  <c r="B28" i="42"/>
  <c r="B32" i="42" s="1"/>
  <c r="B38" i="42" s="1"/>
  <c r="B30" i="42"/>
  <c r="B36" i="42" s="1"/>
  <c r="D7" i="41"/>
  <c r="D13" i="41"/>
  <c r="D14" i="41"/>
  <c r="D15" i="41"/>
  <c r="D17" i="41" s="1"/>
  <c r="D20" i="41"/>
  <c r="F8" i="55" l="1"/>
  <c r="E9" i="55"/>
  <c r="F26" i="43"/>
  <c r="F27" i="43" s="1"/>
  <c r="F29" i="43"/>
  <c r="F30" i="43" s="1"/>
  <c r="G26" i="43"/>
  <c r="G27" i="43" s="1"/>
  <c r="G29" i="43" s="1"/>
  <c r="G30" i="43" s="1"/>
  <c r="C29" i="43"/>
  <c r="C30" i="43" s="1"/>
  <c r="E29" i="43"/>
  <c r="E30" i="43" s="1"/>
  <c r="D29" i="43"/>
  <c r="D30" i="43" s="1"/>
  <c r="D3" i="40"/>
  <c r="E3" i="40" s="1"/>
  <c r="D4" i="40"/>
  <c r="D5" i="40"/>
  <c r="D6" i="40"/>
  <c r="D7" i="40"/>
  <c r="D8" i="40"/>
  <c r="D9" i="40"/>
  <c r="D10" i="40"/>
  <c r="C17" i="40"/>
  <c r="D28" i="40"/>
  <c r="E28" i="40"/>
  <c r="E29" i="40" s="1"/>
  <c r="E30" i="40" s="1"/>
  <c r="E31" i="40" s="1"/>
  <c r="E32" i="40" s="1"/>
  <c r="E33" i="40" s="1"/>
  <c r="E34" i="40" s="1"/>
  <c r="E35" i="40" s="1"/>
  <c r="D29" i="40"/>
  <c r="D30" i="40"/>
  <c r="D31" i="40"/>
  <c r="D32" i="40"/>
  <c r="D33" i="40"/>
  <c r="D34" i="40"/>
  <c r="D35" i="40"/>
  <c r="C4" i="39"/>
  <c r="D4" i="39" s="1"/>
  <c r="D5" i="39" s="1"/>
  <c r="G4" i="39"/>
  <c r="H4" i="39" s="1"/>
  <c r="C5" i="39"/>
  <c r="G5" i="39"/>
  <c r="H5" i="39" s="1"/>
  <c r="C6" i="39"/>
  <c r="D6" i="39" s="1"/>
  <c r="G6" i="39"/>
  <c r="H6" i="39" s="1"/>
  <c r="L6" i="39"/>
  <c r="M6" i="39"/>
  <c r="M7" i="39" s="1"/>
  <c r="M8" i="39" s="1"/>
  <c r="M9" i="39" s="1"/>
  <c r="M10" i="39" s="1"/>
  <c r="O6" i="39"/>
  <c r="P6" i="39"/>
  <c r="P7" i="39" s="1"/>
  <c r="P8" i="39" s="1"/>
  <c r="C7" i="39"/>
  <c r="L7" i="39"/>
  <c r="O7" i="39"/>
  <c r="C8" i="39"/>
  <c r="L8" i="39"/>
  <c r="O8" i="39"/>
  <c r="L9" i="39"/>
  <c r="L10" i="39"/>
  <c r="F9" i="55" l="1"/>
  <c r="E10" i="55"/>
  <c r="F10" i="55" s="1"/>
  <c r="C32" i="43"/>
  <c r="C35" i="43" s="1"/>
  <c r="C38" i="43"/>
  <c r="F3" i="40"/>
  <c r="E4" i="40"/>
  <c r="D7" i="39"/>
  <c r="D8" i="39" s="1"/>
  <c r="E5" i="40" l="1"/>
  <c r="F4" i="40"/>
  <c r="C7" i="38"/>
  <c r="C13" i="38"/>
  <c r="C19" i="38"/>
  <c r="E19" i="38"/>
  <c r="C20" i="38"/>
  <c r="E20" i="38"/>
  <c r="C21" i="38"/>
  <c r="E21" i="38"/>
  <c r="C22" i="38"/>
  <c r="E22" i="38"/>
  <c r="C23" i="38"/>
  <c r="E23" i="38"/>
  <c r="C24" i="38"/>
  <c r="E24" i="38"/>
  <c r="C25" i="38"/>
  <c r="E25" i="38"/>
  <c r="C26" i="38"/>
  <c r="E26" i="38"/>
  <c r="C27" i="38"/>
  <c r="E27" i="38"/>
  <c r="C28" i="38"/>
  <c r="E28" i="38"/>
  <c r="C29" i="38"/>
  <c r="E29" i="38"/>
  <c r="C30" i="38"/>
  <c r="E30" i="38"/>
  <c r="C31" i="38"/>
  <c r="E31" i="38"/>
  <c r="C32" i="38"/>
  <c r="E32" i="38"/>
  <c r="C33" i="38"/>
  <c r="E33" i="38"/>
  <c r="C34" i="38"/>
  <c r="E34" i="38"/>
  <c r="C35" i="38"/>
  <c r="E35" i="38"/>
  <c r="C36" i="38"/>
  <c r="E36" i="38"/>
  <c r="C37" i="38"/>
  <c r="E37" i="38"/>
  <c r="C38" i="38"/>
  <c r="E38" i="38"/>
  <c r="C39" i="38"/>
  <c r="E39" i="38"/>
  <c r="C40" i="38"/>
  <c r="E40" i="38"/>
  <c r="C41" i="38"/>
  <c r="E41" i="38"/>
  <c r="C42" i="38"/>
  <c r="E42" i="38"/>
  <c r="C43" i="38"/>
  <c r="E43" i="38"/>
  <c r="C44" i="38"/>
  <c r="E44" i="38"/>
  <c r="C45" i="38"/>
  <c r="E45" i="38"/>
  <c r="C46" i="38"/>
  <c r="E46" i="38"/>
  <c r="C47" i="38"/>
  <c r="E47" i="38"/>
  <c r="C48" i="38"/>
  <c r="E48" i="38"/>
  <c r="C49" i="38"/>
  <c r="E49" i="38"/>
  <c r="C50" i="38"/>
  <c r="E50" i="38"/>
  <c r="C51" i="38"/>
  <c r="E51" i="38"/>
  <c r="C52" i="38"/>
  <c r="E52" i="38"/>
  <c r="C53" i="38"/>
  <c r="E53" i="38"/>
  <c r="C54" i="38"/>
  <c r="E54" i="38"/>
  <c r="C55" i="38"/>
  <c r="E55" i="38"/>
  <c r="C56" i="38"/>
  <c r="E56" i="38"/>
  <c r="C57" i="38"/>
  <c r="E57" i="38"/>
  <c r="C58" i="38"/>
  <c r="E58" i="38"/>
  <c r="C59" i="38"/>
  <c r="E59" i="38"/>
  <c r="C60" i="38"/>
  <c r="E60" i="38"/>
  <c r="C61" i="38"/>
  <c r="E61" i="38"/>
  <c r="C62" i="38"/>
  <c r="E62" i="38"/>
  <c r="C63" i="38"/>
  <c r="E63" i="38"/>
  <c r="C64" i="38"/>
  <c r="E64" i="38"/>
  <c r="C65" i="38"/>
  <c r="E65" i="38"/>
  <c r="C66" i="38"/>
  <c r="E66" i="38"/>
  <c r="C67" i="38"/>
  <c r="E67" i="38"/>
  <c r="C68" i="38"/>
  <c r="E68" i="38"/>
  <c r="C69" i="38"/>
  <c r="E69" i="38"/>
  <c r="C70" i="38"/>
  <c r="E70" i="38"/>
  <c r="C71" i="38"/>
  <c r="E71" i="38"/>
  <c r="C72" i="38"/>
  <c r="E72" i="38"/>
  <c r="C73" i="38"/>
  <c r="E73" i="38"/>
  <c r="C74" i="38"/>
  <c r="E74" i="38"/>
  <c r="C75" i="38"/>
  <c r="E75" i="38"/>
  <c r="C76" i="38"/>
  <c r="E76" i="38"/>
  <c r="C77" i="38"/>
  <c r="E77" i="38"/>
  <c r="C78" i="38"/>
  <c r="E78" i="38"/>
  <c r="C79" i="38"/>
  <c r="E79" i="38"/>
  <c r="C80" i="38"/>
  <c r="E80" i="38"/>
  <c r="C83" i="38"/>
  <c r="E83" i="38"/>
  <c r="C91" i="38"/>
  <c r="C93" i="38"/>
  <c r="C95" i="38"/>
  <c r="C96" i="38"/>
  <c r="C97" i="38"/>
  <c r="C98" i="38"/>
  <c r="C99" i="38"/>
  <c r="C100" i="38"/>
  <c r="C101" i="38"/>
  <c r="C102" i="38"/>
  <c r="C103" i="38"/>
  <c r="C104" i="38"/>
  <c r="C105" i="38"/>
  <c r="C106" i="38"/>
  <c r="C107" i="38"/>
  <c r="C108" i="38"/>
  <c r="C109" i="38"/>
  <c r="C110" i="38"/>
  <c r="C111" i="38"/>
  <c r="C112" i="38"/>
  <c r="C113" i="38"/>
  <c r="C114" i="38"/>
  <c r="C115" i="38"/>
  <c r="C116" i="38"/>
  <c r="C117" i="38"/>
  <c r="C118" i="38"/>
  <c r="C119" i="38"/>
  <c r="C120" i="38"/>
  <c r="C121" i="38"/>
  <c r="C122" i="38"/>
  <c r="C123" i="38"/>
  <c r="C124" i="38"/>
  <c r="C125" i="38"/>
  <c r="C126" i="38"/>
  <c r="C127" i="38"/>
  <c r="C128" i="38"/>
  <c r="C129" i="38"/>
  <c r="C130" i="38"/>
  <c r="C131" i="38"/>
  <c r="C132" i="38"/>
  <c r="C133" i="38"/>
  <c r="C134" i="38"/>
  <c r="C135" i="38"/>
  <c r="C136" i="38"/>
  <c r="C137" i="38"/>
  <c r="C138" i="38"/>
  <c r="C139" i="38"/>
  <c r="C140" i="38"/>
  <c r="C141" i="38"/>
  <c r="C142" i="38"/>
  <c r="C143" i="38"/>
  <c r="C144" i="38"/>
  <c r="C145" i="38"/>
  <c r="C146" i="38"/>
  <c r="C147" i="38"/>
  <c r="C148" i="38"/>
  <c r="C149" i="38"/>
  <c r="C150" i="38"/>
  <c r="C151" i="38"/>
  <c r="C152" i="38"/>
  <c r="C153" i="38"/>
  <c r="C154" i="38"/>
  <c r="C155" i="38"/>
  <c r="C156" i="38"/>
  <c r="B8" i="37"/>
  <c r="C8" i="37"/>
  <c r="D8" i="37"/>
  <c r="B10" i="37"/>
  <c r="Q3" i="35"/>
  <c r="R3" i="35"/>
  <c r="Q4" i="35"/>
  <c r="R4" i="35"/>
  <c r="Q5" i="35"/>
  <c r="R5" i="35"/>
  <c r="Q6" i="35"/>
  <c r="R6" i="35"/>
  <c r="Q7" i="35"/>
  <c r="R7" i="35"/>
  <c r="C8" i="35"/>
  <c r="Q8" i="35"/>
  <c r="R8" i="35"/>
  <c r="C9" i="35"/>
  <c r="Q9" i="35"/>
  <c r="R9" i="35"/>
  <c r="Q10" i="35"/>
  <c r="R10" i="35"/>
  <c r="Q11" i="35"/>
  <c r="R11" i="35"/>
  <c r="Q12" i="35"/>
  <c r="R12" i="35"/>
  <c r="Q13" i="35"/>
  <c r="R13" i="35"/>
  <c r="Q14" i="35"/>
  <c r="R14" i="35"/>
  <c r="E17" i="35"/>
  <c r="F17" i="35" s="1"/>
  <c r="G17" i="35" s="1"/>
  <c r="H17" i="35" s="1"/>
  <c r="C19" i="35" s="1"/>
  <c r="C21" i="35" s="1"/>
  <c r="D28" i="35"/>
  <c r="E28" i="35" s="1"/>
  <c r="F28" i="35" s="1"/>
  <c r="G28" i="35" s="1"/>
  <c r="H28" i="35" s="1"/>
  <c r="C30" i="35" s="1"/>
  <c r="C32" i="35" s="1"/>
  <c r="C36" i="35"/>
  <c r="C37" i="35"/>
  <c r="F5" i="40" l="1"/>
  <c r="E6" i="40"/>
  <c r="C5" i="33"/>
  <c r="C6" i="33"/>
  <c r="C7" i="33"/>
  <c r="C8" i="33"/>
  <c r="C11" i="33"/>
  <c r="E14" i="33" s="1"/>
  <c r="C4" i="32"/>
  <c r="D4" i="32"/>
  <c r="C7" i="32"/>
  <c r="D7" i="32"/>
  <c r="D13" i="32"/>
  <c r="C15" i="32"/>
  <c r="C17" i="32" s="1"/>
  <c r="C19" i="32" s="1"/>
  <c r="C21" i="32" s="1"/>
  <c r="B17" i="32"/>
  <c r="B19" i="32" s="1"/>
  <c r="B21" i="32" s="1"/>
  <c r="D4" i="31"/>
  <c r="E4" i="31"/>
  <c r="I4" i="31"/>
  <c r="J4" i="31" s="1"/>
  <c r="J9" i="31" s="1"/>
  <c r="D5" i="31"/>
  <c r="E5" i="31" s="1"/>
  <c r="I5" i="31"/>
  <c r="H19" i="31" s="1"/>
  <c r="J5" i="31"/>
  <c r="D6" i="31"/>
  <c r="E6" i="31"/>
  <c r="I6" i="31"/>
  <c r="J6" i="31" s="1"/>
  <c r="D7" i="31"/>
  <c r="E7" i="31"/>
  <c r="I7" i="31"/>
  <c r="J7" i="31"/>
  <c r="H12" i="31"/>
  <c r="H17" i="31"/>
  <c r="C4" i="30"/>
  <c r="D4" i="30"/>
  <c r="K4" i="30" s="1"/>
  <c r="E4" i="30"/>
  <c r="F4" i="30"/>
  <c r="G4" i="30"/>
  <c r="H4" i="30"/>
  <c r="I4" i="30"/>
  <c r="J4" i="30"/>
  <c r="C11" i="30"/>
  <c r="D11" i="30"/>
  <c r="K11" i="30" s="1"/>
  <c r="E11" i="30"/>
  <c r="F11" i="30"/>
  <c r="G11" i="30"/>
  <c r="H11" i="30"/>
  <c r="I11" i="30"/>
  <c r="J11" i="30"/>
  <c r="B17" i="30"/>
  <c r="C26" i="30"/>
  <c r="D26" i="30"/>
  <c r="E26" i="30"/>
  <c r="F26" i="30"/>
  <c r="G26" i="30"/>
  <c r="K26" i="30" s="1"/>
  <c r="H26" i="30"/>
  <c r="I26" i="30"/>
  <c r="J26" i="30"/>
  <c r="C5" i="29"/>
  <c r="C6" i="29"/>
  <c r="C7" i="29"/>
  <c r="C8" i="29"/>
  <c r="C9" i="29"/>
  <c r="C10" i="29"/>
  <c r="C11" i="29"/>
  <c r="C13" i="29"/>
  <c r="C16" i="29"/>
  <c r="F6" i="40" l="1"/>
  <c r="E7" i="40"/>
  <c r="D15" i="32"/>
  <c r="D17" i="32" s="1"/>
  <c r="D19" i="32" s="1"/>
  <c r="E9" i="31"/>
  <c r="H14" i="31"/>
  <c r="E8" i="40" l="1"/>
  <c r="F7" i="40"/>
  <c r="D21" i="32"/>
  <c r="F21" i="32" s="1"/>
  <c r="B24" i="32"/>
  <c r="F8" i="40" l="1"/>
  <c r="E9" i="40"/>
  <c r="A7" i="28"/>
  <c r="A5" i="27"/>
  <c r="A6" i="27"/>
  <c r="A17" i="27"/>
  <c r="E2" i="26"/>
  <c r="E7" i="26" s="1"/>
  <c r="E9" i="26" s="1"/>
  <c r="E5" i="26"/>
  <c r="C3" i="25"/>
  <c r="C4" i="25"/>
  <c r="C5" i="25"/>
  <c r="C6" i="25"/>
  <c r="C7" i="25"/>
  <c r="C8" i="25"/>
  <c r="C11" i="25"/>
  <c r="C4" i="24"/>
  <c r="D4" i="24"/>
  <c r="C5" i="24"/>
  <c r="D5" i="24"/>
  <c r="C6" i="24"/>
  <c r="D6" i="24"/>
  <c r="C7" i="24"/>
  <c r="D7" i="24"/>
  <c r="C8" i="24"/>
  <c r="D8" i="24"/>
  <c r="C9" i="24"/>
  <c r="D9" i="24"/>
  <c r="C10" i="24"/>
  <c r="D10" i="24"/>
  <c r="C11" i="24"/>
  <c r="D11" i="24"/>
  <c r="C12" i="24"/>
  <c r="D12" i="24"/>
  <c r="C13" i="24"/>
  <c r="D13" i="24"/>
  <c r="C14" i="24"/>
  <c r="D14" i="24"/>
  <c r="C15" i="24"/>
  <c r="D15" i="24"/>
  <c r="C16" i="24"/>
  <c r="D16" i="24"/>
  <c r="C17" i="24"/>
  <c r="D17" i="24"/>
  <c r="C18" i="24"/>
  <c r="D18" i="24"/>
  <c r="C19" i="24"/>
  <c r="D19" i="24"/>
  <c r="C20" i="24"/>
  <c r="D20" i="24"/>
  <c r="C21" i="24"/>
  <c r="D21" i="24"/>
  <c r="C22" i="24"/>
  <c r="D22" i="24"/>
  <c r="C23" i="24"/>
  <c r="D23" i="24"/>
  <c r="C24" i="24"/>
  <c r="D24" i="24"/>
  <c r="C25" i="24"/>
  <c r="D25" i="24"/>
  <c r="C26" i="24"/>
  <c r="D26" i="24"/>
  <c r="C27" i="24"/>
  <c r="D27" i="24"/>
  <c r="C28" i="24"/>
  <c r="D28" i="24"/>
  <c r="C29" i="24"/>
  <c r="D29" i="24"/>
  <c r="F29" i="24"/>
  <c r="C30" i="24"/>
  <c r="D30" i="24"/>
  <c r="C31" i="24"/>
  <c r="D31" i="24"/>
  <c r="C32" i="24"/>
  <c r="D32" i="24"/>
  <c r="C33" i="24"/>
  <c r="D33" i="24"/>
  <c r="C35" i="24"/>
  <c r="D35" i="24"/>
  <c r="F48" i="24"/>
  <c r="F9" i="40" l="1"/>
  <c r="E10" i="40"/>
  <c r="F10" i="40" s="1"/>
  <c r="B7" i="23"/>
  <c r="B1" i="22"/>
  <c r="N19" i="22"/>
  <c r="B20" i="22"/>
  <c r="C25" i="22"/>
  <c r="N36" i="22"/>
  <c r="C4" i="21"/>
  <c r="C5" i="21" s="1"/>
  <c r="C6" i="21" s="1"/>
  <c r="C7" i="21" s="1"/>
  <c r="C8" i="21" s="1"/>
  <c r="E13" i="21"/>
  <c r="C5" i="20"/>
  <c r="D5" i="20"/>
  <c r="E5" i="20"/>
  <c r="E6" i="20" s="1"/>
  <c r="E7" i="20" s="1"/>
  <c r="E8" i="20" s="1"/>
  <c r="E9" i="20" s="1"/>
  <c r="E10" i="20" s="1"/>
  <c r="E11" i="20" s="1"/>
  <c r="E12" i="20" s="1"/>
  <c r="E13" i="20" s="1"/>
  <c r="E14" i="20" s="1"/>
  <c r="E15" i="20" s="1"/>
  <c r="E16" i="20" s="1"/>
  <c r="E17" i="20" s="1"/>
  <c r="E18" i="20" s="1"/>
  <c r="E19" i="20" s="1"/>
  <c r="E20" i="20" s="1"/>
  <c r="E21" i="20" s="1"/>
  <c r="E22" i="20" s="1"/>
  <c r="E23" i="20" s="1"/>
  <c r="E24" i="20" s="1"/>
  <c r="F5" i="20"/>
  <c r="C6" i="20"/>
  <c r="C7" i="20" s="1"/>
  <c r="C8" i="20" s="1"/>
  <c r="C9" i="20" s="1"/>
  <c r="C10" i="20" s="1"/>
  <c r="C11" i="20" s="1"/>
  <c r="C12" i="20" s="1"/>
  <c r="C13" i="20" s="1"/>
  <c r="C14" i="20" s="1"/>
  <c r="C15" i="20" s="1"/>
  <c r="C16" i="20" s="1"/>
  <c r="C17" i="20" s="1"/>
  <c r="C18" i="20" s="1"/>
  <c r="C19" i="20" s="1"/>
  <c r="C20" i="20" s="1"/>
  <c r="C21" i="20" s="1"/>
  <c r="C22" i="20" s="1"/>
  <c r="C23" i="20" s="1"/>
  <c r="C24" i="20" s="1"/>
  <c r="D6" i="20"/>
  <c r="D7" i="20" s="1"/>
  <c r="D8" i="20" s="1"/>
  <c r="D9" i="20" s="1"/>
  <c r="D10" i="20" s="1"/>
  <c r="D11" i="20" s="1"/>
  <c r="D12" i="20" s="1"/>
  <c r="D13" i="20" s="1"/>
  <c r="D14" i="20" s="1"/>
  <c r="D15" i="20" s="1"/>
  <c r="D16" i="20" s="1"/>
  <c r="D17" i="20" s="1"/>
  <c r="D18" i="20" s="1"/>
  <c r="D19" i="20" s="1"/>
  <c r="D20" i="20" s="1"/>
  <c r="D21" i="20" s="1"/>
  <c r="D22" i="20" s="1"/>
  <c r="D23" i="20" s="1"/>
  <c r="D24" i="20" s="1"/>
  <c r="F6" i="20"/>
  <c r="F7" i="20" s="1"/>
  <c r="F8" i="20" s="1"/>
  <c r="F9" i="20" s="1"/>
  <c r="F10" i="20" s="1"/>
  <c r="F11" i="20" s="1"/>
  <c r="F12" i="20" s="1"/>
  <c r="F13" i="20" s="1"/>
  <c r="F14" i="20" s="1"/>
  <c r="F15" i="20" s="1"/>
  <c r="F16" i="20" s="1"/>
  <c r="F17" i="20" s="1"/>
  <c r="F18" i="20" s="1"/>
  <c r="F19" i="20" s="1"/>
  <c r="F20" i="20" s="1"/>
  <c r="F21" i="20" s="1"/>
  <c r="F22" i="20" s="1"/>
  <c r="F23" i="20" s="1"/>
  <c r="F24" i="20" s="1"/>
  <c r="J14" i="20"/>
  <c r="J15" i="20"/>
  <c r="J16" i="20"/>
  <c r="J17" i="20"/>
  <c r="J20" i="20"/>
  <c r="J21" i="20"/>
  <c r="J22" i="20"/>
  <c r="J23" i="20"/>
  <c r="C17" i="19" l="1"/>
  <c r="C23" i="19" s="1"/>
  <c r="C18" i="19"/>
  <c r="C24" i="19" s="1"/>
  <c r="C10" i="17"/>
  <c r="C12" i="17" s="1"/>
  <c r="C15" i="15"/>
  <c r="C17" i="15"/>
  <c r="C18" i="15"/>
  <c r="C23" i="15"/>
  <c r="C26" i="15"/>
  <c r="C27" i="15"/>
  <c r="C29" i="15"/>
  <c r="D7" i="13"/>
  <c r="E7" i="13"/>
  <c r="E12" i="13" s="1"/>
  <c r="E18" i="13" s="1"/>
  <c r="E25" i="13" s="1"/>
  <c r="D9" i="13"/>
  <c r="E9" i="13"/>
  <c r="D10" i="13"/>
  <c r="E10" i="13"/>
  <c r="C12" i="13"/>
  <c r="C18" i="13" s="1"/>
  <c r="C25" i="13" s="1"/>
  <c r="D12" i="13"/>
  <c r="D18" i="13" s="1"/>
  <c r="D25" i="13" s="1"/>
  <c r="C19" i="13"/>
  <c r="D19" i="13"/>
  <c r="E19" i="13"/>
  <c r="C22" i="13"/>
  <c r="D22" i="13"/>
  <c r="E22" i="13"/>
  <c r="C23" i="13"/>
  <c r="D23" i="13"/>
  <c r="E23" i="13"/>
  <c r="C15" i="11" l="1"/>
  <c r="D15" i="11"/>
  <c r="E15" i="11"/>
  <c r="I15" i="11"/>
  <c r="J15" i="11"/>
  <c r="J18" i="11" s="1"/>
  <c r="K15" i="11"/>
  <c r="K18" i="11" s="1"/>
  <c r="C16" i="11"/>
  <c r="C18" i="11" s="1"/>
  <c r="C21" i="11" s="1"/>
  <c r="D16" i="11"/>
  <c r="D18" i="11" s="1"/>
  <c r="E16" i="11"/>
  <c r="I16" i="11"/>
  <c r="J16" i="11"/>
  <c r="K16" i="11"/>
  <c r="E18" i="11"/>
  <c r="I18" i="11"/>
  <c r="C19" i="11"/>
  <c r="D19" i="11"/>
  <c r="D21" i="11" s="1"/>
  <c r="E19" i="11"/>
  <c r="E21" i="11" s="1"/>
  <c r="I19" i="11"/>
  <c r="I21" i="11" s="1"/>
  <c r="J19" i="11"/>
  <c r="K19" i="11"/>
  <c r="E4" i="10"/>
  <c r="E6" i="10" s="1"/>
  <c r="C7" i="10" s="1"/>
  <c r="C14" i="10"/>
  <c r="D14" i="10"/>
  <c r="D16" i="10" s="1"/>
  <c r="D17" i="10" s="1"/>
  <c r="E14" i="10"/>
  <c r="E16" i="10" s="1"/>
  <c r="E17" i="10" s="1"/>
  <c r="F14" i="10"/>
  <c r="F16" i="10" s="1"/>
  <c r="F17" i="10" s="1"/>
  <c r="G14" i="10"/>
  <c r="G16" i="10" s="1"/>
  <c r="G17" i="10" s="1"/>
  <c r="G19" i="10" s="1"/>
  <c r="G20" i="10" s="1"/>
  <c r="C16" i="10"/>
  <c r="C17" i="10"/>
  <c r="C19" i="10" s="1"/>
  <c r="C20" i="10" s="1"/>
  <c r="C8" i="9"/>
  <c r="D8" i="9"/>
  <c r="C9" i="9"/>
  <c r="D9" i="9"/>
  <c r="C10" i="9"/>
  <c r="D10" i="9" s="1"/>
  <c r="D11" i="9" s="1"/>
  <c r="D12" i="9" s="1"/>
  <c r="D13" i="9" s="1"/>
  <c r="D14" i="9" s="1"/>
  <c r="D15" i="9" s="1"/>
  <c r="D16" i="9" s="1"/>
  <c r="D17" i="9" s="1"/>
  <c r="D18" i="9" s="1"/>
  <c r="D19" i="9" s="1"/>
  <c r="D20" i="9" s="1"/>
  <c r="D21" i="9" s="1"/>
  <c r="D22" i="9" s="1"/>
  <c r="D23" i="9" s="1"/>
  <c r="D24" i="9" s="1"/>
  <c r="D25" i="9" s="1"/>
  <c r="C11" i="9"/>
  <c r="C12" i="9"/>
  <c r="C13" i="9"/>
  <c r="C14" i="9"/>
  <c r="C15" i="9"/>
  <c r="C16" i="9"/>
  <c r="C17" i="9"/>
  <c r="C18" i="9"/>
  <c r="C19" i="9"/>
  <c r="C20" i="9"/>
  <c r="C21" i="9"/>
  <c r="C22" i="9"/>
  <c r="C23" i="9"/>
  <c r="C24" i="9"/>
  <c r="C25" i="9"/>
  <c r="C30" i="9"/>
  <c r="K21" i="11" l="1"/>
  <c r="J21" i="11"/>
  <c r="C25" i="11"/>
  <c r="F19" i="10"/>
  <c r="F20" i="10" s="1"/>
  <c r="E19" i="10"/>
  <c r="E20" i="10" s="1"/>
  <c r="D19" i="10"/>
  <c r="D20" i="10" s="1"/>
  <c r="C22" i="10" s="1"/>
  <c r="C25" i="10" s="1"/>
  <c r="I25" i="11" l="1"/>
  <c r="C31" i="7"/>
  <c r="D31" i="7"/>
  <c r="D43" i="7"/>
  <c r="E43" i="7"/>
  <c r="E53" i="7" s="1"/>
  <c r="C48" i="7"/>
  <c r="C32" i="7" s="1"/>
  <c r="C33" i="7" s="1"/>
  <c r="D48" i="7"/>
  <c r="E48" i="7"/>
  <c r="F48" i="7"/>
  <c r="G48" i="7"/>
  <c r="C52" i="7"/>
  <c r="D52" i="7"/>
  <c r="C53" i="7"/>
  <c r="D53" i="7"/>
  <c r="D32" i="7" s="1"/>
  <c r="F30" i="6"/>
  <c r="F31" i="6" s="1"/>
  <c r="C31" i="6"/>
  <c r="D31" i="6"/>
  <c r="E31" i="6"/>
  <c r="C32" i="6"/>
  <c r="D32" i="6"/>
  <c r="E32" i="6"/>
  <c r="J30" i="6" s="1"/>
  <c r="C39" i="6"/>
  <c r="E40" i="6" s="1"/>
  <c r="J38" i="6" s="1"/>
  <c r="D39" i="6"/>
  <c r="E39" i="6"/>
  <c r="F39" i="6"/>
  <c r="C40" i="6"/>
  <c r="D40" i="6"/>
  <c r="C31" i="5"/>
  <c r="D31" i="5"/>
  <c r="E31" i="5"/>
  <c r="F31" i="5"/>
  <c r="G31" i="5"/>
  <c r="C37" i="5"/>
  <c r="D37" i="5"/>
  <c r="E37" i="5"/>
  <c r="F37" i="5"/>
  <c r="G37" i="5"/>
  <c r="H37" i="5"/>
  <c r="C40" i="5"/>
  <c r="F40" i="5" s="1"/>
  <c r="J40" i="5" s="1"/>
  <c r="C41" i="5"/>
  <c r="F41" i="5" s="1"/>
  <c r="J41" i="5" s="1"/>
  <c r="C40" i="3"/>
  <c r="E25" i="3" s="1"/>
  <c r="E39" i="3"/>
  <c r="D28" i="3"/>
  <c r="D25" i="3"/>
  <c r="D30" i="3" s="1"/>
  <c r="F44" i="2"/>
  <c r="E44" i="2"/>
  <c r="E38" i="2"/>
  <c r="D44" i="2"/>
  <c r="F43" i="2"/>
  <c r="E43" i="2"/>
  <c r="D43" i="2"/>
  <c r="D38" i="2"/>
  <c r="F37" i="2"/>
  <c r="E37" i="2"/>
  <c r="D37" i="2"/>
  <c r="D33" i="7" l="1"/>
  <c r="E52" i="7"/>
  <c r="E32" i="7" s="1"/>
  <c r="F43" i="7"/>
  <c r="E31" i="7"/>
  <c r="F32" i="6"/>
  <c r="F40" i="6"/>
  <c r="C41" i="3"/>
  <c r="E40" i="3"/>
  <c r="E28" i="3"/>
  <c r="E30" i="3" s="1"/>
  <c r="F53" i="7" l="1"/>
  <c r="F31" i="7"/>
  <c r="G43" i="7"/>
  <c r="F52" i="7"/>
  <c r="F32" i="7" s="1"/>
  <c r="E33" i="7"/>
  <c r="E41" i="3"/>
  <c r="F28" i="3"/>
  <c r="F25" i="3"/>
  <c r="F30" i="3" s="1"/>
  <c r="C42" i="3"/>
  <c r="G52" i="7" l="1"/>
  <c r="G53" i="7"/>
  <c r="G31" i="7"/>
  <c r="F33" i="7"/>
  <c r="C43" i="3"/>
  <c r="E42" i="3"/>
  <c r="G28" i="3"/>
  <c r="G25" i="3"/>
  <c r="G30" i="3" s="1"/>
  <c r="G32" i="7" l="1"/>
  <c r="G33" i="7"/>
  <c r="J33" i="7" s="1"/>
  <c r="E43" i="3"/>
  <c r="H26" i="3"/>
  <c r="H28" i="3"/>
  <c r="J30" i="7" l="1"/>
  <c r="H30" i="3"/>
  <c r="E33" i="3" s="1"/>
  <c r="D46" i="3" s="1"/>
  <c r="D32" i="2" l="1"/>
  <c r="D31" i="2"/>
  <c r="H51" i="1"/>
  <c r="H50" i="1"/>
  <c r="D51" i="1"/>
  <c r="D50" i="1"/>
  <c r="D48" i="1"/>
  <c r="D47" i="1"/>
  <c r="P42" i="1"/>
  <c r="O42" i="1"/>
  <c r="N42" i="1"/>
  <c r="M42" i="1"/>
  <c r="L42" i="1"/>
  <c r="G42" i="1"/>
  <c r="F42" i="1"/>
  <c r="E42" i="1"/>
  <c r="D42" i="1"/>
</calcChain>
</file>

<file path=xl/sharedStrings.xml><?xml version="1.0" encoding="utf-8"?>
<sst xmlns="http://schemas.openxmlformats.org/spreadsheetml/2006/main" count="719" uniqueCount="308">
  <si>
    <t>t</t>
  </si>
  <si>
    <t>a)</t>
  </si>
  <si>
    <t>Bus B</t>
  </si>
  <si>
    <t>Bus A</t>
  </si>
  <si>
    <t>kEK A</t>
  </si>
  <si>
    <t>kEK B</t>
  </si>
  <si>
    <t>kGK A</t>
  </si>
  <si>
    <t>kGK B</t>
  </si>
  <si>
    <t>NBW A</t>
  </si>
  <si>
    <t>NBW B</t>
  </si>
  <si>
    <t>b)</t>
  </si>
  <si>
    <t xml:space="preserve">Unter Zugrundelegung eines vollkommenen Kapitalmarktes ist der Vergleich vollständig, da die Kapitalwerte der Teilproblembereiche gleich null sind. </t>
  </si>
  <si>
    <t>IKV A</t>
  </si>
  <si>
    <t>IKV B</t>
  </si>
  <si>
    <t>A</t>
  </si>
  <si>
    <t>B</t>
  </si>
  <si>
    <t>Beide Vorteilhaft, da Interner Zinsfuß höher als durchschnittliche Unternehmensrendite ist. Projekt Bonsai noch voteilhafter.</t>
  </si>
  <si>
    <t>Barwert</t>
  </si>
  <si>
    <t>Projekt Trauerweide amortisiert sich nach 2 Jahren</t>
  </si>
  <si>
    <t>Projekt Bonsai amortisiert sich nach 3 Jahren</t>
  </si>
  <si>
    <t>Anhand NBW Formel</t>
  </si>
  <si>
    <t>Da Kapitalwert negativ ist, sollte es nicht angeschafft werden.</t>
  </si>
  <si>
    <t>Anhand ZW Formel</t>
  </si>
  <si>
    <t>a) Für Anlage B entscheiden, weil Kapitalwwert ist mehr</t>
  </si>
  <si>
    <t>kGK</t>
  </si>
  <si>
    <t>Kek B</t>
  </si>
  <si>
    <t>Kek A</t>
  </si>
  <si>
    <t>b</t>
  </si>
  <si>
    <t>a</t>
  </si>
  <si>
    <t>Das Projekt B amortisiert sich in 4 Jahren</t>
  </si>
  <si>
    <t>Projekt A amortisiert sich in 4 Jahren nicht</t>
  </si>
  <si>
    <t>Materialkosten</t>
  </si>
  <si>
    <t>Energiekosten</t>
  </si>
  <si>
    <t>Preis</t>
  </si>
  <si>
    <t>Energie</t>
  </si>
  <si>
    <t>Prod.</t>
  </si>
  <si>
    <t>Das neue System soll angeschaft werden, da Kapitalwert ist positiv und interner Zinsfuß bisschen mehr, als Kalkulationszinssatz</t>
  </si>
  <si>
    <t>IKV</t>
  </si>
  <si>
    <t>NBW</t>
  </si>
  <si>
    <t>b) Die Werte müssen 149.454,75 Euro einnehmen, damit es sich nach 10 Jahren amortisiert.</t>
  </si>
  <si>
    <t>RMZ</t>
  </si>
  <si>
    <t>a) Die Amortasitionszeit beträgt 14 Jahre.</t>
  </si>
  <si>
    <t>Rückflüsse</t>
  </si>
  <si>
    <t>Kalkulationszins</t>
  </si>
  <si>
    <t>Der Kapitalwert ist positiv. Es sollte investiert in die Herstellungstechnik werden.</t>
  </si>
  <si>
    <t>Kapitalwert:</t>
  </si>
  <si>
    <t>abzügl. Anschaffungsausz.:</t>
  </si>
  <si>
    <t>Summe der Barwerte:</t>
  </si>
  <si>
    <t xml:space="preserve">Diskontierung </t>
  </si>
  <si>
    <t>Rückfluss nach Steuern</t>
  </si>
  <si>
    <t>Ertragsteuern</t>
  </si>
  <si>
    <t>Steuerpflichtiger Gewinn</t>
  </si>
  <si>
    <t>Abschreibungen:</t>
  </si>
  <si>
    <t>Auszahlungen</t>
  </si>
  <si>
    <t>Einzahlungen</t>
  </si>
  <si>
    <t>Jahr</t>
  </si>
  <si>
    <t>Fremdkapitalquote</t>
  </si>
  <si>
    <t>Eigenkapitalquote</t>
  </si>
  <si>
    <t>Kalkulationszinssatz</t>
  </si>
  <si>
    <t>Durchschnittlicher Ertragssteuersatz</t>
  </si>
  <si>
    <t>k gk=</t>
  </si>
  <si>
    <t>Fremdkapitalzins:</t>
  </si>
  <si>
    <t>Beta-Faktor der Anlage</t>
  </si>
  <si>
    <t>k ek=</t>
  </si>
  <si>
    <t>Marktrendite:</t>
  </si>
  <si>
    <t>Jahre</t>
  </si>
  <si>
    <t xml:space="preserve">Nutzungsdauer </t>
  </si>
  <si>
    <t>Risikoloser Zins:</t>
  </si>
  <si>
    <t xml:space="preserve">Investition </t>
  </si>
  <si>
    <t xml:space="preserve">Nach der Kapitalwertmehode sollte das Modell Bavaria angeschafft werden, da dessen Kapitalwert höher ist.
</t>
  </si>
  <si>
    <t>Kapitalwert Stern</t>
  </si>
  <si>
    <t>Kapitalwert Bavaria</t>
  </si>
  <si>
    <t xml:space="preserve">Rückflüsse </t>
  </si>
  <si>
    <t>Erlöse</t>
  </si>
  <si>
    <t>Gesamt</t>
  </si>
  <si>
    <t>Personal</t>
  </si>
  <si>
    <t>Reparatur</t>
  </si>
  <si>
    <t xml:space="preserve">Benzin </t>
  </si>
  <si>
    <t>Versicherung</t>
  </si>
  <si>
    <t>Periode 3</t>
  </si>
  <si>
    <t>Periode 2</t>
  </si>
  <si>
    <t>Periode 1</t>
  </si>
  <si>
    <t>Kosten Stern</t>
  </si>
  <si>
    <t>Kosten Bavaria</t>
  </si>
  <si>
    <t>m. Liquid</t>
  </si>
  <si>
    <t>Stern</t>
  </si>
  <si>
    <t>Bavaria</t>
  </si>
  <si>
    <t>Liqudation</t>
  </si>
  <si>
    <t>Anschaffung</t>
  </si>
  <si>
    <t>Summe der Kosten</t>
  </si>
  <si>
    <t>Benzinkosten</t>
  </si>
  <si>
    <t>Kfz-Steuer</t>
  </si>
  <si>
    <t>Betriebskosten</t>
  </si>
  <si>
    <t>Kalk. Zinsen</t>
  </si>
  <si>
    <t>Kalk. Abschreibungen</t>
  </si>
  <si>
    <t>Kalkulatorische Kosten</t>
  </si>
  <si>
    <t>Kostenvergleichsrechnung</t>
  </si>
  <si>
    <t>Nutzungsdauer (Jahre)</t>
  </si>
  <si>
    <t xml:space="preserve">Zinssatz </t>
  </si>
  <si>
    <t>Benzinpreis</t>
  </si>
  <si>
    <t>Benzinverbrauch</t>
  </si>
  <si>
    <t>Jahresleistung (km p.a.)</t>
  </si>
  <si>
    <t>Laufleistung (km)</t>
  </si>
  <si>
    <t>C</t>
  </si>
  <si>
    <t>Varianten</t>
  </si>
  <si>
    <t>Gesamtgewinn</t>
  </si>
  <si>
    <t>abzügl. Kalk Zins</t>
  </si>
  <si>
    <t>abzügl. Kalk. Abschr.</t>
  </si>
  <si>
    <t>abzügl. Var. Kosten</t>
  </si>
  <si>
    <t>abzügl. Fixkosten</t>
  </si>
  <si>
    <t>Gesamterlös</t>
  </si>
  <si>
    <t>Kalk. Zinsen:</t>
  </si>
  <si>
    <t>Kalk. Abschreibungen:</t>
  </si>
  <si>
    <t>Gesamterlös:</t>
  </si>
  <si>
    <t>Gewinnvergleichsrechnung</t>
  </si>
  <si>
    <t>Verkaufspreis / Stück</t>
  </si>
  <si>
    <t>variable Kosten p.a.</t>
  </si>
  <si>
    <t>Fixkosten p.a.</t>
  </si>
  <si>
    <t>Kapazität (ME)</t>
  </si>
  <si>
    <t>Restwert</t>
  </si>
  <si>
    <t>Anschaffungskosten</t>
  </si>
  <si>
    <t>Rentabilität der Investition:</t>
  </si>
  <si>
    <t xml:space="preserve">Durchschnittle Kapitalbindung: </t>
  </si>
  <si>
    <t>Restverkaufserlös  (Übernahme aus Aufgabe 4):</t>
  </si>
  <si>
    <t xml:space="preserve">Anschaffungskosten  (Übernahme aus Aufgabe 4): </t>
  </si>
  <si>
    <t xml:space="preserve">Gewinn (Übernahme aus Aufgabe 4): </t>
  </si>
  <si>
    <t>Maschine II:</t>
  </si>
  <si>
    <t>Maschine I:</t>
  </si>
  <si>
    <t>Ermittlung der Amortisationsdauer</t>
  </si>
  <si>
    <t>Ermittlung der durchschnittlichen Rückflüsse p.a.</t>
  </si>
  <si>
    <t>Ruckfluss 5. Jahr</t>
  </si>
  <si>
    <t>Ruckfluss 4. Jahr</t>
  </si>
  <si>
    <t>Ruckfluss 3. Jahr</t>
  </si>
  <si>
    <t>Ruckfluss 2. Jahr</t>
  </si>
  <si>
    <t>Ruckfluss 1. Jahr</t>
  </si>
  <si>
    <t>Anschafffungskosten</t>
  </si>
  <si>
    <t>Daten Maschine II:</t>
  </si>
  <si>
    <t>Daten Maschine I:</t>
  </si>
  <si>
    <t>Auszahlung am Ende der letzten Periode F=0</t>
  </si>
  <si>
    <t>Zukünftiger Wert(Zinssatz, Zeitraum, regelmäßige Zahlung, Anfangszahlung, Fälligkeit am Anfang)</t>
  </si>
  <si>
    <t xml:space="preserve"> =ZW(H20;20;0;-10000;0)</t>
  </si>
  <si>
    <t xml:space="preserve">c) </t>
  </si>
  <si>
    <t>Zeit (t)</t>
  </si>
  <si>
    <t>Guthaben bei einem Zinssatz in Höhe von:</t>
  </si>
  <si>
    <t>Übung 1</t>
  </si>
  <si>
    <t xml:space="preserve"> =BW(0,03;5;0;30.000;0)</t>
  </si>
  <si>
    <t>Barwert(Zinssatz, Zeitraum, regelmäßige Zahlung, Anfangszahlung, Fälligkeit am Anfang)</t>
  </si>
  <si>
    <t>c)</t>
  </si>
  <si>
    <t>d)</t>
  </si>
  <si>
    <t xml:space="preserve">Rendite: </t>
  </si>
  <si>
    <t>Zinszahlung</t>
  </si>
  <si>
    <t>Rückzahlung</t>
  </si>
  <si>
    <t>Kurs</t>
  </si>
  <si>
    <t>Nominalzins</t>
  </si>
  <si>
    <t xml:space="preserve">Ausgabe: </t>
  </si>
  <si>
    <t xml:space="preserve"> =ZW(6%;30;-15000;0;0)</t>
  </si>
  <si>
    <t>Endwert:</t>
  </si>
  <si>
    <t>Excel-Funktion ZW</t>
  </si>
  <si>
    <t>Summe:</t>
  </si>
  <si>
    <t>Barwert:</t>
  </si>
  <si>
    <t xml:space="preserve"> =BW(6%;30;-15000;0;0)</t>
  </si>
  <si>
    <t>c) Excel-Funktion BW</t>
  </si>
  <si>
    <t>Rente</t>
  </si>
  <si>
    <t>Endwert</t>
  </si>
  <si>
    <t>Betrag</t>
  </si>
  <si>
    <t>Zeitpunkt t</t>
  </si>
  <si>
    <t xml:space="preserve">Kurs: </t>
  </si>
  <si>
    <t xml:space="preserve">Barwert der zukünftigen Tilgungsleistung: </t>
  </si>
  <si>
    <t xml:space="preserve">Barwert der zukünftigen Zinszahlungenleistung: </t>
  </si>
  <si>
    <t>mit Excel-Funktion berechnet</t>
  </si>
  <si>
    <t>c) Barwert der Rente von 250.000€ über 10 Jahre:</t>
  </si>
  <si>
    <t>manuell eingegeben</t>
  </si>
  <si>
    <t>b) Barwert von 2,5 Mio. € in 5 Jahren:</t>
  </si>
  <si>
    <r>
      <t xml:space="preserve">a) Barwert der Sofortauszahlung: </t>
    </r>
    <r>
      <rPr>
        <b/>
        <sz val="11"/>
        <color theme="1"/>
        <rFont val="Calibri"/>
        <family val="2"/>
        <scheme val="minor"/>
      </rPr>
      <t>2 Mio. €</t>
    </r>
  </si>
  <si>
    <t xml:space="preserve">Lösung: Da der Kapitalwert positiv ist, sollte Rudi Rüstig die Kapazitäten seines Sportstudios erweitern </t>
  </si>
  <si>
    <t>mit Excelfunktion NBW berechnet</t>
  </si>
  <si>
    <t xml:space="preserve">Kapitalwert: </t>
  </si>
  <si>
    <t>Alternativ 5</t>
  </si>
  <si>
    <t>Barwerte</t>
  </si>
  <si>
    <t xml:space="preserve">Probe: </t>
  </si>
  <si>
    <t>Der Liquidationserlös in Peride 8 muss 153,37 € betragen, damit der Kapitalwert 0 ist</t>
  </si>
  <si>
    <t>&lt;--- der Endwert des "fehlenden" Kapitalwertes in Höhe von 71,55€ beträgt in Periode 8 (t8) 153,37€ (berechnet mit Excel-Funktion "ZW")</t>
  </si>
  <si>
    <t>Der Kapitalwert ist positiv. Die Idee sollte umgesetzt werden</t>
  </si>
  <si>
    <t>Der Kapitalwert ist negativ. Die Idee sollte nicht umgesetzt werden</t>
  </si>
  <si>
    <t>Übung3</t>
  </si>
  <si>
    <t>Kapitalwert Investition B (Excel BW-Funktion):</t>
  </si>
  <si>
    <t>Kapitalwert Investition A (Excel BW-Funktion):</t>
  </si>
  <si>
    <t>Kapitalwert Investition B (Excel NBW-Funktion):</t>
  </si>
  <si>
    <t>Kapitalwert Investition A (Excel NBW-Funktion):</t>
  </si>
  <si>
    <t>Überschuss</t>
  </si>
  <si>
    <t>Ausz. B</t>
  </si>
  <si>
    <t>Einz. B</t>
  </si>
  <si>
    <t>Ausz. A</t>
  </si>
  <si>
    <t>Einz. A</t>
  </si>
  <si>
    <t xml:space="preserve">Jahr </t>
  </si>
  <si>
    <t>Lösung: Der Kapitalwert der Flaschenabfüllanlage beträgt 500.000 €. Da er positiv ist, sollte die Anlage gekauft werden</t>
  </si>
  <si>
    <t>Excel-Funktion NBW:</t>
  </si>
  <si>
    <t>Barwert Einz.-Überschüsse</t>
  </si>
  <si>
    <t>Einzahlungsüberschuss</t>
  </si>
  <si>
    <t>Summe Auszahlungen</t>
  </si>
  <si>
    <t>Auszahlungen V + V</t>
  </si>
  <si>
    <t>Auszahlungen Fertigung</t>
  </si>
  <si>
    <t>Materialauszahlungen</t>
  </si>
  <si>
    <t>Anschaffungsauszahlung</t>
  </si>
  <si>
    <t xml:space="preserve">Summe Einzahlungen </t>
  </si>
  <si>
    <t>Restverkaufserlös</t>
  </si>
  <si>
    <t>Umsatzerlöse</t>
  </si>
  <si>
    <r>
      <t>t</t>
    </r>
    <r>
      <rPr>
        <b/>
        <vertAlign val="subscript"/>
        <sz val="11"/>
        <color theme="1"/>
        <rFont val="Calibri"/>
        <family val="2"/>
        <scheme val="minor"/>
      </rPr>
      <t>2</t>
    </r>
  </si>
  <si>
    <r>
      <t>t</t>
    </r>
    <r>
      <rPr>
        <b/>
        <vertAlign val="subscript"/>
        <sz val="11"/>
        <color theme="1"/>
        <rFont val="Calibri"/>
        <family val="2"/>
        <scheme val="minor"/>
      </rPr>
      <t>1</t>
    </r>
  </si>
  <si>
    <r>
      <t>t</t>
    </r>
    <r>
      <rPr>
        <b/>
        <vertAlign val="subscript"/>
        <sz val="11"/>
        <color theme="1"/>
        <rFont val="Calibri"/>
        <family val="2"/>
        <scheme val="minor"/>
      </rPr>
      <t>0</t>
    </r>
  </si>
  <si>
    <t xml:space="preserve">Einzahlungen </t>
  </si>
  <si>
    <t>Periode</t>
  </si>
  <si>
    <t>Lösung: es können am Ende eines jeden Jahres 223,85 € entnommen werden, ohne die Verzinsung und die Tilgung zu gefährden</t>
  </si>
  <si>
    <t>Annuität (Excel-Funktion RMZ):</t>
  </si>
  <si>
    <t xml:space="preserve">1. Schritt: Kapitalwert ermitteln </t>
  </si>
  <si>
    <t>e</t>
  </si>
  <si>
    <t>IZF Maschine B:</t>
  </si>
  <si>
    <t>IZF Maschine A:</t>
  </si>
  <si>
    <t>Kapitalwert B:</t>
  </si>
  <si>
    <t>abzüglich  Startkapital</t>
  </si>
  <si>
    <t>Barwert (493,22 € über 5 Jahre zu 10% abgezinst)</t>
  </si>
  <si>
    <t>Wiederanlage</t>
  </si>
  <si>
    <t>Ergänzungsinvestition</t>
  </si>
  <si>
    <t>Maschine B:</t>
  </si>
  <si>
    <t>Startkapital:</t>
  </si>
  <si>
    <t>Ergänzungsinvestition und Anschlussinvestition B:</t>
  </si>
  <si>
    <t xml:space="preserve">Kapitalwert A: </t>
  </si>
  <si>
    <t xml:space="preserve">abzüglich Startkapital: </t>
  </si>
  <si>
    <t>Barwert (499,04 € über 5 Jahre zu 10% abgezinst)</t>
  </si>
  <si>
    <t>Maschine A:</t>
  </si>
  <si>
    <t xml:space="preserve">Startkapital: </t>
  </si>
  <si>
    <t>Maschine A (in TEUR)</t>
  </si>
  <si>
    <t>Kapitalwert B in TEUR</t>
  </si>
  <si>
    <t>Kapitalwert A in TEUR</t>
  </si>
  <si>
    <t>Maschine B in TEUR</t>
  </si>
  <si>
    <t>Maschine A in TEUR</t>
  </si>
  <si>
    <t>t5</t>
  </si>
  <si>
    <t>t2</t>
  </si>
  <si>
    <t>t3</t>
  </si>
  <si>
    <t>t1</t>
  </si>
  <si>
    <t>t0</t>
  </si>
  <si>
    <t>Maschine B</t>
  </si>
  <si>
    <t>Maschine A</t>
  </si>
  <si>
    <t>Kapitalwerte</t>
  </si>
  <si>
    <t xml:space="preserve">Kalkulationszins: </t>
  </si>
  <si>
    <t xml:space="preserve">IZF (Excel): </t>
  </si>
  <si>
    <t>IZF:</t>
  </si>
  <si>
    <t xml:space="preserve">KW= </t>
  </si>
  <si>
    <t>Teilaufgabe b)</t>
  </si>
  <si>
    <t>Teilaufgabe a)</t>
  </si>
  <si>
    <t xml:space="preserve"> Anzahl der internen Zinsfüße</t>
  </si>
  <si>
    <t>KW=</t>
  </si>
  <si>
    <t>&gt; 300 € amortisiert sich nach 5 Jahren</t>
  </si>
  <si>
    <t>r=</t>
  </si>
  <si>
    <t>&gt; 230 € amortisiert sich nach 3 Jahren</t>
  </si>
  <si>
    <t xml:space="preserve"> amortisiert sich nach 5 Jahren</t>
  </si>
  <si>
    <t>amortisiert sich nach 3 Jahren</t>
  </si>
  <si>
    <t>Kumulierter Barwert B</t>
  </si>
  <si>
    <t>Barwert B</t>
  </si>
  <si>
    <t>Kumulierter Barwert A</t>
  </si>
  <si>
    <t>Barwert A</t>
  </si>
  <si>
    <t xml:space="preserve">Alternative Berechnung: </t>
  </si>
  <si>
    <t>A0 - kumulierter Barwert</t>
  </si>
  <si>
    <t>kumlierter Barwert</t>
  </si>
  <si>
    <t>Rückfluss</t>
  </si>
  <si>
    <t>Probe:</t>
  </si>
  <si>
    <t xml:space="preserve">Annuität: </t>
  </si>
  <si>
    <t>Lösung: Die Amortisation erfolgt im achten Jahr</t>
  </si>
  <si>
    <t>Anschaffungsauszahlung abzügl. Kumulierter Barwert</t>
  </si>
  <si>
    <t xml:space="preserve">mit NBW-Funktion: </t>
  </si>
  <si>
    <t>Zahlungsstrom</t>
  </si>
  <si>
    <r>
      <t>k</t>
    </r>
    <r>
      <rPr>
        <b/>
        <vertAlign val="subscript"/>
        <sz val="11"/>
        <color theme="1"/>
        <rFont val="Calibri"/>
        <family val="2"/>
        <scheme val="minor"/>
      </rPr>
      <t>EK</t>
    </r>
    <r>
      <rPr>
        <b/>
        <sz val="11"/>
        <color theme="1"/>
        <rFont val="Calibri"/>
        <family val="2"/>
        <scheme val="minor"/>
      </rPr>
      <t>=</t>
    </r>
  </si>
  <si>
    <t xml:space="preserve"> </t>
  </si>
  <si>
    <t>Beta-Faktor:</t>
  </si>
  <si>
    <t>Risikofreier Zins:</t>
  </si>
  <si>
    <t>Kapitalwert A:</t>
  </si>
  <si>
    <r>
      <t>K</t>
    </r>
    <r>
      <rPr>
        <vertAlign val="subscript"/>
        <sz val="11"/>
        <color theme="1"/>
        <rFont val="Calibri"/>
        <family val="2"/>
        <scheme val="minor"/>
      </rPr>
      <t>GK</t>
    </r>
    <r>
      <rPr>
        <sz val="11"/>
        <color theme="1"/>
        <rFont val="Calibri"/>
        <family val="2"/>
        <scheme val="minor"/>
      </rPr>
      <t xml:space="preserve"> B:</t>
    </r>
  </si>
  <si>
    <r>
      <t>K</t>
    </r>
    <r>
      <rPr>
        <vertAlign val="subscript"/>
        <sz val="11"/>
        <color theme="1"/>
        <rFont val="Calibri"/>
        <family val="2"/>
        <scheme val="minor"/>
      </rPr>
      <t>GK</t>
    </r>
    <r>
      <rPr>
        <sz val="11"/>
        <color theme="1"/>
        <rFont val="Calibri"/>
        <family val="2"/>
        <scheme val="minor"/>
      </rPr>
      <t xml:space="preserve">  A:</t>
    </r>
  </si>
  <si>
    <r>
      <t>K</t>
    </r>
    <r>
      <rPr>
        <vertAlign val="subscript"/>
        <sz val="11"/>
        <color theme="1"/>
        <rFont val="Calibri"/>
        <family val="2"/>
        <scheme val="minor"/>
      </rPr>
      <t>EK</t>
    </r>
    <r>
      <rPr>
        <sz val="11"/>
        <color theme="1"/>
        <rFont val="Calibri"/>
        <family val="2"/>
        <scheme val="minor"/>
      </rPr>
      <t xml:space="preserve">  B:</t>
    </r>
  </si>
  <si>
    <r>
      <t>K</t>
    </r>
    <r>
      <rPr>
        <vertAlign val="subscript"/>
        <sz val="11"/>
        <color theme="1"/>
        <rFont val="Calibri"/>
        <family val="2"/>
        <scheme val="minor"/>
      </rPr>
      <t xml:space="preserve">EK  </t>
    </r>
    <r>
      <rPr>
        <sz val="11"/>
        <color theme="1"/>
        <rFont val="Calibri"/>
        <family val="2"/>
        <scheme val="minor"/>
      </rPr>
      <t>A:</t>
    </r>
  </si>
  <si>
    <t>Einz-Überschuss</t>
  </si>
  <si>
    <t>Zug B</t>
  </si>
  <si>
    <t>Steuer</t>
  </si>
  <si>
    <t>FK-Zins:</t>
  </si>
  <si>
    <t>Beta B:</t>
  </si>
  <si>
    <t>Beta A:</t>
  </si>
  <si>
    <t xml:space="preserve">Riskofreier Zins: </t>
  </si>
  <si>
    <t>Zug A</t>
  </si>
  <si>
    <t>Alternat.:</t>
  </si>
  <si>
    <t>Diskontierung (6,19%)</t>
  </si>
  <si>
    <t>Rückfluss vor Steuern</t>
  </si>
  <si>
    <t>Laufende Kosten</t>
  </si>
  <si>
    <t>Umsatz</t>
  </si>
  <si>
    <t>var. Kosten (je Stück)</t>
  </si>
  <si>
    <t>Preis (je Stück)</t>
  </si>
  <si>
    <t>Menge (Stück)</t>
  </si>
  <si>
    <t>Kalkulationszinssatz nach Steuern</t>
  </si>
  <si>
    <r>
      <t>k</t>
    </r>
    <r>
      <rPr>
        <vertAlign val="subscript"/>
        <sz val="11"/>
        <color theme="1"/>
        <rFont val="Calibri"/>
        <family val="2"/>
        <scheme val="minor"/>
      </rPr>
      <t>GK</t>
    </r>
    <r>
      <rPr>
        <sz val="11"/>
        <color theme="1"/>
        <rFont val="Calibri"/>
        <family val="2"/>
        <scheme val="minor"/>
      </rPr>
      <t>=</t>
    </r>
  </si>
  <si>
    <t>Steuersatz:</t>
  </si>
  <si>
    <t>WACC</t>
  </si>
  <si>
    <t>CAPM</t>
  </si>
  <si>
    <t>t6</t>
  </si>
  <si>
    <t>t4</t>
  </si>
  <si>
    <t>IZF Anlage B:</t>
  </si>
  <si>
    <t>IZF Anlage A:</t>
  </si>
  <si>
    <t>Anlage B</t>
  </si>
  <si>
    <t>Anlage A</t>
  </si>
  <si>
    <t>&lt;--- der Endwert des "fehlden" Kapitalwertes in Höhe von 75,55€ beträgt in Periode 8 153,37€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</si>
</sst>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0.00\ &quot;€&quot;;[Red]\-#,##0.00\ &quot;€&quot;"/>
    <numFmt numFmtId="44" formatCode="_-* #,##0.00\ &quot;€&quot;_-;\-* #,##0.00\ &quot;€&quot;_-;_-* &quot;-&quot;??\ &quot;€&quot;_-;_-@_-"/>
    <numFmt numFmtId="164" formatCode="#,##0.00\ &quot;€&quot;"/>
    <numFmt numFmtId="165" formatCode="_-* #,##0.00\ [$€-407]_-;\-* #,##0.00\ [$€-407]_-;_-* &quot;-&quot;??\ [$€-407]_-;_-@_-"/>
    <numFmt numFmtId="166" formatCode="0.000%"/>
    <numFmt numFmtId="167" formatCode="0.0%"/>
    <numFmt numFmtId="168" formatCode="_-* #,##0.00\ _€_-;\-* #,##0.00\ _€_-;_-* &quot;-&quot;??\ _€_-;_-@_-"/>
    <numFmt numFmtId="169" formatCode="_-* #,##0.000\ _€_-;\-* #,##0.000\ _€_-;_-* &quot;-&quot;??\ _€_-;_-@_-"/>
    <numFmt numFmtId="170" formatCode="#,##0.00000\ &quot;€&quot;;[Red]\-#,##0.00000\ &quot;€&quot;"/>
    <numFmt numFmtId="171" formatCode="#,##0.0000\ &quot;€&quot;;[Red]\-#,##0.0000\ &quot;€&quot;"/>
    <numFmt numFmtId="172" formatCode="0.0000%"/>
    <numFmt numFmtId="173" formatCode="_-[$$-409]* #,##0.00_ ;_-[$$-409]* \-#,##0.00\ ;_-[$$-409]* &quot;-&quot;??_ ;_-@_ "/>
    <numFmt numFmtId="174" formatCode="_-* #,##0\ _€_-;\-* #,##0\ _€_-;_-* &quot;-&quot;??\ _€_-;_-@_-"/>
    <numFmt numFmtId="175" formatCode="0.0000"/>
  </numFmts>
  <fonts count="11" x14ac:knownFonts="1">
    <font>
      <sz val="11"/>
      <color theme="1"/>
      <name val="Calibri"/>
      <family val="2"/>
      <scheme val="minor"/>
    </font>
    <font>
      <sz val="11"/>
      <color rgb="FFFF0000"/>
      <name val="Calibri"/>
      <family val="2"/>
      <scheme val="minor"/>
    </font>
    <font>
      <sz val="11"/>
      <color rgb="FF000000"/>
      <name val="Calibri"/>
      <family val="2"/>
      <scheme val="minor"/>
    </font>
    <font>
      <sz val="11"/>
      <color theme="1"/>
      <name val="Calibri"/>
      <family val="2"/>
      <scheme val="minor"/>
    </font>
    <font>
      <b/>
      <sz val="11"/>
      <color theme="1"/>
      <name val="Calibri"/>
      <family val="2"/>
      <scheme val="minor"/>
    </font>
    <font>
      <sz val="14"/>
      <color rgb="FF000000"/>
      <name val="Segoe UI"/>
      <family val="2"/>
    </font>
    <font>
      <sz val="11"/>
      <color theme="1"/>
      <name val="Segoe UI"/>
      <family val="2"/>
    </font>
    <font>
      <i/>
      <sz val="11"/>
      <color theme="1"/>
      <name val="Calibri"/>
      <family val="2"/>
      <scheme val="minor"/>
    </font>
    <font>
      <b/>
      <vertAlign val="subscript"/>
      <sz val="11"/>
      <color theme="1"/>
      <name val="Calibri"/>
      <family val="2"/>
      <scheme val="minor"/>
    </font>
    <font>
      <b/>
      <u/>
      <sz val="11"/>
      <color theme="1"/>
      <name val="Calibri"/>
      <family val="2"/>
      <scheme val="minor"/>
    </font>
    <font>
      <vertAlign val="subscript"/>
      <sz val="11"/>
      <color theme="1"/>
      <name val="Calibri"/>
      <family val="2"/>
      <scheme val="minor"/>
    </font>
  </fonts>
  <fills count="8">
    <fill>
      <patternFill patternType="none"/>
    </fill>
    <fill>
      <patternFill patternType="gray125"/>
    </fill>
    <fill>
      <patternFill patternType="solid">
        <fgColor rgb="FFDBEBBD"/>
        <bgColor indexed="64"/>
      </patternFill>
    </fill>
    <fill>
      <patternFill patternType="solid">
        <fgColor rgb="FF92D050"/>
        <bgColor indexed="64"/>
      </patternFill>
    </fill>
    <fill>
      <patternFill patternType="solid">
        <fgColor rgb="FF00B0F0"/>
        <bgColor indexed="64"/>
      </patternFill>
    </fill>
    <fill>
      <patternFill patternType="solid">
        <fgColor theme="5"/>
        <bgColor indexed="64"/>
      </patternFill>
    </fill>
    <fill>
      <patternFill patternType="solid">
        <fgColor theme="0"/>
        <bgColor indexed="64"/>
      </patternFill>
    </fill>
    <fill>
      <patternFill patternType="solid">
        <fgColor theme="9" tint="0.79998168889431442"/>
        <bgColor indexed="64"/>
      </patternFill>
    </fill>
  </fills>
  <borders count="5">
    <border>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style="thin">
        <color indexed="64"/>
      </top>
      <bottom/>
      <diagonal/>
    </border>
  </borders>
  <cellStyleXfs count="4">
    <xf numFmtId="0" fontId="0" fillId="0" borderId="0"/>
    <xf numFmtId="9" fontId="3" fillId="0" borderId="0" applyFont="0" applyFill="0" applyBorder="0" applyAlignment="0" applyProtection="0"/>
    <xf numFmtId="44" fontId="3" fillId="0" borderId="0" applyFont="0" applyFill="0" applyBorder="0" applyAlignment="0" applyProtection="0"/>
    <xf numFmtId="168" fontId="3" fillId="0" borderId="0" applyFont="0" applyFill="0" applyBorder="0" applyAlignment="0" applyProtection="0"/>
  </cellStyleXfs>
  <cellXfs count="73">
    <xf numFmtId="0" fontId="0" fillId="0" borderId="0" xfId="0"/>
    <xf numFmtId="44" fontId="0" fillId="0" borderId="0" xfId="0" applyNumberFormat="1"/>
    <xf numFmtId="10" fontId="0" fillId="0" borderId="0" xfId="0" applyNumberFormat="1"/>
    <xf numFmtId="44" fontId="1" fillId="0" borderId="0" xfId="0" applyNumberFormat="1" applyFont="1"/>
    <xf numFmtId="0" fontId="2" fillId="0" borderId="0" xfId="0" applyFont="1"/>
    <xf numFmtId="9" fontId="0" fillId="0" borderId="0" xfId="0" applyNumberFormat="1"/>
    <xf numFmtId="8" fontId="0" fillId="0" borderId="0" xfId="0" applyNumberFormat="1"/>
    <xf numFmtId="0" fontId="1" fillId="0" borderId="0" xfId="0" applyFont="1"/>
    <xf numFmtId="0" fontId="0" fillId="0" borderId="0" xfId="0" applyAlignment="1">
      <alignment wrapText="1"/>
    </xf>
    <xf numFmtId="164" fontId="0" fillId="0" borderId="0" xfId="0" applyNumberFormat="1" applyAlignment="1">
      <alignment wrapText="1"/>
    </xf>
    <xf numFmtId="9" fontId="0" fillId="0" borderId="0" xfId="1" applyFont="1"/>
    <xf numFmtId="44" fontId="0" fillId="0" borderId="0" xfId="2" applyFont="1"/>
    <xf numFmtId="0" fontId="5" fillId="0" borderId="0" xfId="0" applyFont="1"/>
    <xf numFmtId="44" fontId="4" fillId="0" borderId="0" xfId="0" applyNumberFormat="1" applyFont="1"/>
    <xf numFmtId="44" fontId="4" fillId="0" borderId="0" xfId="2" applyFont="1"/>
    <xf numFmtId="0" fontId="4" fillId="0" borderId="0" xfId="0" applyFont="1"/>
    <xf numFmtId="9" fontId="4" fillId="0" borderId="0" xfId="1" applyFont="1"/>
    <xf numFmtId="0" fontId="4" fillId="0" borderId="1" xfId="0" applyFont="1" applyBorder="1"/>
    <xf numFmtId="0" fontId="0" fillId="0" borderId="1" xfId="0" applyBorder="1"/>
    <xf numFmtId="165" fontId="4" fillId="0" borderId="0" xfId="0" applyNumberFormat="1" applyFont="1"/>
    <xf numFmtId="165" fontId="0" fillId="0" borderId="0" xfId="0" applyNumberFormat="1"/>
    <xf numFmtId="44" fontId="0" fillId="0" borderId="0" xfId="2" applyFont="1" applyAlignment="1">
      <alignment horizontal="right"/>
    </xf>
    <xf numFmtId="3" fontId="0" fillId="0" borderId="0" xfId="0" applyNumberFormat="1"/>
    <xf numFmtId="3" fontId="6" fillId="2" borderId="2" xfId="0" applyNumberFormat="1" applyFont="1" applyFill="1" applyBorder="1" applyAlignment="1">
      <alignment horizontal="right" vertical="center" wrapText="1"/>
    </xf>
    <xf numFmtId="0" fontId="6" fillId="2" borderId="2" xfId="0" applyFont="1" applyFill="1" applyBorder="1" applyAlignment="1">
      <alignment vertical="center" wrapText="1"/>
    </xf>
    <xf numFmtId="0" fontId="4" fillId="0" borderId="3" xfId="0" applyFont="1" applyBorder="1"/>
    <xf numFmtId="9" fontId="6" fillId="2" borderId="2" xfId="0" applyNumberFormat="1" applyFont="1" applyFill="1" applyBorder="1" applyAlignment="1">
      <alignment vertical="center" wrapText="1"/>
    </xf>
    <xf numFmtId="10" fontId="6" fillId="2" borderId="2" xfId="0" applyNumberFormat="1" applyFont="1" applyFill="1" applyBorder="1" applyAlignment="1">
      <alignment vertical="center" wrapText="1"/>
    </xf>
    <xf numFmtId="166" fontId="0" fillId="0" borderId="0" xfId="0" applyNumberFormat="1"/>
    <xf numFmtId="0" fontId="0" fillId="0" borderId="0" xfId="0" applyAlignment="1">
      <alignment horizontal="center"/>
    </xf>
    <xf numFmtId="165" fontId="4" fillId="3" borderId="0" xfId="0" applyNumberFormat="1" applyFont="1" applyFill="1"/>
    <xf numFmtId="0" fontId="7" fillId="0" borderId="0" xfId="0" applyFont="1"/>
    <xf numFmtId="2" fontId="0" fillId="0" borderId="0" xfId="0" applyNumberFormat="1"/>
    <xf numFmtId="167" fontId="4" fillId="0" borderId="0" xfId="1" applyNumberFormat="1" applyFont="1"/>
    <xf numFmtId="169" fontId="0" fillId="0" borderId="0" xfId="3" applyNumberFormat="1" applyFont="1"/>
    <xf numFmtId="165" fontId="4" fillId="0" borderId="0" xfId="2" applyNumberFormat="1" applyFont="1"/>
    <xf numFmtId="9" fontId="4" fillId="0" borderId="0" xfId="0" applyNumberFormat="1" applyFont="1"/>
    <xf numFmtId="10" fontId="4" fillId="0" borderId="0" xfId="0" applyNumberFormat="1" applyFont="1"/>
    <xf numFmtId="170" fontId="0" fillId="0" borderId="0" xfId="0" applyNumberFormat="1"/>
    <xf numFmtId="171" fontId="0" fillId="0" borderId="0" xfId="0" applyNumberFormat="1"/>
    <xf numFmtId="172" fontId="0" fillId="0" borderId="0" xfId="1" applyNumberFormat="1" applyFont="1"/>
    <xf numFmtId="14" fontId="0" fillId="0" borderId="0" xfId="0" applyNumberFormat="1"/>
    <xf numFmtId="165" fontId="0" fillId="0" borderId="0" xfId="2" applyNumberFormat="1" applyFont="1"/>
    <xf numFmtId="10" fontId="0" fillId="0" borderId="0" xfId="1" applyNumberFormat="1" applyFont="1"/>
    <xf numFmtId="8" fontId="4" fillId="0" borderId="0" xfId="0" applyNumberFormat="1" applyFont="1"/>
    <xf numFmtId="165" fontId="4" fillId="0" borderId="0" xfId="0" applyNumberFormat="1" applyFont="1" applyAlignment="1">
      <alignment horizontal="right"/>
    </xf>
    <xf numFmtId="165" fontId="0" fillId="0" borderId="0" xfId="0" applyNumberFormat="1" applyAlignment="1">
      <alignment horizontal="left"/>
    </xf>
    <xf numFmtId="165" fontId="0" fillId="4" borderId="0" xfId="0" applyNumberFormat="1" applyFill="1"/>
    <xf numFmtId="0" fontId="0" fillId="4" borderId="0" xfId="0" applyFill="1"/>
    <xf numFmtId="165" fontId="0" fillId="5" borderId="0" xfId="0" applyNumberFormat="1" applyFill="1"/>
    <xf numFmtId="0" fontId="0" fillId="5" borderId="0" xfId="0" applyFill="1"/>
    <xf numFmtId="165" fontId="0" fillId="3" borderId="0" xfId="0" applyNumberFormat="1" applyFill="1"/>
    <xf numFmtId="0" fontId="0" fillId="3" borderId="0" xfId="0" applyFill="1"/>
    <xf numFmtId="166" fontId="4" fillId="0" borderId="0" xfId="0" applyNumberFormat="1" applyFont="1"/>
    <xf numFmtId="172" fontId="0" fillId="0" borderId="0" xfId="0" applyNumberFormat="1" applyAlignment="1">
      <alignment horizontal="left"/>
    </xf>
    <xf numFmtId="2" fontId="4" fillId="0" borderId="0" xfId="0" applyNumberFormat="1" applyFont="1"/>
    <xf numFmtId="0" fontId="9" fillId="0" borderId="0" xfId="0" applyFont="1"/>
    <xf numFmtId="168" fontId="4" fillId="0" borderId="0" xfId="3" applyFont="1"/>
    <xf numFmtId="10" fontId="0" fillId="0" borderId="0" xfId="0" applyNumberFormat="1" applyAlignment="1">
      <alignment horizontal="left"/>
    </xf>
    <xf numFmtId="173" fontId="0" fillId="0" borderId="0" xfId="0" applyNumberFormat="1"/>
    <xf numFmtId="166" fontId="0" fillId="0" borderId="0" xfId="1" applyNumberFormat="1" applyFont="1"/>
    <xf numFmtId="173" fontId="4" fillId="0" borderId="0" xfId="0" applyNumberFormat="1" applyFont="1"/>
    <xf numFmtId="168" fontId="0" fillId="0" borderId="0" xfId="3" applyFont="1"/>
    <xf numFmtId="44" fontId="0" fillId="3" borderId="0" xfId="0" applyNumberFormat="1" applyFill="1"/>
    <xf numFmtId="44" fontId="0" fillId="6" borderId="0" xfId="0" applyNumberFormat="1" applyFill="1"/>
    <xf numFmtId="44" fontId="1" fillId="0" borderId="0" xfId="2" applyFont="1"/>
    <xf numFmtId="0" fontId="4" fillId="0" borderId="0" xfId="0" applyFont="1" applyAlignment="1">
      <alignment wrapText="1"/>
    </xf>
    <xf numFmtId="44" fontId="0" fillId="0" borderId="0" xfId="2" applyFont="1" applyFill="1"/>
    <xf numFmtId="44" fontId="0" fillId="3" borderId="0" xfId="2" applyFont="1" applyFill="1"/>
    <xf numFmtId="174" fontId="0" fillId="0" borderId="0" xfId="3" applyNumberFormat="1" applyFont="1"/>
    <xf numFmtId="0" fontId="4" fillId="0" borderId="4" xfId="0" applyFont="1" applyBorder="1"/>
    <xf numFmtId="175" fontId="4" fillId="0" borderId="0" xfId="0" applyNumberFormat="1" applyFont="1"/>
    <xf numFmtId="165" fontId="4" fillId="7" borderId="0" xfId="0" applyNumberFormat="1" applyFont="1" applyFill="1"/>
  </cellXfs>
  <cellStyles count="4">
    <cellStyle name="Komma 2" xfId="3" xr:uid="{C828B56E-B031-4D31-9D0B-66E302EE8674}"/>
    <cellStyle name="Prozent 2" xfId="1" xr:uid="{36DE2EE3-7F0D-4AC2-AB9E-D7D728524BD0}"/>
    <cellStyle name="Standard" xfId="0" builtinId="0"/>
    <cellStyle name="Währung 2" xfId="2" xr:uid="{01AC6337-E1B0-4808-9BA6-6EDFEB12F9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val>
            <c:numRef>
              <c:f>'Aufgabe 1 (2)'!$Q$3:$Q$14</c:f>
              <c:numCache>
                <c:formatCode>"€"#,##0.00_);[Red]\("€"#,##0.00\)</c:formatCode>
                <c:ptCount val="12"/>
                <c:pt idx="0">
                  <c:v>93.513297813516317</c:v>
                </c:pt>
                <c:pt idx="1">
                  <c:v>82.533101178730874</c:v>
                </c:pt>
                <c:pt idx="2">
                  <c:v>72.0308151550974</c:v>
                </c:pt>
                <c:pt idx="3">
                  <c:v>61.979769851572712</c:v>
                </c:pt>
                <c:pt idx="4">
                  <c:v>52.355071532266209</c:v>
                </c:pt>
                <c:pt idx="5">
                  <c:v>43.133466648814306</c:v>
                </c:pt>
                <c:pt idx="6">
                  <c:v>34.293217559964546</c:v>
                </c:pt>
                <c:pt idx="7">
                  <c:v>25.813988828556717</c:v>
                </c:pt>
                <c:pt idx="8">
                  <c:v>17.676743101122213</c:v>
                </c:pt>
                <c:pt idx="9">
                  <c:v>9.8636456774561339</c:v>
                </c:pt>
                <c:pt idx="10">
                  <c:v>2.3579769683166205</c:v>
                </c:pt>
                <c:pt idx="11">
                  <c:v>-4.8559478797897668</c:v>
                </c:pt>
              </c:numCache>
            </c:numRef>
          </c:val>
          <c:smooth val="0"/>
          <c:extLst>
            <c:ext xmlns:c16="http://schemas.microsoft.com/office/drawing/2014/chart" uri="{C3380CC4-5D6E-409C-BE32-E72D297353CC}">
              <c16:uniqueId val="{00000000-6DB3-4A7E-B945-0F9798CE64EF}"/>
            </c:ext>
          </c:extLst>
        </c:ser>
        <c:dLbls>
          <c:showLegendKey val="0"/>
          <c:showVal val="0"/>
          <c:showCatName val="0"/>
          <c:showSerName val="0"/>
          <c:showPercent val="0"/>
          <c:showBubbleSize val="0"/>
        </c:dLbls>
        <c:smooth val="0"/>
        <c:axId val="748167368"/>
        <c:axId val="748167696"/>
      </c:lineChart>
      <c:catAx>
        <c:axId val="74816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167696"/>
        <c:crosses val="autoZero"/>
        <c:auto val="1"/>
        <c:lblAlgn val="ctr"/>
        <c:lblOffset val="100"/>
        <c:noMultiLvlLbl val="0"/>
      </c:catAx>
      <c:valAx>
        <c:axId val="748167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167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val>
            <c:numRef>
              <c:f>'Aufgabe 1 (2)'!$R$3:$R$14</c:f>
              <c:numCache>
                <c:formatCode>"€"#,##0.00_);[Red]\("€"#,##0.00\)</c:formatCode>
                <c:ptCount val="12"/>
                <c:pt idx="0">
                  <c:v>49.393594687377743</c:v>
                </c:pt>
                <c:pt idx="1">
                  <c:v>43.968910901538607</c:v>
                </c:pt>
                <c:pt idx="2">
                  <c:v>38.718078714994704</c:v>
                </c:pt>
                <c:pt idx="3">
                  <c:v>33.633648156577124</c:v>
                </c:pt>
                <c:pt idx="4">
                  <c:v>28.708562790195401</c:v>
                </c:pt>
                <c:pt idx="5">
                  <c:v>23.936135198855396</c:v>
                </c:pt>
                <c:pt idx="6">
                  <c:v>19.310024219557988</c:v>
                </c:pt>
                <c:pt idx="7">
                  <c:v>14.824213788548491</c:v>
                </c:pt>
                <c:pt idx="8">
                  <c:v>10.472993268876564</c:v>
                </c:pt>
                <c:pt idx="9">
                  <c:v>6.2509391435011139</c:v>
                </c:pt>
                <c:pt idx="10">
                  <c:v>2.1528979673610138</c:v>
                </c:pt>
                <c:pt idx="11">
                  <c:v>-1.8260295189504916</c:v>
                </c:pt>
              </c:numCache>
            </c:numRef>
          </c:val>
          <c:smooth val="0"/>
          <c:extLst>
            <c:ext xmlns:c16="http://schemas.microsoft.com/office/drawing/2014/chart" uri="{C3380CC4-5D6E-409C-BE32-E72D297353CC}">
              <c16:uniqueId val="{00000000-C03A-4837-9AD8-899A18309201}"/>
            </c:ext>
          </c:extLst>
        </c:ser>
        <c:dLbls>
          <c:showLegendKey val="0"/>
          <c:showVal val="0"/>
          <c:showCatName val="0"/>
          <c:showSerName val="0"/>
          <c:showPercent val="0"/>
          <c:showBubbleSize val="0"/>
        </c:dLbls>
        <c:smooth val="0"/>
        <c:axId val="748146048"/>
        <c:axId val="748147032"/>
      </c:lineChart>
      <c:catAx>
        <c:axId val="74814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147032"/>
        <c:crosses val="autoZero"/>
        <c:auto val="1"/>
        <c:lblAlgn val="ctr"/>
        <c:lblOffset val="100"/>
        <c:noMultiLvlLbl val="0"/>
      </c:catAx>
      <c:valAx>
        <c:axId val="748147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146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val>
            <c:numRef>
              <c:f>'Aufgabe 4 (2)'!$C$19:$C$80</c:f>
              <c:numCache>
                <c:formatCode>"€"#,##0.00_);[Red]\("€"#,##0.00\)</c:formatCode>
                <c:ptCount val="62"/>
                <c:pt idx="0">
                  <c:v>-13527881.657884441</c:v>
                </c:pt>
                <c:pt idx="1">
                  <c:v>-13071066.181182198</c:v>
                </c:pt>
                <c:pt idx="2">
                  <c:v>-12628890.839157447</c:v>
                </c:pt>
                <c:pt idx="3">
                  <c:v>-12200728.265817024</c:v>
                </c:pt>
                <c:pt idx="4">
                  <c:v>-11785984.234963823</c:v>
                </c:pt>
                <c:pt idx="5">
                  <c:v>-11384095.595693089</c:v>
                </c:pt>
                <c:pt idx="6">
                  <c:v>-10994528.355331197</c:v>
                </c:pt>
                <c:pt idx="7">
                  <c:v>-10616775.897983029</c:v>
                </c:pt>
                <c:pt idx="8">
                  <c:v>-10250357.327905394</c:v>
                </c:pt>
                <c:pt idx="9">
                  <c:v>-9894815.9278737754</c:v>
                </c:pt>
                <c:pt idx="10">
                  <c:v>-9549717.7235672437</c:v>
                </c:pt>
                <c:pt idx="11">
                  <c:v>-9214650.1457725912</c:v>
                </c:pt>
                <c:pt idx="12">
                  <c:v>-8889220.7829110473</c:v>
                </c:pt>
                <c:pt idx="13">
                  <c:v>-8573056.2170276381</c:v>
                </c:pt>
                <c:pt idx="14">
                  <c:v>-8265800.9369606338</c:v>
                </c:pt>
                <c:pt idx="15">
                  <c:v>-7967116.3229324706</c:v>
                </c:pt>
                <c:pt idx="16">
                  <c:v>-7676679.6972801797</c:v>
                </c:pt>
                <c:pt idx="17">
                  <c:v>-7394183.436475981</c:v>
                </c:pt>
                <c:pt idx="18">
                  <c:v>-7119334.1399832331</c:v>
                </c:pt>
                <c:pt idx="19">
                  <c:v>-6851851.8518518545</c:v>
                </c:pt>
                <c:pt idx="20">
                  <c:v>-6591469.3312846683</c:v>
                </c:pt>
                <c:pt idx="21">
                  <c:v>-6337931.3687048703</c:v>
                </c:pt>
                <c:pt idx="22">
                  <c:v>-6090994.1441274416</c:v>
                </c:pt>
                <c:pt idx="23">
                  <c:v>-5850424.6248867102</c:v>
                </c:pt>
                <c:pt idx="24">
                  <c:v>-5616000</c:v>
                </c:pt>
                <c:pt idx="25">
                  <c:v>-5387507.1486560535</c:v>
                </c:pt>
                <c:pt idx="26">
                  <c:v>-5164742.140507903</c:v>
                </c:pt>
                <c:pt idx="27">
                  <c:v>-4947509.765625</c:v>
                </c:pt>
                <c:pt idx="28">
                  <c:v>-4735623.0921200011</c:v>
                </c:pt>
                <c:pt idx="29">
                  <c:v>-4528903.0496131089</c:v>
                </c:pt>
                <c:pt idx="30">
                  <c:v>-4327178.036832137</c:v>
                </c:pt>
                <c:pt idx="31">
                  <c:v>-4130283.5517711528</c:v>
                </c:pt>
                <c:pt idx="32">
                  <c:v>-3938061.8429447431</c:v>
                </c:pt>
                <c:pt idx="33">
                  <c:v>-3750361.5803805627</c:v>
                </c:pt>
                <c:pt idx="34">
                  <c:v>-3567037.5450896714</c:v>
                </c:pt>
                <c:pt idx="35">
                  <c:v>-3387950.3358436823</c:v>
                </c:pt>
                <c:pt idx="36">
                  <c:v>-3212966.092170151</c:v>
                </c:pt>
                <c:pt idx="37">
                  <c:v>-3041956.232553754</c:v>
                </c:pt>
                <c:pt idx="38">
                  <c:v>-2874797.2069009002</c:v>
                </c:pt>
                <c:pt idx="39">
                  <c:v>-2711370.2623906713</c:v>
                </c:pt>
                <c:pt idx="40">
                  <c:v>-2551561.2218943872</c:v>
                </c:pt>
                <c:pt idx="41">
                  <c:v>-2395260.2742022462</c:v>
                </c:pt>
                <c:pt idx="42">
                  <c:v>-2242361.7753462754</c:v>
                </c:pt>
                <c:pt idx="43">
                  <c:v>-2092764.0603566542</c:v>
                </c:pt>
                <c:pt idx="44">
                  <c:v>-1946369.264832506</c:v>
                </c:pt>
                <c:pt idx="45">
                  <c:v>-1803083.1557489783</c:v>
                </c:pt>
                <c:pt idx="46">
                  <c:v>-1662814.970960388</c:v>
                </c:pt>
                <c:pt idx="47">
                  <c:v>-1525477.266894361</c:v>
                </c:pt>
                <c:pt idx="48">
                  <c:v>-1390985.7739644721</c:v>
                </c:pt>
                <c:pt idx="49">
                  <c:v>-1259259.2592592593</c:v>
                </c:pt>
                <c:pt idx="50">
                  <c:v>-1130219.3960936405</c:v>
                </c:pt>
                <c:pt idx="51">
                  <c:v>-1003790.6400349904</c:v>
                </c:pt>
                <c:pt idx="52">
                  <c:v>-879900.11104047298</c:v>
                </c:pt>
                <c:pt idx="53">
                  <c:v>-758477.4813649822</c:v>
                </c:pt>
                <c:pt idx="54">
                  <c:v>-639454.86892014183</c:v>
                </c:pt>
                <c:pt idx="55">
                  <c:v>-522766.7357844878</c:v>
                </c:pt>
                <c:pt idx="56">
                  <c:v>-408349.79158338718</c:v>
                </c:pt>
                <c:pt idx="57">
                  <c:v>-296142.90147432499</c:v>
                </c:pt>
                <c:pt idx="58">
                  <c:v>-186086.99848918431</c:v>
                </c:pt>
                <c:pt idx="59">
                  <c:v>-78125</c:v>
                </c:pt>
                <c:pt idx="60">
                  <c:v>27798.271911237389</c:v>
                </c:pt>
                <c:pt idx="61">
                  <c:v>131736.16638535634</c:v>
                </c:pt>
              </c:numCache>
            </c:numRef>
          </c:val>
          <c:smooth val="0"/>
          <c:extLst>
            <c:ext xmlns:c16="http://schemas.microsoft.com/office/drawing/2014/chart" uri="{C3380CC4-5D6E-409C-BE32-E72D297353CC}">
              <c16:uniqueId val="{00000000-A531-4FE3-ACCC-8607EA3804CB}"/>
            </c:ext>
          </c:extLst>
        </c:ser>
        <c:dLbls>
          <c:showLegendKey val="0"/>
          <c:showVal val="0"/>
          <c:showCatName val="0"/>
          <c:showSerName val="0"/>
          <c:showPercent val="0"/>
          <c:showBubbleSize val="0"/>
        </c:dLbls>
        <c:smooth val="0"/>
        <c:axId val="349718184"/>
        <c:axId val="349724416"/>
      </c:lineChart>
      <c:catAx>
        <c:axId val="34971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49724416"/>
        <c:crosses val="autoZero"/>
        <c:auto val="1"/>
        <c:lblAlgn val="ctr"/>
        <c:lblOffset val="100"/>
        <c:noMultiLvlLbl val="0"/>
      </c:catAx>
      <c:valAx>
        <c:axId val="349724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49718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val>
            <c:numRef>
              <c:f>'Aufgabe 4 (2)'!$E$19:$E$80</c:f>
              <c:numCache>
                <c:formatCode>"€"#,##0.00_);[Red]\("€"#,##0.00\)</c:formatCode>
                <c:ptCount val="62"/>
                <c:pt idx="0">
                  <c:v>744574.67883441411</c:v>
                </c:pt>
                <c:pt idx="1">
                  <c:v>516671.90903091058</c:v>
                </c:pt>
                <c:pt idx="2">
                  <c:v>314009.60576008819</c:v>
                </c:pt>
                <c:pt idx="3">
                  <c:v>134500.85177909397</c:v>
                </c:pt>
                <c:pt idx="4">
                  <c:v>-23764.045478984714</c:v>
                </c:pt>
                <c:pt idx="5">
                  <c:v>-162533.7129743211</c:v>
                </c:pt>
                <c:pt idx="6">
                  <c:v>-283410.27859266847</c:v>
                </c:pt>
                <c:pt idx="7">
                  <c:v>-387862.51441647485</c:v>
                </c:pt>
                <c:pt idx="8">
                  <c:v>-477237.70669160783</c:v>
                </c:pt>
                <c:pt idx="9">
                  <c:v>-552772.38548376597</c:v>
                </c:pt>
                <c:pt idx="10">
                  <c:v>-615602.03210549429</c:v>
                </c:pt>
                <c:pt idx="11">
                  <c:v>-666769.86926883459</c:v>
                </c:pt>
                <c:pt idx="12">
                  <c:v>-707234.82735121809</c:v>
                </c:pt>
                <c:pt idx="13">
                  <c:v>-737878.76995736919</c:v>
                </c:pt>
                <c:pt idx="14">
                  <c:v>-759513.05294623598</c:v>
                </c:pt>
                <c:pt idx="15">
                  <c:v>-772884.4831220042</c:v>
                </c:pt>
                <c:pt idx="16">
                  <c:v>-778680.73573321663</c:v>
                </c:pt>
                <c:pt idx="17">
                  <c:v>-777535.28367220797</c:v>
                </c:pt>
                <c:pt idx="18">
                  <c:v>-770031.8857214544</c:v>
                </c:pt>
                <c:pt idx="19">
                  <c:v>-756708.67626886442</c:v>
                </c:pt>
                <c:pt idx="20">
                  <c:v>-738061.89453655668</c:v>
                </c:pt>
                <c:pt idx="21">
                  <c:v>-714549.28747310303</c:v>
                </c:pt>
                <c:pt idx="22">
                  <c:v>-686593.21698990464</c:v>
                </c:pt>
                <c:pt idx="23">
                  <c:v>-654583.49913029745</c:v>
                </c:pt>
                <c:pt idx="24">
                  <c:v>-618880</c:v>
                </c:pt>
                <c:pt idx="25">
                  <c:v>-579815.01082295179</c:v>
                </c:pt>
                <c:pt idx="26">
                  <c:v>-537695.42228311673</c:v>
                </c:pt>
                <c:pt idx="27">
                  <c:v>-492804.71634119749</c:v>
                </c:pt>
                <c:pt idx="28">
                  <c:v>-445404.79194936529</c:v>
                </c:pt>
                <c:pt idx="29">
                  <c:v>-395737.63950469159</c:v>
                </c:pt>
                <c:pt idx="30">
                  <c:v>-344026.87746177241</c:v>
                </c:pt>
                <c:pt idx="31">
                  <c:v>-290479.16325054318</c:v>
                </c:pt>
                <c:pt idx="32">
                  <c:v>-235285.48949945532</c:v>
                </c:pt>
                <c:pt idx="33">
                  <c:v>-178622.37553411908</c:v>
                </c:pt>
                <c:pt idx="34">
                  <c:v>-120652.96319421008</c:v>
                </c:pt>
                <c:pt idx="35">
                  <c:v>-61528.025176232681</c:v>
                </c:pt>
                <c:pt idx="36">
                  <c:v>-1386.8933567870408</c:v>
                </c:pt>
                <c:pt idx="37">
                  <c:v>59641.686128113419</c:v>
                </c:pt>
                <c:pt idx="38">
                  <c:v>121438.76488551497</c:v>
                </c:pt>
                <c:pt idx="39">
                  <c:v>183894.46574131586</c:v>
                </c:pt>
                <c:pt idx="40">
                  <c:v>246907.31258220039</c:v>
                </c:pt>
                <c:pt idx="41">
                  <c:v>310383.61190924793</c:v>
                </c:pt>
                <c:pt idx="42">
                  <c:v>374236.88185939565</c:v>
                </c:pt>
                <c:pt idx="43">
                  <c:v>438387.3248225376</c:v>
                </c:pt>
                <c:pt idx="44">
                  <c:v>502761.34011900797</c:v>
                </c:pt>
                <c:pt idx="45">
                  <c:v>567291.07350807078</c:v>
                </c:pt>
                <c:pt idx="46">
                  <c:v>631914.00057554618</c:v>
                </c:pt>
                <c:pt idx="47">
                  <c:v>696572.54130091146</c:v>
                </c:pt>
                <c:pt idx="48">
                  <c:v>761213.70333333313</c:v>
                </c:pt>
                <c:pt idx="49">
                  <c:v>825788.75171467848</c:v>
                </c:pt>
                <c:pt idx="50">
                  <c:v>890252.90297728032</c:v>
                </c:pt>
                <c:pt idx="51">
                  <c:v>954565.04171693698</c:v>
                </c:pt>
                <c:pt idx="52">
                  <c:v>1018687.4578992128</c:v>
                </c:pt>
                <c:pt idx="53">
                  <c:v>1082585.6033006161</c:v>
                </c:pt>
                <c:pt idx="54">
                  <c:v>1146227.8656171579</c:v>
                </c:pt>
                <c:pt idx="55">
                  <c:v>1209585.3588925209</c:v>
                </c:pt>
                <c:pt idx="56">
                  <c:v>1272631.7290270329</c:v>
                </c:pt>
                <c:pt idx="57">
                  <c:v>1335342.973228652</c:v>
                </c:pt>
                <c:pt idx="58">
                  <c:v>1397697.2723582499</c:v>
                </c:pt>
                <c:pt idx="59">
                  <c:v>1459674.8352050781</c:v>
                </c:pt>
                <c:pt idx="60">
                  <c:v>1521257.7538046148</c:v>
                </c:pt>
                <c:pt idx="61">
                  <c:v>1582429.8689810243</c:v>
                </c:pt>
              </c:numCache>
            </c:numRef>
          </c:val>
          <c:smooth val="0"/>
          <c:extLst>
            <c:ext xmlns:c16="http://schemas.microsoft.com/office/drawing/2014/chart" uri="{C3380CC4-5D6E-409C-BE32-E72D297353CC}">
              <c16:uniqueId val="{00000000-7595-4B31-A62A-1EEA821CD0DF}"/>
            </c:ext>
          </c:extLst>
        </c:ser>
        <c:dLbls>
          <c:showLegendKey val="0"/>
          <c:showVal val="0"/>
          <c:showCatName val="0"/>
          <c:showSerName val="0"/>
          <c:showPercent val="0"/>
          <c:showBubbleSize val="0"/>
        </c:dLbls>
        <c:smooth val="0"/>
        <c:axId val="745457352"/>
        <c:axId val="745458008"/>
      </c:lineChart>
      <c:catAx>
        <c:axId val="74545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5458008"/>
        <c:crosses val="autoZero"/>
        <c:auto val="1"/>
        <c:lblAlgn val="ctr"/>
        <c:lblOffset val="100"/>
        <c:noMultiLvlLbl val="0"/>
      </c:catAx>
      <c:valAx>
        <c:axId val="745458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5457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cat>
            <c:numRef>
              <c:f>'Aufgabe 4 (2)'!$B$95:$B$156</c:f>
              <c:numCache>
                <c:formatCode>0%</c:formatCode>
                <c:ptCount val="62"/>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numCache>
            </c:numRef>
          </c:cat>
          <c:val>
            <c:numRef>
              <c:f>'Aufgabe 4 (2)'!$C$95:$C$156</c:f>
              <c:numCache>
                <c:formatCode>"€"#,##0.00_);[Red]\("€"#,##0.00\)</c:formatCode>
                <c:ptCount val="62"/>
                <c:pt idx="0">
                  <c:v>5408164.9523700913</c:v>
                </c:pt>
                <c:pt idx="1">
                  <c:v>4869472.8021004796</c:v>
                </c:pt>
                <c:pt idx="2">
                  <c:v>4379467.1624768563</c:v>
                </c:pt>
                <c:pt idx="3">
                  <c:v>3934089.9177894108</c:v>
                </c:pt>
                <c:pt idx="4">
                  <c:v>3529642.6051716218</c:v>
                </c:pt>
                <c:pt idx="5">
                  <c:v>3162751.8551373603</c:v>
                </c:pt>
                <c:pt idx="6">
                  <c:v>2830338.4308302859</c:v>
                </c:pt>
                <c:pt idx="7">
                  <c:v>2529589.4618941946</c:v>
                </c:pt>
                <c:pt idx="8">
                  <c:v>2257933.5175249763</c:v>
                </c:pt>
                <c:pt idx="9">
                  <c:v>2013018.2056697672</c:v>
                </c:pt>
                <c:pt idx="10">
                  <c:v>1792690.0223485213</c:v>
                </c:pt>
                <c:pt idx="11">
                  <c:v>1594976.2074156329</c:v>
                </c:pt>
                <c:pt idx="12">
                  <c:v>1418068.3913794924</c:v>
                </c:pt>
                <c:pt idx="13">
                  <c:v>1260307.8426919654</c:v>
                </c:pt>
                <c:pt idx="14">
                  <c:v>1120172.1466692276</c:v>
                </c:pt>
                <c:pt idx="15">
                  <c:v>996263.16630651243</c:v>
                </c:pt>
                <c:pt idx="16">
                  <c:v>887296.15204541571</c:v>
                </c:pt>
                <c:pt idx="17">
                  <c:v>792089.88233776949</c:v>
                </c:pt>
                <c:pt idx="18">
                  <c:v>709557.72988128103</c:v>
                </c:pt>
                <c:pt idx="19">
                  <c:v>638699.55989940278</c:v>
                </c:pt>
                <c:pt idx="20">
                  <c:v>578594.37699384242</c:v>
                </c:pt>
                <c:pt idx="21">
                  <c:v>528393.64607779309</c:v>
                </c:pt>
                <c:pt idx="22">
                  <c:v>487315.22084753215</c:v>
                </c:pt>
                <c:pt idx="23">
                  <c:v>454637.82029345632</c:v>
                </c:pt>
                <c:pt idx="24">
                  <c:v>429696</c:v>
                </c:pt>
                <c:pt idx="25">
                  <c:v>411875.57053163834</c:v>
                </c:pt>
                <c:pt idx="26">
                  <c:v>400609.42013310269</c:v>
                </c:pt>
                <c:pt idx="27">
                  <c:v>395373.70335892774</c:v>
                </c:pt>
                <c:pt idx="28">
                  <c:v>395684.36115432717</c:v>
                </c:pt>
                <c:pt idx="29">
                  <c:v>401093.9413914755</c:v>
                </c:pt>
                <c:pt idx="30">
                  <c:v>411188.69197254814</c:v>
                </c:pt>
                <c:pt idx="31">
                  <c:v>425585.90138519369</c:v>
                </c:pt>
                <c:pt idx="32">
                  <c:v>443931.4640762601</c:v>
                </c:pt>
                <c:pt idx="33">
                  <c:v>465897.65022807382</c:v>
                </c:pt>
                <c:pt idx="34">
                  <c:v>491181.06150817685</c:v>
                </c:pt>
                <c:pt idx="35">
                  <c:v>519500.75614354014</c:v>
                </c:pt>
                <c:pt idx="36">
                  <c:v>550596.52826708555</c:v>
                </c:pt>
                <c:pt idx="37">
                  <c:v>584227.32791751623</c:v>
                </c:pt>
                <c:pt idx="38">
                  <c:v>620169.80936119892</c:v>
                </c:pt>
                <c:pt idx="39">
                  <c:v>658216.99656241573</c:v>
                </c:pt>
                <c:pt idx="40">
                  <c:v>698177.05567025952</c:v>
                </c:pt>
                <c:pt idx="41">
                  <c:v>739872.16532832012</c:v>
                </c:pt>
                <c:pt idx="42">
                  <c:v>783137.47645887174</c:v>
                </c:pt>
                <c:pt idx="43">
                  <c:v>827820.15393578447</c:v>
                </c:pt>
                <c:pt idx="44">
                  <c:v>873778.49324844033</c:v>
                </c:pt>
                <c:pt idx="45">
                  <c:v>920881.10588062368</c:v>
                </c:pt>
                <c:pt idx="46">
                  <c:v>969006.16769017093</c:v>
                </c:pt>
                <c:pt idx="47">
                  <c:v>1018040.7250833176</c:v>
                </c:pt>
                <c:pt idx="48">
                  <c:v>1067880.0542376656</c:v>
                </c:pt>
                <c:pt idx="49">
                  <c:v>1118427.0690443534</c:v>
                </c:pt>
                <c:pt idx="50">
                  <c:v>1169591.7738176659</c:v>
                </c:pt>
                <c:pt idx="51">
                  <c:v>1221290.7571627423</c:v>
                </c:pt>
                <c:pt idx="52">
                  <c:v>1273446.72370301</c:v>
                </c:pt>
                <c:pt idx="53">
                  <c:v>1325988.0606511962</c:v>
                </c:pt>
                <c:pt idx="54">
                  <c:v>1378848.4364643749</c:v>
                </c:pt>
                <c:pt idx="55">
                  <c:v>1431966.4290568177</c:v>
                </c:pt>
                <c:pt idx="56">
                  <c:v>1485285.1812566388</c:v>
                </c:pt>
                <c:pt idx="57">
                  <c:v>1538752.0813855082</c:v>
                </c:pt>
                <c:pt idx="58">
                  <c:v>1592318.4670168199</c:v>
                </c:pt>
                <c:pt idx="59">
                  <c:v>1645939.3501281738</c:v>
                </c:pt>
                <c:pt idx="60">
                  <c:v>1699573.1620103288</c:v>
                </c:pt>
                <c:pt idx="61">
                  <c:v>1753181.5164285628</c:v>
                </c:pt>
              </c:numCache>
            </c:numRef>
          </c:val>
          <c:smooth val="0"/>
          <c:extLst>
            <c:ext xmlns:c16="http://schemas.microsoft.com/office/drawing/2014/chart" uri="{C3380CC4-5D6E-409C-BE32-E72D297353CC}">
              <c16:uniqueId val="{00000000-406B-4714-A4C2-D2C130DDAC24}"/>
            </c:ext>
          </c:extLst>
        </c:ser>
        <c:dLbls>
          <c:showLegendKey val="0"/>
          <c:showVal val="0"/>
          <c:showCatName val="0"/>
          <c:showSerName val="0"/>
          <c:showPercent val="0"/>
          <c:showBubbleSize val="0"/>
        </c:dLbls>
        <c:smooth val="0"/>
        <c:axId val="538931344"/>
        <c:axId val="538928064"/>
      </c:lineChart>
      <c:catAx>
        <c:axId val="53893134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8928064"/>
        <c:crosses val="autoZero"/>
        <c:auto val="1"/>
        <c:lblAlgn val="ctr"/>
        <c:lblOffset val="100"/>
        <c:noMultiLvlLbl val="0"/>
      </c:catAx>
      <c:valAx>
        <c:axId val="538928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8931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val>
            <c:numRef>
              <c:f>'Aufgabe 1 (6)'!$Q$3:$Q$14</c:f>
              <c:numCache>
                <c:formatCode>"€"#,##0.00_);[Red]\("€"#,##0.00\)</c:formatCode>
                <c:ptCount val="12"/>
                <c:pt idx="0">
                  <c:v>93.513297813516317</c:v>
                </c:pt>
                <c:pt idx="1">
                  <c:v>82.533101178730874</c:v>
                </c:pt>
                <c:pt idx="2">
                  <c:v>72.0308151550974</c:v>
                </c:pt>
                <c:pt idx="3">
                  <c:v>61.979769851572712</c:v>
                </c:pt>
                <c:pt idx="4">
                  <c:v>52.355071532266209</c:v>
                </c:pt>
                <c:pt idx="5">
                  <c:v>43.133466648814306</c:v>
                </c:pt>
                <c:pt idx="6">
                  <c:v>34.293217559964546</c:v>
                </c:pt>
                <c:pt idx="7">
                  <c:v>25.813988828556717</c:v>
                </c:pt>
                <c:pt idx="8">
                  <c:v>17.676743101122213</c:v>
                </c:pt>
                <c:pt idx="9">
                  <c:v>9.8636456774561339</c:v>
                </c:pt>
                <c:pt idx="10">
                  <c:v>2.3579769683166205</c:v>
                </c:pt>
                <c:pt idx="11">
                  <c:v>-4.8559478797897668</c:v>
                </c:pt>
              </c:numCache>
            </c:numRef>
          </c:val>
          <c:smooth val="0"/>
          <c:extLst>
            <c:ext xmlns:c16="http://schemas.microsoft.com/office/drawing/2014/chart" uri="{C3380CC4-5D6E-409C-BE32-E72D297353CC}">
              <c16:uniqueId val="{00000000-8E06-46EC-A9DB-4EA4571B2E4E}"/>
            </c:ext>
          </c:extLst>
        </c:ser>
        <c:dLbls>
          <c:showLegendKey val="0"/>
          <c:showVal val="0"/>
          <c:showCatName val="0"/>
          <c:showSerName val="0"/>
          <c:showPercent val="0"/>
          <c:showBubbleSize val="0"/>
        </c:dLbls>
        <c:smooth val="0"/>
        <c:axId val="748167368"/>
        <c:axId val="748167696"/>
      </c:lineChart>
      <c:catAx>
        <c:axId val="74816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167696"/>
        <c:crosses val="autoZero"/>
        <c:auto val="1"/>
        <c:lblAlgn val="ctr"/>
        <c:lblOffset val="100"/>
        <c:noMultiLvlLbl val="0"/>
      </c:catAx>
      <c:valAx>
        <c:axId val="748167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167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val>
            <c:numRef>
              <c:f>'Aufgabe 1 (6)'!$R$3:$R$14</c:f>
              <c:numCache>
                <c:formatCode>"€"#,##0.00_);[Red]\("€"#,##0.00\)</c:formatCode>
                <c:ptCount val="12"/>
                <c:pt idx="0">
                  <c:v>49.393594687377743</c:v>
                </c:pt>
                <c:pt idx="1">
                  <c:v>43.968910901538607</c:v>
                </c:pt>
                <c:pt idx="2">
                  <c:v>38.718078714994704</c:v>
                </c:pt>
                <c:pt idx="3">
                  <c:v>33.633648156577124</c:v>
                </c:pt>
                <c:pt idx="4">
                  <c:v>28.708562790195401</c:v>
                </c:pt>
                <c:pt idx="5">
                  <c:v>23.936135198855396</c:v>
                </c:pt>
                <c:pt idx="6">
                  <c:v>19.310024219557988</c:v>
                </c:pt>
                <c:pt idx="7">
                  <c:v>14.824213788548491</c:v>
                </c:pt>
                <c:pt idx="8">
                  <c:v>10.472993268876564</c:v>
                </c:pt>
                <c:pt idx="9">
                  <c:v>6.2509391435011139</c:v>
                </c:pt>
                <c:pt idx="10">
                  <c:v>2.1528979673610138</c:v>
                </c:pt>
                <c:pt idx="11">
                  <c:v>-1.8260295189504916</c:v>
                </c:pt>
              </c:numCache>
            </c:numRef>
          </c:val>
          <c:smooth val="0"/>
          <c:extLst>
            <c:ext xmlns:c16="http://schemas.microsoft.com/office/drawing/2014/chart" uri="{C3380CC4-5D6E-409C-BE32-E72D297353CC}">
              <c16:uniqueId val="{00000000-1E5E-4C90-BE7E-C3F4205767DF}"/>
            </c:ext>
          </c:extLst>
        </c:ser>
        <c:dLbls>
          <c:showLegendKey val="0"/>
          <c:showVal val="0"/>
          <c:showCatName val="0"/>
          <c:showSerName val="0"/>
          <c:showPercent val="0"/>
          <c:showBubbleSize val="0"/>
        </c:dLbls>
        <c:smooth val="0"/>
        <c:axId val="748146048"/>
        <c:axId val="748147032"/>
      </c:lineChart>
      <c:catAx>
        <c:axId val="74814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147032"/>
        <c:crosses val="autoZero"/>
        <c:auto val="1"/>
        <c:lblAlgn val="ctr"/>
        <c:lblOffset val="100"/>
        <c:noMultiLvlLbl val="0"/>
      </c:catAx>
      <c:valAx>
        <c:axId val="748147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8146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val>
            <c:numRef>
              <c:f>'Aufgabe 3 (4)'!$C$19:$C$80</c:f>
              <c:numCache>
                <c:formatCode>"€"#,##0.00_);[Red]\("€"#,##0.00\)</c:formatCode>
                <c:ptCount val="62"/>
                <c:pt idx="0">
                  <c:v>-13527881.657884441</c:v>
                </c:pt>
                <c:pt idx="1">
                  <c:v>-13071066.181182198</c:v>
                </c:pt>
                <c:pt idx="2">
                  <c:v>-12628890.839157447</c:v>
                </c:pt>
                <c:pt idx="3">
                  <c:v>-12200728.265817024</c:v>
                </c:pt>
                <c:pt idx="4">
                  <c:v>-11785984.234963823</c:v>
                </c:pt>
                <c:pt idx="5">
                  <c:v>-11384095.595693089</c:v>
                </c:pt>
                <c:pt idx="6">
                  <c:v>-10994528.355331197</c:v>
                </c:pt>
                <c:pt idx="7">
                  <c:v>-10616775.897983029</c:v>
                </c:pt>
                <c:pt idx="8">
                  <c:v>-10250357.327905394</c:v>
                </c:pt>
                <c:pt idx="9">
                  <c:v>-9894815.9278737754</c:v>
                </c:pt>
                <c:pt idx="10">
                  <c:v>-9549717.7235672437</c:v>
                </c:pt>
                <c:pt idx="11">
                  <c:v>-9214650.1457725912</c:v>
                </c:pt>
                <c:pt idx="12">
                  <c:v>-8889220.7829110473</c:v>
                </c:pt>
                <c:pt idx="13">
                  <c:v>-8573056.2170276381</c:v>
                </c:pt>
                <c:pt idx="14">
                  <c:v>-8265800.9369606338</c:v>
                </c:pt>
                <c:pt idx="15">
                  <c:v>-7967116.3229324706</c:v>
                </c:pt>
                <c:pt idx="16">
                  <c:v>-7676679.6972801797</c:v>
                </c:pt>
                <c:pt idx="17">
                  <c:v>-7394183.436475981</c:v>
                </c:pt>
                <c:pt idx="18">
                  <c:v>-7119334.1399832331</c:v>
                </c:pt>
                <c:pt idx="19">
                  <c:v>-6851851.8518518545</c:v>
                </c:pt>
                <c:pt idx="20">
                  <c:v>-6591469.3312846683</c:v>
                </c:pt>
                <c:pt idx="21">
                  <c:v>-6337931.3687048703</c:v>
                </c:pt>
                <c:pt idx="22">
                  <c:v>-6090994.1441274416</c:v>
                </c:pt>
                <c:pt idx="23">
                  <c:v>-5850424.6248867102</c:v>
                </c:pt>
                <c:pt idx="24">
                  <c:v>-5616000</c:v>
                </c:pt>
                <c:pt idx="25">
                  <c:v>-5387507.1486560535</c:v>
                </c:pt>
                <c:pt idx="26">
                  <c:v>-5164742.140507903</c:v>
                </c:pt>
                <c:pt idx="27">
                  <c:v>-4947509.765625</c:v>
                </c:pt>
                <c:pt idx="28">
                  <c:v>-4735623.0921200011</c:v>
                </c:pt>
                <c:pt idx="29">
                  <c:v>-4528903.0496131089</c:v>
                </c:pt>
                <c:pt idx="30">
                  <c:v>-4327178.036832137</c:v>
                </c:pt>
                <c:pt idx="31">
                  <c:v>-4130283.5517711528</c:v>
                </c:pt>
                <c:pt idx="32">
                  <c:v>-3938061.8429447431</c:v>
                </c:pt>
                <c:pt idx="33">
                  <c:v>-3750361.5803805627</c:v>
                </c:pt>
                <c:pt idx="34">
                  <c:v>-3567037.5450896714</c:v>
                </c:pt>
                <c:pt idx="35">
                  <c:v>-3387950.3358436823</c:v>
                </c:pt>
                <c:pt idx="36">
                  <c:v>-3212966.092170151</c:v>
                </c:pt>
                <c:pt idx="37">
                  <c:v>-3041956.232553754</c:v>
                </c:pt>
                <c:pt idx="38">
                  <c:v>-2874797.2069009002</c:v>
                </c:pt>
                <c:pt idx="39">
                  <c:v>-2711370.2623906713</c:v>
                </c:pt>
                <c:pt idx="40">
                  <c:v>-2551561.2218943872</c:v>
                </c:pt>
                <c:pt idx="41">
                  <c:v>-2395260.2742022462</c:v>
                </c:pt>
                <c:pt idx="42">
                  <c:v>-2242361.7753462754</c:v>
                </c:pt>
                <c:pt idx="43">
                  <c:v>-2092764.0603566542</c:v>
                </c:pt>
                <c:pt idx="44">
                  <c:v>-1946369.264832506</c:v>
                </c:pt>
                <c:pt idx="45">
                  <c:v>-1803083.1557489783</c:v>
                </c:pt>
                <c:pt idx="46">
                  <c:v>-1662814.970960388</c:v>
                </c:pt>
                <c:pt idx="47">
                  <c:v>-1525477.266894361</c:v>
                </c:pt>
                <c:pt idx="48">
                  <c:v>-1390985.7739644721</c:v>
                </c:pt>
                <c:pt idx="49">
                  <c:v>-1259259.2592592593</c:v>
                </c:pt>
                <c:pt idx="50">
                  <c:v>-1130219.3960936405</c:v>
                </c:pt>
                <c:pt idx="51">
                  <c:v>-1003790.6400349904</c:v>
                </c:pt>
                <c:pt idx="52">
                  <c:v>-879900.11104047298</c:v>
                </c:pt>
                <c:pt idx="53">
                  <c:v>-758477.4813649822</c:v>
                </c:pt>
                <c:pt idx="54">
                  <c:v>-639454.86892014183</c:v>
                </c:pt>
                <c:pt idx="55">
                  <c:v>-522766.7357844878</c:v>
                </c:pt>
                <c:pt idx="56">
                  <c:v>-408349.79158338718</c:v>
                </c:pt>
                <c:pt idx="57">
                  <c:v>-296142.90147432499</c:v>
                </c:pt>
                <c:pt idx="58">
                  <c:v>-186086.99848918431</c:v>
                </c:pt>
                <c:pt idx="59">
                  <c:v>-78125</c:v>
                </c:pt>
                <c:pt idx="60">
                  <c:v>27798.271911237389</c:v>
                </c:pt>
                <c:pt idx="61">
                  <c:v>131736.16638535634</c:v>
                </c:pt>
              </c:numCache>
            </c:numRef>
          </c:val>
          <c:smooth val="0"/>
          <c:extLst>
            <c:ext xmlns:c16="http://schemas.microsoft.com/office/drawing/2014/chart" uri="{C3380CC4-5D6E-409C-BE32-E72D297353CC}">
              <c16:uniqueId val="{00000000-A8AB-43DC-8A4D-9B7AE73F5CD6}"/>
            </c:ext>
          </c:extLst>
        </c:ser>
        <c:dLbls>
          <c:showLegendKey val="0"/>
          <c:showVal val="0"/>
          <c:showCatName val="0"/>
          <c:showSerName val="0"/>
          <c:showPercent val="0"/>
          <c:showBubbleSize val="0"/>
        </c:dLbls>
        <c:smooth val="0"/>
        <c:axId val="349718184"/>
        <c:axId val="349724416"/>
      </c:lineChart>
      <c:catAx>
        <c:axId val="34971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49724416"/>
        <c:crosses val="autoZero"/>
        <c:auto val="1"/>
        <c:lblAlgn val="ctr"/>
        <c:lblOffset val="100"/>
        <c:noMultiLvlLbl val="0"/>
      </c:catAx>
      <c:valAx>
        <c:axId val="349724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49718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val>
            <c:numRef>
              <c:f>'Aufgabe 3 (4)'!$E$19:$E$80</c:f>
              <c:numCache>
                <c:formatCode>"€"#,##0.00_);[Red]\("€"#,##0.00\)</c:formatCode>
                <c:ptCount val="62"/>
                <c:pt idx="0">
                  <c:v>744574.67883441411</c:v>
                </c:pt>
                <c:pt idx="1">
                  <c:v>516671.90903091058</c:v>
                </c:pt>
                <c:pt idx="2">
                  <c:v>314009.60576008819</c:v>
                </c:pt>
                <c:pt idx="3">
                  <c:v>134500.85177909397</c:v>
                </c:pt>
                <c:pt idx="4">
                  <c:v>-23764.045478984714</c:v>
                </c:pt>
                <c:pt idx="5">
                  <c:v>-162533.7129743211</c:v>
                </c:pt>
                <c:pt idx="6">
                  <c:v>-283410.27859266847</c:v>
                </c:pt>
                <c:pt idx="7">
                  <c:v>-387862.51441647485</c:v>
                </c:pt>
                <c:pt idx="8">
                  <c:v>-477237.70669160783</c:v>
                </c:pt>
                <c:pt idx="9">
                  <c:v>-552772.38548376597</c:v>
                </c:pt>
                <c:pt idx="10">
                  <c:v>-615602.03210549429</c:v>
                </c:pt>
                <c:pt idx="11">
                  <c:v>-666769.86926883459</c:v>
                </c:pt>
                <c:pt idx="12">
                  <c:v>-707234.82735121809</c:v>
                </c:pt>
                <c:pt idx="13">
                  <c:v>-737878.76995736919</c:v>
                </c:pt>
                <c:pt idx="14">
                  <c:v>-759513.05294623598</c:v>
                </c:pt>
                <c:pt idx="15">
                  <c:v>-772884.4831220042</c:v>
                </c:pt>
                <c:pt idx="16">
                  <c:v>-778680.73573321663</c:v>
                </c:pt>
                <c:pt idx="17">
                  <c:v>-777535.28367220797</c:v>
                </c:pt>
                <c:pt idx="18">
                  <c:v>-770031.8857214544</c:v>
                </c:pt>
                <c:pt idx="19">
                  <c:v>-756708.67626886442</c:v>
                </c:pt>
                <c:pt idx="20">
                  <c:v>-738061.89453655668</c:v>
                </c:pt>
                <c:pt idx="21">
                  <c:v>-714549.28747310303</c:v>
                </c:pt>
                <c:pt idx="22">
                  <c:v>-686593.21698990464</c:v>
                </c:pt>
                <c:pt idx="23">
                  <c:v>-654583.49913029745</c:v>
                </c:pt>
                <c:pt idx="24">
                  <c:v>-618880</c:v>
                </c:pt>
                <c:pt idx="25">
                  <c:v>-579815.01082295179</c:v>
                </c:pt>
                <c:pt idx="26">
                  <c:v>-537695.42228311673</c:v>
                </c:pt>
                <c:pt idx="27">
                  <c:v>-492804.71634119749</c:v>
                </c:pt>
                <c:pt idx="28">
                  <c:v>-445404.79194936529</c:v>
                </c:pt>
                <c:pt idx="29">
                  <c:v>-395737.63950469159</c:v>
                </c:pt>
                <c:pt idx="30">
                  <c:v>-344026.87746177241</c:v>
                </c:pt>
                <c:pt idx="31">
                  <c:v>-290479.16325054318</c:v>
                </c:pt>
                <c:pt idx="32">
                  <c:v>-235285.48949945532</c:v>
                </c:pt>
                <c:pt idx="33">
                  <c:v>-178622.37553411908</c:v>
                </c:pt>
                <c:pt idx="34">
                  <c:v>-120652.96319421008</c:v>
                </c:pt>
                <c:pt idx="35">
                  <c:v>-61528.025176232681</c:v>
                </c:pt>
                <c:pt idx="36">
                  <c:v>-1386.8933567870408</c:v>
                </c:pt>
                <c:pt idx="37">
                  <c:v>59641.686128113419</c:v>
                </c:pt>
                <c:pt idx="38">
                  <c:v>121438.76488551497</c:v>
                </c:pt>
                <c:pt idx="39">
                  <c:v>183894.46574131586</c:v>
                </c:pt>
                <c:pt idx="40">
                  <c:v>246907.31258220039</c:v>
                </c:pt>
                <c:pt idx="41">
                  <c:v>310383.61190924793</c:v>
                </c:pt>
                <c:pt idx="42">
                  <c:v>374236.88185939565</c:v>
                </c:pt>
                <c:pt idx="43">
                  <c:v>438387.3248225376</c:v>
                </c:pt>
                <c:pt idx="44">
                  <c:v>502761.34011900797</c:v>
                </c:pt>
                <c:pt idx="45">
                  <c:v>567291.07350807078</c:v>
                </c:pt>
                <c:pt idx="46">
                  <c:v>631914.00057554618</c:v>
                </c:pt>
                <c:pt idx="47">
                  <c:v>696572.54130091146</c:v>
                </c:pt>
                <c:pt idx="48">
                  <c:v>761213.70333333313</c:v>
                </c:pt>
                <c:pt idx="49">
                  <c:v>825788.75171467848</c:v>
                </c:pt>
                <c:pt idx="50">
                  <c:v>890252.90297728032</c:v>
                </c:pt>
                <c:pt idx="51">
                  <c:v>954565.04171693698</c:v>
                </c:pt>
                <c:pt idx="52">
                  <c:v>1018687.4578992128</c:v>
                </c:pt>
                <c:pt idx="53">
                  <c:v>1082585.6033006161</c:v>
                </c:pt>
                <c:pt idx="54">
                  <c:v>1146227.8656171579</c:v>
                </c:pt>
                <c:pt idx="55">
                  <c:v>1209585.3588925209</c:v>
                </c:pt>
                <c:pt idx="56">
                  <c:v>1272631.7290270329</c:v>
                </c:pt>
                <c:pt idx="57">
                  <c:v>1335342.973228652</c:v>
                </c:pt>
                <c:pt idx="58">
                  <c:v>1397697.2723582499</c:v>
                </c:pt>
                <c:pt idx="59">
                  <c:v>1459674.8352050781</c:v>
                </c:pt>
                <c:pt idx="60">
                  <c:v>1521257.7538046148</c:v>
                </c:pt>
                <c:pt idx="61">
                  <c:v>1582429.8689810243</c:v>
                </c:pt>
              </c:numCache>
            </c:numRef>
          </c:val>
          <c:smooth val="0"/>
          <c:extLst>
            <c:ext xmlns:c16="http://schemas.microsoft.com/office/drawing/2014/chart" uri="{C3380CC4-5D6E-409C-BE32-E72D297353CC}">
              <c16:uniqueId val="{00000000-45D4-437B-9023-CBE0F6056B25}"/>
            </c:ext>
          </c:extLst>
        </c:ser>
        <c:dLbls>
          <c:showLegendKey val="0"/>
          <c:showVal val="0"/>
          <c:showCatName val="0"/>
          <c:showSerName val="0"/>
          <c:showPercent val="0"/>
          <c:showBubbleSize val="0"/>
        </c:dLbls>
        <c:smooth val="0"/>
        <c:axId val="745457352"/>
        <c:axId val="745458008"/>
      </c:lineChart>
      <c:catAx>
        <c:axId val="74545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5458008"/>
        <c:crosses val="autoZero"/>
        <c:auto val="1"/>
        <c:lblAlgn val="ctr"/>
        <c:lblOffset val="100"/>
        <c:noMultiLvlLbl val="0"/>
      </c:catAx>
      <c:valAx>
        <c:axId val="745458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45457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Kapitalwertfunktion 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cat>
            <c:numRef>
              <c:f>'Aufgabe 3 (4)'!$B$95:$B$156</c:f>
              <c:numCache>
                <c:formatCode>0%</c:formatCode>
                <c:ptCount val="62"/>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numCache>
            </c:numRef>
          </c:cat>
          <c:val>
            <c:numRef>
              <c:f>'Aufgabe 3 (4)'!$C$95:$C$156</c:f>
              <c:numCache>
                <c:formatCode>"€"#,##0.00_);[Red]\("€"#,##0.00\)</c:formatCode>
                <c:ptCount val="62"/>
                <c:pt idx="0">
                  <c:v>5408164.9523700913</c:v>
                </c:pt>
                <c:pt idx="1">
                  <c:v>4869472.8021004796</c:v>
                </c:pt>
                <c:pt idx="2">
                  <c:v>4379467.1624768563</c:v>
                </c:pt>
                <c:pt idx="3">
                  <c:v>3934089.9177894108</c:v>
                </c:pt>
                <c:pt idx="4">
                  <c:v>3529642.6051716218</c:v>
                </c:pt>
                <c:pt idx="5">
                  <c:v>3162751.8551373603</c:v>
                </c:pt>
                <c:pt idx="6">
                  <c:v>2830338.4308302859</c:v>
                </c:pt>
                <c:pt idx="7">
                  <c:v>2529589.4618941946</c:v>
                </c:pt>
                <c:pt idx="8">
                  <c:v>2257933.5175249763</c:v>
                </c:pt>
                <c:pt idx="9">
                  <c:v>2013018.2056697672</c:v>
                </c:pt>
                <c:pt idx="10">
                  <c:v>1792690.0223485213</c:v>
                </c:pt>
                <c:pt idx="11">
                  <c:v>1594976.2074156329</c:v>
                </c:pt>
                <c:pt idx="12">
                  <c:v>1418068.3913794924</c:v>
                </c:pt>
                <c:pt idx="13">
                  <c:v>1260307.8426919654</c:v>
                </c:pt>
                <c:pt idx="14">
                  <c:v>1120172.1466692276</c:v>
                </c:pt>
                <c:pt idx="15">
                  <c:v>996263.16630651243</c:v>
                </c:pt>
                <c:pt idx="16">
                  <c:v>887296.15204541571</c:v>
                </c:pt>
                <c:pt idx="17">
                  <c:v>792089.88233776949</c:v>
                </c:pt>
                <c:pt idx="18">
                  <c:v>709557.72988128103</c:v>
                </c:pt>
                <c:pt idx="19">
                  <c:v>638699.55989940278</c:v>
                </c:pt>
                <c:pt idx="20">
                  <c:v>578594.37699384242</c:v>
                </c:pt>
                <c:pt idx="21">
                  <c:v>528393.64607779309</c:v>
                </c:pt>
                <c:pt idx="22">
                  <c:v>487315.22084753215</c:v>
                </c:pt>
                <c:pt idx="23">
                  <c:v>454637.82029345632</c:v>
                </c:pt>
                <c:pt idx="24">
                  <c:v>429696</c:v>
                </c:pt>
                <c:pt idx="25">
                  <c:v>411875.57053163834</c:v>
                </c:pt>
                <c:pt idx="26">
                  <c:v>400609.42013310269</c:v>
                </c:pt>
                <c:pt idx="27">
                  <c:v>395373.70335892774</c:v>
                </c:pt>
                <c:pt idx="28">
                  <c:v>395684.36115432717</c:v>
                </c:pt>
                <c:pt idx="29">
                  <c:v>401093.9413914755</c:v>
                </c:pt>
                <c:pt idx="30">
                  <c:v>411188.69197254814</c:v>
                </c:pt>
                <c:pt idx="31">
                  <c:v>425585.90138519369</c:v>
                </c:pt>
                <c:pt idx="32">
                  <c:v>443931.4640762601</c:v>
                </c:pt>
                <c:pt idx="33">
                  <c:v>465897.65022807382</c:v>
                </c:pt>
                <c:pt idx="34">
                  <c:v>491181.06150817685</c:v>
                </c:pt>
                <c:pt idx="35">
                  <c:v>519500.75614354014</c:v>
                </c:pt>
                <c:pt idx="36">
                  <c:v>550596.52826708555</c:v>
                </c:pt>
                <c:pt idx="37">
                  <c:v>584227.32791751623</c:v>
                </c:pt>
                <c:pt idx="38">
                  <c:v>620169.80936119892</c:v>
                </c:pt>
                <c:pt idx="39">
                  <c:v>658216.99656241573</c:v>
                </c:pt>
                <c:pt idx="40">
                  <c:v>698177.05567025952</c:v>
                </c:pt>
                <c:pt idx="41">
                  <c:v>739872.16532832012</c:v>
                </c:pt>
                <c:pt idx="42">
                  <c:v>783137.47645887174</c:v>
                </c:pt>
                <c:pt idx="43">
                  <c:v>827820.15393578447</c:v>
                </c:pt>
                <c:pt idx="44">
                  <c:v>873778.49324844033</c:v>
                </c:pt>
                <c:pt idx="45">
                  <c:v>920881.10588062368</c:v>
                </c:pt>
                <c:pt idx="46">
                  <c:v>969006.16769017093</c:v>
                </c:pt>
                <c:pt idx="47">
                  <c:v>1018040.7250833176</c:v>
                </c:pt>
                <c:pt idx="48">
                  <c:v>1067880.0542376656</c:v>
                </c:pt>
                <c:pt idx="49">
                  <c:v>1118427.0690443534</c:v>
                </c:pt>
                <c:pt idx="50">
                  <c:v>1169591.7738176659</c:v>
                </c:pt>
                <c:pt idx="51">
                  <c:v>1221290.7571627423</c:v>
                </c:pt>
                <c:pt idx="52">
                  <c:v>1273446.72370301</c:v>
                </c:pt>
                <c:pt idx="53">
                  <c:v>1325988.0606511962</c:v>
                </c:pt>
                <c:pt idx="54">
                  <c:v>1378848.4364643749</c:v>
                </c:pt>
                <c:pt idx="55">
                  <c:v>1431966.4290568177</c:v>
                </c:pt>
                <c:pt idx="56">
                  <c:v>1485285.1812566388</c:v>
                </c:pt>
                <c:pt idx="57">
                  <c:v>1538752.0813855082</c:v>
                </c:pt>
                <c:pt idx="58">
                  <c:v>1592318.4670168199</c:v>
                </c:pt>
                <c:pt idx="59">
                  <c:v>1645939.3501281738</c:v>
                </c:pt>
                <c:pt idx="60">
                  <c:v>1699573.1620103288</c:v>
                </c:pt>
                <c:pt idx="61">
                  <c:v>1753181.5164285628</c:v>
                </c:pt>
              </c:numCache>
            </c:numRef>
          </c:val>
          <c:smooth val="0"/>
          <c:extLst>
            <c:ext xmlns:c16="http://schemas.microsoft.com/office/drawing/2014/chart" uri="{C3380CC4-5D6E-409C-BE32-E72D297353CC}">
              <c16:uniqueId val="{00000000-99F8-4136-B647-81321FCCFC00}"/>
            </c:ext>
          </c:extLst>
        </c:ser>
        <c:dLbls>
          <c:showLegendKey val="0"/>
          <c:showVal val="0"/>
          <c:showCatName val="0"/>
          <c:showSerName val="0"/>
          <c:showPercent val="0"/>
          <c:showBubbleSize val="0"/>
        </c:dLbls>
        <c:smooth val="0"/>
        <c:axId val="538931344"/>
        <c:axId val="538928064"/>
      </c:lineChart>
      <c:catAx>
        <c:axId val="53893134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8928064"/>
        <c:crosses val="autoZero"/>
        <c:auto val="1"/>
        <c:lblAlgn val="ctr"/>
        <c:lblOffset val="100"/>
        <c:noMultiLvlLbl val="0"/>
      </c:catAx>
      <c:valAx>
        <c:axId val="538928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8931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4" Type="http://schemas.openxmlformats.org/officeDocument/2006/relationships/image" Target="../media/image2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9.xml.rels><?xml version="1.0" encoding="UTF-8" standalone="yes"?>
<Relationships xmlns="http://schemas.openxmlformats.org/package/2006/relationships"><Relationship Id="rId1" Type="http://schemas.openxmlformats.org/officeDocument/2006/relationships/image" Target="../media/image28.png"/></Relationships>
</file>

<file path=xl/drawings/_rels/drawing4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4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5.xml.rels><?xml version="1.0" encoding="UTF-8" standalone="yes"?>
<Relationships xmlns="http://schemas.openxmlformats.org/package/2006/relationships"><Relationship Id="rId1" Type="http://schemas.openxmlformats.org/officeDocument/2006/relationships/image" Target="../media/image30.png"/></Relationships>
</file>

<file path=xl/drawings/_rels/drawing4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761999</xdr:colOff>
      <xdr:row>2</xdr:row>
      <xdr:rowOff>190499</xdr:rowOff>
    </xdr:from>
    <xdr:to>
      <xdr:col>16</xdr:col>
      <xdr:colOff>619124</xdr:colOff>
      <xdr:row>34</xdr:row>
      <xdr:rowOff>38100</xdr:rowOff>
    </xdr:to>
    <xdr:sp macro="" textlink="">
      <xdr:nvSpPr>
        <xdr:cNvPr id="1025" name="Text Box 1">
          <a:extLst>
            <a:ext uri="{FF2B5EF4-FFF2-40B4-BE49-F238E27FC236}">
              <a16:creationId xmlns:a16="http://schemas.microsoft.com/office/drawing/2014/main" id="{AF9D114B-8602-C734-78DB-7D15DD6C6B0A}"/>
            </a:ext>
          </a:extLst>
        </xdr:cNvPr>
        <xdr:cNvSpPr txBox="1">
          <a:spLocks noChangeArrowheads="1"/>
        </xdr:cNvSpPr>
      </xdr:nvSpPr>
      <xdr:spPr bwMode="auto">
        <a:xfrm>
          <a:off x="761999" y="571499"/>
          <a:ext cx="12049125" cy="5943601"/>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de-DE" sz="1100" b="0" i="0" u="none" strike="noStrike" baseline="0">
              <a:solidFill>
                <a:srgbClr val="000000"/>
              </a:solidFill>
              <a:latin typeface="Calibri"/>
              <a:ea typeface="Calibri"/>
              <a:cs typeface="Calibri"/>
            </a:rPr>
            <a:t>Das Reiseunternehmen „Goede Reis“ aus den Niederlanden möchte seine Aktivitäten ausweiten und hierzu zusätzliche Ein- und Mehrtagestouren mit einem weiteren Reisebus anbieten. Nach vorheriger Prüfung der am Markt verfügbaren relevanten Busse stehen zwei Alternativen zur Auswahl: Der Bus A erfordert eine Investitionsausgabe von 250.000 Euro und hat eine geplante Nutzungsdauer von vier Jahren, der Doppeldeckerbus B kostet 450.000 Euro und hat eine geplante Nutzungsdauer von fünf Jahren. Die erwarteten (jährlich nachschüssig anfallenden) Ein- und Auszahlungen (in Euro) sind nachfolgend dargestellt:</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Bus A:</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Jahr 		1 	2 	3 	4</a:t>
          </a:r>
        </a:p>
        <a:p>
          <a:pPr algn="l" rtl="0">
            <a:defRPr sz="1000"/>
          </a:pPr>
          <a:r>
            <a:rPr lang="de-DE" sz="1100" b="0" i="0" u="none" strike="noStrike" baseline="0">
              <a:solidFill>
                <a:srgbClr val="000000"/>
              </a:solidFill>
              <a:latin typeface="Calibri"/>
              <a:ea typeface="Calibri"/>
              <a:cs typeface="Calibri"/>
            </a:rPr>
            <a:t>Einzahlungen		140.000	145.000	160.000	155.000</a:t>
          </a:r>
        </a:p>
        <a:p>
          <a:pPr algn="l" rtl="0">
            <a:defRPr sz="1000"/>
          </a:pPr>
          <a:r>
            <a:rPr lang="de-DE" sz="1100" b="0" i="0" u="none" strike="noStrike" baseline="0">
              <a:solidFill>
                <a:srgbClr val="000000"/>
              </a:solidFill>
              <a:latin typeface="Calibri"/>
              <a:ea typeface="Calibri"/>
              <a:cs typeface="Calibri"/>
            </a:rPr>
            <a:t>Auszahlungen		70.000	71.000	75.000	85.000</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Bus B:</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Jahr		1	2	3	4	5</a:t>
          </a:r>
        </a:p>
        <a:p>
          <a:pPr algn="l" rtl="0">
            <a:defRPr sz="1000"/>
          </a:pPr>
          <a:r>
            <a:rPr lang="de-DE" sz="1100" b="0" i="0" u="none" strike="noStrike" baseline="0">
              <a:solidFill>
                <a:srgbClr val="000000"/>
              </a:solidFill>
              <a:latin typeface="Calibri"/>
              <a:ea typeface="Calibri"/>
              <a:cs typeface="Calibri"/>
            </a:rPr>
            <a:t>Einzahlungen		210.000	215.000	220.000	225.000	200.000</a:t>
          </a:r>
        </a:p>
        <a:p>
          <a:pPr algn="l" rtl="0">
            <a:defRPr sz="1000"/>
          </a:pPr>
          <a:r>
            <a:rPr lang="de-DE" sz="1100" b="0" i="0" u="none" strike="noStrike" baseline="0">
              <a:solidFill>
                <a:srgbClr val="000000"/>
              </a:solidFill>
              <a:latin typeface="Calibri"/>
              <a:ea typeface="Calibri"/>
              <a:cs typeface="Calibri"/>
            </a:rPr>
            <a:t>Restverkaufserlös					80.000</a:t>
          </a:r>
        </a:p>
        <a:p>
          <a:pPr algn="l" rtl="0">
            <a:defRPr sz="1000"/>
          </a:pPr>
          <a:r>
            <a:rPr lang="de-DE" sz="1100" b="0" i="0" u="none" strike="noStrike" baseline="0">
              <a:solidFill>
                <a:srgbClr val="000000"/>
              </a:solidFill>
              <a:latin typeface="Calibri"/>
              <a:ea typeface="Calibri"/>
              <a:cs typeface="Calibri"/>
            </a:rPr>
            <a:t>Auszahlungen		110.000	105.000	115.000	107.000	114.000</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a) Das Reiseunternehmen hat sich dazu entschieden, die gewichteten Gesamtkapitalkosten (WACC) für die Berechnung der Kapitalwerte zu verwenden. Bitte berechnen Sie die Kapitalwerte der Busse A und B unter Berücksichtigung der folgenden finanzwirtschaftlichen Informationen. Abschreibungen werden nicht berücksichtigt. Die Angabe des Ertragssteuersatzes ist nur bei der Berechnung der WACC zu berücksichtigen. Für welchen Bus sollte sich das Reiseunternehmen nach diesen Ergebnissen entscheiden? Bitte kurz begründen. (18 Punkte)</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Risikoloser Zins:	3%</a:t>
          </a:r>
        </a:p>
        <a:p>
          <a:pPr algn="l" rtl="0">
            <a:defRPr sz="1000"/>
          </a:pPr>
          <a:r>
            <a:rPr lang="de-DE" sz="1100" b="0" i="0" u="none" strike="noStrike" baseline="0">
              <a:solidFill>
                <a:srgbClr val="000000"/>
              </a:solidFill>
              <a:latin typeface="Calibri"/>
              <a:ea typeface="Calibri"/>
              <a:cs typeface="Calibri"/>
            </a:rPr>
            <a:t>Marktrendite: 12%</a:t>
          </a:r>
        </a:p>
        <a:p>
          <a:pPr algn="l" rtl="0">
            <a:defRPr sz="1000"/>
          </a:pPr>
          <a:r>
            <a:rPr lang="de-DE" sz="1100" b="0" i="0" u="none" strike="noStrike" baseline="0">
              <a:solidFill>
                <a:srgbClr val="000000"/>
              </a:solidFill>
              <a:latin typeface="Calibri"/>
              <a:ea typeface="Calibri"/>
              <a:cs typeface="Calibri"/>
            </a:rPr>
            <a:t>Beta-Faktor Bus A: 0,60</a:t>
          </a:r>
        </a:p>
        <a:p>
          <a:pPr algn="l" rtl="0">
            <a:defRPr sz="1000"/>
          </a:pPr>
          <a:r>
            <a:rPr lang="de-DE" sz="1100" b="0" i="0" u="none" strike="noStrike" baseline="0">
              <a:solidFill>
                <a:srgbClr val="000000"/>
              </a:solidFill>
              <a:latin typeface="Calibri"/>
              <a:ea typeface="Calibri"/>
              <a:cs typeface="Calibri"/>
            </a:rPr>
            <a:t>Beta-Faktor Bus B: 1,30</a:t>
          </a:r>
        </a:p>
        <a:p>
          <a:pPr algn="l" rtl="0">
            <a:defRPr sz="1000"/>
          </a:pPr>
          <a:r>
            <a:rPr lang="de-DE" sz="1100" b="0" i="0" u="none" strike="noStrike" baseline="0">
              <a:solidFill>
                <a:srgbClr val="000000"/>
              </a:solidFill>
              <a:latin typeface="Calibri"/>
              <a:ea typeface="Calibri"/>
              <a:cs typeface="Calibri"/>
            </a:rPr>
            <a:t>Fremdkapitalzins: 6%</a:t>
          </a:r>
        </a:p>
        <a:p>
          <a:pPr algn="l" rtl="0">
            <a:defRPr sz="1000"/>
          </a:pPr>
          <a:r>
            <a:rPr lang="de-DE" sz="1100" b="0" i="0" u="none" strike="noStrike" baseline="0">
              <a:solidFill>
                <a:srgbClr val="000000"/>
              </a:solidFill>
              <a:latin typeface="Calibri"/>
              <a:ea typeface="Calibri"/>
              <a:cs typeface="Calibri"/>
            </a:rPr>
            <a:t>Durchschnittlicher Ertragssteuersatz 30%</a:t>
          </a:r>
        </a:p>
        <a:p>
          <a:pPr algn="l" rtl="0">
            <a:defRPr sz="1000"/>
          </a:pPr>
          <a:r>
            <a:rPr lang="de-DE" sz="1100" b="0" i="0" u="none" strike="noStrike" baseline="0">
              <a:solidFill>
                <a:srgbClr val="000000"/>
              </a:solidFill>
              <a:latin typeface="Calibri"/>
              <a:ea typeface="Calibri"/>
              <a:cs typeface="Calibri"/>
            </a:rPr>
            <a:t>Eigenkapitalquote 45%</a:t>
          </a:r>
        </a:p>
        <a:p>
          <a:pPr algn="l" rtl="0">
            <a:defRPr sz="1000"/>
          </a:pPr>
          <a:r>
            <a:rPr lang="de-DE" sz="1100" b="0" i="0" u="none" strike="noStrike" baseline="0">
              <a:solidFill>
                <a:srgbClr val="000000"/>
              </a:solidFill>
              <a:latin typeface="Calibri"/>
              <a:ea typeface="Calibri"/>
              <a:cs typeface="Calibri"/>
            </a:rPr>
            <a:t>Fremdkapitalquote 55%</a:t>
          </a:r>
        </a:p>
        <a:p>
          <a:pPr algn="l" rtl="0">
            <a:defRPr sz="1000"/>
          </a:pPr>
          <a:endParaRPr lang="de-DE" sz="1100" b="0" i="0" u="none" strike="noStrike" baseline="0">
            <a:solidFill>
              <a:srgbClr val="000000"/>
            </a:solidFill>
            <a:latin typeface="Calibri"/>
            <a:ea typeface="Calibri"/>
            <a:cs typeface="Calibri"/>
          </a:endParaRPr>
        </a:p>
        <a:p>
          <a:pPr algn="l" rtl="0">
            <a:defRPr sz="1000"/>
          </a:pPr>
          <a:endParaRPr lang="de-DE" sz="1100" b="0" i="0" u="none" strike="noStrike" baseline="0">
            <a:solidFill>
              <a:srgbClr val="000000"/>
            </a:solidFill>
            <a:latin typeface="Calibri"/>
            <a:ea typeface="Calibri"/>
            <a:cs typeface="Calibri"/>
          </a:endParaRP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b) Wie beurteilen Sie das Argument, dass der unter Teilaufgabe a) vorgenommene Vergleich unvollständig ist, weil sich die beiden Investitionsobjekte hinsichtlich Anschaffungsauszahlung, Nutzungsdauer und Zahlungsstruktur unterscheiden? Bitte beantworten Sie diese Frage kurz in Textform (keine Berechnungen nötig). (2 Punkte)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190499</xdr:rowOff>
    </xdr:from>
    <xdr:to>
      <xdr:col>14</xdr:col>
      <xdr:colOff>571500</xdr:colOff>
      <xdr:row>21</xdr:row>
      <xdr:rowOff>133350</xdr:rowOff>
    </xdr:to>
    <xdr:sp macro="" textlink="">
      <xdr:nvSpPr>
        <xdr:cNvPr id="2049" name="Text Box 1">
          <a:extLst>
            <a:ext uri="{FF2B5EF4-FFF2-40B4-BE49-F238E27FC236}">
              <a16:creationId xmlns:a16="http://schemas.microsoft.com/office/drawing/2014/main" id="{73E35A49-CE1D-EB5D-7581-B6EF45F70718}"/>
            </a:ext>
          </a:extLst>
        </xdr:cNvPr>
        <xdr:cNvSpPr txBox="1">
          <a:spLocks noChangeArrowheads="1"/>
        </xdr:cNvSpPr>
      </xdr:nvSpPr>
      <xdr:spPr bwMode="auto">
        <a:xfrm>
          <a:off x="762000" y="761999"/>
          <a:ext cx="10477500" cy="3371851"/>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de-DE" sz="1100" b="0" i="0" u="none" strike="noStrike" baseline="0">
              <a:solidFill>
                <a:srgbClr val="000000"/>
              </a:solidFill>
              <a:latin typeface="Calibri"/>
              <a:ea typeface="Calibri"/>
              <a:cs typeface="Calibri"/>
            </a:rPr>
            <a:t>Die Baumschule Schöneweide OHG aus Berlin hat sich bisher auf die Aufzucht von Alleebäumen spezialisiert. Ihre durchschnittliche Unternehmensrendite beträgt 9 %, die mindestens durch die neuen Projekte erreicht werden muss. Die beiden geschäftsführenden Gesellschafter Max Kasupke und Jens Jensen möchten das Betätigungsfeld des florierenden Unternehmens erweitern. Hierzu überlegen sie, entweder mit der Aufzucht von Trauerweiden zu beginnen oder Bonsai-Bäume zu züchten. Die mit den beiden Investitionsprojekten verbundenen (jährlich nachschüssig anfallenden) Einzahlungsüberschüsse sowie die Anschaffungsauszahlungen für die Projekte (alle Angaben in €) finden sich in der nachfolgenden Tabelle. Etwaige Liquidationserlöse am Ende der Laufzeit fallen nicht an.</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	Jahr	0	1	2	3</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Projekt Trauerweide	-500.000	280.000	320.000	300.000</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Projekt Bonsai		-700.000	300.000	300.000	300.000</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a) Bestimmen Sie die internen Zinsfüße der beiden Projekte. Sind beide Projekte nach der Internen-Zinsfuß-Methode vorteilhaft und wenn ja, welches von beiden ist vorteilhafter? Bitte begründen Sie kurz Ihre Entscheidung. (5 Punkte)</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b) Wann amortisiert sich das Projekt Trauerweide und wann amortisiert sich das Projekt Bonsai nach der dynamischen Amortisationsrechnung? (10 Punkte)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2</xdr:row>
      <xdr:rowOff>47624</xdr:rowOff>
    </xdr:from>
    <xdr:to>
      <xdr:col>14</xdr:col>
      <xdr:colOff>266700</xdr:colOff>
      <xdr:row>17</xdr:row>
      <xdr:rowOff>57149</xdr:rowOff>
    </xdr:to>
    <xdr:sp macro="" textlink="">
      <xdr:nvSpPr>
        <xdr:cNvPr id="3073" name="Text Box 1">
          <a:extLst>
            <a:ext uri="{FF2B5EF4-FFF2-40B4-BE49-F238E27FC236}">
              <a16:creationId xmlns:a16="http://schemas.microsoft.com/office/drawing/2014/main" id="{0504EA10-B587-534E-B33B-DCC3568F62F7}"/>
            </a:ext>
          </a:extLst>
        </xdr:cNvPr>
        <xdr:cNvSpPr txBox="1">
          <a:spLocks noChangeArrowheads="1"/>
        </xdr:cNvSpPr>
      </xdr:nvSpPr>
      <xdr:spPr bwMode="auto">
        <a:xfrm>
          <a:off x="781050" y="428624"/>
          <a:ext cx="10153650" cy="2867025"/>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de-DE" sz="1100" b="0" i="0" u="none" strike="noStrike" baseline="0">
              <a:solidFill>
                <a:srgbClr val="000000"/>
              </a:solidFill>
              <a:latin typeface="Calibri"/>
              <a:ea typeface="Calibri"/>
              <a:cs typeface="Calibri"/>
            </a:rPr>
            <a:t>Ein Tankstellenpächter, dessen Pachtvertrag in 5 Jahren abläuft, plant die Anschaffung einer Auto-Waschanlage zum Preis von 100.000 EUR. Wegen der technischen Ausgereiftheit von Auto-Waschanlagen rechnet er damit, am Ende der Nutzungsdauer (also am Ende des 5. Jahres) noch einen Liquidationserlös von 25.000 EUR zu erzielen. Weiterhin prognostiziert er, schon im ersten Jahr 5.000 Kunden abfertigen und danach jedes Jahr jeweils eine 10 %ige Steigerung gegenüber dem jeweiligen Vorjahr erreichen zu können. Als Werbepreis will er im ersten Jahr das Angebot von 3,50 EUR je Waschvorgang einführen. Doch soll der Preis zu Beginn jedes neuen Jahres um 0,50 EUR je Waschvorgang angehoben werden. An fixen Gesamtkosten – vorwiegend Instandhaltungskosten – fallen 2.000 EUR in den ersten beiden und 2.500 EUR in den letzten drei Jahren an. Durch den Verbrauch an Strom, Wasser und Reinigungsmitteln fallen zudem bei jedem Waschvorgang im ersten Jahr Kosten i. H. v. 0,60 EUR an, die sich jedes Jahr um 0,04 EUR je Waschvorgang erhöhen werden. Unterstellen Sie einen Kalkulationszinssatz von 10 % p. a.</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a) Treffen Sie eine Investitionsentscheidung nach der Kapitalwertmethode. Gehen Sie bei Ihrer Berechnung vereinfachend davon aus, dass sowohl die Umsatzerlöse als auch die variablen Gesamtkosten und die Instandhaltungskosten jeweils zum Ende einer Periode zahlungswirksam werden. Soll die Waschanlage angeschafft werden oder nicht? Bitte begründen Sie Ihre Entscheidung kurz schriftlich. (20 Punkte)</a:t>
          </a:r>
        </a:p>
        <a:p>
          <a:pPr algn="l" rtl="0">
            <a:defRPr sz="1000"/>
          </a:pPr>
          <a:endParaRPr lang="de-DE" sz="1100" b="0" i="0" u="none" strike="noStrike" baseline="0">
            <a:solidFill>
              <a:srgbClr val="000000"/>
            </a:solidFill>
            <a:latin typeface="Calibri"/>
            <a:ea typeface="Calibri"/>
            <a:cs typeface="Calibri"/>
          </a:endParaRPr>
        </a:p>
        <a:p>
          <a:pPr algn="l" rtl="0">
            <a:defRPr sz="1000"/>
          </a:pPr>
          <a:r>
            <a:rPr lang="de-DE" sz="1100" b="0" i="0" u="none" strike="noStrike" baseline="0">
              <a:solidFill>
                <a:srgbClr val="000000"/>
              </a:solidFill>
              <a:latin typeface="Calibri"/>
              <a:ea typeface="Calibri"/>
              <a:cs typeface="Calibri"/>
            </a:rPr>
            <a:t>b) Wie hoch müsste der Liquidationserlös am Ende des fünften Jahres sein, damit der Tankstellenpächter nach der Kapitalwertmethode gerade indifferent hinsichtlich seiner Entscheidung ist? (5 Punkte)</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19050</xdr:rowOff>
    </xdr:from>
    <xdr:ext cx="6878010" cy="4277322"/>
    <xdr:pic>
      <xdr:nvPicPr>
        <xdr:cNvPr id="2" name="Grafik 1">
          <a:extLst>
            <a:ext uri="{FF2B5EF4-FFF2-40B4-BE49-F238E27FC236}">
              <a16:creationId xmlns:a16="http://schemas.microsoft.com/office/drawing/2014/main" id="{FC8710CB-F170-4DC7-8901-CB81473B51CD}"/>
            </a:ext>
          </a:extLst>
        </xdr:cNvPr>
        <xdr:cNvPicPr>
          <a:picLocks noChangeAspect="1"/>
        </xdr:cNvPicPr>
      </xdr:nvPicPr>
      <xdr:blipFill>
        <a:blip xmlns:r="http://schemas.openxmlformats.org/officeDocument/2006/relationships" r:embed="rId1"/>
        <a:stretch>
          <a:fillRect/>
        </a:stretch>
      </xdr:blipFill>
      <xdr:spPr>
        <a:xfrm>
          <a:off x="0" y="19050"/>
          <a:ext cx="6878010" cy="427732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8172450" cy="5078810"/>
    <xdr:pic>
      <xdr:nvPicPr>
        <xdr:cNvPr id="2" name="Grafik 1">
          <a:extLst>
            <a:ext uri="{FF2B5EF4-FFF2-40B4-BE49-F238E27FC236}">
              <a16:creationId xmlns:a16="http://schemas.microsoft.com/office/drawing/2014/main" id="{43AC5F4C-DABF-4D4C-9941-B591630F8A95}"/>
            </a:ext>
          </a:extLst>
        </xdr:cNvPr>
        <xdr:cNvPicPr>
          <a:picLocks noChangeAspect="1"/>
        </xdr:cNvPicPr>
      </xdr:nvPicPr>
      <xdr:blipFill>
        <a:blip xmlns:r="http://schemas.openxmlformats.org/officeDocument/2006/relationships" r:embed="rId1"/>
        <a:stretch>
          <a:fillRect/>
        </a:stretch>
      </xdr:blipFill>
      <xdr:spPr>
        <a:xfrm>
          <a:off x="0" y="0"/>
          <a:ext cx="8172450" cy="507881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xdr:rowOff>
    </xdr:from>
    <xdr:ext cx="5172075" cy="5346102"/>
    <xdr:pic>
      <xdr:nvPicPr>
        <xdr:cNvPr id="2" name="Grafik 1">
          <a:extLst>
            <a:ext uri="{FF2B5EF4-FFF2-40B4-BE49-F238E27FC236}">
              <a16:creationId xmlns:a16="http://schemas.microsoft.com/office/drawing/2014/main" id="{59619D7E-4DBB-4D23-8D6D-99179E16508E}"/>
            </a:ext>
          </a:extLst>
        </xdr:cNvPr>
        <xdr:cNvPicPr>
          <a:picLocks noChangeAspect="1"/>
        </xdr:cNvPicPr>
      </xdr:nvPicPr>
      <xdr:blipFill>
        <a:blip xmlns:r="http://schemas.openxmlformats.org/officeDocument/2006/relationships" r:embed="rId1"/>
        <a:stretch>
          <a:fillRect/>
        </a:stretch>
      </xdr:blipFill>
      <xdr:spPr>
        <a:xfrm>
          <a:off x="0" y="1"/>
          <a:ext cx="5172075" cy="534610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571500</xdr:colOff>
      <xdr:row>1</xdr:row>
      <xdr:rowOff>142875</xdr:rowOff>
    </xdr:from>
    <xdr:ext cx="7305675" cy="2908311"/>
    <xdr:pic>
      <xdr:nvPicPr>
        <xdr:cNvPr id="2" name="Grafik 1">
          <a:extLst>
            <a:ext uri="{FF2B5EF4-FFF2-40B4-BE49-F238E27FC236}">
              <a16:creationId xmlns:a16="http://schemas.microsoft.com/office/drawing/2014/main" id="{CCDC6FC0-96EC-4C62-826C-467F5F07467E}"/>
            </a:ext>
          </a:extLst>
        </xdr:cNvPr>
        <xdr:cNvPicPr>
          <a:picLocks noChangeAspect="1"/>
        </xdr:cNvPicPr>
      </xdr:nvPicPr>
      <xdr:blipFill>
        <a:blip xmlns:r="http://schemas.openxmlformats.org/officeDocument/2006/relationships" r:embed="rId1"/>
        <a:stretch>
          <a:fillRect/>
        </a:stretch>
      </xdr:blipFill>
      <xdr:spPr>
        <a:xfrm>
          <a:off x="571500" y="333375"/>
          <a:ext cx="7305675" cy="2908311"/>
        </a:xfrm>
        <a:prstGeom prst="rect">
          <a:avLst/>
        </a:prstGeom>
      </xdr:spPr>
    </xdr:pic>
    <xdr:clientData/>
  </xdr:oneCellAnchor>
  <xdr:oneCellAnchor>
    <xdr:from>
      <xdr:col>0</xdr:col>
      <xdr:colOff>628651</xdr:colOff>
      <xdr:row>16</xdr:row>
      <xdr:rowOff>142875</xdr:rowOff>
    </xdr:from>
    <xdr:ext cx="4914900" cy="3666163"/>
    <xdr:pic>
      <xdr:nvPicPr>
        <xdr:cNvPr id="3" name="Grafik 2">
          <a:extLst>
            <a:ext uri="{FF2B5EF4-FFF2-40B4-BE49-F238E27FC236}">
              <a16:creationId xmlns:a16="http://schemas.microsoft.com/office/drawing/2014/main" id="{29A863A1-3A3F-42C7-9533-504FC99A6784}"/>
            </a:ext>
          </a:extLst>
        </xdr:cNvPr>
        <xdr:cNvPicPr>
          <a:picLocks noChangeAspect="1"/>
        </xdr:cNvPicPr>
      </xdr:nvPicPr>
      <xdr:blipFill>
        <a:blip xmlns:r="http://schemas.openxmlformats.org/officeDocument/2006/relationships" r:embed="rId2"/>
        <a:stretch>
          <a:fillRect/>
        </a:stretch>
      </xdr:blipFill>
      <xdr:spPr>
        <a:xfrm>
          <a:off x="628651" y="3190875"/>
          <a:ext cx="4914900" cy="3666163"/>
        </a:xfrm>
        <a:prstGeom prst="rect">
          <a:avLst/>
        </a:prstGeom>
      </xdr:spPr>
    </xdr:pic>
    <xdr:clientData/>
  </xdr:oneCellAnchor>
  <xdr:oneCellAnchor>
    <xdr:from>
      <xdr:col>0</xdr:col>
      <xdr:colOff>571501</xdr:colOff>
      <xdr:row>36</xdr:row>
      <xdr:rowOff>171450</xdr:rowOff>
    </xdr:from>
    <xdr:ext cx="7339594" cy="3961802"/>
    <xdr:pic>
      <xdr:nvPicPr>
        <xdr:cNvPr id="4" name="Grafik 3">
          <a:extLst>
            <a:ext uri="{FF2B5EF4-FFF2-40B4-BE49-F238E27FC236}">
              <a16:creationId xmlns:a16="http://schemas.microsoft.com/office/drawing/2014/main" id="{48A2374C-4669-46F1-A1E1-B7859EEB59C4}"/>
            </a:ext>
          </a:extLst>
        </xdr:cNvPr>
        <xdr:cNvPicPr>
          <a:picLocks noChangeAspect="1"/>
        </xdr:cNvPicPr>
      </xdr:nvPicPr>
      <xdr:blipFill>
        <a:blip xmlns:r="http://schemas.openxmlformats.org/officeDocument/2006/relationships" r:embed="rId3"/>
        <a:stretch>
          <a:fillRect/>
        </a:stretch>
      </xdr:blipFill>
      <xdr:spPr>
        <a:xfrm>
          <a:off x="571501" y="7029450"/>
          <a:ext cx="7339594" cy="396180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0</xdr:col>
      <xdr:colOff>723900</xdr:colOff>
      <xdr:row>26</xdr:row>
      <xdr:rowOff>9525</xdr:rowOff>
    </xdr:from>
    <xdr:to>
      <xdr:col>5</xdr:col>
      <xdr:colOff>200025</xdr:colOff>
      <xdr:row>28</xdr:row>
      <xdr:rowOff>114300</xdr:rowOff>
    </xdr:to>
    <xdr:sp macro="" textlink="">
      <xdr:nvSpPr>
        <xdr:cNvPr id="2" name="Textfeld 1">
          <a:extLst>
            <a:ext uri="{FF2B5EF4-FFF2-40B4-BE49-F238E27FC236}">
              <a16:creationId xmlns:a16="http://schemas.microsoft.com/office/drawing/2014/main" id="{8929E44F-9FBE-4995-A7DC-8B71967E236F}"/>
            </a:ext>
          </a:extLst>
        </xdr:cNvPr>
        <xdr:cNvSpPr txBox="1"/>
      </xdr:nvSpPr>
      <xdr:spPr>
        <a:xfrm>
          <a:off x="723900" y="4962525"/>
          <a:ext cx="3286125"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Lösung: </a:t>
          </a:r>
          <a:r>
            <a:rPr lang="de-DE" sz="1100"/>
            <a:t>Nach den Ergebnissen der Kostenvergleichrechnung wäre Variante B zu wählen, da diese</a:t>
          </a:r>
          <a:r>
            <a:rPr lang="de-DE" sz="1100" baseline="0"/>
            <a:t> die geringsten Kosten verursacht. </a:t>
          </a:r>
          <a:endParaRPr lang="de-DE" sz="1100"/>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323850</xdr:colOff>
      <xdr:row>0</xdr:row>
      <xdr:rowOff>152401</xdr:rowOff>
    </xdr:from>
    <xdr:ext cx="4295775" cy="3076904"/>
    <xdr:pic>
      <xdr:nvPicPr>
        <xdr:cNvPr id="2" name="Grafik 1">
          <a:extLst>
            <a:ext uri="{FF2B5EF4-FFF2-40B4-BE49-F238E27FC236}">
              <a16:creationId xmlns:a16="http://schemas.microsoft.com/office/drawing/2014/main" id="{0F23755E-86C9-4416-86CB-DBBB37D1A220}"/>
            </a:ext>
          </a:extLst>
        </xdr:cNvPr>
        <xdr:cNvPicPr>
          <a:picLocks noChangeAspect="1"/>
        </xdr:cNvPicPr>
      </xdr:nvPicPr>
      <xdr:blipFill>
        <a:blip xmlns:r="http://schemas.openxmlformats.org/officeDocument/2006/relationships" r:embed="rId1"/>
        <a:stretch>
          <a:fillRect/>
        </a:stretch>
      </xdr:blipFill>
      <xdr:spPr>
        <a:xfrm>
          <a:off x="323850" y="152401"/>
          <a:ext cx="4295775" cy="3076904"/>
        </a:xfrm>
        <a:prstGeom prst="rect">
          <a:avLst/>
        </a:prstGeom>
      </xdr:spPr>
    </xdr:pic>
    <xdr:clientData/>
  </xdr:oneCellAnchor>
  <xdr:oneCellAnchor>
    <xdr:from>
      <xdr:col>6</xdr:col>
      <xdr:colOff>542925</xdr:colOff>
      <xdr:row>0</xdr:row>
      <xdr:rowOff>95250</xdr:rowOff>
    </xdr:from>
    <xdr:ext cx="7620000" cy="3232727"/>
    <xdr:pic>
      <xdr:nvPicPr>
        <xdr:cNvPr id="3" name="Grafik 2">
          <a:extLst>
            <a:ext uri="{FF2B5EF4-FFF2-40B4-BE49-F238E27FC236}">
              <a16:creationId xmlns:a16="http://schemas.microsoft.com/office/drawing/2014/main" id="{9BA3959E-4F8F-4DE6-81A2-B8CCCA554014}"/>
            </a:ext>
          </a:extLst>
        </xdr:cNvPr>
        <xdr:cNvPicPr>
          <a:picLocks noChangeAspect="1"/>
        </xdr:cNvPicPr>
      </xdr:nvPicPr>
      <xdr:blipFill>
        <a:blip xmlns:r="http://schemas.openxmlformats.org/officeDocument/2006/relationships" r:embed="rId2"/>
        <a:stretch>
          <a:fillRect/>
        </a:stretch>
      </xdr:blipFill>
      <xdr:spPr>
        <a:xfrm>
          <a:off x="5114925" y="95250"/>
          <a:ext cx="7620000" cy="3232727"/>
        </a:xfrm>
        <a:prstGeom prst="rect">
          <a:avLst/>
        </a:prstGeom>
      </xdr:spPr>
    </xdr:pic>
    <xdr:clientData/>
  </xdr:oneCellAnchor>
  <xdr:oneCellAnchor>
    <xdr:from>
      <xdr:col>6</xdr:col>
      <xdr:colOff>419100</xdr:colOff>
      <xdr:row>17</xdr:row>
      <xdr:rowOff>171450</xdr:rowOff>
    </xdr:from>
    <xdr:ext cx="7715250" cy="3359642"/>
    <xdr:pic>
      <xdr:nvPicPr>
        <xdr:cNvPr id="4" name="Grafik 3">
          <a:extLst>
            <a:ext uri="{FF2B5EF4-FFF2-40B4-BE49-F238E27FC236}">
              <a16:creationId xmlns:a16="http://schemas.microsoft.com/office/drawing/2014/main" id="{00450B7A-D4DA-4C4C-A6A2-45E48EB3BB10}"/>
            </a:ext>
          </a:extLst>
        </xdr:cNvPr>
        <xdr:cNvPicPr>
          <a:picLocks noChangeAspect="1"/>
        </xdr:cNvPicPr>
      </xdr:nvPicPr>
      <xdr:blipFill>
        <a:blip xmlns:r="http://schemas.openxmlformats.org/officeDocument/2006/relationships" r:embed="rId3"/>
        <a:stretch>
          <a:fillRect/>
        </a:stretch>
      </xdr:blipFill>
      <xdr:spPr>
        <a:xfrm>
          <a:off x="4991100" y="3409950"/>
          <a:ext cx="7715250" cy="3359642"/>
        </a:xfrm>
        <a:prstGeom prst="rect">
          <a:avLst/>
        </a:prstGeom>
      </xdr:spPr>
    </xdr:pic>
    <xdr:clientData/>
  </xdr:oneCellAnchor>
  <xdr:oneCellAnchor>
    <xdr:from>
      <xdr:col>0</xdr:col>
      <xdr:colOff>428625</xdr:colOff>
      <xdr:row>36</xdr:row>
      <xdr:rowOff>127781</xdr:rowOff>
    </xdr:from>
    <xdr:ext cx="8334375" cy="3497657"/>
    <xdr:pic>
      <xdr:nvPicPr>
        <xdr:cNvPr id="5" name="Grafik 4">
          <a:extLst>
            <a:ext uri="{FF2B5EF4-FFF2-40B4-BE49-F238E27FC236}">
              <a16:creationId xmlns:a16="http://schemas.microsoft.com/office/drawing/2014/main" id="{BE6F2044-C697-463C-AD2D-B5C49AFE864A}"/>
            </a:ext>
          </a:extLst>
        </xdr:cNvPr>
        <xdr:cNvPicPr>
          <a:picLocks noChangeAspect="1"/>
        </xdr:cNvPicPr>
      </xdr:nvPicPr>
      <xdr:blipFill>
        <a:blip xmlns:r="http://schemas.openxmlformats.org/officeDocument/2006/relationships" r:embed="rId4"/>
        <a:stretch>
          <a:fillRect/>
        </a:stretch>
      </xdr:blipFill>
      <xdr:spPr>
        <a:xfrm>
          <a:off x="428625" y="6985781"/>
          <a:ext cx="8334375" cy="349765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657225</xdr:colOff>
      <xdr:row>0</xdr:row>
      <xdr:rowOff>180976</xdr:rowOff>
    </xdr:from>
    <xdr:ext cx="7458075" cy="3346910"/>
    <xdr:pic>
      <xdr:nvPicPr>
        <xdr:cNvPr id="2" name="Grafik 1">
          <a:extLst>
            <a:ext uri="{FF2B5EF4-FFF2-40B4-BE49-F238E27FC236}">
              <a16:creationId xmlns:a16="http://schemas.microsoft.com/office/drawing/2014/main" id="{69A42867-1AAB-43A8-8EA7-B92267B1A816}"/>
            </a:ext>
          </a:extLst>
        </xdr:cNvPr>
        <xdr:cNvPicPr>
          <a:picLocks noChangeAspect="1"/>
        </xdr:cNvPicPr>
      </xdr:nvPicPr>
      <xdr:blipFill>
        <a:blip xmlns:r="http://schemas.openxmlformats.org/officeDocument/2006/relationships" r:embed="rId1"/>
        <a:stretch>
          <a:fillRect/>
        </a:stretch>
      </xdr:blipFill>
      <xdr:spPr>
        <a:xfrm>
          <a:off x="657225" y="180976"/>
          <a:ext cx="7458075" cy="3346910"/>
        </a:xfrm>
        <a:prstGeom prst="rect">
          <a:avLst/>
        </a:prstGeom>
      </xdr:spPr>
    </xdr:pic>
    <xdr:clientData/>
  </xdr:oneCellAnchor>
  <xdr:oneCellAnchor>
    <xdr:from>
      <xdr:col>1</xdr:col>
      <xdr:colOff>0</xdr:colOff>
      <xdr:row>21</xdr:row>
      <xdr:rowOff>0</xdr:rowOff>
    </xdr:from>
    <xdr:ext cx="5814060" cy="4133850"/>
    <xdr:pic>
      <xdr:nvPicPr>
        <xdr:cNvPr id="3" name="Grafik 2">
          <a:extLst>
            <a:ext uri="{FF2B5EF4-FFF2-40B4-BE49-F238E27FC236}">
              <a16:creationId xmlns:a16="http://schemas.microsoft.com/office/drawing/2014/main" id="{5EC5F378-3D18-4FD9-8C84-54FB8F62A4F8}"/>
            </a:ext>
          </a:extLst>
        </xdr:cNvPr>
        <xdr:cNvPicPr>
          <a:picLocks noChangeAspect="1"/>
        </xdr:cNvPicPr>
      </xdr:nvPicPr>
      <xdr:blipFill>
        <a:blip xmlns:r="http://schemas.openxmlformats.org/officeDocument/2006/relationships" r:embed="rId2"/>
        <a:stretch>
          <a:fillRect/>
        </a:stretch>
      </xdr:blipFill>
      <xdr:spPr>
        <a:xfrm>
          <a:off x="762000" y="4000500"/>
          <a:ext cx="5814060" cy="4133850"/>
        </a:xfrm>
        <a:prstGeom prst="rect">
          <a:avLst/>
        </a:prstGeom>
      </xdr:spPr>
    </xdr:pic>
    <xdr:clientData/>
  </xdr:oneCellAnchor>
  <xdr:oneCellAnchor>
    <xdr:from>
      <xdr:col>0</xdr:col>
      <xdr:colOff>438150</xdr:colOff>
      <xdr:row>45</xdr:row>
      <xdr:rowOff>38100</xdr:rowOff>
    </xdr:from>
    <xdr:ext cx="6159500" cy="2209800"/>
    <xdr:pic>
      <xdr:nvPicPr>
        <xdr:cNvPr id="4" name="Grafik 3">
          <a:extLst>
            <a:ext uri="{FF2B5EF4-FFF2-40B4-BE49-F238E27FC236}">
              <a16:creationId xmlns:a16="http://schemas.microsoft.com/office/drawing/2014/main" id="{368661D6-D3DC-4FD4-AE9D-3418F59C0A26}"/>
            </a:ext>
          </a:extLst>
        </xdr:cNvPr>
        <xdr:cNvPicPr>
          <a:picLocks noChangeAspect="1"/>
        </xdr:cNvPicPr>
      </xdr:nvPicPr>
      <xdr:blipFill>
        <a:blip xmlns:r="http://schemas.openxmlformats.org/officeDocument/2006/relationships" r:embed="rId3"/>
        <a:stretch>
          <a:fillRect/>
        </a:stretch>
      </xdr:blipFill>
      <xdr:spPr>
        <a:xfrm>
          <a:off x="438150" y="8610600"/>
          <a:ext cx="6159500" cy="22098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0</xdr:col>
      <xdr:colOff>733425</xdr:colOff>
      <xdr:row>13</xdr:row>
      <xdr:rowOff>57150</xdr:rowOff>
    </xdr:from>
    <xdr:to>
      <xdr:col>4</xdr:col>
      <xdr:colOff>200025</xdr:colOff>
      <xdr:row>16</xdr:row>
      <xdr:rowOff>76200</xdr:rowOff>
    </xdr:to>
    <xdr:sp macro="" textlink="">
      <xdr:nvSpPr>
        <xdr:cNvPr id="2" name="Textfeld 1">
          <a:extLst>
            <a:ext uri="{FF2B5EF4-FFF2-40B4-BE49-F238E27FC236}">
              <a16:creationId xmlns:a16="http://schemas.microsoft.com/office/drawing/2014/main" id="{4DCD327A-2006-4267-A440-735680418942}"/>
            </a:ext>
          </a:extLst>
        </xdr:cNvPr>
        <xdr:cNvSpPr txBox="1"/>
      </xdr:nvSpPr>
      <xdr:spPr>
        <a:xfrm>
          <a:off x="733425" y="2533650"/>
          <a:ext cx="2514600"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de-DE" sz="1100" b="1" baseline="0">
              <a:solidFill>
                <a:schemeClr val="dk1"/>
              </a:solidFill>
              <a:effectLst/>
              <a:latin typeface="+mn-lt"/>
              <a:ea typeface="+mn-ea"/>
              <a:cs typeface="+mn-cs"/>
            </a:rPr>
            <a:t>Lösung: </a:t>
          </a:r>
          <a:r>
            <a:rPr lang="de-DE" sz="1100" b="0" baseline="0">
              <a:solidFill>
                <a:schemeClr val="dk1"/>
              </a:solidFill>
              <a:effectLst/>
              <a:latin typeface="+mn-lt"/>
              <a:ea typeface="+mn-ea"/>
              <a:cs typeface="+mn-cs"/>
            </a:rPr>
            <a:t>Da die Rentabilität der Investition über der geforderten Mindestverzinsung von 15% liegt, sollte die Investition nach den Ergebnissen durchgeführt werden</a:t>
          </a:r>
          <a:endParaRPr lang="de-DE" b="0">
            <a:effectLst/>
          </a:endParaRPr>
        </a:p>
        <a:p>
          <a:endParaRPr lang="de-DE" sz="1100"/>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0</xdr:colOff>
      <xdr:row>3</xdr:row>
      <xdr:rowOff>0</xdr:rowOff>
    </xdr:from>
    <xdr:ext cx="10600000" cy="5228571"/>
    <xdr:pic>
      <xdr:nvPicPr>
        <xdr:cNvPr id="2" name="Grafik 1">
          <a:extLst>
            <a:ext uri="{FF2B5EF4-FFF2-40B4-BE49-F238E27FC236}">
              <a16:creationId xmlns:a16="http://schemas.microsoft.com/office/drawing/2014/main" id="{3E919590-09B2-4BD7-A234-7144E7CC2853}"/>
            </a:ext>
          </a:extLst>
        </xdr:cNvPr>
        <xdr:cNvPicPr>
          <a:picLocks noChangeAspect="1"/>
        </xdr:cNvPicPr>
      </xdr:nvPicPr>
      <xdr:blipFill>
        <a:blip xmlns:r="http://schemas.openxmlformats.org/officeDocument/2006/relationships" r:embed="rId1"/>
        <a:stretch>
          <a:fillRect/>
        </a:stretch>
      </xdr:blipFill>
      <xdr:spPr>
        <a:xfrm>
          <a:off x="762000" y="571500"/>
          <a:ext cx="10600000" cy="5228571"/>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0</xdr:col>
      <xdr:colOff>714376</xdr:colOff>
      <xdr:row>25</xdr:row>
      <xdr:rowOff>57150</xdr:rowOff>
    </xdr:from>
    <xdr:to>
      <xdr:col>6</xdr:col>
      <xdr:colOff>57151</xdr:colOff>
      <xdr:row>30</xdr:row>
      <xdr:rowOff>66675</xdr:rowOff>
    </xdr:to>
    <xdr:sp macro="" textlink="">
      <xdr:nvSpPr>
        <xdr:cNvPr id="2" name="Textfeld 1">
          <a:extLst>
            <a:ext uri="{FF2B5EF4-FFF2-40B4-BE49-F238E27FC236}">
              <a16:creationId xmlns:a16="http://schemas.microsoft.com/office/drawing/2014/main" id="{6B177061-9A5F-4EBA-A081-0403160E3118}"/>
            </a:ext>
          </a:extLst>
        </xdr:cNvPr>
        <xdr:cNvSpPr txBox="1"/>
      </xdr:nvSpPr>
      <xdr:spPr>
        <a:xfrm>
          <a:off x="714376" y="4819650"/>
          <a:ext cx="3914775" cy="96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baseline="0">
              <a:solidFill>
                <a:schemeClr val="dk1"/>
              </a:solidFill>
              <a:latin typeface="+mn-lt"/>
              <a:ea typeface="+mn-ea"/>
              <a:cs typeface="+mn-cs"/>
            </a:rPr>
            <a:t>Unter Zugrundelegung der statischen Amortisationsrechnung ist Maschine II die vorteilhaftere, da sie die kürzere Amortisationszeit besitzt (implizite Annahme: Die</a:t>
          </a:r>
        </a:p>
        <a:p>
          <a:r>
            <a:rPr lang="de-DE" sz="1100" b="0" i="0" u="none" strike="noStrike" baseline="0">
              <a:solidFill>
                <a:schemeClr val="dk1"/>
              </a:solidFill>
              <a:latin typeface="+mn-lt"/>
              <a:ea typeface="+mn-ea"/>
              <a:cs typeface="+mn-cs"/>
            </a:rPr>
            <a:t>Höchstamortisationsdauer beträgt mindestens 3,33 Jahre). Auf der Basis der</a:t>
          </a:r>
        </a:p>
        <a:p>
          <a:r>
            <a:rPr lang="de-DE" sz="1100" b="0" i="0" u="none" strike="noStrike" baseline="0">
              <a:solidFill>
                <a:schemeClr val="dk1"/>
              </a:solidFill>
              <a:latin typeface="+mn-lt"/>
              <a:ea typeface="+mn-ea"/>
              <a:cs typeface="+mn-cs"/>
            </a:rPr>
            <a:t>Amortisationsrechnung empfehlen Sie somit Willibald Weißwas die Anschaffung</a:t>
          </a:r>
        </a:p>
        <a:p>
          <a:r>
            <a:rPr lang="de-DE" sz="1100" b="0" i="0" u="none" strike="noStrike" baseline="0">
              <a:solidFill>
                <a:schemeClr val="dk1"/>
              </a:solidFill>
              <a:latin typeface="+mn-lt"/>
              <a:ea typeface="+mn-ea"/>
              <a:cs typeface="+mn-cs"/>
            </a:rPr>
            <a:t>von Maschine II.</a:t>
          </a:r>
          <a:endParaRPr lang="de-DE"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7</xdr:col>
      <xdr:colOff>9526</xdr:colOff>
      <xdr:row>2</xdr:row>
      <xdr:rowOff>9524</xdr:rowOff>
    </xdr:from>
    <xdr:to>
      <xdr:col>11</xdr:col>
      <xdr:colOff>542926</xdr:colOff>
      <xdr:row>12</xdr:row>
      <xdr:rowOff>161925</xdr:rowOff>
    </xdr:to>
    <xdr:sp macro="" textlink="">
      <xdr:nvSpPr>
        <xdr:cNvPr id="2" name="Textfeld 1">
          <a:extLst>
            <a:ext uri="{FF2B5EF4-FFF2-40B4-BE49-F238E27FC236}">
              <a16:creationId xmlns:a16="http://schemas.microsoft.com/office/drawing/2014/main" id="{6C7B665D-2855-4D78-B3BD-0CB6525E1254}"/>
            </a:ext>
          </a:extLst>
        </xdr:cNvPr>
        <xdr:cNvSpPr txBox="1"/>
      </xdr:nvSpPr>
      <xdr:spPr>
        <a:xfrm>
          <a:off x="5343526" y="390524"/>
          <a:ext cx="3581400" cy="2057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a:t>b) Lösung auf dem Papier (Formel): </a:t>
          </a:r>
        </a:p>
        <a:p>
          <a:endParaRPr lang="de-DE" sz="1400"/>
        </a:p>
        <a:p>
          <a:r>
            <a:rPr lang="de-DE" sz="1400"/>
            <a:t>K</a:t>
          </a:r>
          <a:r>
            <a:rPr lang="de-DE" sz="1400" baseline="-25000"/>
            <a:t>n</a:t>
          </a:r>
          <a:r>
            <a:rPr lang="de-DE" sz="1400"/>
            <a:t> = K</a:t>
          </a:r>
          <a:r>
            <a:rPr lang="de-DE" sz="1400" baseline="-25000"/>
            <a:t>0</a:t>
          </a:r>
          <a:r>
            <a:rPr lang="de-DE" sz="1400"/>
            <a:t> x (1+i)</a:t>
          </a:r>
          <a:r>
            <a:rPr lang="de-DE" sz="1400" baseline="30000"/>
            <a:t>n</a:t>
          </a:r>
        </a:p>
        <a:p>
          <a:r>
            <a:rPr lang="de-DE" sz="1400"/>
            <a:t>bei 0,5%:</a:t>
          </a:r>
          <a:r>
            <a:rPr lang="de-DE" sz="1400" baseline="0"/>
            <a:t> </a:t>
          </a:r>
          <a:r>
            <a:rPr lang="de-DE" sz="1400"/>
            <a:t>K</a:t>
          </a:r>
          <a:r>
            <a:rPr lang="de-DE" sz="1400" baseline="-25000"/>
            <a:t>n</a:t>
          </a:r>
          <a:r>
            <a:rPr lang="de-DE" sz="1400" baseline="0"/>
            <a:t> = 10.000 x (1,005)</a:t>
          </a:r>
          <a:r>
            <a:rPr lang="de-DE" sz="1400" baseline="30000"/>
            <a:t>20</a:t>
          </a:r>
          <a:r>
            <a:rPr lang="de-DE" sz="1400" baseline="0"/>
            <a:t> = 11.048,96 €</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prstClr val="black"/>
              </a:solidFill>
              <a:effectLst/>
              <a:uLnTx/>
              <a:uFillTx/>
              <a:latin typeface="+mn-lt"/>
              <a:ea typeface="+mn-ea"/>
              <a:cs typeface="+mn-cs"/>
            </a:rPr>
            <a:t>bei 1,5%: K</a:t>
          </a:r>
          <a:r>
            <a:rPr kumimoji="0" lang="de-DE" sz="1400" b="0" i="0" u="none" strike="noStrike" kern="0" cap="none" spc="0" normalizeH="0" baseline="-25000" noProof="0">
              <a:ln>
                <a:noFill/>
              </a:ln>
              <a:solidFill>
                <a:prstClr val="black"/>
              </a:solidFill>
              <a:effectLst/>
              <a:uLnTx/>
              <a:uFillTx/>
              <a:latin typeface="+mn-lt"/>
              <a:ea typeface="+mn-ea"/>
              <a:cs typeface="+mn-cs"/>
            </a:rPr>
            <a:t>n</a:t>
          </a:r>
          <a:r>
            <a:rPr kumimoji="0" lang="de-DE" sz="1400" b="0" i="0" u="none" strike="noStrike" kern="0" cap="none" spc="0" normalizeH="0" baseline="0" noProof="0">
              <a:ln>
                <a:noFill/>
              </a:ln>
              <a:solidFill>
                <a:prstClr val="black"/>
              </a:solidFill>
              <a:effectLst/>
              <a:uLnTx/>
              <a:uFillTx/>
              <a:latin typeface="+mn-lt"/>
              <a:ea typeface="+mn-ea"/>
              <a:cs typeface="+mn-cs"/>
            </a:rPr>
            <a:t> = 10.000 x (1,015)</a:t>
          </a:r>
          <a:r>
            <a:rPr kumimoji="0" lang="de-DE" sz="1400" b="0" i="0" u="none" strike="noStrike" kern="0" cap="none" spc="0" normalizeH="0" baseline="30000" noProof="0">
              <a:ln>
                <a:noFill/>
              </a:ln>
              <a:solidFill>
                <a:prstClr val="black"/>
              </a:solidFill>
              <a:effectLst/>
              <a:uLnTx/>
              <a:uFillTx/>
              <a:latin typeface="+mn-lt"/>
              <a:ea typeface="+mn-ea"/>
              <a:cs typeface="+mn-cs"/>
            </a:rPr>
            <a:t>20</a:t>
          </a:r>
          <a:r>
            <a:rPr kumimoji="0" lang="de-DE" sz="1400" b="0" i="0" u="none" strike="noStrike" kern="0" cap="none" spc="0" normalizeH="0" baseline="0" noProof="0">
              <a:ln>
                <a:noFill/>
              </a:ln>
              <a:solidFill>
                <a:prstClr val="black"/>
              </a:solidFill>
              <a:effectLst/>
              <a:uLnTx/>
              <a:uFillTx/>
              <a:latin typeface="+mn-lt"/>
              <a:ea typeface="+mn-ea"/>
              <a:cs typeface="+mn-cs"/>
            </a:rPr>
            <a:t> = 13.468,55 €</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prstClr val="black"/>
              </a:solidFill>
              <a:effectLst/>
              <a:uLnTx/>
              <a:uFillTx/>
              <a:latin typeface="+mn-lt"/>
              <a:ea typeface="+mn-ea"/>
              <a:cs typeface="+mn-cs"/>
            </a:rPr>
            <a:t>bei 3,0%: K</a:t>
          </a:r>
          <a:r>
            <a:rPr kumimoji="0" lang="de-DE" sz="1400" b="0" i="0" u="none" strike="noStrike" kern="0" cap="none" spc="0" normalizeH="0" baseline="-25000" noProof="0">
              <a:ln>
                <a:noFill/>
              </a:ln>
              <a:solidFill>
                <a:prstClr val="black"/>
              </a:solidFill>
              <a:effectLst/>
              <a:uLnTx/>
              <a:uFillTx/>
              <a:latin typeface="+mn-lt"/>
              <a:ea typeface="+mn-ea"/>
              <a:cs typeface="+mn-cs"/>
            </a:rPr>
            <a:t>n</a:t>
          </a:r>
          <a:r>
            <a:rPr kumimoji="0" lang="de-DE" sz="1400" b="0" i="0" u="none" strike="noStrike" kern="0" cap="none" spc="0" normalizeH="0" baseline="0" noProof="0">
              <a:ln>
                <a:noFill/>
              </a:ln>
              <a:solidFill>
                <a:prstClr val="black"/>
              </a:solidFill>
              <a:effectLst/>
              <a:uLnTx/>
              <a:uFillTx/>
              <a:latin typeface="+mn-lt"/>
              <a:ea typeface="+mn-ea"/>
              <a:cs typeface="+mn-cs"/>
            </a:rPr>
            <a:t> = 10.000 x (1,03)</a:t>
          </a:r>
          <a:r>
            <a:rPr kumimoji="0" lang="de-DE" sz="1400" b="0" i="0" u="none" strike="noStrike" kern="0" cap="none" spc="0" normalizeH="0" baseline="30000" noProof="0">
              <a:ln>
                <a:noFill/>
              </a:ln>
              <a:solidFill>
                <a:prstClr val="black"/>
              </a:solidFill>
              <a:effectLst/>
              <a:uLnTx/>
              <a:uFillTx/>
              <a:latin typeface="+mn-lt"/>
              <a:ea typeface="+mn-ea"/>
              <a:cs typeface="+mn-cs"/>
            </a:rPr>
            <a:t>20</a:t>
          </a:r>
          <a:r>
            <a:rPr kumimoji="0" lang="de-DE" sz="1400" b="0" i="0" u="none" strike="noStrike" kern="0" cap="none" spc="0" normalizeH="0" baseline="0" noProof="0">
              <a:ln>
                <a:noFill/>
              </a:ln>
              <a:solidFill>
                <a:prstClr val="black"/>
              </a:solidFill>
              <a:effectLst/>
              <a:uLnTx/>
              <a:uFillTx/>
              <a:latin typeface="+mn-lt"/>
              <a:ea typeface="+mn-ea"/>
              <a:cs typeface="+mn-cs"/>
            </a:rPr>
            <a:t> = 18.061,11 €</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prstClr val="black"/>
              </a:solidFill>
              <a:effectLst/>
              <a:uLnTx/>
              <a:uFillTx/>
              <a:latin typeface="+mn-lt"/>
              <a:ea typeface="+mn-ea"/>
              <a:cs typeface="+mn-cs"/>
            </a:rPr>
            <a:t>bei 6,0%: K</a:t>
          </a:r>
          <a:r>
            <a:rPr kumimoji="0" lang="de-DE" sz="1400" b="0" i="0" u="none" strike="noStrike" kern="0" cap="none" spc="0" normalizeH="0" baseline="-25000" noProof="0">
              <a:ln>
                <a:noFill/>
              </a:ln>
              <a:solidFill>
                <a:prstClr val="black"/>
              </a:solidFill>
              <a:effectLst/>
              <a:uLnTx/>
              <a:uFillTx/>
              <a:latin typeface="+mn-lt"/>
              <a:ea typeface="+mn-ea"/>
              <a:cs typeface="+mn-cs"/>
            </a:rPr>
            <a:t>n</a:t>
          </a:r>
          <a:r>
            <a:rPr kumimoji="0" lang="de-DE" sz="1400" b="0" i="0" u="none" strike="noStrike" kern="0" cap="none" spc="0" normalizeH="0" baseline="0" noProof="0">
              <a:ln>
                <a:noFill/>
              </a:ln>
              <a:solidFill>
                <a:prstClr val="black"/>
              </a:solidFill>
              <a:effectLst/>
              <a:uLnTx/>
              <a:uFillTx/>
              <a:latin typeface="+mn-lt"/>
              <a:ea typeface="+mn-ea"/>
              <a:cs typeface="+mn-cs"/>
            </a:rPr>
            <a:t> = 10.000 x (1,06)</a:t>
          </a:r>
          <a:r>
            <a:rPr kumimoji="0" lang="de-DE" sz="1400" b="0" i="0" u="none" strike="noStrike" kern="0" cap="none" spc="0" normalizeH="0" baseline="30000" noProof="0">
              <a:ln>
                <a:noFill/>
              </a:ln>
              <a:solidFill>
                <a:prstClr val="black"/>
              </a:solidFill>
              <a:effectLst/>
              <a:uLnTx/>
              <a:uFillTx/>
              <a:latin typeface="+mn-lt"/>
              <a:ea typeface="+mn-ea"/>
              <a:cs typeface="+mn-cs"/>
            </a:rPr>
            <a:t>20</a:t>
          </a:r>
          <a:r>
            <a:rPr kumimoji="0" lang="de-DE" sz="1400" b="0" i="0" u="none" strike="noStrike" kern="0" cap="none" spc="0" normalizeH="0" baseline="0" noProof="0">
              <a:ln>
                <a:noFill/>
              </a:ln>
              <a:solidFill>
                <a:prstClr val="black"/>
              </a:solidFill>
              <a:effectLst/>
              <a:uLnTx/>
              <a:uFillTx/>
              <a:latin typeface="+mn-lt"/>
              <a:ea typeface="+mn-ea"/>
              <a:cs typeface="+mn-cs"/>
            </a:rPr>
            <a:t> = 32.071,35 €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prstClr val="black"/>
              </a:solidFill>
              <a:effectLst/>
              <a:uLnTx/>
              <a:uFillTx/>
              <a:latin typeface="+mn-lt"/>
              <a:ea typeface="+mn-ea"/>
              <a:cs typeface="+mn-cs"/>
            </a:rPr>
            <a:t>Schreibweise der "Papierlösung in Excel":</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prstClr val="black"/>
            </a:solidFill>
            <a:effectLst/>
            <a:uLnTx/>
            <a:uFillTx/>
            <a:latin typeface="+mn-lt"/>
            <a:ea typeface="+mn-ea"/>
            <a:cs typeface="+mn-cs"/>
          </a:endParaRPr>
        </a:p>
        <a:p>
          <a:endParaRPr lang="de-DE" sz="1400" baseline="0"/>
        </a:p>
        <a:p>
          <a:endParaRPr lang="de-DE" sz="1100"/>
        </a:p>
      </xdr:txBody>
    </xdr:sp>
    <xdr:clientData/>
  </xdr:twoCellAnchor>
  <xdr:twoCellAnchor>
    <xdr:from>
      <xdr:col>10</xdr:col>
      <xdr:colOff>19050</xdr:colOff>
      <xdr:row>12</xdr:row>
      <xdr:rowOff>171450</xdr:rowOff>
    </xdr:from>
    <xdr:to>
      <xdr:col>12</xdr:col>
      <xdr:colOff>400050</xdr:colOff>
      <xdr:row>17</xdr:row>
      <xdr:rowOff>0</xdr:rowOff>
    </xdr:to>
    <xdr:sp macro="" textlink="">
      <xdr:nvSpPr>
        <xdr:cNvPr id="3" name="Textfeld 2">
          <a:extLst>
            <a:ext uri="{FF2B5EF4-FFF2-40B4-BE49-F238E27FC236}">
              <a16:creationId xmlns:a16="http://schemas.microsoft.com/office/drawing/2014/main" id="{0B85A40F-9F57-4B6E-BFFC-EDAFE57290C3}"/>
            </a:ext>
          </a:extLst>
        </xdr:cNvPr>
        <xdr:cNvSpPr txBox="1"/>
      </xdr:nvSpPr>
      <xdr:spPr>
        <a:xfrm>
          <a:off x="7639050" y="2457450"/>
          <a:ext cx="190500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=10000*(1+H14)^20</a:t>
          </a:r>
        </a:p>
        <a:p>
          <a:r>
            <a:rPr lang="de-DE" sz="1100"/>
            <a:t>=10000*(1+H15)^20</a:t>
          </a:r>
        </a:p>
        <a:p>
          <a:r>
            <a:rPr lang="de-DE" sz="1100"/>
            <a:t>=10000*(1+H16)^20</a:t>
          </a:r>
        </a:p>
        <a:p>
          <a:r>
            <a:rPr lang="de-DE" sz="1100"/>
            <a:t>=10000*(1+H17)^20</a:t>
          </a:r>
        </a:p>
        <a:p>
          <a:endParaRPr lang="de-DE" sz="1100"/>
        </a:p>
        <a:p>
          <a:endParaRPr lang="de-DE" sz="1100"/>
        </a:p>
      </xdr:txBody>
    </xdr:sp>
    <xdr:clientData/>
  </xdr:twoCellAnchor>
  <xdr:oneCellAnchor>
    <xdr:from>
      <xdr:col>11</xdr:col>
      <xdr:colOff>19050</xdr:colOff>
      <xdr:row>22</xdr:row>
      <xdr:rowOff>9525</xdr:rowOff>
    </xdr:from>
    <xdr:ext cx="5428571" cy="3314286"/>
    <xdr:pic>
      <xdr:nvPicPr>
        <xdr:cNvPr id="4" name="Grafik 3">
          <a:extLst>
            <a:ext uri="{FF2B5EF4-FFF2-40B4-BE49-F238E27FC236}">
              <a16:creationId xmlns:a16="http://schemas.microsoft.com/office/drawing/2014/main" id="{FECA39C7-E90A-4698-BD08-2E5C4695260B}"/>
            </a:ext>
          </a:extLst>
        </xdr:cNvPr>
        <xdr:cNvPicPr>
          <a:picLocks noChangeAspect="1"/>
        </xdr:cNvPicPr>
      </xdr:nvPicPr>
      <xdr:blipFill>
        <a:blip xmlns:r="http://schemas.openxmlformats.org/officeDocument/2006/relationships" r:embed="rId1"/>
        <a:stretch>
          <a:fillRect/>
        </a:stretch>
      </xdr:blipFill>
      <xdr:spPr>
        <a:xfrm>
          <a:off x="8401050" y="4200525"/>
          <a:ext cx="5428571" cy="3314286"/>
        </a:xfrm>
        <a:prstGeom prst="rect">
          <a:avLst/>
        </a:prstGeom>
      </xdr:spPr>
    </xdr:pic>
    <xdr:clientData/>
  </xdr:oneCellAnchor>
  <xdr:twoCellAnchor>
    <xdr:from>
      <xdr:col>10</xdr:col>
      <xdr:colOff>28575</xdr:colOff>
      <xdr:row>19</xdr:row>
      <xdr:rowOff>123825</xdr:rowOff>
    </xdr:from>
    <xdr:to>
      <xdr:col>11</xdr:col>
      <xdr:colOff>76200</xdr:colOff>
      <xdr:row>24</xdr:row>
      <xdr:rowOff>0</xdr:rowOff>
    </xdr:to>
    <xdr:cxnSp macro="">
      <xdr:nvCxnSpPr>
        <xdr:cNvPr id="5" name="Gerade Verbindung mit Pfeil 4">
          <a:extLst>
            <a:ext uri="{FF2B5EF4-FFF2-40B4-BE49-F238E27FC236}">
              <a16:creationId xmlns:a16="http://schemas.microsoft.com/office/drawing/2014/main" id="{4A4BE06A-D41D-496B-BC7C-B7F52A87B8E7}"/>
            </a:ext>
          </a:extLst>
        </xdr:cNvPr>
        <xdr:cNvCxnSpPr/>
      </xdr:nvCxnSpPr>
      <xdr:spPr>
        <a:xfrm flipH="1" flipV="1">
          <a:off x="7648575" y="3743325"/>
          <a:ext cx="809625" cy="828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38100</xdr:colOff>
      <xdr:row>1</xdr:row>
      <xdr:rowOff>171451</xdr:rowOff>
    </xdr:from>
    <xdr:to>
      <xdr:col>8</xdr:col>
      <xdr:colOff>609600</xdr:colOff>
      <xdr:row>7</xdr:row>
      <xdr:rowOff>114301</xdr:rowOff>
    </xdr:to>
    <xdr:sp macro="" textlink="">
      <xdr:nvSpPr>
        <xdr:cNvPr id="2" name="Textfeld 1">
          <a:extLst>
            <a:ext uri="{FF2B5EF4-FFF2-40B4-BE49-F238E27FC236}">
              <a16:creationId xmlns:a16="http://schemas.microsoft.com/office/drawing/2014/main" id="{1E7473D0-B136-4070-9BCC-93FC2CFEEFA5}"/>
            </a:ext>
          </a:extLst>
        </xdr:cNvPr>
        <xdr:cNvSpPr txBox="1"/>
      </xdr:nvSpPr>
      <xdr:spPr>
        <a:xfrm>
          <a:off x="3086100" y="361951"/>
          <a:ext cx="3619500" cy="10858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Calibri" panose="020F0502020204030204"/>
              <a:ea typeface="+mn-ea"/>
              <a:cs typeface="+mn-cs"/>
            </a:rPr>
            <a:t>b) Lösung auf dem Papier (Formel):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Calibri" panose="020F0502020204030204"/>
              <a:ea typeface="+mn-ea"/>
              <a:cs typeface="+mn-cs"/>
            </a:rPr>
            <a:t>K</a:t>
          </a:r>
          <a:r>
            <a:rPr kumimoji="0" lang="de-DE" sz="1400" b="0" i="0" u="none" strike="noStrike" kern="0" cap="none" spc="0" normalizeH="0" baseline="-25000" noProof="0">
              <a:ln>
                <a:noFill/>
              </a:ln>
              <a:solidFill>
                <a:sysClr val="windowText" lastClr="000000"/>
              </a:solidFill>
              <a:effectLst/>
              <a:uLnTx/>
              <a:uFillTx/>
              <a:latin typeface="Calibri" panose="020F0502020204030204"/>
              <a:ea typeface="+mn-ea"/>
              <a:cs typeface="+mn-cs"/>
            </a:rPr>
            <a:t>0</a:t>
          </a:r>
          <a:r>
            <a:rPr kumimoji="0" lang="de-DE" sz="1400" b="0" i="0" u="none" strike="noStrike" kern="0" cap="none" spc="0" normalizeH="0" baseline="0" noProof="0">
              <a:ln>
                <a:noFill/>
              </a:ln>
              <a:solidFill>
                <a:sysClr val="windowText" lastClr="000000"/>
              </a:solidFill>
              <a:effectLst/>
              <a:uLnTx/>
              <a:uFillTx/>
              <a:latin typeface="Calibri" panose="020F0502020204030204"/>
              <a:ea typeface="+mn-ea"/>
              <a:cs typeface="+mn-cs"/>
            </a:rPr>
            <a:t> = K</a:t>
          </a:r>
          <a:r>
            <a:rPr kumimoji="0" lang="de-DE" sz="1400" b="0" i="0" u="none" strike="noStrike" kern="0" cap="none" spc="0" normalizeH="0" baseline="-25000" noProof="0">
              <a:ln>
                <a:noFill/>
              </a:ln>
              <a:solidFill>
                <a:sysClr val="windowText" lastClr="000000"/>
              </a:solidFill>
              <a:effectLst/>
              <a:uLnTx/>
              <a:uFillTx/>
              <a:latin typeface="Calibri" panose="020F0502020204030204"/>
              <a:ea typeface="+mn-ea"/>
              <a:cs typeface="+mn-cs"/>
            </a:rPr>
            <a:t>n</a:t>
          </a:r>
          <a:r>
            <a:rPr kumimoji="0" lang="de-DE" sz="1400" b="0" i="0" u="none" strike="noStrike" kern="0" cap="none" spc="0" normalizeH="0" baseline="0" noProof="0">
              <a:ln>
                <a:noFill/>
              </a:ln>
              <a:solidFill>
                <a:sysClr val="windowText" lastClr="000000"/>
              </a:solidFill>
              <a:effectLst/>
              <a:uLnTx/>
              <a:uFillTx/>
              <a:latin typeface="Calibri" panose="020F0502020204030204"/>
              <a:ea typeface="+mn-ea"/>
              <a:cs typeface="+mn-cs"/>
            </a:rPr>
            <a:t> x (1+i)-</a:t>
          </a:r>
          <a:r>
            <a:rPr kumimoji="0" lang="de-DE" sz="1400" b="0" i="0" u="none" strike="noStrike" kern="0" cap="none" spc="0" normalizeH="0" baseline="30000" noProof="0">
              <a:ln>
                <a:noFill/>
              </a:ln>
              <a:solidFill>
                <a:sysClr val="windowText" lastClr="000000"/>
              </a:solidFill>
              <a:effectLst/>
              <a:uLnTx/>
              <a:uFillTx/>
              <a:latin typeface="Calibri" panose="020F0502020204030204"/>
              <a:ea typeface="+mn-ea"/>
              <a:cs typeface="+mn-cs"/>
            </a:rPr>
            <a:t>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prstClr val="black"/>
              </a:solidFill>
              <a:effectLst/>
              <a:uLnTx/>
              <a:uFillTx/>
              <a:latin typeface="Calibri" panose="020F0502020204030204"/>
              <a:ea typeface="+mn-ea"/>
              <a:cs typeface="+mn-cs"/>
            </a:rPr>
            <a:t>K</a:t>
          </a:r>
          <a:r>
            <a:rPr kumimoji="0" lang="de-DE" sz="1400" b="0" i="0" u="none" strike="noStrike" kern="0" cap="none" spc="0" normalizeH="0" baseline="-25000" noProof="0">
              <a:ln>
                <a:noFill/>
              </a:ln>
              <a:solidFill>
                <a:prstClr val="black"/>
              </a:solidFill>
              <a:effectLst/>
              <a:uLnTx/>
              <a:uFillTx/>
              <a:latin typeface="Calibri" panose="020F0502020204030204"/>
              <a:ea typeface="+mn-ea"/>
              <a:cs typeface="+mn-cs"/>
            </a:rPr>
            <a:t>o</a:t>
          </a:r>
          <a:r>
            <a:rPr kumimoji="0" lang="de-DE" sz="1400" b="0" i="0" u="none" strike="noStrike" kern="0" cap="none" spc="0" normalizeH="0" baseline="0" noProof="0">
              <a:ln>
                <a:noFill/>
              </a:ln>
              <a:solidFill>
                <a:prstClr val="black"/>
              </a:solidFill>
              <a:effectLst/>
              <a:uLnTx/>
              <a:uFillTx/>
              <a:latin typeface="Calibri" panose="020F0502020204030204"/>
              <a:ea typeface="+mn-ea"/>
              <a:cs typeface="+mn-cs"/>
            </a:rPr>
            <a:t> = 30.000 x (1,03)</a:t>
          </a:r>
          <a:r>
            <a:rPr kumimoji="0" lang="de-DE" sz="1400" b="0" i="0" u="none" strike="noStrike" kern="0" cap="none" spc="0" normalizeH="0" baseline="30000" noProof="0">
              <a:ln>
                <a:noFill/>
              </a:ln>
              <a:solidFill>
                <a:prstClr val="black"/>
              </a:solidFill>
              <a:effectLst/>
              <a:uLnTx/>
              <a:uFillTx/>
              <a:latin typeface="Calibri" panose="020F0502020204030204"/>
              <a:ea typeface="+mn-ea"/>
              <a:cs typeface="+mn-cs"/>
            </a:rPr>
            <a:t>-5 </a:t>
          </a:r>
          <a:r>
            <a:rPr kumimoji="0" lang="de-DE" sz="1400" b="0" i="0" u="none" strike="noStrike" kern="0" cap="none" spc="0" normalizeH="0" baseline="0" noProof="0">
              <a:ln>
                <a:noFill/>
              </a:ln>
              <a:solidFill>
                <a:prstClr val="black"/>
              </a:solidFill>
              <a:effectLst/>
              <a:uLnTx/>
              <a:uFillTx/>
              <a:latin typeface="Calibri" panose="020F0502020204030204"/>
              <a:ea typeface="+mn-ea"/>
              <a:cs typeface="+mn-cs"/>
            </a:rPr>
            <a:t>= 25.878,26</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prstClr val="black"/>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prstClr val="black"/>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oneCellAnchor>
    <xdr:from>
      <xdr:col>11</xdr:col>
      <xdr:colOff>104775</xdr:colOff>
      <xdr:row>1</xdr:row>
      <xdr:rowOff>76200</xdr:rowOff>
    </xdr:from>
    <xdr:ext cx="5571429" cy="3123809"/>
    <xdr:pic>
      <xdr:nvPicPr>
        <xdr:cNvPr id="3" name="Grafik 2">
          <a:extLst>
            <a:ext uri="{FF2B5EF4-FFF2-40B4-BE49-F238E27FC236}">
              <a16:creationId xmlns:a16="http://schemas.microsoft.com/office/drawing/2014/main" id="{F22C2BD4-22E5-4D67-927C-61B64AA0B37D}"/>
            </a:ext>
          </a:extLst>
        </xdr:cNvPr>
        <xdr:cNvPicPr>
          <a:picLocks noChangeAspect="1"/>
        </xdr:cNvPicPr>
      </xdr:nvPicPr>
      <xdr:blipFill>
        <a:blip xmlns:r="http://schemas.openxmlformats.org/officeDocument/2006/relationships" r:embed="rId1"/>
        <a:stretch>
          <a:fillRect/>
        </a:stretch>
      </xdr:blipFill>
      <xdr:spPr>
        <a:xfrm>
          <a:off x="8486775" y="266700"/>
          <a:ext cx="5571429" cy="3123809"/>
        </a:xfrm>
        <a:prstGeom prst="rect">
          <a:avLst/>
        </a:prstGeom>
      </xdr:spPr>
    </xdr:pic>
    <xdr:clientData/>
  </xdr:oneCellAnchor>
  <xdr:twoCellAnchor>
    <xdr:from>
      <xdr:col>5</xdr:col>
      <xdr:colOff>47625</xdr:colOff>
      <xdr:row>2</xdr:row>
      <xdr:rowOff>171450</xdr:rowOff>
    </xdr:from>
    <xdr:to>
      <xdr:col>10</xdr:col>
      <xdr:colOff>742950</xdr:colOff>
      <xdr:row>12</xdr:row>
      <xdr:rowOff>47625</xdr:rowOff>
    </xdr:to>
    <xdr:cxnSp macro="">
      <xdr:nvCxnSpPr>
        <xdr:cNvPr id="4" name="Gerade Verbindung mit Pfeil 3">
          <a:extLst>
            <a:ext uri="{FF2B5EF4-FFF2-40B4-BE49-F238E27FC236}">
              <a16:creationId xmlns:a16="http://schemas.microsoft.com/office/drawing/2014/main" id="{EF5EB926-F038-48B7-8465-211E82D21A04}"/>
            </a:ext>
          </a:extLst>
        </xdr:cNvPr>
        <xdr:cNvCxnSpPr/>
      </xdr:nvCxnSpPr>
      <xdr:spPr>
        <a:xfrm flipH="1">
          <a:off x="3857625" y="552450"/>
          <a:ext cx="4505325" cy="1781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12</xdr:col>
      <xdr:colOff>142875</xdr:colOff>
      <xdr:row>1</xdr:row>
      <xdr:rowOff>142875</xdr:rowOff>
    </xdr:from>
    <xdr:to>
      <xdr:col>20</xdr:col>
      <xdr:colOff>419100</xdr:colOff>
      <xdr:row>15</xdr:row>
      <xdr:rowOff>114300</xdr:rowOff>
    </xdr:to>
    <xdr:sp macro="" textlink="">
      <xdr:nvSpPr>
        <xdr:cNvPr id="2" name="Textfeld 1">
          <a:extLst>
            <a:ext uri="{FF2B5EF4-FFF2-40B4-BE49-F238E27FC236}">
              <a16:creationId xmlns:a16="http://schemas.microsoft.com/office/drawing/2014/main" id="{5B872B40-18C4-44C8-AA7E-3369AA260DF9}"/>
            </a:ext>
          </a:extLst>
        </xdr:cNvPr>
        <xdr:cNvSpPr txBox="1"/>
      </xdr:nvSpPr>
      <xdr:spPr>
        <a:xfrm>
          <a:off x="9286875" y="333375"/>
          <a:ext cx="6372225" cy="2638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200"/>
            <a:t>Lösung auf dem Papier:</a:t>
          </a:r>
        </a:p>
        <a:p>
          <a:endParaRPr lang="de-DE" sz="1200"/>
        </a:p>
        <a:p>
          <a:r>
            <a:rPr lang="de-DE" sz="1200"/>
            <a:t>a) Wenn Sie heute 1 Euro auf das Bankkonto</a:t>
          </a:r>
          <a:r>
            <a:rPr lang="de-DE" sz="1200" baseline="0"/>
            <a:t> einzahlen, das für drei Jahre mit 5% verzinst wird, erhalten Sie nach drei Jahren</a:t>
          </a:r>
          <a:r>
            <a:rPr lang="de-DE" sz="1200"/>
            <a:t> 1,05</a:t>
          </a:r>
          <a:r>
            <a:rPr lang="de-DE" sz="1200" baseline="30000"/>
            <a:t>3</a:t>
          </a:r>
          <a:r>
            <a:rPr lang="de-DE" sz="1200"/>
            <a:t> = </a:t>
          </a:r>
          <a:r>
            <a:rPr lang="de-DE" sz="1200" b="1"/>
            <a:t>1,15763 EUR</a:t>
          </a:r>
        </a:p>
        <a:p>
          <a:endParaRPr lang="de-DE" sz="1200"/>
        </a:p>
        <a:p>
          <a:r>
            <a:rPr lang="de-DE" sz="1200"/>
            <a:t>b) Ist das Konto mit 2,5% halbjährlich verzinst, erhalten Sie nach drei Jahren 1,025</a:t>
          </a:r>
          <a:r>
            <a:rPr lang="de-DE" sz="1200" baseline="30000"/>
            <a:t>6</a:t>
          </a:r>
          <a:r>
            <a:rPr lang="de-DE" sz="1200"/>
            <a:t> = </a:t>
          </a:r>
          <a:r>
            <a:rPr lang="de-DE" sz="1200" b="1"/>
            <a:t>1,15969 EUR</a:t>
          </a:r>
        </a:p>
        <a:p>
          <a:endParaRPr lang="de-DE" sz="1200" b="1"/>
        </a:p>
        <a:p>
          <a:r>
            <a:rPr lang="de-DE" sz="1200" b="0"/>
            <a:t>c) Ist das Konto mit 7,5 % alle 18 Monate verzinst, erhalten Sie nach drei Jahren 1,075</a:t>
          </a:r>
          <a:r>
            <a:rPr lang="de-DE" sz="1200" b="0" baseline="30000"/>
            <a:t>2</a:t>
          </a:r>
          <a:r>
            <a:rPr lang="de-DE" sz="1200" b="0"/>
            <a:t> = </a:t>
          </a:r>
          <a:r>
            <a:rPr lang="de-DE" sz="1200" b="1"/>
            <a:t>1,15563 EUR </a:t>
          </a:r>
        </a:p>
        <a:p>
          <a:endParaRPr lang="de-DE" sz="1200" b="0"/>
        </a:p>
        <a:p>
          <a:pPr marL="0" marR="0" lvl="0" indent="0" defTabSz="914400" eaLnBrk="1" fontAlgn="auto" latinLnBrk="0" hangingPunct="1">
            <a:lnSpc>
              <a:spcPct val="100000"/>
            </a:lnSpc>
            <a:spcBef>
              <a:spcPts val="0"/>
            </a:spcBef>
            <a:spcAft>
              <a:spcPts val="0"/>
            </a:spcAft>
            <a:buClrTx/>
            <a:buSzTx/>
            <a:buFontTx/>
            <a:buNone/>
            <a:tabLst/>
            <a:defRPr/>
          </a:pPr>
          <a:r>
            <a:rPr lang="de-DE" sz="1200" b="0"/>
            <a:t>d) </a:t>
          </a:r>
          <a:r>
            <a:rPr lang="de-DE" sz="1100" b="0">
              <a:solidFill>
                <a:schemeClr val="dk1"/>
              </a:solidFill>
              <a:effectLst/>
              <a:latin typeface="+mn-lt"/>
              <a:ea typeface="+mn-ea"/>
              <a:cs typeface="+mn-cs"/>
            </a:rPr>
            <a:t>Ist das Konto mit 0,5%</a:t>
          </a:r>
          <a:r>
            <a:rPr lang="de-DE" sz="1100" b="0" baseline="0">
              <a:solidFill>
                <a:schemeClr val="dk1"/>
              </a:solidFill>
              <a:effectLst/>
              <a:latin typeface="+mn-lt"/>
              <a:ea typeface="+mn-ea"/>
              <a:cs typeface="+mn-cs"/>
            </a:rPr>
            <a:t> pro</a:t>
          </a:r>
          <a:r>
            <a:rPr lang="de-DE" sz="1100" b="0">
              <a:solidFill>
                <a:schemeClr val="dk1"/>
              </a:solidFill>
              <a:effectLst/>
              <a:latin typeface="+mn-lt"/>
              <a:ea typeface="+mn-ea"/>
              <a:cs typeface="+mn-cs"/>
            </a:rPr>
            <a:t> Monat verzinst, erhalten Sie nach drei Jahren 1,005</a:t>
          </a:r>
          <a:r>
            <a:rPr lang="de-DE" sz="1100" b="0" baseline="30000">
              <a:solidFill>
                <a:schemeClr val="dk1"/>
              </a:solidFill>
              <a:effectLst/>
              <a:latin typeface="+mn-lt"/>
              <a:ea typeface="+mn-ea"/>
              <a:cs typeface="+mn-cs"/>
            </a:rPr>
            <a:t>36</a:t>
          </a:r>
          <a:r>
            <a:rPr lang="de-DE" sz="1100" b="0">
              <a:solidFill>
                <a:schemeClr val="dk1"/>
              </a:solidFill>
              <a:effectLst/>
              <a:latin typeface="+mn-lt"/>
              <a:ea typeface="+mn-ea"/>
              <a:cs typeface="+mn-cs"/>
            </a:rPr>
            <a:t> = </a:t>
          </a:r>
          <a:r>
            <a:rPr lang="de-DE" sz="1100" b="1">
              <a:solidFill>
                <a:schemeClr val="dk1"/>
              </a:solidFill>
              <a:effectLst/>
              <a:latin typeface="+mn-lt"/>
              <a:ea typeface="+mn-ea"/>
              <a:cs typeface="+mn-cs"/>
            </a:rPr>
            <a:t>1,19668 EUR </a:t>
          </a:r>
        </a:p>
        <a:p>
          <a:pPr marL="0" marR="0" lvl="0" indent="0" defTabSz="914400" eaLnBrk="1" fontAlgn="auto" latinLnBrk="0" hangingPunct="1">
            <a:lnSpc>
              <a:spcPct val="100000"/>
            </a:lnSpc>
            <a:spcBef>
              <a:spcPts val="0"/>
            </a:spcBef>
            <a:spcAft>
              <a:spcPts val="0"/>
            </a:spcAft>
            <a:buClrTx/>
            <a:buSzTx/>
            <a:buFontTx/>
            <a:buNone/>
            <a:tabLst/>
            <a:defRPr/>
          </a:pPr>
          <a:endParaRPr lang="de-DE"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1">
              <a:solidFill>
                <a:schemeClr val="dk1"/>
              </a:solidFill>
              <a:effectLst/>
              <a:latin typeface="+mn-lt"/>
              <a:ea typeface="+mn-ea"/>
              <a:cs typeface="+mn-cs"/>
            </a:rPr>
            <a:t>= Alternative d) ist zu bevorzugen</a:t>
          </a:r>
          <a:endParaRPr lang="de-DE" sz="1200" b="1">
            <a:effectLst/>
          </a:endParaRPr>
        </a:p>
        <a:p>
          <a:endParaRPr lang="de-DE" sz="1200" b="0"/>
        </a:p>
      </xdr:txBody>
    </xdr:sp>
    <xdr:clientData/>
  </xdr:twoCellAnchor>
  <xdr:oneCellAnchor>
    <xdr:from>
      <xdr:col>4</xdr:col>
      <xdr:colOff>209550</xdr:colOff>
      <xdr:row>0</xdr:row>
      <xdr:rowOff>66675</xdr:rowOff>
    </xdr:from>
    <xdr:ext cx="5438095" cy="3276190"/>
    <xdr:pic>
      <xdr:nvPicPr>
        <xdr:cNvPr id="3" name="Grafik 2">
          <a:extLst>
            <a:ext uri="{FF2B5EF4-FFF2-40B4-BE49-F238E27FC236}">
              <a16:creationId xmlns:a16="http://schemas.microsoft.com/office/drawing/2014/main" id="{56F24594-2C29-453B-BEF4-5208F142AE97}"/>
            </a:ext>
          </a:extLst>
        </xdr:cNvPr>
        <xdr:cNvPicPr>
          <a:picLocks noChangeAspect="1"/>
        </xdr:cNvPicPr>
      </xdr:nvPicPr>
      <xdr:blipFill>
        <a:blip xmlns:r="http://schemas.openxmlformats.org/officeDocument/2006/relationships" r:embed="rId1"/>
        <a:stretch>
          <a:fillRect/>
        </a:stretch>
      </xdr:blipFill>
      <xdr:spPr>
        <a:xfrm>
          <a:off x="3257550" y="66675"/>
          <a:ext cx="5438095" cy="3276190"/>
        </a:xfrm>
        <a:prstGeom prst="rect">
          <a:avLst/>
        </a:prstGeom>
      </xdr:spPr>
    </xdr:pic>
    <xdr:clientData/>
  </xdr:oneCellAnchor>
  <xdr:twoCellAnchor>
    <xdr:from>
      <xdr:col>2</xdr:col>
      <xdr:colOff>85726</xdr:colOff>
      <xdr:row>0</xdr:row>
      <xdr:rowOff>171450</xdr:rowOff>
    </xdr:from>
    <xdr:to>
      <xdr:col>4</xdr:col>
      <xdr:colOff>171450</xdr:colOff>
      <xdr:row>2</xdr:row>
      <xdr:rowOff>47625</xdr:rowOff>
    </xdr:to>
    <xdr:cxnSp macro="">
      <xdr:nvCxnSpPr>
        <xdr:cNvPr id="4" name="Gerade Verbindung mit Pfeil 3">
          <a:extLst>
            <a:ext uri="{FF2B5EF4-FFF2-40B4-BE49-F238E27FC236}">
              <a16:creationId xmlns:a16="http://schemas.microsoft.com/office/drawing/2014/main" id="{60A880E4-D1BD-4FC3-879A-C70F6555A2DF}"/>
            </a:ext>
          </a:extLst>
        </xdr:cNvPr>
        <xdr:cNvCxnSpPr/>
      </xdr:nvCxnSpPr>
      <xdr:spPr>
        <a:xfrm flipH="1" flipV="1">
          <a:off x="1609726" y="171450"/>
          <a:ext cx="1609724"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180975</xdr:colOff>
      <xdr:row>17</xdr:row>
      <xdr:rowOff>142875</xdr:rowOff>
    </xdr:from>
    <xdr:ext cx="5438095" cy="3304762"/>
    <xdr:pic>
      <xdr:nvPicPr>
        <xdr:cNvPr id="5" name="Grafik 4">
          <a:extLst>
            <a:ext uri="{FF2B5EF4-FFF2-40B4-BE49-F238E27FC236}">
              <a16:creationId xmlns:a16="http://schemas.microsoft.com/office/drawing/2014/main" id="{C78EF0FB-812B-4C68-BD0E-13A60C5CA82E}"/>
            </a:ext>
          </a:extLst>
        </xdr:cNvPr>
        <xdr:cNvPicPr>
          <a:picLocks noChangeAspect="1"/>
        </xdr:cNvPicPr>
      </xdr:nvPicPr>
      <xdr:blipFill>
        <a:blip xmlns:r="http://schemas.openxmlformats.org/officeDocument/2006/relationships" r:embed="rId2"/>
        <a:stretch>
          <a:fillRect/>
        </a:stretch>
      </xdr:blipFill>
      <xdr:spPr>
        <a:xfrm>
          <a:off x="3228975" y="3381375"/>
          <a:ext cx="5438095" cy="3304762"/>
        </a:xfrm>
        <a:prstGeom prst="rect">
          <a:avLst/>
        </a:prstGeom>
      </xdr:spPr>
    </xdr:pic>
    <xdr:clientData/>
  </xdr:oneCellAnchor>
  <xdr:twoCellAnchor>
    <xdr:from>
      <xdr:col>2</xdr:col>
      <xdr:colOff>123825</xdr:colOff>
      <xdr:row>19</xdr:row>
      <xdr:rowOff>95250</xdr:rowOff>
    </xdr:from>
    <xdr:to>
      <xdr:col>4</xdr:col>
      <xdr:colOff>209549</xdr:colOff>
      <xdr:row>20</xdr:row>
      <xdr:rowOff>161925</xdr:rowOff>
    </xdr:to>
    <xdr:cxnSp macro="">
      <xdr:nvCxnSpPr>
        <xdr:cNvPr id="6" name="Gerade Verbindung mit Pfeil 5">
          <a:extLst>
            <a:ext uri="{FF2B5EF4-FFF2-40B4-BE49-F238E27FC236}">
              <a16:creationId xmlns:a16="http://schemas.microsoft.com/office/drawing/2014/main" id="{D3A7082F-D3CB-4A4D-ABA5-A95DA277E80F}"/>
            </a:ext>
          </a:extLst>
        </xdr:cNvPr>
        <xdr:cNvCxnSpPr/>
      </xdr:nvCxnSpPr>
      <xdr:spPr>
        <a:xfrm flipH="1" flipV="1">
          <a:off x="1647825" y="3714750"/>
          <a:ext cx="1609724"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209550</xdr:colOff>
      <xdr:row>15</xdr:row>
      <xdr:rowOff>180975</xdr:rowOff>
    </xdr:from>
    <xdr:ext cx="5466667" cy="3276190"/>
    <xdr:pic>
      <xdr:nvPicPr>
        <xdr:cNvPr id="7" name="Grafik 6">
          <a:extLst>
            <a:ext uri="{FF2B5EF4-FFF2-40B4-BE49-F238E27FC236}">
              <a16:creationId xmlns:a16="http://schemas.microsoft.com/office/drawing/2014/main" id="{8DDAE408-3A76-44DF-A1F8-D4C9A611BB51}"/>
            </a:ext>
          </a:extLst>
        </xdr:cNvPr>
        <xdr:cNvPicPr>
          <a:picLocks noChangeAspect="1"/>
        </xdr:cNvPicPr>
      </xdr:nvPicPr>
      <xdr:blipFill>
        <a:blip xmlns:r="http://schemas.openxmlformats.org/officeDocument/2006/relationships" r:embed="rId3"/>
        <a:stretch>
          <a:fillRect/>
        </a:stretch>
      </xdr:blipFill>
      <xdr:spPr>
        <a:xfrm>
          <a:off x="12401550" y="3038475"/>
          <a:ext cx="5466667" cy="3276190"/>
        </a:xfrm>
        <a:prstGeom prst="rect">
          <a:avLst/>
        </a:prstGeom>
      </xdr:spPr>
    </xdr:pic>
    <xdr:clientData/>
  </xdr:oneCellAnchor>
  <xdr:twoCellAnchor>
    <xdr:from>
      <xdr:col>14</xdr:col>
      <xdr:colOff>123825</xdr:colOff>
      <xdr:row>18</xdr:row>
      <xdr:rowOff>85725</xdr:rowOff>
    </xdr:from>
    <xdr:to>
      <xdr:col>16</xdr:col>
      <xdr:colOff>209549</xdr:colOff>
      <xdr:row>19</xdr:row>
      <xdr:rowOff>152400</xdr:rowOff>
    </xdr:to>
    <xdr:cxnSp macro="">
      <xdr:nvCxnSpPr>
        <xdr:cNvPr id="8" name="Gerade Verbindung mit Pfeil 7">
          <a:extLst>
            <a:ext uri="{FF2B5EF4-FFF2-40B4-BE49-F238E27FC236}">
              <a16:creationId xmlns:a16="http://schemas.microsoft.com/office/drawing/2014/main" id="{3DFF1873-6666-479C-A691-EC7FDA66CBB7}"/>
            </a:ext>
          </a:extLst>
        </xdr:cNvPr>
        <xdr:cNvCxnSpPr/>
      </xdr:nvCxnSpPr>
      <xdr:spPr>
        <a:xfrm flipH="1" flipV="1">
          <a:off x="10791825" y="3514725"/>
          <a:ext cx="1609724"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171450</xdr:colOff>
      <xdr:row>34</xdr:row>
      <xdr:rowOff>152400</xdr:rowOff>
    </xdr:from>
    <xdr:ext cx="5476190" cy="3314286"/>
    <xdr:pic>
      <xdr:nvPicPr>
        <xdr:cNvPr id="9" name="Grafik 8">
          <a:extLst>
            <a:ext uri="{FF2B5EF4-FFF2-40B4-BE49-F238E27FC236}">
              <a16:creationId xmlns:a16="http://schemas.microsoft.com/office/drawing/2014/main" id="{568044C2-6ED3-4CEF-96B8-F94CFDDFA913}"/>
            </a:ext>
          </a:extLst>
        </xdr:cNvPr>
        <xdr:cNvPicPr>
          <a:picLocks noChangeAspect="1"/>
        </xdr:cNvPicPr>
      </xdr:nvPicPr>
      <xdr:blipFill>
        <a:blip xmlns:r="http://schemas.openxmlformats.org/officeDocument/2006/relationships" r:embed="rId4"/>
        <a:stretch>
          <a:fillRect/>
        </a:stretch>
      </xdr:blipFill>
      <xdr:spPr>
        <a:xfrm>
          <a:off x="12363450" y="6629400"/>
          <a:ext cx="5476190" cy="3314286"/>
        </a:xfrm>
        <a:prstGeom prst="rect">
          <a:avLst/>
        </a:prstGeom>
      </xdr:spPr>
    </xdr:pic>
    <xdr:clientData/>
  </xdr:oneCellAnchor>
  <xdr:twoCellAnchor>
    <xdr:from>
      <xdr:col>14</xdr:col>
      <xdr:colOff>76200</xdr:colOff>
      <xdr:row>35</xdr:row>
      <xdr:rowOff>180975</xdr:rowOff>
    </xdr:from>
    <xdr:to>
      <xdr:col>16</xdr:col>
      <xdr:colOff>161924</xdr:colOff>
      <xdr:row>37</xdr:row>
      <xdr:rowOff>57150</xdr:rowOff>
    </xdr:to>
    <xdr:cxnSp macro="">
      <xdr:nvCxnSpPr>
        <xdr:cNvPr id="10" name="Gerade Verbindung mit Pfeil 9">
          <a:extLst>
            <a:ext uri="{FF2B5EF4-FFF2-40B4-BE49-F238E27FC236}">
              <a16:creationId xmlns:a16="http://schemas.microsoft.com/office/drawing/2014/main" id="{5106204B-5035-41C3-A1FD-E505534B32A7}"/>
            </a:ext>
          </a:extLst>
        </xdr:cNvPr>
        <xdr:cNvCxnSpPr/>
      </xdr:nvCxnSpPr>
      <xdr:spPr>
        <a:xfrm flipH="1" flipV="1">
          <a:off x="10744200" y="6848475"/>
          <a:ext cx="1609724"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oneCellAnchor>
    <xdr:from>
      <xdr:col>4</xdr:col>
      <xdr:colOff>342900</xdr:colOff>
      <xdr:row>0</xdr:row>
      <xdr:rowOff>123825</xdr:rowOff>
    </xdr:from>
    <xdr:ext cx="5571429" cy="3123809"/>
    <xdr:pic>
      <xdr:nvPicPr>
        <xdr:cNvPr id="2" name="Grafik 1">
          <a:extLst>
            <a:ext uri="{FF2B5EF4-FFF2-40B4-BE49-F238E27FC236}">
              <a16:creationId xmlns:a16="http://schemas.microsoft.com/office/drawing/2014/main" id="{B5178D09-4BFE-4CA7-98AC-E177507DFB2E}"/>
            </a:ext>
          </a:extLst>
        </xdr:cNvPr>
        <xdr:cNvPicPr>
          <a:picLocks noChangeAspect="1"/>
        </xdr:cNvPicPr>
      </xdr:nvPicPr>
      <xdr:blipFill>
        <a:blip xmlns:r="http://schemas.openxmlformats.org/officeDocument/2006/relationships" r:embed="rId1"/>
        <a:stretch>
          <a:fillRect/>
        </a:stretch>
      </xdr:blipFill>
      <xdr:spPr>
        <a:xfrm>
          <a:off x="3390900" y="123825"/>
          <a:ext cx="5571429" cy="3123809"/>
        </a:xfrm>
        <a:prstGeom prst="rect">
          <a:avLst/>
        </a:prstGeom>
      </xdr:spPr>
    </xdr:pic>
    <xdr:clientData/>
  </xdr:oneCellAnchor>
  <xdr:twoCellAnchor>
    <xdr:from>
      <xdr:col>2</xdr:col>
      <xdr:colOff>57150</xdr:colOff>
      <xdr:row>3</xdr:row>
      <xdr:rowOff>19050</xdr:rowOff>
    </xdr:from>
    <xdr:to>
      <xdr:col>4</xdr:col>
      <xdr:colOff>247650</xdr:colOff>
      <xdr:row>6</xdr:row>
      <xdr:rowOff>171450</xdr:rowOff>
    </xdr:to>
    <xdr:cxnSp macro="">
      <xdr:nvCxnSpPr>
        <xdr:cNvPr id="3" name="Gerade Verbindung mit Pfeil 2">
          <a:extLst>
            <a:ext uri="{FF2B5EF4-FFF2-40B4-BE49-F238E27FC236}">
              <a16:creationId xmlns:a16="http://schemas.microsoft.com/office/drawing/2014/main" id="{FE385688-6A43-4001-9ABB-0AB147A8F2DE}"/>
            </a:ext>
          </a:extLst>
        </xdr:cNvPr>
        <xdr:cNvCxnSpPr/>
      </xdr:nvCxnSpPr>
      <xdr:spPr>
        <a:xfrm flipH="1">
          <a:off x="1581150" y="590550"/>
          <a:ext cx="1714500" cy="723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504825</xdr:colOff>
      <xdr:row>1</xdr:row>
      <xdr:rowOff>38100</xdr:rowOff>
    </xdr:from>
    <xdr:to>
      <xdr:col>23</xdr:col>
      <xdr:colOff>142875</xdr:colOff>
      <xdr:row>19</xdr:row>
      <xdr:rowOff>19050</xdr:rowOff>
    </xdr:to>
    <mc:AlternateContent xmlns:mc="http://schemas.openxmlformats.org/markup-compatibility/2006">
      <mc:Choice xmlns:a14="http://schemas.microsoft.com/office/drawing/2010/main" Requires="a14">
        <xdr:sp macro="" textlink="">
          <xdr:nvSpPr>
            <xdr:cNvPr id="4" name="Textfeld 3">
              <a:extLst>
                <a:ext uri="{FF2B5EF4-FFF2-40B4-BE49-F238E27FC236}">
                  <a16:creationId xmlns:a16="http://schemas.microsoft.com/office/drawing/2014/main" id="{4569A050-FF50-4A51-99F9-0721E56A7B56}"/>
                </a:ext>
              </a:extLst>
            </xdr:cNvPr>
            <xdr:cNvSpPr txBox="1"/>
          </xdr:nvSpPr>
          <xdr:spPr>
            <a:xfrm>
              <a:off x="9648825" y="228600"/>
              <a:ext cx="8020050" cy="340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b="1"/>
                <a:t>Lösung auf dem Papier (Näherungsformel):</a:t>
              </a:r>
              <a:r>
                <a:rPr lang="de-DE" sz="1600" b="1" baseline="0"/>
                <a:t> </a:t>
              </a:r>
            </a:p>
            <a:p>
              <a:endParaRPr lang="de-DE" sz="1100" baseline="0"/>
            </a:p>
            <a:p>
              <a:pPr marL="342900" marR="0" lvl="0" indent="-342900" algn="l" defTabSz="914400" rtl="0" eaLnBrk="0" fontAlgn="base" latinLnBrk="0" hangingPunct="0">
                <a:lnSpc>
                  <a:spcPts val="3200"/>
                </a:lnSpc>
                <a:spcBef>
                  <a:spcPct val="20000"/>
                </a:spcBef>
                <a:spcAft>
                  <a:spcPct val="0"/>
                </a:spcAft>
                <a:buClr>
                  <a:srgbClr val="76B900"/>
                </a:buClr>
                <a:buSzTx/>
                <a:buFont typeface="Times" charset="0"/>
                <a:buChar char="•"/>
                <a:tabLst/>
                <a:defRPr/>
              </a:pPr>
              <a:endParaRPr kumimoji="0" lang="de-DE" sz="2400" b="0" i="1" u="none" strike="noStrike" kern="0" cap="none" spc="0" normalizeH="0" baseline="0" noProof="0" dirty="0">
                <a:ln>
                  <a:noFill/>
                </a:ln>
                <a:solidFill>
                  <a:srgbClr val="00998A"/>
                </a:solidFill>
                <a:effectLst/>
                <a:uLnTx/>
                <a:uFillTx/>
                <a:latin typeface="Cambria Math" panose="02040503050406030204" pitchFamily="18" charset="0"/>
                <a:ea typeface="MS PGothic" pitchFamily="34" charset="-128"/>
                <a:cs typeface="Calibri"/>
              </a:endParaRPr>
            </a:p>
            <a:p>
              <a:pPr marL="0" marR="0" lvl="0" indent="0" algn="l" defTabSz="914400" rtl="0" eaLnBrk="0" fontAlgn="base" latinLnBrk="0" hangingPunct="0">
                <a:lnSpc>
                  <a:spcPts val="3200"/>
                </a:lnSpc>
                <a:spcBef>
                  <a:spcPct val="20000"/>
                </a:spcBef>
                <a:spcAft>
                  <a:spcPct val="0"/>
                </a:spcAft>
                <a:buClr>
                  <a:srgbClr val="76B900"/>
                </a:buClr>
                <a:buSzTx/>
                <a:buFont typeface="Times" charset="0"/>
                <a:buNone/>
                <a:tabLst/>
                <a:defRPr/>
              </a:pPr>
              <a:r>
                <a:rPr kumimoji="0" lang="de-DE" sz="2400" b="0" i="1" u="none" strike="noStrike" kern="0" cap="none" spc="0" normalizeH="0" baseline="0" noProof="0" dirty="0">
                  <a:ln>
                    <a:noFill/>
                  </a:ln>
                  <a:solidFill>
                    <a:srgbClr val="00998A"/>
                  </a:solidFill>
                  <a:effectLst/>
                  <a:uLnTx/>
                  <a:uFillTx/>
                  <a:latin typeface="Cambria Math" panose="02040503050406030204" pitchFamily="18" charset="0"/>
                  <a:ea typeface="MS PGothic" pitchFamily="34" charset="-128"/>
                  <a:cs typeface="Calibri"/>
                </a:rPr>
                <a:t>		</a:t>
              </a:r>
            </a:p>
            <a:p>
              <a:pPr marL="0" marR="0" lvl="0" indent="0" algn="l" defTabSz="914400" rtl="0" eaLnBrk="0" fontAlgn="base" latinLnBrk="0" hangingPunct="0">
                <a:lnSpc>
                  <a:spcPts val="3200"/>
                </a:lnSpc>
                <a:spcBef>
                  <a:spcPct val="20000"/>
                </a:spcBef>
                <a:spcAft>
                  <a:spcPct val="0"/>
                </a:spcAft>
                <a:buClr>
                  <a:srgbClr val="76B900"/>
                </a:buClr>
                <a:buSzTx/>
                <a:buFont typeface="Times" charset="0"/>
                <a:buNone/>
                <a:tabLst/>
                <a:defRPr/>
              </a:pPr>
              <a:endParaRPr kumimoji="0" lang="de-DE" sz="2400" b="0" i="1" u="none" strike="noStrike" kern="0" cap="none" spc="0" normalizeH="0" baseline="0" noProof="0" dirty="0">
                <a:ln>
                  <a:noFill/>
                </a:ln>
                <a:solidFill>
                  <a:srgbClr val="00998A"/>
                </a:solidFill>
                <a:effectLst/>
                <a:uLnTx/>
                <a:uFillTx/>
                <a:latin typeface="Cambria Math" panose="02040503050406030204" pitchFamily="18" charset="0"/>
                <a:ea typeface="MS PGothic" pitchFamily="34" charset="-128"/>
                <a:cs typeface="Calibri"/>
              </a:endParaRPr>
            </a:p>
            <a:p>
              <a:pPr marL="0" marR="0" lvl="0" indent="0" algn="l" defTabSz="914400" rtl="0" eaLnBrk="0" fontAlgn="base" latinLnBrk="0" hangingPunct="0">
                <a:lnSpc>
                  <a:spcPts val="3200"/>
                </a:lnSpc>
                <a:spcBef>
                  <a:spcPct val="20000"/>
                </a:spcBef>
                <a:spcAft>
                  <a:spcPct val="0"/>
                </a:spcAft>
                <a:buClr>
                  <a:srgbClr val="76B900"/>
                </a:buClr>
                <a:buSzTx/>
                <a:buFont typeface="Times" charset="0"/>
                <a:buNone/>
                <a:tabLst/>
                <a:defRPr/>
              </a:pPr>
              <a:endParaRPr kumimoji="0" lang="de-DE" sz="2400" b="0" i="1" u="none" strike="noStrike" kern="0" cap="none" spc="0" normalizeH="0" baseline="0" noProof="0" dirty="0">
                <a:ln>
                  <a:noFill/>
                </a:ln>
                <a:solidFill>
                  <a:srgbClr val="00998A"/>
                </a:solidFill>
                <a:effectLst/>
                <a:uLnTx/>
                <a:uFillTx/>
                <a:latin typeface="Cambria Math" panose="02040503050406030204" pitchFamily="18" charset="0"/>
                <a:ea typeface="MS PGothic" pitchFamily="34" charset="-128"/>
                <a:cs typeface="Calibri"/>
              </a:endParaRPr>
            </a:p>
            <a:p>
              <a:pPr marL="0" marR="0" lvl="0" indent="0" algn="l" defTabSz="914400" rtl="0" eaLnBrk="0" fontAlgn="base" latinLnBrk="0" hangingPunct="0">
                <a:lnSpc>
                  <a:spcPts val="3200"/>
                </a:lnSpc>
                <a:spcBef>
                  <a:spcPct val="20000"/>
                </a:spcBef>
                <a:spcAft>
                  <a:spcPct val="0"/>
                </a:spcAft>
                <a:buClr>
                  <a:srgbClr val="76B900"/>
                </a:buClr>
                <a:buSzTx/>
                <a:buFont typeface="Times" charset="0"/>
                <a:buNone/>
                <a:tabLst/>
                <a:defRPr/>
              </a:pPr>
              <a:r>
                <a:rPr kumimoji="0" lang="de-DE" sz="2400" b="0" u="none" strike="noStrike" kern="0" cap="none" spc="0" normalizeH="0" baseline="0" noProof="0">
                  <a:ln>
                    <a:noFill/>
                  </a:ln>
                  <a:solidFill>
                    <a:srgbClr val="000000"/>
                  </a:solidFill>
                  <a:effectLst/>
                  <a:uLnTx/>
                  <a:uFillTx/>
                </a:rPr>
                <a:t>i</a:t>
              </a:r>
              <a:r>
                <a:rPr kumimoji="0" lang="de-DE" sz="2400" b="0" u="none" strike="noStrike" kern="0" cap="none" spc="0" normalizeH="0" baseline="-25000" noProof="0">
                  <a:ln>
                    <a:noFill/>
                  </a:ln>
                  <a:solidFill>
                    <a:srgbClr val="000000"/>
                  </a:solidFill>
                  <a:effectLst/>
                  <a:uLnTx/>
                  <a:uFillTx/>
                </a:rPr>
                <a:t>eff</a:t>
              </a:r>
              <a:r>
                <a:rPr kumimoji="0" lang="de-DE" sz="2400" b="0" u="none" strike="noStrike" kern="0" cap="none" spc="0" normalizeH="0" baseline="0" noProof="0">
                  <a:ln>
                    <a:noFill/>
                  </a:ln>
                  <a:solidFill>
                    <a:srgbClr val="000000"/>
                  </a:solidFill>
                  <a:effectLst/>
                  <a:uLnTx/>
                  <a:uFillTx/>
                </a:rPr>
                <a:t> =</a:t>
              </a:r>
              <a14:m>
                <m:oMath xmlns:m="http://schemas.openxmlformats.org/officeDocument/2006/math">
                  <m:f>
                    <m:fPr>
                      <m:ctrlPr>
                        <a:rPr kumimoji="0" lang="de-DE" sz="2400" b="0" i="1" u="none" strike="noStrike" kern="0" cap="none" spc="0" normalizeH="0" baseline="0" noProof="0" smtClean="0">
                          <a:ln>
                            <a:noFill/>
                          </a:ln>
                          <a:solidFill>
                            <a:srgbClr val="000000"/>
                          </a:solidFill>
                          <a:effectLst/>
                          <a:uLnTx/>
                          <a:uFillTx/>
                          <a:latin typeface="Cambria Math" panose="02040503050406030204" pitchFamily="18" charset="0"/>
                        </a:rPr>
                      </m:ctrlPr>
                    </m:fPr>
                    <m:num>
                      <m: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t>𝟐</m:t>
                      </m:r>
                      <m: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t>+</m:t>
                      </m:r>
                      <m:d>
                        <m:dPr>
                          <m:ctrlPr>
                            <a:rPr kumimoji="0" lang="de-DE" sz="2400" b="1" i="1" u="none" strike="noStrike" kern="0" cap="none" spc="0" normalizeH="0" baseline="0" noProof="0">
                              <a:ln>
                                <a:noFill/>
                              </a:ln>
                              <a:solidFill>
                                <a:srgbClr val="000000"/>
                              </a:solidFill>
                              <a:effectLst/>
                              <a:uLnTx/>
                              <a:uFillTx/>
                              <a:latin typeface="Cambria Math" panose="02040503050406030204" pitchFamily="18" charset="0"/>
                            </a:rPr>
                          </m:ctrlPr>
                        </m:dPr>
                        <m:e>
                          <m:f>
                            <m:fPr>
                              <m:ctrlP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ctrlPr>
                            </m:fPr>
                            <m:num>
                              <m: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t>𝟏𝟎𝟎</m:t>
                              </m:r>
                              <m: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t>−</m:t>
                              </m:r>
                              <m: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t>𝟗𝟗</m:t>
                              </m:r>
                              <m: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t>,</m:t>
                              </m:r>
                              <m: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t>𝟐𝟓</m:t>
                              </m:r>
                            </m:num>
                            <m:den>
                              <m:r>
                                <a:rPr kumimoji="0" lang="de-DE" sz="2400" b="1" i="1" u="none" strike="noStrike" kern="0" cap="none" spc="0" normalizeH="0" baseline="0" noProof="0" smtClean="0">
                                  <a:ln>
                                    <a:noFill/>
                                  </a:ln>
                                  <a:solidFill>
                                    <a:srgbClr val="000000"/>
                                  </a:solidFill>
                                  <a:effectLst/>
                                  <a:uLnTx/>
                                  <a:uFillTx/>
                                  <a:latin typeface="Cambria Math" panose="02040503050406030204" pitchFamily="18" charset="0"/>
                                </a:rPr>
                                <m:t>𝟓</m:t>
                              </m:r>
                            </m:den>
                          </m:f>
                        </m:e>
                      </m:d>
                    </m:num>
                    <m:den>
                      <m:r>
                        <a:rPr kumimoji="0" lang="de-DE" sz="2400" b="1" i="1" u="none" strike="noStrike" kern="0" cap="none" spc="0" normalizeH="0" baseline="0" noProof="0">
                          <a:ln>
                            <a:noFill/>
                          </a:ln>
                          <a:solidFill>
                            <a:srgbClr val="000000"/>
                          </a:solidFill>
                          <a:effectLst/>
                          <a:uLnTx/>
                          <a:uFillTx/>
                          <a:latin typeface="Cambria Math" panose="02040503050406030204" pitchFamily="18" charset="0"/>
                        </a:rPr>
                        <m:t>𝟗𝟗</m:t>
                      </m:r>
                      <m:r>
                        <a:rPr kumimoji="0" lang="de-DE" sz="2400" b="1" i="1" u="none" strike="noStrike" kern="0" cap="none" spc="0" normalizeH="0" baseline="0" noProof="0">
                          <a:ln>
                            <a:noFill/>
                          </a:ln>
                          <a:solidFill>
                            <a:srgbClr val="000000"/>
                          </a:solidFill>
                          <a:effectLst/>
                          <a:uLnTx/>
                          <a:uFillTx/>
                          <a:latin typeface="Cambria Math" panose="02040503050406030204" pitchFamily="18" charset="0"/>
                        </a:rPr>
                        <m:t>,</m:t>
                      </m:r>
                      <m:r>
                        <a:rPr kumimoji="0" lang="de-DE" sz="2400" b="1" i="1" u="none" strike="noStrike" kern="0" cap="none" spc="0" normalizeH="0" baseline="0" noProof="0">
                          <a:ln>
                            <a:noFill/>
                          </a:ln>
                          <a:solidFill>
                            <a:srgbClr val="000000"/>
                          </a:solidFill>
                          <a:effectLst/>
                          <a:uLnTx/>
                          <a:uFillTx/>
                          <a:latin typeface="Cambria Math" panose="02040503050406030204" pitchFamily="18" charset="0"/>
                        </a:rPr>
                        <m:t>𝟐𝟓</m:t>
                      </m:r>
                    </m:den>
                  </m:f>
                </m:oMath>
              </a14:m>
              <a:r>
                <a:rPr kumimoji="0" lang="de-DE" sz="2400" b="0" i="0" u="none" strike="noStrike" kern="0" cap="none" spc="0" normalizeH="0" baseline="0" noProof="0" dirty="0">
                  <a:ln>
                    <a:noFill/>
                  </a:ln>
                  <a:solidFill>
                    <a:srgbClr val="000000"/>
                  </a:solidFill>
                  <a:effectLst/>
                  <a:uLnTx/>
                  <a:uFillTx/>
                  <a:latin typeface="+mn-lt"/>
                  <a:ea typeface="MS PGothic" pitchFamily="34" charset="-128"/>
                  <a:cs typeface="Calibri"/>
                </a:rPr>
                <a:t> </a:t>
              </a:r>
              <a14:m>
                <m:oMath xmlns:m="http://schemas.openxmlformats.org/officeDocument/2006/math">
                  <m:r>
                    <m:rPr>
                      <m:sty m:val="p"/>
                    </m:rPr>
                    <a:rPr kumimoji="0" lang="de-DE" sz="2000" b="0" i="0" u="none" strike="noStrike" kern="0" cap="none" spc="0" normalizeH="0" baseline="0" noProof="0">
                      <a:ln>
                        <a:noFill/>
                      </a:ln>
                      <a:solidFill>
                        <a:srgbClr val="000000"/>
                      </a:solidFill>
                      <a:effectLst/>
                      <a:uLnTx/>
                      <a:uFillTx/>
                      <a:latin typeface="Cambria Math" panose="02040503050406030204" pitchFamily="18" charset="0"/>
                    </a:rPr>
                    <m:t>x</m:t>
                  </m:r>
                  <m:r>
                    <a:rPr kumimoji="0" lang="de-DE" sz="2000" b="0" i="0" u="none" strike="noStrike" kern="0" cap="none" spc="0" normalizeH="0" baseline="0" noProof="0">
                      <a:ln>
                        <a:noFill/>
                      </a:ln>
                      <a:solidFill>
                        <a:srgbClr val="000000"/>
                      </a:solidFill>
                      <a:effectLst/>
                      <a:uLnTx/>
                      <a:uFillTx/>
                      <a:latin typeface="Cambria Math" panose="02040503050406030204" pitchFamily="18" charset="0"/>
                    </a:rPr>
                    <m:t> 100% </m:t>
                  </m:r>
                </m:oMath>
              </a14:m>
              <a:r>
                <a:rPr kumimoji="0" lang="de-DE" sz="2400" b="0" i="0" u="none" strike="noStrike" kern="0" cap="none" spc="0" normalizeH="0" baseline="0" noProof="0" dirty="0">
                  <a:ln>
                    <a:noFill/>
                  </a:ln>
                  <a:solidFill>
                    <a:srgbClr val="000000"/>
                  </a:solidFill>
                  <a:effectLst/>
                  <a:uLnTx/>
                  <a:uFillTx/>
                  <a:latin typeface="+mn-lt"/>
                  <a:ea typeface="MS PGothic" pitchFamily="34" charset="-128"/>
                  <a:cs typeface="Calibri"/>
                </a:rPr>
                <a:t>= </a:t>
              </a:r>
              <a:r>
                <a:rPr kumimoji="0" lang="de-DE" sz="2400" b="1" i="0" u="none" strike="noStrike" kern="0" cap="none" spc="0" normalizeH="0" baseline="0" noProof="0" dirty="0">
                  <a:ln>
                    <a:noFill/>
                  </a:ln>
                  <a:solidFill>
                    <a:srgbClr val="000000"/>
                  </a:solidFill>
                  <a:effectLst/>
                  <a:uLnTx/>
                  <a:uFillTx/>
                  <a:latin typeface="+mn-lt"/>
                  <a:ea typeface="MS PGothic" pitchFamily="34" charset="-128"/>
                  <a:cs typeface="Calibri"/>
                </a:rPr>
                <a:t>2,1662 % p.a</a:t>
              </a:r>
              <a:r>
                <a:rPr kumimoji="0" lang="de-DE" sz="2400" b="0" i="0" u="none" strike="noStrike" kern="0" cap="none" spc="0" normalizeH="0" baseline="0" noProof="0" dirty="0">
                  <a:ln>
                    <a:noFill/>
                  </a:ln>
                  <a:solidFill>
                    <a:srgbClr val="000000"/>
                  </a:solidFill>
                  <a:effectLst/>
                  <a:uLnTx/>
                  <a:uFillTx/>
                  <a:latin typeface="+mn-lt"/>
                  <a:ea typeface="MS PGothic" pitchFamily="34" charset="-128"/>
                  <a:cs typeface="Calibri"/>
                </a:rPr>
                <a:t>.</a:t>
              </a:r>
            </a:p>
            <a:p>
              <a:endParaRPr lang="de-DE" sz="1100"/>
            </a:p>
          </xdr:txBody>
        </xdr:sp>
      </mc:Choice>
      <mc:Fallback>
        <xdr:sp macro="" textlink="">
          <xdr:nvSpPr>
            <xdr:cNvPr id="4" name="Textfeld 3">
              <a:extLst>
                <a:ext uri="{FF2B5EF4-FFF2-40B4-BE49-F238E27FC236}">
                  <a16:creationId xmlns:a16="http://schemas.microsoft.com/office/drawing/2014/main" id="{4569A050-FF50-4A51-99F9-0721E56A7B56}"/>
                </a:ext>
              </a:extLst>
            </xdr:cNvPr>
            <xdr:cNvSpPr txBox="1"/>
          </xdr:nvSpPr>
          <xdr:spPr>
            <a:xfrm>
              <a:off x="9648825" y="228600"/>
              <a:ext cx="8020050" cy="340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b="1"/>
                <a:t>Lösung auf dem Papier (Näherungsformel):</a:t>
              </a:r>
              <a:r>
                <a:rPr lang="de-DE" sz="1600" b="1" baseline="0"/>
                <a:t> </a:t>
              </a:r>
            </a:p>
            <a:p>
              <a:endParaRPr lang="de-DE" sz="1100" baseline="0"/>
            </a:p>
            <a:p>
              <a:pPr marL="342900" marR="0" lvl="0" indent="-342900" algn="l" defTabSz="914400" rtl="0" eaLnBrk="0" fontAlgn="base" latinLnBrk="0" hangingPunct="0">
                <a:lnSpc>
                  <a:spcPts val="3200"/>
                </a:lnSpc>
                <a:spcBef>
                  <a:spcPct val="20000"/>
                </a:spcBef>
                <a:spcAft>
                  <a:spcPct val="0"/>
                </a:spcAft>
                <a:buClr>
                  <a:srgbClr val="76B900"/>
                </a:buClr>
                <a:buSzTx/>
                <a:buFont typeface="Times" charset="0"/>
                <a:buChar char="•"/>
                <a:tabLst/>
                <a:defRPr/>
              </a:pPr>
              <a:endParaRPr kumimoji="0" lang="de-DE" sz="2400" b="0" i="1" u="none" strike="noStrike" kern="0" cap="none" spc="0" normalizeH="0" baseline="0" noProof="0" dirty="0">
                <a:ln>
                  <a:noFill/>
                </a:ln>
                <a:solidFill>
                  <a:srgbClr val="00998A"/>
                </a:solidFill>
                <a:effectLst/>
                <a:uLnTx/>
                <a:uFillTx/>
                <a:latin typeface="Cambria Math" panose="02040503050406030204" pitchFamily="18" charset="0"/>
                <a:ea typeface="MS PGothic" pitchFamily="34" charset="-128"/>
                <a:cs typeface="Calibri"/>
              </a:endParaRPr>
            </a:p>
            <a:p>
              <a:pPr marL="0" marR="0" lvl="0" indent="0" algn="l" defTabSz="914400" rtl="0" eaLnBrk="0" fontAlgn="base" latinLnBrk="0" hangingPunct="0">
                <a:lnSpc>
                  <a:spcPts val="3200"/>
                </a:lnSpc>
                <a:spcBef>
                  <a:spcPct val="20000"/>
                </a:spcBef>
                <a:spcAft>
                  <a:spcPct val="0"/>
                </a:spcAft>
                <a:buClr>
                  <a:srgbClr val="76B900"/>
                </a:buClr>
                <a:buSzTx/>
                <a:buFont typeface="Times" charset="0"/>
                <a:buNone/>
                <a:tabLst/>
                <a:defRPr/>
              </a:pPr>
              <a:r>
                <a:rPr kumimoji="0" lang="de-DE" sz="2400" b="0" i="1" u="none" strike="noStrike" kern="0" cap="none" spc="0" normalizeH="0" baseline="0" noProof="0" dirty="0">
                  <a:ln>
                    <a:noFill/>
                  </a:ln>
                  <a:solidFill>
                    <a:srgbClr val="00998A"/>
                  </a:solidFill>
                  <a:effectLst/>
                  <a:uLnTx/>
                  <a:uFillTx/>
                  <a:latin typeface="Cambria Math" panose="02040503050406030204" pitchFamily="18" charset="0"/>
                  <a:ea typeface="MS PGothic" pitchFamily="34" charset="-128"/>
                  <a:cs typeface="Calibri"/>
                </a:rPr>
                <a:t>		</a:t>
              </a:r>
            </a:p>
            <a:p>
              <a:pPr marL="0" marR="0" lvl="0" indent="0" algn="l" defTabSz="914400" rtl="0" eaLnBrk="0" fontAlgn="base" latinLnBrk="0" hangingPunct="0">
                <a:lnSpc>
                  <a:spcPts val="3200"/>
                </a:lnSpc>
                <a:spcBef>
                  <a:spcPct val="20000"/>
                </a:spcBef>
                <a:spcAft>
                  <a:spcPct val="0"/>
                </a:spcAft>
                <a:buClr>
                  <a:srgbClr val="76B900"/>
                </a:buClr>
                <a:buSzTx/>
                <a:buFont typeface="Times" charset="0"/>
                <a:buNone/>
                <a:tabLst/>
                <a:defRPr/>
              </a:pPr>
              <a:endParaRPr kumimoji="0" lang="de-DE" sz="2400" b="0" i="1" u="none" strike="noStrike" kern="0" cap="none" spc="0" normalizeH="0" baseline="0" noProof="0" dirty="0">
                <a:ln>
                  <a:noFill/>
                </a:ln>
                <a:solidFill>
                  <a:srgbClr val="00998A"/>
                </a:solidFill>
                <a:effectLst/>
                <a:uLnTx/>
                <a:uFillTx/>
                <a:latin typeface="Cambria Math" panose="02040503050406030204" pitchFamily="18" charset="0"/>
                <a:ea typeface="MS PGothic" pitchFamily="34" charset="-128"/>
                <a:cs typeface="Calibri"/>
              </a:endParaRPr>
            </a:p>
            <a:p>
              <a:pPr marL="0" marR="0" lvl="0" indent="0" algn="l" defTabSz="914400" rtl="0" eaLnBrk="0" fontAlgn="base" latinLnBrk="0" hangingPunct="0">
                <a:lnSpc>
                  <a:spcPts val="3200"/>
                </a:lnSpc>
                <a:spcBef>
                  <a:spcPct val="20000"/>
                </a:spcBef>
                <a:spcAft>
                  <a:spcPct val="0"/>
                </a:spcAft>
                <a:buClr>
                  <a:srgbClr val="76B900"/>
                </a:buClr>
                <a:buSzTx/>
                <a:buFont typeface="Times" charset="0"/>
                <a:buNone/>
                <a:tabLst/>
                <a:defRPr/>
              </a:pPr>
              <a:endParaRPr kumimoji="0" lang="de-DE" sz="2400" b="0" i="1" u="none" strike="noStrike" kern="0" cap="none" spc="0" normalizeH="0" baseline="0" noProof="0" dirty="0">
                <a:ln>
                  <a:noFill/>
                </a:ln>
                <a:solidFill>
                  <a:srgbClr val="00998A"/>
                </a:solidFill>
                <a:effectLst/>
                <a:uLnTx/>
                <a:uFillTx/>
                <a:latin typeface="Cambria Math" panose="02040503050406030204" pitchFamily="18" charset="0"/>
                <a:ea typeface="MS PGothic" pitchFamily="34" charset="-128"/>
                <a:cs typeface="Calibri"/>
              </a:endParaRPr>
            </a:p>
            <a:p>
              <a:pPr marL="0" marR="0" lvl="0" indent="0" algn="l" defTabSz="914400" rtl="0" eaLnBrk="0" fontAlgn="base" latinLnBrk="0" hangingPunct="0">
                <a:lnSpc>
                  <a:spcPts val="3200"/>
                </a:lnSpc>
                <a:spcBef>
                  <a:spcPct val="20000"/>
                </a:spcBef>
                <a:spcAft>
                  <a:spcPct val="0"/>
                </a:spcAft>
                <a:buClr>
                  <a:srgbClr val="76B900"/>
                </a:buClr>
                <a:buSzTx/>
                <a:buFont typeface="Times" charset="0"/>
                <a:buNone/>
                <a:tabLst/>
                <a:defRPr/>
              </a:pPr>
              <a:r>
                <a:rPr kumimoji="0" lang="de-DE" sz="2400" b="0" u="none" strike="noStrike" kern="0" cap="none" spc="0" normalizeH="0" baseline="0" noProof="0">
                  <a:ln>
                    <a:noFill/>
                  </a:ln>
                  <a:solidFill>
                    <a:srgbClr val="000000"/>
                  </a:solidFill>
                  <a:effectLst/>
                  <a:uLnTx/>
                  <a:uFillTx/>
                </a:rPr>
                <a:t>i</a:t>
              </a:r>
              <a:r>
                <a:rPr kumimoji="0" lang="de-DE" sz="2400" b="0" u="none" strike="noStrike" kern="0" cap="none" spc="0" normalizeH="0" baseline="-25000" noProof="0">
                  <a:ln>
                    <a:noFill/>
                  </a:ln>
                  <a:solidFill>
                    <a:srgbClr val="000000"/>
                  </a:solidFill>
                  <a:effectLst/>
                  <a:uLnTx/>
                  <a:uFillTx/>
                </a:rPr>
                <a:t>eff</a:t>
              </a:r>
              <a:r>
                <a:rPr kumimoji="0" lang="de-DE" sz="2400" b="0" u="none" strike="noStrike" kern="0" cap="none" spc="0" normalizeH="0" baseline="0" noProof="0">
                  <a:ln>
                    <a:noFill/>
                  </a:ln>
                  <a:solidFill>
                    <a:srgbClr val="000000"/>
                  </a:solidFill>
                  <a:effectLst/>
                  <a:uLnTx/>
                  <a:uFillTx/>
                </a:rPr>
                <a:t> =</a:t>
              </a:r>
              <a:r>
                <a:rPr kumimoji="0" lang="de-DE" sz="2400" b="0" i="0" u="none" strike="noStrike" kern="0" cap="none" spc="0" normalizeH="0" baseline="0" noProof="0">
                  <a:ln>
                    <a:noFill/>
                  </a:ln>
                  <a:solidFill>
                    <a:srgbClr val="000000"/>
                  </a:solidFill>
                  <a:effectLst/>
                  <a:uLnTx/>
                  <a:uFillTx/>
                  <a:latin typeface="Cambria Math" panose="02040503050406030204" pitchFamily="18" charset="0"/>
                </a:rPr>
                <a:t>(</a:t>
              </a:r>
              <a:r>
                <a:rPr kumimoji="0" lang="de-DE" sz="2400" b="1" i="0" u="none" strike="noStrike" kern="0" cap="none" spc="0" normalizeH="0" baseline="0" noProof="0">
                  <a:ln>
                    <a:noFill/>
                  </a:ln>
                  <a:solidFill>
                    <a:srgbClr val="000000"/>
                  </a:solidFill>
                  <a:effectLst/>
                  <a:uLnTx/>
                  <a:uFillTx/>
                  <a:latin typeface="Cambria Math" panose="02040503050406030204" pitchFamily="18" charset="0"/>
                </a:rPr>
                <a:t>𝟐+((𝟏𝟎𝟎−𝟗𝟗,𝟐𝟓)/𝟓)</a:t>
              </a:r>
              <a:r>
                <a:rPr kumimoji="0" lang="de-DE" sz="2400" b="0" i="0" u="none" strike="noStrike" kern="0" cap="none" spc="0" normalizeH="0" baseline="0" noProof="0">
                  <a:ln>
                    <a:noFill/>
                  </a:ln>
                  <a:solidFill>
                    <a:srgbClr val="000000"/>
                  </a:solidFill>
                  <a:effectLst/>
                  <a:uLnTx/>
                  <a:uFillTx/>
                  <a:latin typeface="Cambria Math" panose="02040503050406030204" pitchFamily="18" charset="0"/>
                </a:rPr>
                <a:t>)/(</a:t>
              </a:r>
              <a:r>
                <a:rPr kumimoji="0" lang="de-DE" sz="2400" b="1" i="0" u="none" strike="noStrike" kern="0" cap="none" spc="0" normalizeH="0" baseline="0" noProof="0">
                  <a:ln>
                    <a:noFill/>
                  </a:ln>
                  <a:solidFill>
                    <a:srgbClr val="000000"/>
                  </a:solidFill>
                  <a:effectLst/>
                  <a:uLnTx/>
                  <a:uFillTx/>
                  <a:latin typeface="Cambria Math" panose="02040503050406030204" pitchFamily="18" charset="0"/>
                </a:rPr>
                <a:t>𝟗𝟗,𝟐𝟓</a:t>
              </a:r>
              <a:r>
                <a:rPr kumimoji="0" lang="de-DE" sz="2400" b="0" i="0" u="none" strike="noStrike" kern="0" cap="none" spc="0" normalizeH="0" baseline="0" noProof="0">
                  <a:ln>
                    <a:noFill/>
                  </a:ln>
                  <a:solidFill>
                    <a:srgbClr val="000000"/>
                  </a:solidFill>
                  <a:effectLst/>
                  <a:uLnTx/>
                  <a:uFillTx/>
                  <a:latin typeface="Cambria Math" panose="02040503050406030204" pitchFamily="18" charset="0"/>
                </a:rPr>
                <a:t>)</a:t>
              </a:r>
              <a:r>
                <a:rPr kumimoji="0" lang="de-DE" sz="2400" b="0" i="0" u="none" strike="noStrike" kern="0" cap="none" spc="0" normalizeH="0" baseline="0" noProof="0" dirty="0">
                  <a:ln>
                    <a:noFill/>
                  </a:ln>
                  <a:solidFill>
                    <a:srgbClr val="000000"/>
                  </a:solidFill>
                  <a:effectLst/>
                  <a:uLnTx/>
                  <a:uFillTx/>
                  <a:latin typeface="+mn-lt"/>
                  <a:ea typeface="MS PGothic" pitchFamily="34" charset="-128"/>
                  <a:cs typeface="Calibri"/>
                </a:rPr>
                <a:t> </a:t>
              </a:r>
              <a:r>
                <a:rPr kumimoji="0" lang="de-DE" sz="2000" b="0" i="0" u="none" strike="noStrike" kern="0" cap="none" spc="0" normalizeH="0" baseline="0" noProof="0">
                  <a:ln>
                    <a:noFill/>
                  </a:ln>
                  <a:solidFill>
                    <a:srgbClr val="000000"/>
                  </a:solidFill>
                  <a:effectLst/>
                  <a:uLnTx/>
                  <a:uFillTx/>
                  <a:latin typeface="Cambria Math" panose="02040503050406030204" pitchFamily="18" charset="0"/>
                </a:rPr>
                <a:t>x 100% </a:t>
              </a:r>
              <a:r>
                <a:rPr kumimoji="0" lang="de-DE" sz="2400" b="0" i="0" u="none" strike="noStrike" kern="0" cap="none" spc="0" normalizeH="0" baseline="0" noProof="0" dirty="0">
                  <a:ln>
                    <a:noFill/>
                  </a:ln>
                  <a:solidFill>
                    <a:srgbClr val="000000"/>
                  </a:solidFill>
                  <a:effectLst/>
                  <a:uLnTx/>
                  <a:uFillTx/>
                  <a:latin typeface="+mn-lt"/>
                  <a:ea typeface="MS PGothic" pitchFamily="34" charset="-128"/>
                  <a:cs typeface="Calibri"/>
                </a:rPr>
                <a:t>= </a:t>
              </a:r>
              <a:r>
                <a:rPr kumimoji="0" lang="de-DE" sz="2400" b="1" i="0" u="none" strike="noStrike" kern="0" cap="none" spc="0" normalizeH="0" baseline="0" noProof="0" dirty="0">
                  <a:ln>
                    <a:noFill/>
                  </a:ln>
                  <a:solidFill>
                    <a:srgbClr val="000000"/>
                  </a:solidFill>
                  <a:effectLst/>
                  <a:uLnTx/>
                  <a:uFillTx/>
                  <a:latin typeface="+mn-lt"/>
                  <a:ea typeface="MS PGothic" pitchFamily="34" charset="-128"/>
                  <a:cs typeface="Calibri"/>
                </a:rPr>
                <a:t>2,1662 % p.a</a:t>
              </a:r>
              <a:r>
                <a:rPr kumimoji="0" lang="de-DE" sz="2400" b="0" i="0" u="none" strike="noStrike" kern="0" cap="none" spc="0" normalizeH="0" baseline="0" noProof="0" dirty="0">
                  <a:ln>
                    <a:noFill/>
                  </a:ln>
                  <a:solidFill>
                    <a:srgbClr val="000000"/>
                  </a:solidFill>
                  <a:effectLst/>
                  <a:uLnTx/>
                  <a:uFillTx/>
                  <a:latin typeface="+mn-lt"/>
                  <a:ea typeface="MS PGothic" pitchFamily="34" charset="-128"/>
                  <a:cs typeface="Calibri"/>
                </a:rPr>
                <a:t>.</a:t>
              </a:r>
            </a:p>
            <a:p>
              <a:endParaRPr lang="de-DE" sz="1100"/>
            </a:p>
          </xdr:txBody>
        </xdr:sp>
      </mc:Fallback>
    </mc:AlternateContent>
    <xdr:clientData/>
  </xdr:twoCellAnchor>
  <xdr:oneCellAnchor>
    <xdr:from>
      <xdr:col>12</xdr:col>
      <xdr:colOff>552450</xdr:colOff>
      <xdr:row>3</xdr:row>
      <xdr:rowOff>171450</xdr:rowOff>
    </xdr:from>
    <xdr:ext cx="3676823" cy="1534984"/>
    <xdr:pic>
      <xdr:nvPicPr>
        <xdr:cNvPr id="5" name="Grafik 4">
          <a:extLst>
            <a:ext uri="{FF2B5EF4-FFF2-40B4-BE49-F238E27FC236}">
              <a16:creationId xmlns:a16="http://schemas.microsoft.com/office/drawing/2014/main" id="{BE9E22BA-37DD-4BEA-B763-F1924F2DCB9F}"/>
            </a:ext>
          </a:extLst>
        </xdr:cNvPr>
        <xdr:cNvPicPr>
          <a:picLocks noChangeAspect="1"/>
        </xdr:cNvPicPr>
      </xdr:nvPicPr>
      <xdr:blipFill>
        <a:blip xmlns:r="http://schemas.openxmlformats.org/officeDocument/2006/relationships" r:embed="rId2"/>
        <a:stretch>
          <a:fillRect/>
        </a:stretch>
      </xdr:blipFill>
      <xdr:spPr>
        <a:xfrm>
          <a:off x="9696450" y="742950"/>
          <a:ext cx="3676823" cy="1534984"/>
        </a:xfrm>
        <a:prstGeom prst="rect">
          <a:avLst/>
        </a:prstGeom>
        <a:ln>
          <a:solidFill>
            <a:schemeClr val="accent1"/>
          </a:solidFill>
        </a:ln>
      </xdr:spPr>
    </xdr:pic>
    <xdr:clientData/>
  </xdr:oneCellAnchor>
</xdr:wsDr>
</file>

<file path=xl/drawings/drawing18.xml><?xml version="1.0" encoding="utf-8"?>
<xdr:wsDr xmlns:xdr="http://schemas.openxmlformats.org/drawingml/2006/spreadsheetDrawing" xmlns:a="http://schemas.openxmlformats.org/drawingml/2006/main">
  <xdr:twoCellAnchor>
    <xdr:from>
      <xdr:col>4</xdr:col>
      <xdr:colOff>723899</xdr:colOff>
      <xdr:row>1</xdr:row>
      <xdr:rowOff>161925</xdr:rowOff>
    </xdr:from>
    <xdr:to>
      <xdr:col>11</xdr:col>
      <xdr:colOff>333374</xdr:colOff>
      <xdr:row>24</xdr:row>
      <xdr:rowOff>104775</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02439A77-410B-4475-91B8-326C6EAC84AE}"/>
                </a:ext>
              </a:extLst>
            </xdr:cNvPr>
            <xdr:cNvSpPr txBox="1"/>
          </xdr:nvSpPr>
          <xdr:spPr>
            <a:xfrm>
              <a:off x="3771899" y="352425"/>
              <a:ext cx="4943475" cy="432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b) rechnerisch (Rentenbarwertfaktor):</a:t>
              </a:r>
              <a:r>
                <a:rPr lang="de-DE" sz="2000" baseline="0"/>
                <a:t> </a:t>
              </a:r>
            </a:p>
            <a:p>
              <a:endParaRPr lang="de-DE" sz="1100" baseline="0"/>
            </a:p>
            <a:p>
              <a:r>
                <a:rPr lang="de-DE" sz="2000" baseline="0"/>
                <a:t>K</a:t>
              </a:r>
              <a:r>
                <a:rPr lang="de-DE" sz="2000" baseline="-25000"/>
                <a:t>0</a:t>
              </a:r>
              <a:r>
                <a:rPr lang="de-DE" sz="2000" baseline="0"/>
                <a:t> = </a:t>
              </a:r>
              <a14:m>
                <m:oMath xmlns:m="http://schemas.openxmlformats.org/officeDocument/2006/math">
                  <m:r>
                    <a:rPr lang="de-DE" sz="2000" b="0" i="1" baseline="0">
                      <a:latin typeface="Cambria Math" panose="02040503050406030204" pitchFamily="18" charset="0"/>
                    </a:rPr>
                    <m:t>𝐶</m:t>
                  </m:r>
                  <m:r>
                    <a:rPr lang="de-DE" sz="2000" b="0" i="1" baseline="0">
                      <a:latin typeface="Cambria Math" panose="02040503050406030204" pitchFamily="18" charset="0"/>
                    </a:rPr>
                    <m:t> ∗ </m:t>
                  </m:r>
                  <m:f>
                    <m:fPr>
                      <m:ctrlPr>
                        <a:rPr lang="de-DE" sz="2000" b="0" i="1" baseline="0">
                          <a:latin typeface="Cambria Math" panose="02040503050406030204" pitchFamily="18" charset="0"/>
                        </a:rPr>
                      </m:ctrlPr>
                    </m:fPr>
                    <m:num>
                      <m:d>
                        <m:dPr>
                          <m:ctrlPr>
                            <a:rPr lang="de-DE" sz="2000" b="0" i="1" baseline="0">
                              <a:latin typeface="Cambria Math" panose="02040503050406030204" pitchFamily="18" charset="0"/>
                            </a:rPr>
                          </m:ctrlPr>
                        </m:dPr>
                        <m:e>
                          <m:r>
                            <a:rPr lang="de-DE" sz="2000" b="0" i="1" baseline="0">
                              <a:latin typeface="Cambria Math" panose="02040503050406030204" pitchFamily="18" charset="0"/>
                            </a:rPr>
                            <m:t>1+</m:t>
                          </m:r>
                          <m:r>
                            <a:rPr lang="de-DE" sz="2000" b="0" i="1" baseline="0">
                              <a:latin typeface="Cambria Math" panose="02040503050406030204" pitchFamily="18" charset="0"/>
                            </a:rPr>
                            <m:t>𝑖</m:t>
                          </m:r>
                        </m:e>
                      </m:d>
                      <m:r>
                        <a:rPr lang="de-DE" sz="2000" b="0" i="1" baseline="30000">
                          <a:latin typeface="Cambria Math" panose="02040503050406030204" pitchFamily="18" charset="0"/>
                        </a:rPr>
                        <m:t>𝑛</m:t>
                      </m:r>
                      <m:r>
                        <a:rPr lang="de-DE" sz="2000" b="0" i="1" baseline="0">
                          <a:latin typeface="Cambria Math" panose="02040503050406030204" pitchFamily="18" charset="0"/>
                        </a:rPr>
                        <m:t> −1</m:t>
                      </m:r>
                    </m:num>
                    <m:den>
                      <m:r>
                        <a:rPr lang="de-DE" sz="2000" b="0" i="1" baseline="0">
                          <a:latin typeface="Cambria Math" panose="02040503050406030204" pitchFamily="18" charset="0"/>
                        </a:rPr>
                        <m:t>𝑖</m:t>
                      </m:r>
                      <m:r>
                        <a:rPr lang="de-DE" sz="2000" b="0" i="1" baseline="0">
                          <a:latin typeface="Cambria Math" panose="02040503050406030204" pitchFamily="18" charset="0"/>
                        </a:rPr>
                        <m:t>∗</m:t>
                      </m:r>
                      <m:d>
                        <m:dPr>
                          <m:ctrlPr>
                            <a:rPr lang="de-DE" sz="2000" b="0" i="1" baseline="0">
                              <a:latin typeface="Cambria Math" panose="02040503050406030204" pitchFamily="18" charset="0"/>
                            </a:rPr>
                          </m:ctrlPr>
                        </m:dPr>
                        <m:e>
                          <m:r>
                            <a:rPr lang="de-DE" sz="2000" b="0" i="1" baseline="0">
                              <a:latin typeface="Cambria Math" panose="02040503050406030204" pitchFamily="18" charset="0"/>
                            </a:rPr>
                            <m:t>1+</m:t>
                          </m:r>
                          <m:r>
                            <a:rPr lang="de-DE" sz="2000" b="0" i="1" baseline="0">
                              <a:latin typeface="Cambria Math" panose="02040503050406030204" pitchFamily="18" charset="0"/>
                            </a:rPr>
                            <m:t>𝑖</m:t>
                          </m:r>
                        </m:e>
                      </m:d>
                      <m:r>
                        <a:rPr lang="de-DE" sz="2000" b="0" i="1" baseline="30000">
                          <a:latin typeface="Cambria Math" panose="02040503050406030204" pitchFamily="18" charset="0"/>
                        </a:rPr>
                        <m:t>𝑛</m:t>
                      </m:r>
                    </m:den>
                  </m:f>
                </m:oMath>
              </a14:m>
              <a:endParaRPr lang="de-DE" sz="2000"/>
            </a:p>
            <a:p>
              <a:endParaRPr lang="de-DE" sz="2000"/>
            </a:p>
            <a:p>
              <a:pPr marL="0" marR="0" lvl="0" indent="0" defTabSz="914400" eaLnBrk="1" fontAlgn="auto" latinLnBrk="0" hangingPunct="1">
                <a:lnSpc>
                  <a:spcPct val="100000"/>
                </a:lnSpc>
                <a:spcBef>
                  <a:spcPts val="0"/>
                </a:spcBef>
                <a:spcAft>
                  <a:spcPts val="0"/>
                </a:spcAft>
                <a:buClrTx/>
                <a:buSzTx/>
                <a:buFontTx/>
                <a:buNone/>
                <a:tabLst/>
                <a:defRPr/>
              </a:pPr>
              <a:r>
                <a:rPr kumimoji="0" lang="de-DE" sz="2000" b="0" i="0" u="none" strike="noStrike" kern="0" cap="none" spc="0" normalizeH="0" baseline="0" noProof="0">
                  <a:ln>
                    <a:noFill/>
                  </a:ln>
                  <a:solidFill>
                    <a:prstClr val="black"/>
                  </a:solidFill>
                  <a:effectLst/>
                  <a:uLnTx/>
                  <a:uFillTx/>
                  <a:latin typeface="+mn-lt"/>
                  <a:ea typeface="+mn-ea"/>
                  <a:cs typeface="+mn-cs"/>
                </a:rPr>
                <a:t>K</a:t>
              </a:r>
              <a:r>
                <a:rPr kumimoji="0" lang="de-DE" sz="2000" b="0" i="0" u="none" strike="noStrike" kern="0" cap="none" spc="0" normalizeH="0" baseline="-25000" noProof="0">
                  <a:ln>
                    <a:noFill/>
                  </a:ln>
                  <a:solidFill>
                    <a:prstClr val="black"/>
                  </a:solidFill>
                  <a:effectLst/>
                  <a:uLnTx/>
                  <a:uFillTx/>
                  <a:latin typeface="+mn-lt"/>
                  <a:ea typeface="+mn-ea"/>
                  <a:cs typeface="+mn-cs"/>
                </a:rPr>
                <a:t>0</a:t>
              </a:r>
              <a:r>
                <a:rPr kumimoji="0" lang="de-DE" sz="2000" b="0" i="0" u="none" strike="noStrike" kern="0" cap="none" spc="0" normalizeH="0" baseline="0" noProof="0">
                  <a:ln>
                    <a:noFill/>
                  </a:ln>
                  <a:solidFill>
                    <a:prstClr val="black"/>
                  </a:solidFill>
                  <a:effectLst/>
                  <a:uLnTx/>
                  <a:uFillTx/>
                  <a:latin typeface="+mn-lt"/>
                  <a:ea typeface="+mn-ea"/>
                  <a:cs typeface="+mn-cs"/>
                </a:rPr>
                <a:t> = </a:t>
              </a:r>
              <a14:m>
                <m:oMath xmlns:m="http://schemas.openxmlformats.org/officeDocument/2006/math">
                  <m: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15.000 € ∗ </m:t>
                  </m:r>
                  <m:f>
                    <m:fPr>
                      <m:ctrlP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d>
                        <m:dPr>
                          <m:ctrlP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1+0,06</m:t>
                          </m:r>
                        </m:e>
                      </m:d>
                      <m:r>
                        <a:rPr kumimoji="0" lang="de-DE" sz="20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30</m:t>
                      </m:r>
                      <m: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−1</m:t>
                      </m:r>
                    </m:num>
                    <m:den>
                      <m: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0,06∗</m:t>
                      </m:r>
                      <m:d>
                        <m:dPr>
                          <m:ctrlP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1+0,06</m:t>
                          </m:r>
                        </m:e>
                      </m:d>
                      <m:r>
                        <a:rPr kumimoji="0" lang="de-DE" sz="20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30</m:t>
                      </m:r>
                    </m:den>
                  </m:f>
                </m:oMath>
              </a14:m>
              <a:r>
                <a:rPr kumimoji="0" lang="de-DE" sz="2000" b="0" i="0" u="none" strike="noStrike" kern="0" cap="none" spc="0" normalizeH="0" baseline="0" noProof="0">
                  <a:ln>
                    <a:noFill/>
                  </a:ln>
                  <a:solidFill>
                    <a:prstClr val="black"/>
                  </a:solidFill>
                  <a:effectLst/>
                  <a:uLnTx/>
                  <a:uFillTx/>
                  <a:latin typeface="+mn-lt"/>
                  <a:ea typeface="+mn-ea"/>
                  <a:cs typeface="+mn-cs"/>
                </a:rPr>
                <a:t> = 206.472,47 €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20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2000" b="0" i="0" u="none" strike="noStrike" kern="0" cap="none" spc="0" normalizeH="0" baseline="0" noProof="0">
                  <a:ln>
                    <a:noFill/>
                  </a:ln>
                  <a:solidFill>
                    <a:prstClr val="black"/>
                  </a:solidFill>
                  <a:effectLst/>
                  <a:uLnTx/>
                  <a:uFillTx/>
                  <a:latin typeface="+mn-lt"/>
                  <a:ea typeface="+mn-ea"/>
                  <a:cs typeface="+mn-cs"/>
                </a:rPr>
                <a:t>Rentenendwertfaktor: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20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2000" b="0">
                  <a:solidFill>
                    <a:schemeClr val="dk1"/>
                  </a:solidFill>
                  <a:effectLst/>
                  <a:latin typeface="+mn-lt"/>
                  <a:ea typeface="+mn-ea"/>
                  <a:cs typeface="+mn-cs"/>
                </a:rPr>
                <a:t>K</a:t>
              </a:r>
              <a:r>
                <a:rPr lang="de-DE" sz="2000" b="0" baseline="-25000">
                  <a:solidFill>
                    <a:schemeClr val="dk1"/>
                  </a:solidFill>
                  <a:effectLst/>
                  <a:latin typeface="+mn-lt"/>
                  <a:ea typeface="+mn-ea"/>
                  <a:cs typeface="+mn-cs"/>
                </a:rPr>
                <a:t>n</a:t>
              </a:r>
              <a:r>
                <a:rPr lang="de-DE" sz="2000" b="0">
                  <a:solidFill>
                    <a:schemeClr val="dk1"/>
                  </a:solidFill>
                  <a:effectLst/>
                  <a:latin typeface="+mn-lt"/>
                  <a:ea typeface="+mn-ea"/>
                  <a:cs typeface="+mn-cs"/>
                </a:rPr>
                <a:t> = C *</a:t>
              </a:r>
              <a:r>
                <a:rPr lang="de-DE" sz="2000" b="0" baseline="0">
                  <a:solidFill>
                    <a:schemeClr val="dk1"/>
                  </a:solidFill>
                  <a:effectLst/>
                  <a:latin typeface="+mn-lt"/>
                  <a:ea typeface="+mn-ea"/>
                  <a:cs typeface="+mn-cs"/>
                </a:rPr>
                <a:t> </a:t>
              </a:r>
              <a14:m>
                <m:oMath xmlns:m="http://schemas.openxmlformats.org/officeDocument/2006/math">
                  <m:f>
                    <m:fPr>
                      <m:ctrlPr>
                        <a:rPr lang="de-DE" sz="2000" b="0" i="1">
                          <a:solidFill>
                            <a:schemeClr val="dk1"/>
                          </a:solidFill>
                          <a:effectLst/>
                          <a:latin typeface="Cambria Math" panose="02040503050406030204" pitchFamily="18" charset="0"/>
                          <a:ea typeface="+mn-ea"/>
                          <a:cs typeface="+mn-cs"/>
                        </a:rPr>
                      </m:ctrlPr>
                    </m:fPr>
                    <m:num>
                      <m:d>
                        <m:dPr>
                          <m:ctrlPr>
                            <a:rPr lang="de-DE" sz="2000" b="0" i="1">
                              <a:solidFill>
                                <a:schemeClr val="dk1"/>
                              </a:solidFill>
                              <a:effectLst/>
                              <a:latin typeface="Cambria Math" panose="02040503050406030204" pitchFamily="18" charset="0"/>
                              <a:ea typeface="+mn-ea"/>
                              <a:cs typeface="+mn-cs"/>
                            </a:rPr>
                          </m:ctrlPr>
                        </m:dPr>
                        <m:e>
                          <m:r>
                            <a:rPr lang="de-DE" sz="2000" b="0" i="1">
                              <a:solidFill>
                                <a:schemeClr val="dk1"/>
                              </a:solidFill>
                              <a:effectLst/>
                              <a:latin typeface="Cambria Math" panose="02040503050406030204" pitchFamily="18" charset="0"/>
                              <a:ea typeface="+mn-ea"/>
                              <a:cs typeface="+mn-cs"/>
                            </a:rPr>
                            <m:t>1+</m:t>
                          </m:r>
                          <m:r>
                            <a:rPr lang="de-DE" sz="2000" b="0" i="1">
                              <a:solidFill>
                                <a:schemeClr val="dk1"/>
                              </a:solidFill>
                              <a:effectLst/>
                              <a:latin typeface="Cambria Math" panose="02040503050406030204" pitchFamily="18" charset="0"/>
                              <a:ea typeface="+mn-ea"/>
                              <a:cs typeface="+mn-cs"/>
                            </a:rPr>
                            <m:t>𝑖</m:t>
                          </m:r>
                        </m:e>
                      </m:d>
                      <m:r>
                        <a:rPr lang="de-DE" sz="2000" b="0" i="1" baseline="30000">
                          <a:solidFill>
                            <a:schemeClr val="dk1"/>
                          </a:solidFill>
                          <a:effectLst/>
                          <a:latin typeface="Cambria Math" panose="02040503050406030204" pitchFamily="18" charset="0"/>
                          <a:ea typeface="+mn-ea"/>
                          <a:cs typeface="+mn-cs"/>
                        </a:rPr>
                        <m:t>𝑛</m:t>
                      </m:r>
                      <m:r>
                        <a:rPr lang="de-DE" sz="2000" b="0" i="1">
                          <a:solidFill>
                            <a:schemeClr val="dk1"/>
                          </a:solidFill>
                          <a:effectLst/>
                          <a:latin typeface="Cambria Math" panose="02040503050406030204" pitchFamily="18" charset="0"/>
                          <a:ea typeface="+mn-ea"/>
                          <a:cs typeface="+mn-cs"/>
                        </a:rPr>
                        <m:t> −1</m:t>
                      </m:r>
                    </m:num>
                    <m:den>
                      <m:r>
                        <a:rPr lang="de-DE" sz="2000" b="0" i="1">
                          <a:solidFill>
                            <a:schemeClr val="dk1"/>
                          </a:solidFill>
                          <a:effectLst/>
                          <a:latin typeface="Cambria Math" panose="02040503050406030204" pitchFamily="18" charset="0"/>
                          <a:ea typeface="+mn-ea"/>
                          <a:cs typeface="+mn-cs"/>
                        </a:rPr>
                        <m:t> </m:t>
                      </m:r>
                      <m:r>
                        <a:rPr lang="de-DE" sz="2000" b="0" i="1">
                          <a:solidFill>
                            <a:schemeClr val="dk1"/>
                          </a:solidFill>
                          <a:effectLst/>
                          <a:latin typeface="Cambria Math" panose="02040503050406030204" pitchFamily="18" charset="0"/>
                          <a:ea typeface="+mn-ea"/>
                          <a:cs typeface="+mn-cs"/>
                        </a:rPr>
                        <m:t>𝑖</m:t>
                      </m:r>
                    </m:den>
                  </m:f>
                </m:oMath>
              </a14:m>
              <a:endParaRPr lang="de-DE" sz="20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de-DE" sz="2000">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2000" b="0" i="0" u="none" strike="noStrike" kern="0" cap="none" spc="0" normalizeH="0" baseline="0" noProof="0">
                  <a:ln>
                    <a:noFill/>
                  </a:ln>
                  <a:solidFill>
                    <a:prstClr val="black"/>
                  </a:solidFill>
                  <a:effectLst/>
                  <a:uLnTx/>
                  <a:uFillTx/>
                  <a:latin typeface="+mn-lt"/>
                  <a:ea typeface="+mn-ea"/>
                  <a:cs typeface="+mn-cs"/>
                </a:rPr>
                <a:t>K</a:t>
              </a:r>
              <a:r>
                <a:rPr kumimoji="0" lang="de-DE" sz="2000" b="0" i="0" u="none" strike="noStrike" kern="0" cap="none" spc="0" normalizeH="0" baseline="-25000" noProof="0">
                  <a:ln>
                    <a:noFill/>
                  </a:ln>
                  <a:solidFill>
                    <a:prstClr val="black"/>
                  </a:solidFill>
                  <a:effectLst/>
                  <a:uLnTx/>
                  <a:uFillTx/>
                  <a:latin typeface="+mn-lt"/>
                  <a:ea typeface="+mn-ea"/>
                  <a:cs typeface="+mn-cs"/>
                </a:rPr>
                <a:t>n</a:t>
              </a:r>
              <a:r>
                <a:rPr kumimoji="0" lang="de-DE" sz="2000" b="0" i="0" u="none" strike="noStrike" kern="0" cap="none" spc="0" normalizeH="0" baseline="0" noProof="0">
                  <a:ln>
                    <a:noFill/>
                  </a:ln>
                  <a:solidFill>
                    <a:prstClr val="black"/>
                  </a:solidFill>
                  <a:effectLst/>
                  <a:uLnTx/>
                  <a:uFillTx/>
                  <a:latin typeface="+mn-lt"/>
                  <a:ea typeface="+mn-ea"/>
                  <a:cs typeface="+mn-cs"/>
                </a:rPr>
                <a:t> = 15.000 € * </a:t>
              </a:r>
              <a14:m>
                <m:oMath xmlns:m="http://schemas.openxmlformats.org/officeDocument/2006/math">
                  <m:f>
                    <m:fPr>
                      <m:ctrlP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d>
                        <m:dPr>
                          <m:ctrlP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1+0,06</m:t>
                          </m:r>
                        </m:e>
                      </m:d>
                      <m:r>
                        <a:rPr kumimoji="0" lang="de-DE" sz="20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30</m:t>
                      </m:r>
                      <m: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−1</m:t>
                      </m:r>
                    </m:num>
                    <m:den>
                      <m:r>
                        <a:rPr kumimoji="0" lang="de-DE" sz="20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0,06</m:t>
                      </m:r>
                    </m:den>
                  </m:f>
                </m:oMath>
              </a14:m>
              <a:r>
                <a:rPr kumimoji="0" lang="de-DE" sz="2000" b="0" i="0" u="none" strike="noStrike" kern="0" cap="none" spc="0" normalizeH="0" baseline="0" noProof="0">
                  <a:ln>
                    <a:noFill/>
                  </a:ln>
                  <a:solidFill>
                    <a:prstClr val="black"/>
                  </a:solidFill>
                  <a:effectLst/>
                  <a:uLnTx/>
                  <a:uFillTx/>
                  <a:latin typeface="+mn-lt"/>
                  <a:ea typeface="+mn-ea"/>
                  <a:cs typeface="+mn-cs"/>
                </a:rPr>
                <a:t> = 1.185.872,79 €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20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20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2000" b="0" i="0" u="none" strike="noStrike" kern="0" cap="none" spc="0" normalizeH="0" baseline="0" noProof="0">
                <a:ln>
                  <a:noFill/>
                </a:ln>
                <a:solidFill>
                  <a:prstClr val="black"/>
                </a:solidFill>
                <a:effectLst/>
                <a:uLnTx/>
                <a:uFillTx/>
                <a:latin typeface="+mn-lt"/>
                <a:ea typeface="+mn-ea"/>
                <a:cs typeface="+mn-cs"/>
              </a:endParaRPr>
            </a:p>
            <a:p>
              <a:endParaRPr lang="de-DE" sz="2000"/>
            </a:p>
          </xdr:txBody>
        </xdr:sp>
      </mc:Choice>
      <mc:Fallback>
        <xdr:sp macro="" textlink="">
          <xdr:nvSpPr>
            <xdr:cNvPr id="2" name="Textfeld 1">
              <a:extLst>
                <a:ext uri="{FF2B5EF4-FFF2-40B4-BE49-F238E27FC236}">
                  <a16:creationId xmlns:a16="http://schemas.microsoft.com/office/drawing/2014/main" id="{02439A77-410B-4475-91B8-326C6EAC84AE}"/>
                </a:ext>
              </a:extLst>
            </xdr:cNvPr>
            <xdr:cNvSpPr txBox="1"/>
          </xdr:nvSpPr>
          <xdr:spPr>
            <a:xfrm>
              <a:off x="3771899" y="352425"/>
              <a:ext cx="4943475" cy="432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b) rechnerisch (Rentenbarwertfaktor):</a:t>
              </a:r>
              <a:r>
                <a:rPr lang="de-DE" sz="2000" baseline="0"/>
                <a:t> </a:t>
              </a:r>
            </a:p>
            <a:p>
              <a:endParaRPr lang="de-DE" sz="1100" baseline="0"/>
            </a:p>
            <a:p>
              <a:r>
                <a:rPr lang="de-DE" sz="2000" baseline="0"/>
                <a:t>K</a:t>
              </a:r>
              <a:r>
                <a:rPr lang="de-DE" sz="2000" baseline="-25000"/>
                <a:t>0</a:t>
              </a:r>
              <a:r>
                <a:rPr lang="de-DE" sz="2000" baseline="0"/>
                <a:t> = </a:t>
              </a:r>
              <a:r>
                <a:rPr lang="de-DE" sz="2000" b="0" i="0" baseline="0">
                  <a:latin typeface="Cambria Math" panose="02040503050406030204" pitchFamily="18" charset="0"/>
                </a:rPr>
                <a:t>𝐶 ∗  ((1+𝑖)</a:t>
              </a:r>
              <a:r>
                <a:rPr lang="de-DE" sz="2000" b="0" i="0" baseline="30000">
                  <a:latin typeface="Cambria Math" panose="02040503050406030204" pitchFamily="18" charset="0"/>
                </a:rPr>
                <a:t>𝑛</a:t>
              </a:r>
              <a:r>
                <a:rPr lang="de-DE" sz="2000" b="0" i="0" baseline="0">
                  <a:latin typeface="Cambria Math" panose="02040503050406030204" pitchFamily="18" charset="0"/>
                </a:rPr>
                <a:t> −1)/(𝑖∗(1+𝑖)</a:t>
              </a:r>
              <a:r>
                <a:rPr lang="de-DE" sz="2000" b="0" i="0" baseline="30000">
                  <a:latin typeface="Cambria Math" panose="02040503050406030204" pitchFamily="18" charset="0"/>
                </a:rPr>
                <a:t>𝑛</a:t>
              </a:r>
              <a:r>
                <a:rPr lang="de-DE" sz="2000" b="0" i="0" baseline="0">
                  <a:latin typeface="Cambria Math" panose="02040503050406030204" pitchFamily="18" charset="0"/>
                </a:rPr>
                <a:t>)</a:t>
              </a:r>
              <a:endParaRPr lang="de-DE" sz="2000"/>
            </a:p>
            <a:p>
              <a:endParaRPr lang="de-DE" sz="2000"/>
            </a:p>
            <a:p>
              <a:pPr marL="0" marR="0" lvl="0" indent="0" defTabSz="914400" eaLnBrk="1" fontAlgn="auto" latinLnBrk="0" hangingPunct="1">
                <a:lnSpc>
                  <a:spcPct val="100000"/>
                </a:lnSpc>
                <a:spcBef>
                  <a:spcPts val="0"/>
                </a:spcBef>
                <a:spcAft>
                  <a:spcPts val="0"/>
                </a:spcAft>
                <a:buClrTx/>
                <a:buSzTx/>
                <a:buFontTx/>
                <a:buNone/>
                <a:tabLst/>
                <a:defRPr/>
              </a:pPr>
              <a:r>
                <a:rPr kumimoji="0" lang="de-DE" sz="2000" b="0" i="0" u="none" strike="noStrike" kern="0" cap="none" spc="0" normalizeH="0" baseline="0" noProof="0">
                  <a:ln>
                    <a:noFill/>
                  </a:ln>
                  <a:solidFill>
                    <a:prstClr val="black"/>
                  </a:solidFill>
                  <a:effectLst/>
                  <a:uLnTx/>
                  <a:uFillTx/>
                  <a:latin typeface="+mn-lt"/>
                  <a:ea typeface="+mn-ea"/>
                  <a:cs typeface="+mn-cs"/>
                </a:rPr>
                <a:t>K</a:t>
              </a:r>
              <a:r>
                <a:rPr kumimoji="0" lang="de-DE" sz="2000" b="0" i="0" u="none" strike="noStrike" kern="0" cap="none" spc="0" normalizeH="0" baseline="-25000" noProof="0">
                  <a:ln>
                    <a:noFill/>
                  </a:ln>
                  <a:solidFill>
                    <a:prstClr val="black"/>
                  </a:solidFill>
                  <a:effectLst/>
                  <a:uLnTx/>
                  <a:uFillTx/>
                  <a:latin typeface="+mn-lt"/>
                  <a:ea typeface="+mn-ea"/>
                  <a:cs typeface="+mn-cs"/>
                </a:rPr>
                <a:t>0</a:t>
              </a:r>
              <a:r>
                <a:rPr kumimoji="0" lang="de-DE" sz="2000" b="0" i="0" u="none" strike="noStrike" kern="0" cap="none" spc="0" normalizeH="0" baseline="0" noProof="0">
                  <a:ln>
                    <a:noFill/>
                  </a:ln>
                  <a:solidFill>
                    <a:prstClr val="black"/>
                  </a:solidFill>
                  <a:effectLst/>
                  <a:uLnTx/>
                  <a:uFillTx/>
                  <a:latin typeface="+mn-lt"/>
                  <a:ea typeface="+mn-ea"/>
                  <a:cs typeface="+mn-cs"/>
                </a:rPr>
                <a:t> = </a:t>
              </a:r>
              <a:r>
                <a:rPr kumimoji="0" lang="de-DE" sz="20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15.000 € ∗  ((1+0,06)</a:t>
              </a:r>
              <a:r>
                <a:rPr kumimoji="0" lang="de-DE" sz="20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30</a:t>
              </a:r>
              <a:r>
                <a:rPr kumimoji="0" lang="de-DE" sz="20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−1)/(0,06∗(1+0,06)</a:t>
              </a:r>
              <a:r>
                <a:rPr kumimoji="0" lang="de-DE" sz="20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30</a:t>
              </a:r>
              <a:r>
                <a:rPr kumimoji="0" lang="de-DE" sz="20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a:t>
              </a:r>
              <a:r>
                <a:rPr kumimoji="0" lang="de-DE" sz="2000" b="0" i="0" u="none" strike="noStrike" kern="0" cap="none" spc="0" normalizeH="0" baseline="0" noProof="0">
                  <a:ln>
                    <a:noFill/>
                  </a:ln>
                  <a:solidFill>
                    <a:prstClr val="black"/>
                  </a:solidFill>
                  <a:effectLst/>
                  <a:uLnTx/>
                  <a:uFillTx/>
                  <a:latin typeface="+mn-lt"/>
                  <a:ea typeface="+mn-ea"/>
                  <a:cs typeface="+mn-cs"/>
                </a:rPr>
                <a:t> = 206.472,47 €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20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2000" b="0" i="0" u="none" strike="noStrike" kern="0" cap="none" spc="0" normalizeH="0" baseline="0" noProof="0">
                  <a:ln>
                    <a:noFill/>
                  </a:ln>
                  <a:solidFill>
                    <a:prstClr val="black"/>
                  </a:solidFill>
                  <a:effectLst/>
                  <a:uLnTx/>
                  <a:uFillTx/>
                  <a:latin typeface="+mn-lt"/>
                  <a:ea typeface="+mn-ea"/>
                  <a:cs typeface="+mn-cs"/>
                </a:rPr>
                <a:t>Rentenendwertfaktor: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20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2000" b="0">
                  <a:solidFill>
                    <a:schemeClr val="dk1"/>
                  </a:solidFill>
                  <a:effectLst/>
                  <a:latin typeface="+mn-lt"/>
                  <a:ea typeface="+mn-ea"/>
                  <a:cs typeface="+mn-cs"/>
                </a:rPr>
                <a:t>K</a:t>
              </a:r>
              <a:r>
                <a:rPr lang="de-DE" sz="2000" b="0" baseline="-25000">
                  <a:solidFill>
                    <a:schemeClr val="dk1"/>
                  </a:solidFill>
                  <a:effectLst/>
                  <a:latin typeface="+mn-lt"/>
                  <a:ea typeface="+mn-ea"/>
                  <a:cs typeface="+mn-cs"/>
                </a:rPr>
                <a:t>n</a:t>
              </a:r>
              <a:r>
                <a:rPr lang="de-DE" sz="2000" b="0">
                  <a:solidFill>
                    <a:schemeClr val="dk1"/>
                  </a:solidFill>
                  <a:effectLst/>
                  <a:latin typeface="+mn-lt"/>
                  <a:ea typeface="+mn-ea"/>
                  <a:cs typeface="+mn-cs"/>
                </a:rPr>
                <a:t> = C *</a:t>
              </a:r>
              <a:r>
                <a:rPr lang="de-DE" sz="2000" b="0" baseline="0">
                  <a:solidFill>
                    <a:schemeClr val="dk1"/>
                  </a:solidFill>
                  <a:effectLst/>
                  <a:latin typeface="+mn-lt"/>
                  <a:ea typeface="+mn-ea"/>
                  <a:cs typeface="+mn-cs"/>
                </a:rPr>
                <a:t> </a:t>
              </a:r>
              <a:r>
                <a:rPr lang="de-DE" sz="2000" b="0" i="0">
                  <a:solidFill>
                    <a:schemeClr val="dk1"/>
                  </a:solidFill>
                  <a:effectLst/>
                  <a:latin typeface="Cambria Math" panose="02040503050406030204" pitchFamily="18" charset="0"/>
                  <a:ea typeface="+mn-ea"/>
                  <a:cs typeface="+mn-cs"/>
                </a:rPr>
                <a:t>((1+𝑖)</a:t>
              </a:r>
              <a:r>
                <a:rPr lang="de-DE" sz="2000" b="0" i="0" baseline="30000">
                  <a:solidFill>
                    <a:schemeClr val="dk1"/>
                  </a:solidFill>
                  <a:effectLst/>
                  <a:latin typeface="Cambria Math" panose="02040503050406030204" pitchFamily="18" charset="0"/>
                  <a:ea typeface="+mn-ea"/>
                  <a:cs typeface="+mn-cs"/>
                </a:rPr>
                <a:t>𝑛</a:t>
              </a:r>
              <a:r>
                <a:rPr lang="de-DE" sz="2000" b="0" i="0">
                  <a:solidFill>
                    <a:schemeClr val="dk1"/>
                  </a:solidFill>
                  <a:effectLst/>
                  <a:latin typeface="Cambria Math" panose="02040503050406030204" pitchFamily="18" charset="0"/>
                  <a:ea typeface="+mn-ea"/>
                  <a:cs typeface="+mn-cs"/>
                </a:rPr>
                <a:t> −1)/( 𝑖)</a:t>
              </a:r>
              <a:endParaRPr lang="de-DE" sz="20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de-DE" sz="2000">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2000" b="0" i="0" u="none" strike="noStrike" kern="0" cap="none" spc="0" normalizeH="0" baseline="0" noProof="0">
                  <a:ln>
                    <a:noFill/>
                  </a:ln>
                  <a:solidFill>
                    <a:prstClr val="black"/>
                  </a:solidFill>
                  <a:effectLst/>
                  <a:uLnTx/>
                  <a:uFillTx/>
                  <a:latin typeface="+mn-lt"/>
                  <a:ea typeface="+mn-ea"/>
                  <a:cs typeface="+mn-cs"/>
                </a:rPr>
                <a:t>K</a:t>
              </a:r>
              <a:r>
                <a:rPr kumimoji="0" lang="de-DE" sz="2000" b="0" i="0" u="none" strike="noStrike" kern="0" cap="none" spc="0" normalizeH="0" baseline="-25000" noProof="0">
                  <a:ln>
                    <a:noFill/>
                  </a:ln>
                  <a:solidFill>
                    <a:prstClr val="black"/>
                  </a:solidFill>
                  <a:effectLst/>
                  <a:uLnTx/>
                  <a:uFillTx/>
                  <a:latin typeface="+mn-lt"/>
                  <a:ea typeface="+mn-ea"/>
                  <a:cs typeface="+mn-cs"/>
                </a:rPr>
                <a:t>n</a:t>
              </a:r>
              <a:r>
                <a:rPr kumimoji="0" lang="de-DE" sz="2000" b="0" i="0" u="none" strike="noStrike" kern="0" cap="none" spc="0" normalizeH="0" baseline="0" noProof="0">
                  <a:ln>
                    <a:noFill/>
                  </a:ln>
                  <a:solidFill>
                    <a:prstClr val="black"/>
                  </a:solidFill>
                  <a:effectLst/>
                  <a:uLnTx/>
                  <a:uFillTx/>
                  <a:latin typeface="+mn-lt"/>
                  <a:ea typeface="+mn-ea"/>
                  <a:cs typeface="+mn-cs"/>
                </a:rPr>
                <a:t> = 15.000 € * </a:t>
              </a:r>
              <a:r>
                <a:rPr kumimoji="0" lang="de-DE" sz="20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((1+0,06)</a:t>
              </a:r>
              <a:r>
                <a:rPr kumimoji="0" lang="de-DE" sz="20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30</a:t>
              </a:r>
              <a:r>
                <a:rPr kumimoji="0" lang="de-DE" sz="20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−1)/( 0,06)</a:t>
              </a:r>
              <a:r>
                <a:rPr kumimoji="0" lang="de-DE" sz="2000" b="0" i="0" u="none" strike="noStrike" kern="0" cap="none" spc="0" normalizeH="0" baseline="0" noProof="0">
                  <a:ln>
                    <a:noFill/>
                  </a:ln>
                  <a:solidFill>
                    <a:prstClr val="black"/>
                  </a:solidFill>
                  <a:effectLst/>
                  <a:uLnTx/>
                  <a:uFillTx/>
                  <a:latin typeface="+mn-lt"/>
                  <a:ea typeface="+mn-ea"/>
                  <a:cs typeface="+mn-cs"/>
                </a:rPr>
                <a:t> = 1.185.872,79 €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20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20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2000" b="0" i="0" u="none" strike="noStrike" kern="0" cap="none" spc="0" normalizeH="0" baseline="0" noProof="0">
                <a:ln>
                  <a:noFill/>
                </a:ln>
                <a:solidFill>
                  <a:prstClr val="black"/>
                </a:solidFill>
                <a:effectLst/>
                <a:uLnTx/>
                <a:uFillTx/>
                <a:latin typeface="+mn-lt"/>
                <a:ea typeface="+mn-ea"/>
                <a:cs typeface="+mn-cs"/>
              </a:endParaRPr>
            </a:p>
            <a:p>
              <a:endParaRPr lang="de-DE" sz="2000"/>
            </a:p>
          </xdr:txBody>
        </xdr:sp>
      </mc:Fallback>
    </mc:AlternateContent>
    <xdr:clientData/>
  </xdr:twoCellAnchor>
  <xdr:oneCellAnchor>
    <xdr:from>
      <xdr:col>7</xdr:col>
      <xdr:colOff>809625</xdr:colOff>
      <xdr:row>26</xdr:row>
      <xdr:rowOff>9525</xdr:rowOff>
    </xdr:from>
    <xdr:ext cx="5619048" cy="3190476"/>
    <xdr:pic>
      <xdr:nvPicPr>
        <xdr:cNvPr id="3" name="Grafik 2">
          <a:extLst>
            <a:ext uri="{FF2B5EF4-FFF2-40B4-BE49-F238E27FC236}">
              <a16:creationId xmlns:a16="http://schemas.microsoft.com/office/drawing/2014/main" id="{68E733DD-5780-47C5-BB4F-EF466F8D71A4}"/>
            </a:ext>
          </a:extLst>
        </xdr:cNvPr>
        <xdr:cNvPicPr>
          <a:picLocks noChangeAspect="1"/>
        </xdr:cNvPicPr>
      </xdr:nvPicPr>
      <xdr:blipFill>
        <a:blip xmlns:r="http://schemas.openxmlformats.org/officeDocument/2006/relationships" r:embed="rId1"/>
        <a:stretch>
          <a:fillRect/>
        </a:stretch>
      </xdr:blipFill>
      <xdr:spPr>
        <a:xfrm>
          <a:off x="6096000" y="4962525"/>
          <a:ext cx="5619048" cy="3190476"/>
        </a:xfrm>
        <a:prstGeom prst="rect">
          <a:avLst/>
        </a:prstGeom>
      </xdr:spPr>
    </xdr:pic>
    <xdr:clientData/>
  </xdr:oneCellAnchor>
  <xdr:oneCellAnchor>
    <xdr:from>
      <xdr:col>15</xdr:col>
      <xdr:colOff>114300</xdr:colOff>
      <xdr:row>26</xdr:row>
      <xdr:rowOff>38100</xdr:rowOff>
    </xdr:from>
    <xdr:ext cx="5600000" cy="3133333"/>
    <xdr:pic>
      <xdr:nvPicPr>
        <xdr:cNvPr id="4" name="Grafik 3">
          <a:extLst>
            <a:ext uri="{FF2B5EF4-FFF2-40B4-BE49-F238E27FC236}">
              <a16:creationId xmlns:a16="http://schemas.microsoft.com/office/drawing/2014/main" id="{87706117-F8D5-434A-AF13-A779A91503D9}"/>
            </a:ext>
          </a:extLst>
        </xdr:cNvPr>
        <xdr:cNvPicPr>
          <a:picLocks noChangeAspect="1"/>
        </xdr:cNvPicPr>
      </xdr:nvPicPr>
      <xdr:blipFill>
        <a:blip xmlns:r="http://schemas.openxmlformats.org/officeDocument/2006/relationships" r:embed="rId2"/>
        <a:stretch>
          <a:fillRect/>
        </a:stretch>
      </xdr:blipFill>
      <xdr:spPr>
        <a:xfrm>
          <a:off x="11544300" y="4991100"/>
          <a:ext cx="5600000" cy="3133333"/>
        </a:xfrm>
        <a:prstGeom prst="rect">
          <a:avLst/>
        </a:prstGeom>
      </xdr:spPr>
    </xdr:pic>
    <xdr:clientData/>
  </xdr:oneCellAnchor>
  <xdr:twoCellAnchor>
    <xdr:from>
      <xdr:col>8</xdr:col>
      <xdr:colOff>0</xdr:colOff>
      <xdr:row>26</xdr:row>
      <xdr:rowOff>0</xdr:rowOff>
    </xdr:from>
    <xdr:to>
      <xdr:col>15</xdr:col>
      <xdr:colOff>76200</xdr:colOff>
      <xdr:row>27</xdr:row>
      <xdr:rowOff>104775</xdr:rowOff>
    </xdr:to>
    <xdr:sp macro="" textlink="">
      <xdr:nvSpPr>
        <xdr:cNvPr id="5" name="Textfeld 4">
          <a:extLst>
            <a:ext uri="{FF2B5EF4-FFF2-40B4-BE49-F238E27FC236}">
              <a16:creationId xmlns:a16="http://schemas.microsoft.com/office/drawing/2014/main" id="{A96E9213-1067-4E6F-8AEB-0F976BBE35FC}"/>
            </a:ext>
          </a:extLst>
        </xdr:cNvPr>
        <xdr:cNvSpPr txBox="1"/>
      </xdr:nvSpPr>
      <xdr:spPr>
        <a:xfrm>
          <a:off x="6096000" y="4953000"/>
          <a:ext cx="54102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t>Beispiel:</a:t>
          </a:r>
          <a:r>
            <a:rPr lang="de-DE" sz="1800" b="1" baseline="0"/>
            <a:t> Eingabe der Werte</a:t>
          </a:r>
          <a:endParaRPr lang="de-DE" sz="1800" b="1"/>
        </a:p>
      </xdr:txBody>
    </xdr:sp>
    <xdr:clientData/>
  </xdr:twoCellAnchor>
  <xdr:twoCellAnchor>
    <xdr:from>
      <xdr:col>15</xdr:col>
      <xdr:colOff>123825</xdr:colOff>
      <xdr:row>26</xdr:row>
      <xdr:rowOff>0</xdr:rowOff>
    </xdr:from>
    <xdr:to>
      <xdr:col>22</xdr:col>
      <xdr:colOff>361950</xdr:colOff>
      <xdr:row>27</xdr:row>
      <xdr:rowOff>104775</xdr:rowOff>
    </xdr:to>
    <xdr:sp macro="" textlink="">
      <xdr:nvSpPr>
        <xdr:cNvPr id="6" name="Textfeld 5">
          <a:extLst>
            <a:ext uri="{FF2B5EF4-FFF2-40B4-BE49-F238E27FC236}">
              <a16:creationId xmlns:a16="http://schemas.microsoft.com/office/drawing/2014/main" id="{67C624A6-5C37-46C8-AC06-2736D08014AF}"/>
            </a:ext>
          </a:extLst>
        </xdr:cNvPr>
        <xdr:cNvSpPr txBox="1"/>
      </xdr:nvSpPr>
      <xdr:spPr>
        <a:xfrm>
          <a:off x="11553825" y="4953000"/>
          <a:ext cx="55721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t>Beispiel:</a:t>
          </a:r>
          <a:r>
            <a:rPr lang="de-DE" sz="1800" b="1" baseline="0"/>
            <a:t> Eingabe der Zellen</a:t>
          </a:r>
          <a:endParaRPr lang="de-DE" sz="1800" b="1"/>
        </a:p>
      </xdr:txBody>
    </xdr:sp>
    <xdr:clientData/>
  </xdr:twoCellAnchor>
  <xdr:oneCellAnchor>
    <xdr:from>
      <xdr:col>8</xdr:col>
      <xdr:colOff>19050</xdr:colOff>
      <xdr:row>44</xdr:row>
      <xdr:rowOff>180975</xdr:rowOff>
    </xdr:from>
    <xdr:ext cx="5476190" cy="3333333"/>
    <xdr:pic>
      <xdr:nvPicPr>
        <xdr:cNvPr id="7" name="Grafik 6">
          <a:extLst>
            <a:ext uri="{FF2B5EF4-FFF2-40B4-BE49-F238E27FC236}">
              <a16:creationId xmlns:a16="http://schemas.microsoft.com/office/drawing/2014/main" id="{079DAEE9-44DC-4C4D-ADA0-4C5B89EB9AA0}"/>
            </a:ext>
          </a:extLst>
        </xdr:cNvPr>
        <xdr:cNvPicPr>
          <a:picLocks noChangeAspect="1"/>
        </xdr:cNvPicPr>
      </xdr:nvPicPr>
      <xdr:blipFill>
        <a:blip xmlns:r="http://schemas.openxmlformats.org/officeDocument/2006/relationships" r:embed="rId3"/>
        <a:stretch>
          <a:fillRect/>
        </a:stretch>
      </xdr:blipFill>
      <xdr:spPr>
        <a:xfrm>
          <a:off x="6115050" y="8562975"/>
          <a:ext cx="5476190" cy="3333333"/>
        </a:xfrm>
        <a:prstGeom prst="rect">
          <a:avLst/>
        </a:prstGeom>
      </xdr:spPr>
    </xdr:pic>
    <xdr:clientData/>
  </xdr:oneCellAnchor>
  <xdr:oneCellAnchor>
    <xdr:from>
      <xdr:col>15</xdr:col>
      <xdr:colOff>0</xdr:colOff>
      <xdr:row>44</xdr:row>
      <xdr:rowOff>161925</xdr:rowOff>
    </xdr:from>
    <xdr:ext cx="5438095" cy="3352381"/>
    <xdr:pic>
      <xdr:nvPicPr>
        <xdr:cNvPr id="8" name="Grafik 7">
          <a:extLst>
            <a:ext uri="{FF2B5EF4-FFF2-40B4-BE49-F238E27FC236}">
              <a16:creationId xmlns:a16="http://schemas.microsoft.com/office/drawing/2014/main" id="{3DF2B051-D44F-4968-A962-3D465296AAD9}"/>
            </a:ext>
          </a:extLst>
        </xdr:cNvPr>
        <xdr:cNvPicPr>
          <a:picLocks noChangeAspect="1"/>
        </xdr:cNvPicPr>
      </xdr:nvPicPr>
      <xdr:blipFill>
        <a:blip xmlns:r="http://schemas.openxmlformats.org/officeDocument/2006/relationships" r:embed="rId4"/>
        <a:stretch>
          <a:fillRect/>
        </a:stretch>
      </xdr:blipFill>
      <xdr:spPr>
        <a:xfrm>
          <a:off x="11430000" y="8543925"/>
          <a:ext cx="5438095" cy="3352381"/>
        </a:xfrm>
        <a:prstGeom prst="rect">
          <a:avLst/>
        </a:prstGeom>
      </xdr:spPr>
    </xdr:pic>
    <xdr:clientData/>
  </xdr:oneCellAnchor>
  <xdr:twoCellAnchor>
    <xdr:from>
      <xdr:col>7</xdr:col>
      <xdr:colOff>800101</xdr:colOff>
      <xdr:row>45</xdr:row>
      <xdr:rowOff>0</xdr:rowOff>
    </xdr:from>
    <xdr:to>
      <xdr:col>14</xdr:col>
      <xdr:colOff>752476</xdr:colOff>
      <xdr:row>46</xdr:row>
      <xdr:rowOff>104775</xdr:rowOff>
    </xdr:to>
    <xdr:sp macro="" textlink="">
      <xdr:nvSpPr>
        <xdr:cNvPr id="9" name="Textfeld 8">
          <a:extLst>
            <a:ext uri="{FF2B5EF4-FFF2-40B4-BE49-F238E27FC236}">
              <a16:creationId xmlns:a16="http://schemas.microsoft.com/office/drawing/2014/main" id="{90417422-3B20-47BE-A0AC-3C7F9E7B4C42}"/>
            </a:ext>
          </a:extLst>
        </xdr:cNvPr>
        <xdr:cNvSpPr txBox="1"/>
      </xdr:nvSpPr>
      <xdr:spPr>
        <a:xfrm>
          <a:off x="6096001" y="8572500"/>
          <a:ext cx="532447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t>Beispiel:</a:t>
          </a:r>
          <a:r>
            <a:rPr lang="de-DE" sz="1800" b="1" baseline="0"/>
            <a:t> Eingabe der Werte</a:t>
          </a:r>
          <a:endParaRPr lang="de-DE" sz="1800" b="1"/>
        </a:p>
      </xdr:txBody>
    </xdr:sp>
    <xdr:clientData/>
  </xdr:twoCellAnchor>
  <xdr:twoCellAnchor>
    <xdr:from>
      <xdr:col>15</xdr:col>
      <xdr:colOff>0</xdr:colOff>
      <xdr:row>44</xdr:row>
      <xdr:rowOff>180975</xdr:rowOff>
    </xdr:from>
    <xdr:to>
      <xdr:col>22</xdr:col>
      <xdr:colOff>238125</xdr:colOff>
      <xdr:row>46</xdr:row>
      <xdr:rowOff>95250</xdr:rowOff>
    </xdr:to>
    <xdr:sp macro="" textlink="">
      <xdr:nvSpPr>
        <xdr:cNvPr id="10" name="Textfeld 9">
          <a:extLst>
            <a:ext uri="{FF2B5EF4-FFF2-40B4-BE49-F238E27FC236}">
              <a16:creationId xmlns:a16="http://schemas.microsoft.com/office/drawing/2014/main" id="{2C7CA345-B436-4363-866E-211104D33E0A}"/>
            </a:ext>
          </a:extLst>
        </xdr:cNvPr>
        <xdr:cNvSpPr txBox="1"/>
      </xdr:nvSpPr>
      <xdr:spPr>
        <a:xfrm>
          <a:off x="11430000" y="8562975"/>
          <a:ext cx="55721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t>Beispiel:</a:t>
          </a:r>
          <a:r>
            <a:rPr lang="de-DE" sz="1800" b="1" baseline="0"/>
            <a:t> Eingabe der Zellen</a:t>
          </a:r>
          <a:endParaRPr lang="de-DE" sz="1800" b="1"/>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28575</xdr:colOff>
      <xdr:row>11</xdr:row>
      <xdr:rowOff>180975</xdr:rowOff>
    </xdr:from>
    <xdr:to>
      <xdr:col>5</xdr:col>
      <xdr:colOff>666750</xdr:colOff>
      <xdr:row>27</xdr:row>
      <xdr:rowOff>133351</xdr:rowOff>
    </xdr:to>
    <xdr:sp macro="" textlink="">
      <xdr:nvSpPr>
        <xdr:cNvPr id="2" name="Textfeld 1">
          <a:extLst>
            <a:ext uri="{FF2B5EF4-FFF2-40B4-BE49-F238E27FC236}">
              <a16:creationId xmlns:a16="http://schemas.microsoft.com/office/drawing/2014/main" id="{29C9104F-B58B-4433-A4DC-4DD577EE8B82}"/>
            </a:ext>
          </a:extLst>
        </xdr:cNvPr>
        <xdr:cNvSpPr txBox="1"/>
      </xdr:nvSpPr>
      <xdr:spPr>
        <a:xfrm>
          <a:off x="28575" y="2276475"/>
          <a:ext cx="4448175" cy="3000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In diesem Fall muss der umständliche Weg über die Einzeldiskontierung</a:t>
          </a:r>
          <a:r>
            <a:rPr lang="de-DE" sz="2000" baseline="0"/>
            <a:t> gegangen werden, da die Zahlungsreihe ungleiche Zahlungen </a:t>
          </a:r>
          <a:r>
            <a:rPr lang="de-DE" sz="2000" u="sng" baseline="0"/>
            <a:t>mit Lücken </a:t>
          </a:r>
          <a:r>
            <a:rPr lang="de-DE" sz="2000" baseline="0"/>
            <a:t>aufweist. Eine Anwendung des Rentenbarwertfaktors oder der BW-Funktion von </a:t>
          </a:r>
          <a:r>
            <a:rPr lang="de-DE" sz="2000" u="sng" baseline="0"/>
            <a:t>Excel ist nicht möglich</a:t>
          </a:r>
          <a:r>
            <a:rPr lang="de-DE" sz="2000" baseline="0"/>
            <a:t>! Da nach dem Gegenwartswert zum Zeitpunkt t</a:t>
          </a:r>
          <a:r>
            <a:rPr lang="de-DE" sz="2000" baseline="-25000"/>
            <a:t>0</a:t>
          </a:r>
          <a:r>
            <a:rPr lang="de-DE" sz="2000" baseline="0"/>
            <a:t> gefragt ist, muss eine Abzinsung erfolgen. </a:t>
          </a:r>
          <a:endParaRPr lang="de-DE" sz="2000"/>
        </a:p>
      </xdr:txBody>
    </xdr:sp>
    <xdr:clientData/>
  </xdr:twoCellAnchor>
  <xdr:twoCellAnchor>
    <xdr:from>
      <xdr:col>5</xdr:col>
      <xdr:colOff>733425</xdr:colOff>
      <xdr:row>0</xdr:row>
      <xdr:rowOff>123825</xdr:rowOff>
    </xdr:from>
    <xdr:to>
      <xdr:col>15</xdr:col>
      <xdr:colOff>85725</xdr:colOff>
      <xdr:row>13</xdr:row>
      <xdr:rowOff>161925</xdr:rowOff>
    </xdr:to>
    <xdr:sp macro="" textlink="">
      <xdr:nvSpPr>
        <xdr:cNvPr id="3" name="Textfeld 2">
          <a:extLst>
            <a:ext uri="{FF2B5EF4-FFF2-40B4-BE49-F238E27FC236}">
              <a16:creationId xmlns:a16="http://schemas.microsoft.com/office/drawing/2014/main" id="{BDCCD28A-7826-4645-B5B8-F216C0CDC95C}"/>
            </a:ext>
          </a:extLst>
        </xdr:cNvPr>
        <xdr:cNvSpPr txBox="1"/>
      </xdr:nvSpPr>
      <xdr:spPr>
        <a:xfrm>
          <a:off x="4543425" y="123825"/>
          <a:ext cx="6972300" cy="251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Lösung auf dem Papier:</a:t>
          </a:r>
          <a:r>
            <a:rPr lang="de-DE" sz="2000" baseline="0"/>
            <a:t> alle drei Cashflows einzeln abzinsen:</a:t>
          </a:r>
        </a:p>
        <a:p>
          <a:endParaRPr lang="de-DE" sz="2000" baseline="0"/>
        </a:p>
        <a:p>
          <a:r>
            <a:rPr lang="de-DE" sz="2000" baseline="0"/>
            <a:t>50.000 € * 1,06</a:t>
          </a:r>
          <a:r>
            <a:rPr lang="de-DE" sz="2000" baseline="30000"/>
            <a:t> -1 </a:t>
          </a:r>
          <a:r>
            <a:rPr lang="de-DE" sz="2000" baseline="0"/>
            <a:t>= 47.169,81 €</a:t>
          </a:r>
        </a:p>
        <a:p>
          <a:r>
            <a:rPr lang="de-DE" sz="2000" baseline="0"/>
            <a:t>70.000 € * 1,06 </a:t>
          </a:r>
          <a:r>
            <a:rPr lang="de-DE" sz="2000" baseline="30000"/>
            <a:t>-3 </a:t>
          </a:r>
          <a:r>
            <a:rPr lang="de-DE" sz="2000" baseline="0"/>
            <a:t>=58.773,35 €</a:t>
          </a:r>
        </a:p>
        <a:p>
          <a:r>
            <a:rPr lang="de-DE" sz="2000" baseline="0"/>
            <a:t>90.000 € * 1,06 </a:t>
          </a:r>
          <a:r>
            <a:rPr lang="de-DE" sz="2000" baseline="30000"/>
            <a:t>-5</a:t>
          </a:r>
          <a:r>
            <a:rPr lang="de-DE" sz="2000" baseline="0"/>
            <a:t> = 67.253,24 €</a:t>
          </a:r>
          <a:r>
            <a:rPr lang="de-DE" sz="2000" baseline="30000"/>
            <a:t> </a:t>
          </a:r>
        </a:p>
        <a:p>
          <a:endParaRPr lang="de-DE" sz="2000" baseline="30000"/>
        </a:p>
        <a:p>
          <a:r>
            <a:rPr lang="de-DE" sz="2000" baseline="0"/>
            <a:t>Summe der Einzelbarwerte der Cashflows: 173.196,40 €</a:t>
          </a:r>
        </a:p>
        <a:p>
          <a:endParaRPr lang="de-DE" sz="1100" baseline="30000"/>
        </a:p>
        <a:p>
          <a:endParaRPr lang="de-DE" sz="1100" baseline="300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6</xdr:col>
      <xdr:colOff>685800</xdr:colOff>
      <xdr:row>1</xdr:row>
      <xdr:rowOff>0</xdr:rowOff>
    </xdr:from>
    <xdr:to>
      <xdr:col>17</xdr:col>
      <xdr:colOff>266700</xdr:colOff>
      <xdr:row>32</xdr:row>
      <xdr:rowOff>123825</xdr:rowOff>
    </xdr:to>
    <mc:AlternateContent xmlns:mc="http://schemas.openxmlformats.org/markup-compatibility/2006">
      <mc:Choice xmlns:a14="http://schemas.microsoft.com/office/drawing/2010/main" Requires="a14">
        <xdr:sp macro="" textlink="">
          <xdr:nvSpPr>
            <xdr:cNvPr id="2" name="Rechteck 1">
              <a:extLst>
                <a:ext uri="{FF2B5EF4-FFF2-40B4-BE49-F238E27FC236}">
                  <a16:creationId xmlns:a16="http://schemas.microsoft.com/office/drawing/2014/main" id="{10E11D1E-E08F-46C7-B625-C0F8CFEBFCA0}"/>
                </a:ext>
              </a:extLst>
            </xdr:cNvPr>
            <xdr:cNvSpPr/>
          </xdr:nvSpPr>
          <xdr:spPr>
            <a:xfrm>
              <a:off x="5257800" y="190500"/>
              <a:ext cx="7962900" cy="6029325"/>
            </a:xfrm>
            <a:prstGeom prst="rect">
              <a:avLst/>
            </a:prstGeom>
            <a:solidFill>
              <a:schemeClr val="bg1"/>
            </a:solidFill>
          </xdr:spPr>
          <xdr:txBody>
            <a:bodyPr wrap="square">
              <a:noAutofit/>
            </a:bodyPr>
            <a:lstStyle>
              <a:defPPr>
                <a:defRPr lang="de-DE"/>
              </a:defPPr>
              <a:lvl1pPr algn="l" rtl="0" fontAlgn="base">
                <a:spcBef>
                  <a:spcPct val="0"/>
                </a:spcBef>
                <a:spcAft>
                  <a:spcPct val="0"/>
                </a:spcAft>
                <a:defRPr sz="2400" b="1" kern="1200">
                  <a:solidFill>
                    <a:schemeClr val="bg1"/>
                  </a:solidFill>
                  <a:latin typeface="Verdana" charset="0"/>
                  <a:ea typeface="MS Mincho" charset="0"/>
                  <a:cs typeface="MS Mincho" charset="0"/>
                </a:defRPr>
              </a:lvl1pPr>
              <a:lvl2pPr marL="457200" algn="l" rtl="0" fontAlgn="base">
                <a:spcBef>
                  <a:spcPct val="0"/>
                </a:spcBef>
                <a:spcAft>
                  <a:spcPct val="0"/>
                </a:spcAft>
                <a:defRPr sz="2400" b="1" kern="1200">
                  <a:solidFill>
                    <a:schemeClr val="bg1"/>
                  </a:solidFill>
                  <a:latin typeface="Verdana" charset="0"/>
                  <a:ea typeface="MS Mincho" charset="0"/>
                  <a:cs typeface="MS Mincho" charset="0"/>
                </a:defRPr>
              </a:lvl2pPr>
              <a:lvl3pPr marL="914400" algn="l" rtl="0" fontAlgn="base">
                <a:spcBef>
                  <a:spcPct val="0"/>
                </a:spcBef>
                <a:spcAft>
                  <a:spcPct val="0"/>
                </a:spcAft>
                <a:defRPr sz="2400" b="1" kern="1200">
                  <a:solidFill>
                    <a:schemeClr val="bg1"/>
                  </a:solidFill>
                  <a:latin typeface="Verdana" charset="0"/>
                  <a:ea typeface="MS Mincho" charset="0"/>
                  <a:cs typeface="MS Mincho" charset="0"/>
                </a:defRPr>
              </a:lvl3pPr>
              <a:lvl4pPr marL="1371600" algn="l" rtl="0" fontAlgn="base">
                <a:spcBef>
                  <a:spcPct val="0"/>
                </a:spcBef>
                <a:spcAft>
                  <a:spcPct val="0"/>
                </a:spcAft>
                <a:defRPr sz="2400" b="1" kern="1200">
                  <a:solidFill>
                    <a:schemeClr val="bg1"/>
                  </a:solidFill>
                  <a:latin typeface="Verdana" charset="0"/>
                  <a:ea typeface="MS Mincho" charset="0"/>
                  <a:cs typeface="MS Mincho" charset="0"/>
                </a:defRPr>
              </a:lvl4pPr>
              <a:lvl5pPr marL="1828800" algn="l" rtl="0" fontAlgn="base">
                <a:spcBef>
                  <a:spcPct val="0"/>
                </a:spcBef>
                <a:spcAft>
                  <a:spcPct val="0"/>
                </a:spcAft>
                <a:defRPr sz="2400" b="1" kern="1200">
                  <a:solidFill>
                    <a:schemeClr val="bg1"/>
                  </a:solidFill>
                  <a:latin typeface="Verdana" charset="0"/>
                  <a:ea typeface="MS Mincho" charset="0"/>
                  <a:cs typeface="MS Mincho" charset="0"/>
                </a:defRPr>
              </a:lvl5pPr>
              <a:lvl6pPr marL="2286000" algn="l" defTabSz="457200" rtl="0" eaLnBrk="1" latinLnBrk="0" hangingPunct="1">
                <a:defRPr sz="2400" b="1" kern="1200">
                  <a:solidFill>
                    <a:schemeClr val="bg1"/>
                  </a:solidFill>
                  <a:latin typeface="Verdana" charset="0"/>
                  <a:ea typeface="MS Mincho" charset="0"/>
                  <a:cs typeface="MS Mincho" charset="0"/>
                </a:defRPr>
              </a:lvl6pPr>
              <a:lvl7pPr marL="2743200" algn="l" defTabSz="457200" rtl="0" eaLnBrk="1" latinLnBrk="0" hangingPunct="1">
                <a:defRPr sz="2400" b="1" kern="1200">
                  <a:solidFill>
                    <a:schemeClr val="bg1"/>
                  </a:solidFill>
                  <a:latin typeface="Verdana" charset="0"/>
                  <a:ea typeface="MS Mincho" charset="0"/>
                  <a:cs typeface="MS Mincho" charset="0"/>
                </a:defRPr>
              </a:lvl7pPr>
              <a:lvl8pPr marL="3200400" algn="l" defTabSz="457200" rtl="0" eaLnBrk="1" latinLnBrk="0" hangingPunct="1">
                <a:defRPr sz="2400" b="1" kern="1200">
                  <a:solidFill>
                    <a:schemeClr val="bg1"/>
                  </a:solidFill>
                  <a:latin typeface="Verdana" charset="0"/>
                  <a:ea typeface="MS Mincho" charset="0"/>
                  <a:cs typeface="MS Mincho" charset="0"/>
                </a:defRPr>
              </a:lvl8pPr>
              <a:lvl9pPr marL="3657600" algn="l" defTabSz="457200" rtl="0" eaLnBrk="1" latinLnBrk="0" hangingPunct="1">
                <a:defRPr sz="2400" b="1" kern="1200">
                  <a:solidFill>
                    <a:schemeClr val="bg1"/>
                  </a:solidFill>
                  <a:latin typeface="Verdana" charset="0"/>
                  <a:ea typeface="MS Mincho" charset="0"/>
                  <a:cs typeface="MS Mincho" charset="0"/>
                </a:defRPr>
              </a:lvl9pPr>
            </a:lstStyle>
            <a:p>
              <a:r>
                <a:rPr lang="de-DE" b="0">
                  <a:solidFill>
                    <a:schemeClr val="tx1"/>
                  </a:solidFill>
                </a:rPr>
                <a:t>Lösung auf dem Papier:</a:t>
              </a:r>
            </a:p>
            <a:p>
              <a:endParaRPr lang="de-DE" b="0">
                <a:solidFill>
                  <a:schemeClr val="tx1"/>
                </a:solidFill>
              </a:endParaRPr>
            </a:p>
            <a:p>
              <a:r>
                <a:rPr lang="de-DE" b="0">
                  <a:solidFill>
                    <a:schemeClr val="tx1"/>
                  </a:solidFill>
                </a:rPr>
                <a:t>a)	BW</a:t>
              </a:r>
              <a:r>
                <a:rPr lang="de-DE" b="0" baseline="-25000">
                  <a:solidFill>
                    <a:schemeClr val="tx1"/>
                  </a:solidFill>
                </a:rPr>
                <a:t>0</a:t>
              </a:r>
              <a:r>
                <a:rPr lang="de-DE" b="0">
                  <a:solidFill>
                    <a:schemeClr val="tx1"/>
                  </a:solidFill>
                </a:rPr>
                <a:t> = </a:t>
              </a:r>
              <a14:m>
                <m:oMath xmlns:m="http://schemas.openxmlformats.org/officeDocument/2006/math">
                  <m:r>
                    <a:rPr lang="de-DE" b="0" i="1">
                      <a:solidFill>
                        <a:schemeClr val="tx1"/>
                      </a:solidFill>
                      <a:latin typeface="Cambria Math" panose="02040503050406030204" pitchFamily="18" charset="0"/>
                    </a:rPr>
                    <m:t>100 € </m:t>
                  </m:r>
                  <m:r>
                    <a:rPr lang="de-DE" b="0" i="1">
                      <a:solidFill>
                        <a:schemeClr val="tx1"/>
                      </a:solidFill>
                      <a:latin typeface="Cambria Math" panose="02040503050406030204" pitchFamily="18" charset="0"/>
                    </a:rPr>
                    <m:t>𝑥</m:t>
                  </m:r>
                  <m:r>
                    <a:rPr lang="de-DE" b="0" i="1">
                      <a:solidFill>
                        <a:schemeClr val="tx1"/>
                      </a:solidFill>
                      <a:latin typeface="Cambria Math" panose="02040503050406030204" pitchFamily="18" charset="0"/>
                    </a:rPr>
                    <m:t> </m:t>
                  </m:r>
                  <m:f>
                    <m:fPr>
                      <m:ctrlPr>
                        <a:rPr lang="de-DE" b="0" i="1">
                          <a:solidFill>
                            <a:schemeClr val="tx1"/>
                          </a:solidFill>
                          <a:latin typeface="Cambria Math" panose="02040503050406030204" pitchFamily="18" charset="0"/>
                        </a:rPr>
                      </m:ctrlPr>
                    </m:fPr>
                    <m:num>
                      <m:d>
                        <m:dPr>
                          <m:ctrlPr>
                            <a:rPr lang="de-DE" b="0" i="1">
                              <a:solidFill>
                                <a:schemeClr val="tx1"/>
                              </a:solidFill>
                              <a:latin typeface="Cambria Math" panose="02040503050406030204" pitchFamily="18" charset="0"/>
                            </a:rPr>
                          </m:ctrlPr>
                        </m:dPr>
                        <m:e>
                          <m:r>
                            <a:rPr lang="de-DE" b="0" i="1">
                              <a:solidFill>
                                <a:schemeClr val="tx1"/>
                              </a:solidFill>
                              <a:latin typeface="Cambria Math" panose="02040503050406030204" pitchFamily="18" charset="0"/>
                            </a:rPr>
                            <m:t>1,03</m:t>
                          </m:r>
                        </m:e>
                      </m:d>
                      <m:r>
                        <a:rPr lang="de-DE" b="0" i="1" baseline="30000">
                          <a:solidFill>
                            <a:schemeClr val="tx1"/>
                          </a:solidFill>
                          <a:latin typeface="Cambria Math" panose="02040503050406030204" pitchFamily="18" charset="0"/>
                        </a:rPr>
                        <m:t>3 </m:t>
                      </m:r>
                      <m:r>
                        <a:rPr lang="de-DE" b="0" i="1">
                          <a:solidFill>
                            <a:schemeClr val="tx1"/>
                          </a:solidFill>
                          <a:latin typeface="Cambria Math" panose="02040503050406030204" pitchFamily="18" charset="0"/>
                        </a:rPr>
                        <m:t>−1</m:t>
                      </m:r>
                    </m:num>
                    <m:den>
                      <m:d>
                        <m:dPr>
                          <m:ctrlPr>
                            <a:rPr lang="de-DE" b="0" i="1">
                              <a:solidFill>
                                <a:schemeClr val="tx1"/>
                              </a:solidFill>
                              <a:latin typeface="Cambria Math" panose="02040503050406030204" pitchFamily="18" charset="0"/>
                            </a:rPr>
                          </m:ctrlPr>
                        </m:dPr>
                        <m:e>
                          <m:r>
                            <a:rPr lang="de-DE" b="0" i="1">
                              <a:solidFill>
                                <a:schemeClr val="tx1"/>
                              </a:solidFill>
                              <a:latin typeface="Cambria Math" panose="02040503050406030204" pitchFamily="18" charset="0"/>
                            </a:rPr>
                            <m:t>1,03</m:t>
                          </m:r>
                        </m:e>
                      </m:d>
                      <m:r>
                        <a:rPr lang="de-DE" b="0" i="1" baseline="30000">
                          <a:solidFill>
                            <a:schemeClr val="tx1"/>
                          </a:solidFill>
                          <a:latin typeface="Cambria Math" panose="02040503050406030204" pitchFamily="18" charset="0"/>
                        </a:rPr>
                        <m:t>3</m:t>
                      </m:r>
                      <m:r>
                        <a:rPr lang="de-DE" b="0" i="1">
                          <a:solidFill>
                            <a:schemeClr val="tx1"/>
                          </a:solidFill>
                          <a:latin typeface="Cambria Math" panose="02040503050406030204" pitchFamily="18" charset="0"/>
                        </a:rPr>
                        <m:t> </m:t>
                      </m:r>
                      <m:r>
                        <a:rPr lang="de-DE" b="0" i="1">
                          <a:solidFill>
                            <a:schemeClr val="tx1"/>
                          </a:solidFill>
                          <a:latin typeface="Cambria Math" panose="02040503050406030204" pitchFamily="18" charset="0"/>
                        </a:rPr>
                        <m:t>𝑥</m:t>
                      </m:r>
                      <m:r>
                        <a:rPr lang="de-DE" b="0" i="1">
                          <a:solidFill>
                            <a:schemeClr val="tx1"/>
                          </a:solidFill>
                          <a:latin typeface="Cambria Math" panose="02040503050406030204" pitchFamily="18" charset="0"/>
                        </a:rPr>
                        <m:t> 0,03</m:t>
                      </m:r>
                    </m:den>
                  </m:f>
                  <m:r>
                    <a:rPr lang="de-DE" b="0" i="1">
                      <a:solidFill>
                        <a:schemeClr val="tx1"/>
                      </a:solidFill>
                      <a:latin typeface="Cambria Math" panose="02040503050406030204" pitchFamily="18" charset="0"/>
                    </a:rPr>
                    <m:t>+5.000€ </m:t>
                  </m:r>
                  <m:r>
                    <a:rPr lang="de-DE" b="0" i="1">
                      <a:solidFill>
                        <a:schemeClr val="tx1"/>
                      </a:solidFill>
                      <a:latin typeface="Cambria Math" panose="02040503050406030204" pitchFamily="18" charset="0"/>
                    </a:rPr>
                    <m:t>𝑥</m:t>
                  </m:r>
                  <m:r>
                    <a:rPr lang="de-DE" b="0" i="1">
                      <a:solidFill>
                        <a:schemeClr val="tx1"/>
                      </a:solidFill>
                      <a:latin typeface="Cambria Math" panose="02040503050406030204" pitchFamily="18" charset="0"/>
                    </a:rPr>
                    <m:t> </m:t>
                  </m:r>
                  <m:d>
                    <m:dPr>
                      <m:ctrlPr>
                        <a:rPr lang="de-DE" b="0" i="1">
                          <a:solidFill>
                            <a:schemeClr val="tx1"/>
                          </a:solidFill>
                          <a:latin typeface="Cambria Math" panose="02040503050406030204" pitchFamily="18" charset="0"/>
                        </a:rPr>
                      </m:ctrlPr>
                    </m:dPr>
                    <m:e>
                      <m:r>
                        <a:rPr lang="de-DE" b="0" i="1">
                          <a:solidFill>
                            <a:schemeClr val="tx1"/>
                          </a:solidFill>
                          <a:latin typeface="Cambria Math" panose="02040503050406030204" pitchFamily="18" charset="0"/>
                        </a:rPr>
                        <m:t>1,03</m:t>
                      </m:r>
                    </m:e>
                  </m:d>
                </m:oMath>
              </a14:m>
              <a:r>
                <a:rPr lang="de-DE" baseline="30000">
                  <a:solidFill>
                    <a:schemeClr val="tx1"/>
                  </a:solidFill>
                </a:rPr>
                <a:t>-3</a:t>
              </a:r>
            </a:p>
            <a:p>
              <a:endParaRPr lang="de-DE" sz="2800" baseline="30000">
                <a:solidFill>
                  <a:schemeClr val="tx1"/>
                </a:solidFill>
              </a:endParaRPr>
            </a:p>
            <a:p>
              <a:r>
                <a:rPr lang="de-DE" sz="2800" baseline="30000"/>
                <a:t>			</a:t>
              </a:r>
              <a:r>
                <a:rPr lang="de-DE" sz="3200" baseline="30000">
                  <a:solidFill>
                    <a:schemeClr val="tx1"/>
                  </a:solidFill>
                </a:rPr>
                <a:t>= </a:t>
              </a:r>
              <a:r>
                <a:rPr lang="de-DE" sz="3200" baseline="30000">
                  <a:solidFill>
                    <a:sysClr val="windowText" lastClr="000000"/>
                  </a:solidFill>
                </a:rPr>
                <a:t>4.858,57 €</a:t>
              </a:r>
            </a:p>
            <a:p>
              <a:endParaRPr lang="de-DE" sz="3200" baseline="30000">
                <a:solidFill>
                  <a:schemeClr val="accent1"/>
                </a:solidFill>
              </a:endParaRPr>
            </a:p>
            <a:p>
              <a:r>
                <a:rPr lang="de-DE" sz="2400" baseline="30000">
                  <a:solidFill>
                    <a:schemeClr val="tx1"/>
                  </a:solidFill>
                </a:rPr>
                <a:t>Kurs: 4858,57 * 100/5000</a:t>
              </a:r>
              <a:r>
                <a:rPr lang="de-DE" sz="2400" baseline="0">
                  <a:solidFill>
                    <a:schemeClr val="tx1"/>
                  </a:solidFill>
                </a:rPr>
                <a:t> = 97,17%</a:t>
              </a:r>
            </a:p>
            <a:p>
              <a:endParaRPr lang="de-DE" sz="2400" baseline="0">
                <a:solidFill>
                  <a:schemeClr val="tx1"/>
                </a:solidFill>
              </a:endParaRPr>
            </a:p>
            <a:p>
              <a:endParaRPr lang="de-DE" sz="2400" baseline="0">
                <a:solidFill>
                  <a:schemeClr val="tx1"/>
                </a:solidFill>
              </a:endParaRPr>
            </a:p>
            <a:p>
              <a:r>
                <a:rPr lang="de-DE" sz="2400" b="0" baseline="0">
                  <a:solidFill>
                    <a:schemeClr val="tx1"/>
                  </a:solidFill>
                </a:rPr>
                <a:t>b) i</a:t>
              </a:r>
              <a:r>
                <a:rPr lang="de-DE" sz="2400" b="0" baseline="-25000">
                  <a:solidFill>
                    <a:schemeClr val="tx1"/>
                  </a:solidFill>
                </a:rPr>
                <a:t>eff</a:t>
              </a:r>
              <a:r>
                <a:rPr lang="de-DE" sz="2400" b="0" baseline="0">
                  <a:solidFill>
                    <a:schemeClr val="tx1"/>
                  </a:solidFill>
                </a:rPr>
                <a:t> = </a:t>
              </a:r>
              <a14:m>
                <m:oMath xmlns:m="http://schemas.openxmlformats.org/officeDocument/2006/math">
                  <m:f>
                    <m:fPr>
                      <m:ctrlPr>
                        <a:rPr lang="de-DE" sz="2400" b="0" i="1" baseline="0">
                          <a:solidFill>
                            <a:schemeClr val="tx1"/>
                          </a:solidFill>
                          <a:latin typeface="Cambria Math" panose="02040503050406030204" pitchFamily="18" charset="0"/>
                        </a:rPr>
                      </m:ctrlPr>
                    </m:fPr>
                    <m:num>
                      <m:r>
                        <a:rPr lang="de-DE" sz="2400" b="0" i="1" baseline="0">
                          <a:solidFill>
                            <a:schemeClr val="tx1"/>
                          </a:solidFill>
                          <a:latin typeface="Cambria Math" panose="02040503050406030204" pitchFamily="18" charset="0"/>
                        </a:rPr>
                        <m:t>2+ </m:t>
                      </m:r>
                      <m:f>
                        <m:fPr>
                          <m:ctrlPr>
                            <a:rPr lang="de-DE" sz="2400" b="0" i="1" baseline="0">
                              <a:solidFill>
                                <a:schemeClr val="tx1"/>
                              </a:solidFill>
                              <a:latin typeface="Cambria Math" panose="02040503050406030204" pitchFamily="18" charset="0"/>
                            </a:rPr>
                          </m:ctrlPr>
                        </m:fPr>
                        <m:num>
                          <m:r>
                            <a:rPr lang="de-DE" sz="2400" b="0" i="1" baseline="0">
                              <a:solidFill>
                                <a:schemeClr val="tx1"/>
                              </a:solidFill>
                              <a:latin typeface="Cambria Math" panose="02040503050406030204" pitchFamily="18" charset="0"/>
                            </a:rPr>
                            <m:t>100−97,17</m:t>
                          </m:r>
                        </m:num>
                        <m:den>
                          <m:r>
                            <a:rPr lang="de-DE" sz="2400" b="0" i="1" baseline="0">
                              <a:solidFill>
                                <a:schemeClr val="tx1"/>
                              </a:solidFill>
                              <a:latin typeface="Cambria Math" panose="02040503050406030204" pitchFamily="18" charset="0"/>
                            </a:rPr>
                            <m:t>3</m:t>
                          </m:r>
                        </m:den>
                      </m:f>
                    </m:num>
                    <m:den>
                      <m:r>
                        <a:rPr lang="de-DE" sz="2400" b="0" i="1" baseline="0">
                          <a:solidFill>
                            <a:schemeClr val="tx1"/>
                          </a:solidFill>
                          <a:latin typeface="Cambria Math" panose="02040503050406030204" pitchFamily="18" charset="0"/>
                        </a:rPr>
                        <m:t>97,17</m:t>
                      </m:r>
                    </m:den>
                  </m:f>
                </m:oMath>
              </a14:m>
              <a:r>
                <a:rPr lang="de-DE" sz="2400" b="0" baseline="30000">
                  <a:solidFill>
                    <a:schemeClr val="tx1"/>
                  </a:solidFill>
                </a:rPr>
                <a:t> x 100 = </a:t>
              </a:r>
              <a14:m>
                <m:oMath xmlns:m="http://schemas.openxmlformats.org/officeDocument/2006/math">
                  <m:f>
                    <m:fPr>
                      <m:ctrlPr>
                        <a:rPr kumimoji="0" lang="de-DE" sz="24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4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2,94</m:t>
                      </m:r>
                    </m:num>
                    <m:den>
                      <m:r>
                        <a:rPr kumimoji="0" lang="de-DE" sz="24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97,17</m:t>
                      </m:r>
                    </m:den>
                  </m:f>
                </m:oMath>
              </a14:m>
              <a:r>
                <a:rPr kumimoji="0" lang="de-DE" sz="2400" b="0" i="0" u="none" strike="noStrike" kern="0" cap="none" spc="0" normalizeH="0" baseline="30000" noProof="0">
                  <a:ln>
                    <a:noFill/>
                  </a:ln>
                  <a:solidFill>
                    <a:prstClr val="black"/>
                  </a:solidFill>
                  <a:effectLst/>
                  <a:uLnTx/>
                  <a:uFillTx/>
                  <a:latin typeface="Calibri" panose="020F0502020204030204"/>
                  <a:ea typeface="+mn-ea"/>
                  <a:cs typeface="+mn-cs"/>
                </a:rPr>
                <a:t> x</a:t>
              </a:r>
              <a:r>
                <a:rPr kumimoji="0" lang="de-DE" sz="2400" b="0" i="0" u="none" strike="noStrike" kern="0" cap="none" spc="0" normalizeH="0" baseline="0" noProof="0">
                  <a:ln>
                    <a:noFill/>
                  </a:ln>
                  <a:solidFill>
                    <a:prstClr val="black"/>
                  </a:solidFill>
                  <a:effectLst/>
                  <a:uLnTx/>
                  <a:uFillTx/>
                  <a:latin typeface="Calibri" panose="020F0502020204030204"/>
                  <a:ea typeface="+mn-ea"/>
                  <a:cs typeface="+mn-cs"/>
                </a:rPr>
                <a:t> 100 = </a:t>
              </a:r>
              <a:r>
                <a:rPr kumimoji="0" lang="de-DE" sz="2400" b="1" i="0" u="none" strike="noStrike" kern="0" cap="none" spc="0" normalizeH="0" baseline="0" noProof="0">
                  <a:ln>
                    <a:noFill/>
                  </a:ln>
                  <a:solidFill>
                    <a:prstClr val="black"/>
                  </a:solidFill>
                  <a:effectLst/>
                  <a:uLnTx/>
                  <a:uFillTx/>
                  <a:latin typeface="Calibri" panose="020F0502020204030204"/>
                  <a:ea typeface="+mn-ea"/>
                  <a:cs typeface="+mn-cs"/>
                </a:rPr>
                <a:t>3,03 %</a:t>
              </a:r>
              <a:endParaRPr lang="de-DE" sz="2400" b="1" baseline="30000">
                <a:solidFill>
                  <a:schemeClr val="tx1"/>
                </a:solidFill>
              </a:endParaRPr>
            </a:p>
          </xdr:txBody>
        </xdr:sp>
      </mc:Choice>
      <mc:Fallback>
        <xdr:sp macro="" textlink="">
          <xdr:nvSpPr>
            <xdr:cNvPr id="2" name="Rechteck 1">
              <a:extLst>
                <a:ext uri="{FF2B5EF4-FFF2-40B4-BE49-F238E27FC236}">
                  <a16:creationId xmlns:a16="http://schemas.microsoft.com/office/drawing/2014/main" id="{10E11D1E-E08F-46C7-B625-C0F8CFEBFCA0}"/>
                </a:ext>
              </a:extLst>
            </xdr:cNvPr>
            <xdr:cNvSpPr/>
          </xdr:nvSpPr>
          <xdr:spPr>
            <a:xfrm>
              <a:off x="5257800" y="190500"/>
              <a:ext cx="7962900" cy="6029325"/>
            </a:xfrm>
            <a:prstGeom prst="rect">
              <a:avLst/>
            </a:prstGeom>
            <a:solidFill>
              <a:schemeClr val="bg1"/>
            </a:solidFill>
          </xdr:spPr>
          <xdr:txBody>
            <a:bodyPr wrap="square">
              <a:noAutofit/>
            </a:bodyPr>
            <a:lstStyle>
              <a:defPPr>
                <a:defRPr lang="de-DE"/>
              </a:defPPr>
              <a:lvl1pPr algn="l" rtl="0" fontAlgn="base">
                <a:spcBef>
                  <a:spcPct val="0"/>
                </a:spcBef>
                <a:spcAft>
                  <a:spcPct val="0"/>
                </a:spcAft>
                <a:defRPr sz="2400" b="1" kern="1200">
                  <a:solidFill>
                    <a:schemeClr val="bg1"/>
                  </a:solidFill>
                  <a:latin typeface="Verdana" charset="0"/>
                  <a:ea typeface="MS Mincho" charset="0"/>
                  <a:cs typeface="MS Mincho" charset="0"/>
                </a:defRPr>
              </a:lvl1pPr>
              <a:lvl2pPr marL="457200" algn="l" rtl="0" fontAlgn="base">
                <a:spcBef>
                  <a:spcPct val="0"/>
                </a:spcBef>
                <a:spcAft>
                  <a:spcPct val="0"/>
                </a:spcAft>
                <a:defRPr sz="2400" b="1" kern="1200">
                  <a:solidFill>
                    <a:schemeClr val="bg1"/>
                  </a:solidFill>
                  <a:latin typeface="Verdana" charset="0"/>
                  <a:ea typeface="MS Mincho" charset="0"/>
                  <a:cs typeface="MS Mincho" charset="0"/>
                </a:defRPr>
              </a:lvl2pPr>
              <a:lvl3pPr marL="914400" algn="l" rtl="0" fontAlgn="base">
                <a:spcBef>
                  <a:spcPct val="0"/>
                </a:spcBef>
                <a:spcAft>
                  <a:spcPct val="0"/>
                </a:spcAft>
                <a:defRPr sz="2400" b="1" kern="1200">
                  <a:solidFill>
                    <a:schemeClr val="bg1"/>
                  </a:solidFill>
                  <a:latin typeface="Verdana" charset="0"/>
                  <a:ea typeface="MS Mincho" charset="0"/>
                  <a:cs typeface="MS Mincho" charset="0"/>
                </a:defRPr>
              </a:lvl3pPr>
              <a:lvl4pPr marL="1371600" algn="l" rtl="0" fontAlgn="base">
                <a:spcBef>
                  <a:spcPct val="0"/>
                </a:spcBef>
                <a:spcAft>
                  <a:spcPct val="0"/>
                </a:spcAft>
                <a:defRPr sz="2400" b="1" kern="1200">
                  <a:solidFill>
                    <a:schemeClr val="bg1"/>
                  </a:solidFill>
                  <a:latin typeface="Verdana" charset="0"/>
                  <a:ea typeface="MS Mincho" charset="0"/>
                  <a:cs typeface="MS Mincho" charset="0"/>
                </a:defRPr>
              </a:lvl4pPr>
              <a:lvl5pPr marL="1828800" algn="l" rtl="0" fontAlgn="base">
                <a:spcBef>
                  <a:spcPct val="0"/>
                </a:spcBef>
                <a:spcAft>
                  <a:spcPct val="0"/>
                </a:spcAft>
                <a:defRPr sz="2400" b="1" kern="1200">
                  <a:solidFill>
                    <a:schemeClr val="bg1"/>
                  </a:solidFill>
                  <a:latin typeface="Verdana" charset="0"/>
                  <a:ea typeface="MS Mincho" charset="0"/>
                  <a:cs typeface="MS Mincho" charset="0"/>
                </a:defRPr>
              </a:lvl5pPr>
              <a:lvl6pPr marL="2286000" algn="l" defTabSz="457200" rtl="0" eaLnBrk="1" latinLnBrk="0" hangingPunct="1">
                <a:defRPr sz="2400" b="1" kern="1200">
                  <a:solidFill>
                    <a:schemeClr val="bg1"/>
                  </a:solidFill>
                  <a:latin typeface="Verdana" charset="0"/>
                  <a:ea typeface="MS Mincho" charset="0"/>
                  <a:cs typeface="MS Mincho" charset="0"/>
                </a:defRPr>
              </a:lvl6pPr>
              <a:lvl7pPr marL="2743200" algn="l" defTabSz="457200" rtl="0" eaLnBrk="1" latinLnBrk="0" hangingPunct="1">
                <a:defRPr sz="2400" b="1" kern="1200">
                  <a:solidFill>
                    <a:schemeClr val="bg1"/>
                  </a:solidFill>
                  <a:latin typeface="Verdana" charset="0"/>
                  <a:ea typeface="MS Mincho" charset="0"/>
                  <a:cs typeface="MS Mincho" charset="0"/>
                </a:defRPr>
              </a:lvl7pPr>
              <a:lvl8pPr marL="3200400" algn="l" defTabSz="457200" rtl="0" eaLnBrk="1" latinLnBrk="0" hangingPunct="1">
                <a:defRPr sz="2400" b="1" kern="1200">
                  <a:solidFill>
                    <a:schemeClr val="bg1"/>
                  </a:solidFill>
                  <a:latin typeface="Verdana" charset="0"/>
                  <a:ea typeface="MS Mincho" charset="0"/>
                  <a:cs typeface="MS Mincho" charset="0"/>
                </a:defRPr>
              </a:lvl8pPr>
              <a:lvl9pPr marL="3657600" algn="l" defTabSz="457200" rtl="0" eaLnBrk="1" latinLnBrk="0" hangingPunct="1">
                <a:defRPr sz="2400" b="1" kern="1200">
                  <a:solidFill>
                    <a:schemeClr val="bg1"/>
                  </a:solidFill>
                  <a:latin typeface="Verdana" charset="0"/>
                  <a:ea typeface="MS Mincho" charset="0"/>
                  <a:cs typeface="MS Mincho" charset="0"/>
                </a:defRPr>
              </a:lvl9pPr>
            </a:lstStyle>
            <a:p>
              <a:r>
                <a:rPr lang="de-DE" b="0">
                  <a:solidFill>
                    <a:schemeClr val="tx1"/>
                  </a:solidFill>
                </a:rPr>
                <a:t>Lösung auf dem Papier:</a:t>
              </a:r>
            </a:p>
            <a:p>
              <a:endParaRPr lang="de-DE" b="0">
                <a:solidFill>
                  <a:schemeClr val="tx1"/>
                </a:solidFill>
              </a:endParaRPr>
            </a:p>
            <a:p>
              <a:r>
                <a:rPr lang="de-DE" b="0">
                  <a:solidFill>
                    <a:schemeClr val="tx1"/>
                  </a:solidFill>
                </a:rPr>
                <a:t>a)	BW</a:t>
              </a:r>
              <a:r>
                <a:rPr lang="de-DE" b="0" baseline="-25000">
                  <a:solidFill>
                    <a:schemeClr val="tx1"/>
                  </a:solidFill>
                </a:rPr>
                <a:t>0</a:t>
              </a:r>
              <a:r>
                <a:rPr lang="de-DE" b="0">
                  <a:solidFill>
                    <a:schemeClr val="tx1"/>
                  </a:solidFill>
                </a:rPr>
                <a:t> = </a:t>
              </a:r>
              <a:r>
                <a:rPr lang="de-DE" b="0" i="0">
                  <a:solidFill>
                    <a:schemeClr val="tx1"/>
                  </a:solidFill>
                  <a:latin typeface="Cambria Math" panose="02040503050406030204" pitchFamily="18" charset="0"/>
                </a:rPr>
                <a:t>100 € 𝑥  ((1,03)</a:t>
              </a:r>
              <a:r>
                <a:rPr lang="de-DE" b="0" i="0" baseline="30000">
                  <a:solidFill>
                    <a:schemeClr val="tx1"/>
                  </a:solidFill>
                  <a:latin typeface="Cambria Math" panose="02040503050406030204" pitchFamily="18" charset="0"/>
                </a:rPr>
                <a:t>3 </a:t>
              </a:r>
              <a:r>
                <a:rPr lang="de-DE" b="0" i="0">
                  <a:solidFill>
                    <a:schemeClr val="tx1"/>
                  </a:solidFill>
                  <a:latin typeface="Cambria Math" panose="02040503050406030204" pitchFamily="18" charset="0"/>
                </a:rPr>
                <a:t>−1)/((1,03)</a:t>
              </a:r>
              <a:r>
                <a:rPr lang="de-DE" b="0" i="0" baseline="30000">
                  <a:solidFill>
                    <a:schemeClr val="tx1"/>
                  </a:solidFill>
                  <a:latin typeface="Cambria Math" panose="02040503050406030204" pitchFamily="18" charset="0"/>
                </a:rPr>
                <a:t>3</a:t>
              </a:r>
              <a:r>
                <a:rPr lang="de-DE" b="0" i="0">
                  <a:solidFill>
                    <a:schemeClr val="tx1"/>
                  </a:solidFill>
                  <a:latin typeface="Cambria Math" panose="02040503050406030204" pitchFamily="18" charset="0"/>
                </a:rPr>
                <a:t> 𝑥 0,03)+5.000€ 𝑥 (1,03)</a:t>
              </a:r>
              <a:r>
                <a:rPr lang="de-DE" baseline="30000">
                  <a:solidFill>
                    <a:schemeClr val="tx1"/>
                  </a:solidFill>
                </a:rPr>
                <a:t>-3</a:t>
              </a:r>
            </a:p>
            <a:p>
              <a:endParaRPr lang="de-DE" sz="2800" baseline="30000">
                <a:solidFill>
                  <a:schemeClr val="tx1"/>
                </a:solidFill>
              </a:endParaRPr>
            </a:p>
            <a:p>
              <a:r>
                <a:rPr lang="de-DE" sz="2800" baseline="30000"/>
                <a:t>			</a:t>
              </a:r>
              <a:r>
                <a:rPr lang="de-DE" sz="3200" baseline="30000">
                  <a:solidFill>
                    <a:schemeClr val="tx1"/>
                  </a:solidFill>
                </a:rPr>
                <a:t>= </a:t>
              </a:r>
              <a:r>
                <a:rPr lang="de-DE" sz="3200" baseline="30000">
                  <a:solidFill>
                    <a:sysClr val="windowText" lastClr="000000"/>
                  </a:solidFill>
                </a:rPr>
                <a:t>4.858,57 €</a:t>
              </a:r>
            </a:p>
            <a:p>
              <a:endParaRPr lang="de-DE" sz="3200" baseline="30000">
                <a:solidFill>
                  <a:schemeClr val="accent1"/>
                </a:solidFill>
              </a:endParaRPr>
            </a:p>
            <a:p>
              <a:r>
                <a:rPr lang="de-DE" sz="2400" baseline="30000">
                  <a:solidFill>
                    <a:schemeClr val="tx1"/>
                  </a:solidFill>
                </a:rPr>
                <a:t>Kurs: 4858,57 * 100/5000</a:t>
              </a:r>
              <a:r>
                <a:rPr lang="de-DE" sz="2400" baseline="0">
                  <a:solidFill>
                    <a:schemeClr val="tx1"/>
                  </a:solidFill>
                </a:rPr>
                <a:t> = 97,17%</a:t>
              </a:r>
            </a:p>
            <a:p>
              <a:endParaRPr lang="de-DE" sz="2400" baseline="0">
                <a:solidFill>
                  <a:schemeClr val="tx1"/>
                </a:solidFill>
              </a:endParaRPr>
            </a:p>
            <a:p>
              <a:endParaRPr lang="de-DE" sz="2400" baseline="0">
                <a:solidFill>
                  <a:schemeClr val="tx1"/>
                </a:solidFill>
              </a:endParaRPr>
            </a:p>
            <a:p>
              <a:r>
                <a:rPr lang="de-DE" sz="2400" b="0" baseline="0">
                  <a:solidFill>
                    <a:schemeClr val="tx1"/>
                  </a:solidFill>
                </a:rPr>
                <a:t>b) i</a:t>
              </a:r>
              <a:r>
                <a:rPr lang="de-DE" sz="2400" b="0" baseline="-25000">
                  <a:solidFill>
                    <a:schemeClr val="tx1"/>
                  </a:solidFill>
                </a:rPr>
                <a:t>eff</a:t>
              </a:r>
              <a:r>
                <a:rPr lang="de-DE" sz="2400" b="0" baseline="0">
                  <a:solidFill>
                    <a:schemeClr val="tx1"/>
                  </a:solidFill>
                </a:rPr>
                <a:t> = </a:t>
              </a:r>
              <a:r>
                <a:rPr lang="de-DE" sz="2400" b="0" i="0" baseline="0">
                  <a:solidFill>
                    <a:schemeClr val="tx1"/>
                  </a:solidFill>
                  <a:latin typeface="Cambria Math" panose="02040503050406030204" pitchFamily="18" charset="0"/>
                </a:rPr>
                <a:t>(2+ (100−97,17)/3)/97,17</a:t>
              </a:r>
              <a:r>
                <a:rPr lang="de-DE" sz="2400" b="0" baseline="30000">
                  <a:solidFill>
                    <a:schemeClr val="tx1"/>
                  </a:solidFill>
                </a:rPr>
                <a:t> x 100 = </a:t>
              </a:r>
              <a:r>
                <a:rPr kumimoji="0" lang="de-DE" sz="24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2,94/97,17</a:t>
              </a:r>
              <a:r>
                <a:rPr kumimoji="0" lang="de-DE" sz="2400" b="0" i="0" u="none" strike="noStrike" kern="0" cap="none" spc="0" normalizeH="0" baseline="30000" noProof="0">
                  <a:ln>
                    <a:noFill/>
                  </a:ln>
                  <a:solidFill>
                    <a:prstClr val="black"/>
                  </a:solidFill>
                  <a:effectLst/>
                  <a:uLnTx/>
                  <a:uFillTx/>
                  <a:latin typeface="Calibri" panose="020F0502020204030204"/>
                  <a:ea typeface="+mn-ea"/>
                  <a:cs typeface="+mn-cs"/>
                </a:rPr>
                <a:t> x</a:t>
              </a:r>
              <a:r>
                <a:rPr kumimoji="0" lang="de-DE" sz="2400" b="0" i="0" u="none" strike="noStrike" kern="0" cap="none" spc="0" normalizeH="0" baseline="0" noProof="0">
                  <a:ln>
                    <a:noFill/>
                  </a:ln>
                  <a:solidFill>
                    <a:prstClr val="black"/>
                  </a:solidFill>
                  <a:effectLst/>
                  <a:uLnTx/>
                  <a:uFillTx/>
                  <a:latin typeface="Calibri" panose="020F0502020204030204"/>
                  <a:ea typeface="+mn-ea"/>
                  <a:cs typeface="+mn-cs"/>
                </a:rPr>
                <a:t> 100 = </a:t>
              </a:r>
              <a:r>
                <a:rPr kumimoji="0" lang="de-DE" sz="2400" b="1" i="0" u="none" strike="noStrike" kern="0" cap="none" spc="0" normalizeH="0" baseline="0" noProof="0">
                  <a:ln>
                    <a:noFill/>
                  </a:ln>
                  <a:solidFill>
                    <a:prstClr val="black"/>
                  </a:solidFill>
                  <a:effectLst/>
                  <a:uLnTx/>
                  <a:uFillTx/>
                  <a:latin typeface="Calibri" panose="020F0502020204030204"/>
                  <a:ea typeface="+mn-ea"/>
                  <a:cs typeface="+mn-cs"/>
                </a:rPr>
                <a:t>3,03 %</a:t>
              </a:r>
              <a:endParaRPr lang="de-DE" sz="2400" b="1" baseline="30000">
                <a:solidFill>
                  <a:schemeClr val="tx1"/>
                </a:solidFill>
              </a:endParaRP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123825</xdr:colOff>
      <xdr:row>8</xdr:row>
      <xdr:rowOff>85724</xdr:rowOff>
    </xdr:from>
    <xdr:to>
      <xdr:col>7</xdr:col>
      <xdr:colOff>28575</xdr:colOff>
      <xdr:row>13</xdr:row>
      <xdr:rowOff>152399</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815D4158-DFB9-40ED-A7C0-2C7FA11D4570}"/>
                </a:ext>
              </a:extLst>
            </xdr:cNvPr>
            <xdr:cNvSpPr txBox="1"/>
          </xdr:nvSpPr>
          <xdr:spPr>
            <a:xfrm>
              <a:off x="123825" y="1609724"/>
              <a:ext cx="5238750"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14:m>
                <m:oMath xmlns:m="http://schemas.openxmlformats.org/officeDocument/2006/math">
                  <m:r>
                    <a:rPr lang="de-DE" sz="2000" b="0" i="1">
                      <a:latin typeface="Cambria Math" panose="02040503050406030204" pitchFamily="18" charset="0"/>
                    </a:rPr>
                    <m:t>𝐵𝑊</m:t>
                  </m:r>
                  <m:r>
                    <a:rPr lang="de-DE" sz="2000" b="0" i="1" baseline="-25000">
                      <a:latin typeface="Cambria Math" panose="02040503050406030204" pitchFamily="18" charset="0"/>
                    </a:rPr>
                    <m:t>0</m:t>
                  </m:r>
                  <m:r>
                    <a:rPr lang="de-DE" sz="2000" b="0" i="1">
                      <a:latin typeface="Cambria Math" panose="02040503050406030204" pitchFamily="18" charset="0"/>
                    </a:rPr>
                    <m:t>=250.000 ∗ </m:t>
                  </m:r>
                  <m:f>
                    <m:fPr>
                      <m:ctrlPr>
                        <a:rPr lang="de-DE" sz="2000" b="0" i="1">
                          <a:latin typeface="Cambria Math" panose="02040503050406030204" pitchFamily="18" charset="0"/>
                        </a:rPr>
                      </m:ctrlPr>
                    </m:fPr>
                    <m:num>
                      <m:sSup>
                        <m:sSupPr>
                          <m:ctrlPr>
                            <a:rPr lang="de-DE" sz="2000" b="0" i="1">
                              <a:latin typeface="Cambria Math" panose="02040503050406030204" pitchFamily="18" charset="0"/>
                            </a:rPr>
                          </m:ctrlPr>
                        </m:sSupPr>
                        <m:e>
                          <m:r>
                            <a:rPr lang="de-DE" sz="2000" b="0" i="1">
                              <a:latin typeface="Cambria Math" panose="02040503050406030204" pitchFamily="18" charset="0"/>
                            </a:rPr>
                            <m:t>(1+0,05)</m:t>
                          </m:r>
                        </m:e>
                        <m:sup>
                          <m:r>
                            <a:rPr lang="de-DE" sz="2000" b="0" i="1">
                              <a:latin typeface="Cambria Math" panose="02040503050406030204" pitchFamily="18" charset="0"/>
                            </a:rPr>
                            <m:t>10   </m:t>
                          </m:r>
                        </m:sup>
                      </m:sSup>
                      <m:r>
                        <a:rPr lang="de-DE" sz="2000" b="0" i="1">
                          <a:latin typeface="Cambria Math" panose="02040503050406030204" pitchFamily="18" charset="0"/>
                        </a:rPr>
                        <m:t>−1</m:t>
                      </m:r>
                    </m:num>
                    <m:den>
                      <m:sSup>
                        <m:sSupPr>
                          <m:ctrlPr>
                            <a:rPr lang="de-DE" sz="2000" b="0" i="1">
                              <a:latin typeface="Cambria Math" panose="02040503050406030204" pitchFamily="18" charset="0"/>
                            </a:rPr>
                          </m:ctrlPr>
                        </m:sSupPr>
                        <m:e>
                          <m:r>
                            <a:rPr lang="de-DE" sz="2000" b="0" i="1">
                              <a:latin typeface="Cambria Math" panose="02040503050406030204" pitchFamily="18" charset="0"/>
                            </a:rPr>
                            <m:t>(1+0,05)</m:t>
                          </m:r>
                        </m:e>
                        <m:sup>
                          <m:r>
                            <a:rPr lang="de-DE" sz="2000" b="0" i="1">
                              <a:latin typeface="Cambria Math" panose="02040503050406030204" pitchFamily="18" charset="0"/>
                            </a:rPr>
                            <m:t>10</m:t>
                          </m:r>
                        </m:sup>
                      </m:sSup>
                      <m:r>
                        <a:rPr lang="de-DE" sz="2000" b="0" i="1">
                          <a:latin typeface="Cambria Math" panose="02040503050406030204" pitchFamily="18" charset="0"/>
                        </a:rPr>
                        <m:t>∗0,05</m:t>
                      </m:r>
                    </m:den>
                  </m:f>
                </m:oMath>
              </a14:m>
              <a:r>
                <a:rPr lang="de-DE" sz="2000"/>
                <a:t> = 1,93 Mio. €</a:t>
              </a:r>
            </a:p>
          </xdr:txBody>
        </xdr:sp>
      </mc:Choice>
      <mc:Fallback>
        <xdr:sp macro="" textlink="">
          <xdr:nvSpPr>
            <xdr:cNvPr id="2" name="Textfeld 1">
              <a:extLst>
                <a:ext uri="{FF2B5EF4-FFF2-40B4-BE49-F238E27FC236}">
                  <a16:creationId xmlns:a16="http://schemas.microsoft.com/office/drawing/2014/main" id="{815D4158-DFB9-40ED-A7C0-2C7FA11D4570}"/>
                </a:ext>
              </a:extLst>
            </xdr:cNvPr>
            <xdr:cNvSpPr txBox="1"/>
          </xdr:nvSpPr>
          <xdr:spPr>
            <a:xfrm>
              <a:off x="123825" y="1609724"/>
              <a:ext cx="5238750"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b="0" i="0">
                  <a:latin typeface="Cambria Math" panose="02040503050406030204" pitchFamily="18" charset="0"/>
                </a:rPr>
                <a:t>𝐵𝑊</a:t>
              </a:r>
              <a:r>
                <a:rPr lang="de-DE" sz="2000" b="0" i="0" baseline="-25000">
                  <a:latin typeface="Cambria Math" panose="02040503050406030204" pitchFamily="18" charset="0"/>
                </a:rPr>
                <a:t>0</a:t>
              </a:r>
              <a:r>
                <a:rPr lang="de-DE" sz="2000" b="0" i="0">
                  <a:latin typeface="Cambria Math" panose="02040503050406030204" pitchFamily="18" charset="0"/>
                </a:rPr>
                <a:t>=250.000 ∗  (〖(1+0,05)〗^(10   )−1)/(〖(1+0,05)〗^10∗0,05)</a:t>
              </a:r>
              <a:r>
                <a:rPr lang="de-DE" sz="2000"/>
                <a:t> = 1,93 Mio. €</a:t>
              </a:r>
            </a:p>
          </xdr:txBody>
        </xdr:sp>
      </mc:Fallback>
    </mc:AlternateContent>
    <xdr:clientData/>
  </xdr:twoCellAnchor>
  <xdr:twoCellAnchor>
    <xdr:from>
      <xdr:col>0</xdr:col>
      <xdr:colOff>28575</xdr:colOff>
      <xdr:row>21</xdr:row>
      <xdr:rowOff>9525</xdr:rowOff>
    </xdr:from>
    <xdr:to>
      <xdr:col>7</xdr:col>
      <xdr:colOff>76200</xdr:colOff>
      <xdr:row>24</xdr:row>
      <xdr:rowOff>180975</xdr:rowOff>
    </xdr:to>
    <xdr:sp macro="" textlink="">
      <xdr:nvSpPr>
        <xdr:cNvPr id="3" name="Textfeld 2">
          <a:extLst>
            <a:ext uri="{FF2B5EF4-FFF2-40B4-BE49-F238E27FC236}">
              <a16:creationId xmlns:a16="http://schemas.microsoft.com/office/drawing/2014/main" id="{922F6691-D2A5-4830-BF52-BB596BC0A3A2}"/>
            </a:ext>
          </a:extLst>
        </xdr:cNvPr>
        <xdr:cNvSpPr txBox="1"/>
      </xdr:nvSpPr>
      <xdr:spPr>
        <a:xfrm>
          <a:off x="28575" y="4010025"/>
          <a:ext cx="5381625"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i="0" u="none" strike="noStrike" baseline="0">
              <a:solidFill>
                <a:schemeClr val="dk1"/>
              </a:solidFill>
              <a:latin typeface="+mn-lt"/>
              <a:ea typeface="+mn-ea"/>
              <a:cs typeface="+mn-cs"/>
            </a:rPr>
            <a:t>Lösung: Unter den gegebenen Bedingungen sollte sich Herr Glückspilz für Alternative „a“ entscheiden, da diese Auszahlungsvariante den höchsten Barwert aufweist und damit der Gegenwert des Lottogewinns am größten ist.</a:t>
          </a:r>
          <a:endParaRPr lang="de-DE"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57150</xdr:colOff>
      <xdr:row>0</xdr:row>
      <xdr:rowOff>47625</xdr:rowOff>
    </xdr:from>
    <xdr:to>
      <xdr:col>5</xdr:col>
      <xdr:colOff>314325</xdr:colOff>
      <xdr:row>5</xdr:row>
      <xdr:rowOff>76200</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99C496FC-3FA6-4F28-BD60-DF4813EBD221}"/>
                </a:ext>
              </a:extLst>
            </xdr:cNvPr>
            <xdr:cNvSpPr txBox="1"/>
          </xdr:nvSpPr>
          <xdr:spPr>
            <a:xfrm>
              <a:off x="57150" y="47625"/>
              <a:ext cx="4067175"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300.000€ * </a:t>
              </a:r>
              <a14:m>
                <m:oMath xmlns:m="http://schemas.openxmlformats.org/officeDocument/2006/math">
                  <m:f>
                    <m:fPr>
                      <m:ctrlPr>
                        <a:rPr lang="de-DE" sz="2000" i="1">
                          <a:latin typeface="Cambria Math" panose="02040503050406030204" pitchFamily="18" charset="0"/>
                        </a:rPr>
                      </m:ctrlPr>
                    </m:fPr>
                    <m:num>
                      <m:sSup>
                        <m:sSupPr>
                          <m:ctrlPr>
                            <a:rPr lang="de-DE" sz="2000" i="1">
                              <a:latin typeface="Cambria Math" panose="02040503050406030204" pitchFamily="18" charset="0"/>
                            </a:rPr>
                          </m:ctrlPr>
                        </m:sSupPr>
                        <m:e>
                          <m:r>
                            <a:rPr lang="de-DE" sz="2000" b="0" i="1">
                              <a:latin typeface="Cambria Math" panose="02040503050406030204" pitchFamily="18" charset="0"/>
                            </a:rPr>
                            <m:t>1,06</m:t>
                          </m:r>
                        </m:e>
                        <m:sup>
                          <m:r>
                            <a:rPr lang="de-DE" sz="2000" b="0" i="1">
                              <a:latin typeface="Cambria Math" panose="02040503050406030204" pitchFamily="18" charset="0"/>
                            </a:rPr>
                            <m:t>5</m:t>
                          </m:r>
                        </m:sup>
                      </m:sSup>
                      <m:r>
                        <a:rPr lang="de-DE" sz="2000" b="0" i="1">
                          <a:latin typeface="Cambria Math" panose="02040503050406030204" pitchFamily="18" charset="0"/>
                        </a:rPr>
                        <m:t>∗0,05</m:t>
                      </m:r>
                    </m:num>
                    <m:den>
                      <m:sSup>
                        <m:sSupPr>
                          <m:ctrlPr>
                            <a:rPr lang="de-DE" sz="2000" i="1">
                              <a:latin typeface="Cambria Math" panose="02040503050406030204" pitchFamily="18" charset="0"/>
                            </a:rPr>
                          </m:ctrlPr>
                        </m:sSupPr>
                        <m:e>
                          <m:r>
                            <a:rPr lang="de-DE" sz="2000" b="0" i="1">
                              <a:latin typeface="Cambria Math" panose="02040503050406030204" pitchFamily="18" charset="0"/>
                            </a:rPr>
                            <m:t>1,06</m:t>
                          </m:r>
                        </m:e>
                        <m:sup>
                          <m:r>
                            <a:rPr lang="de-DE" sz="2000" b="0" i="1">
                              <a:latin typeface="Cambria Math" panose="02040503050406030204" pitchFamily="18" charset="0"/>
                            </a:rPr>
                            <m:t>5</m:t>
                          </m:r>
                        </m:sup>
                      </m:sSup>
                      <m:r>
                        <a:rPr lang="de-DE" sz="2000" b="0" i="1">
                          <a:latin typeface="Cambria Math" panose="02040503050406030204" pitchFamily="18" charset="0"/>
                        </a:rPr>
                        <m:t>−1</m:t>
                      </m:r>
                    </m:den>
                  </m:f>
                  <m:r>
                    <a:rPr lang="de-DE" sz="2000" b="0" i="1">
                      <a:latin typeface="Cambria Math" panose="02040503050406030204" pitchFamily="18" charset="0"/>
                    </a:rPr>
                    <m:t>=71</m:t>
                  </m:r>
                </m:oMath>
              </a14:m>
              <a:r>
                <a:rPr lang="de-DE" sz="2000"/>
                <a:t>.218,92 €</a:t>
              </a:r>
            </a:p>
          </xdr:txBody>
        </xdr:sp>
      </mc:Choice>
      <mc:Fallback>
        <xdr:sp macro="" textlink="">
          <xdr:nvSpPr>
            <xdr:cNvPr id="2" name="Textfeld 1">
              <a:extLst>
                <a:ext uri="{FF2B5EF4-FFF2-40B4-BE49-F238E27FC236}">
                  <a16:creationId xmlns:a16="http://schemas.microsoft.com/office/drawing/2014/main" id="{99C496FC-3FA6-4F28-BD60-DF4813EBD221}"/>
                </a:ext>
              </a:extLst>
            </xdr:cNvPr>
            <xdr:cNvSpPr txBox="1"/>
          </xdr:nvSpPr>
          <xdr:spPr>
            <a:xfrm>
              <a:off x="57150" y="47625"/>
              <a:ext cx="4067175"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300.000€ * </a:t>
              </a:r>
              <a:r>
                <a:rPr lang="de-DE" sz="2000" i="0">
                  <a:latin typeface="Cambria Math" panose="02040503050406030204" pitchFamily="18" charset="0"/>
                </a:rPr>
                <a:t>(〖</a:t>
              </a:r>
              <a:r>
                <a:rPr lang="de-DE" sz="2000" b="0" i="0">
                  <a:latin typeface="Cambria Math" panose="02040503050406030204" pitchFamily="18" charset="0"/>
                </a:rPr>
                <a:t>1,06〗^5∗0,05)/(〖1,06〗^5−1)=71</a:t>
              </a:r>
              <a:r>
                <a:rPr lang="de-DE" sz="2000"/>
                <a:t>.218,92 €</a:t>
              </a:r>
            </a:p>
          </xdr:txBody>
        </xdr:sp>
      </mc:Fallback>
    </mc:AlternateContent>
    <xdr:clientData/>
  </xdr:twoCellAnchor>
  <xdr:oneCellAnchor>
    <xdr:from>
      <xdr:col>3</xdr:col>
      <xdr:colOff>466725</xdr:colOff>
      <xdr:row>9</xdr:row>
      <xdr:rowOff>142875</xdr:rowOff>
    </xdr:from>
    <xdr:ext cx="5580952" cy="3209524"/>
    <xdr:pic>
      <xdr:nvPicPr>
        <xdr:cNvPr id="3" name="Grafik 2">
          <a:extLst>
            <a:ext uri="{FF2B5EF4-FFF2-40B4-BE49-F238E27FC236}">
              <a16:creationId xmlns:a16="http://schemas.microsoft.com/office/drawing/2014/main" id="{61E0BF59-6436-4D04-B3A7-C64A815F55BE}"/>
            </a:ext>
          </a:extLst>
        </xdr:cNvPr>
        <xdr:cNvPicPr>
          <a:picLocks noChangeAspect="1"/>
        </xdr:cNvPicPr>
      </xdr:nvPicPr>
      <xdr:blipFill>
        <a:blip xmlns:r="http://schemas.openxmlformats.org/officeDocument/2006/relationships" r:embed="rId1"/>
        <a:stretch>
          <a:fillRect/>
        </a:stretch>
      </xdr:blipFill>
      <xdr:spPr>
        <a:xfrm>
          <a:off x="2752725" y="1857375"/>
          <a:ext cx="5580952" cy="3209524"/>
        </a:xfrm>
        <a:prstGeom prst="rect">
          <a:avLst/>
        </a:prstGeom>
      </xdr:spPr>
    </xdr:pic>
    <xdr:clientData/>
  </xdr:oneCellAnchor>
  <xdr:twoCellAnchor>
    <xdr:from>
      <xdr:col>0</xdr:col>
      <xdr:colOff>409576</xdr:colOff>
      <xdr:row>7</xdr:row>
      <xdr:rowOff>47626</xdr:rowOff>
    </xdr:from>
    <xdr:to>
      <xdr:col>3</xdr:col>
      <xdr:colOff>409575</xdr:colOff>
      <xdr:row>13</xdr:row>
      <xdr:rowOff>0</xdr:rowOff>
    </xdr:to>
    <xdr:cxnSp macro="">
      <xdr:nvCxnSpPr>
        <xdr:cNvPr id="4" name="Gerade Verbindung mit Pfeil 3">
          <a:extLst>
            <a:ext uri="{FF2B5EF4-FFF2-40B4-BE49-F238E27FC236}">
              <a16:creationId xmlns:a16="http://schemas.microsoft.com/office/drawing/2014/main" id="{B71FC708-5469-4FD5-8513-CBE44926DEF8}"/>
            </a:ext>
          </a:extLst>
        </xdr:cNvPr>
        <xdr:cNvCxnSpPr/>
      </xdr:nvCxnSpPr>
      <xdr:spPr>
        <a:xfrm flipH="1" flipV="1">
          <a:off x="409576" y="1381126"/>
          <a:ext cx="2285999" cy="10953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6</xdr:col>
      <xdr:colOff>561976</xdr:colOff>
      <xdr:row>2</xdr:row>
      <xdr:rowOff>1</xdr:rowOff>
    </xdr:from>
    <xdr:to>
      <xdr:col>16</xdr:col>
      <xdr:colOff>133350</xdr:colOff>
      <xdr:row>13</xdr:row>
      <xdr:rowOff>95251</xdr:rowOff>
    </xdr:to>
    <xdr:sp macro="" textlink="">
      <xdr:nvSpPr>
        <xdr:cNvPr id="2" name="Textfeld 1">
          <a:extLst>
            <a:ext uri="{FF2B5EF4-FFF2-40B4-BE49-F238E27FC236}">
              <a16:creationId xmlns:a16="http://schemas.microsoft.com/office/drawing/2014/main" id="{3EB5B69C-403B-472E-9ADB-489C00FD80EC}"/>
            </a:ext>
          </a:extLst>
        </xdr:cNvPr>
        <xdr:cNvSpPr txBox="1"/>
      </xdr:nvSpPr>
      <xdr:spPr>
        <a:xfrm>
          <a:off x="5133976" y="381001"/>
          <a:ext cx="7191374"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Lösung auf dem Papier:</a:t>
          </a:r>
        </a:p>
        <a:p>
          <a:endParaRPr lang="de-DE" sz="2000"/>
        </a:p>
        <a:p>
          <a:r>
            <a:rPr lang="de-DE" sz="2000"/>
            <a:t>-150.000 + 30.000 x 1,1 </a:t>
          </a:r>
          <a:r>
            <a:rPr lang="de-DE" sz="2000" baseline="30000"/>
            <a:t>-1</a:t>
          </a:r>
          <a:r>
            <a:rPr lang="de-DE" sz="2000"/>
            <a:t> + 40.000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-2</a:t>
          </a:r>
          <a:r>
            <a:rPr lang="de-DE" sz="2000" baseline="0">
              <a:solidFill>
                <a:schemeClr val="dk1"/>
              </a:solidFill>
              <a:effectLst/>
              <a:latin typeface="+mn-lt"/>
              <a:ea typeface="+mn-ea"/>
              <a:cs typeface="+mn-cs"/>
            </a:rPr>
            <a:t> + 50.000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-3</a:t>
          </a:r>
          <a:r>
            <a:rPr lang="de-DE" sz="2000" baseline="0">
              <a:solidFill>
                <a:schemeClr val="dk1"/>
              </a:solidFill>
              <a:effectLst/>
              <a:latin typeface="+mn-lt"/>
              <a:ea typeface="+mn-ea"/>
              <a:cs typeface="+mn-cs"/>
            </a:rPr>
            <a:t>  + 45.000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-4</a:t>
          </a:r>
          <a:r>
            <a:rPr lang="de-DE" sz="2000" baseline="0">
              <a:solidFill>
                <a:schemeClr val="dk1"/>
              </a:solidFill>
              <a:effectLst/>
              <a:latin typeface="+mn-lt"/>
              <a:ea typeface="+mn-ea"/>
              <a:cs typeface="+mn-cs"/>
            </a:rPr>
            <a:t>  + 35.000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-5</a:t>
          </a:r>
          <a:r>
            <a:rPr lang="de-DE" sz="2000" baseline="0">
              <a:solidFill>
                <a:schemeClr val="dk1"/>
              </a:solidFill>
              <a:effectLst/>
              <a:latin typeface="+mn-lt"/>
              <a:ea typeface="+mn-ea"/>
              <a:cs typeface="+mn-cs"/>
            </a:rPr>
            <a:t>  + 25.000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-5</a:t>
          </a:r>
          <a:r>
            <a:rPr lang="de-DE" sz="2000" baseline="0">
              <a:solidFill>
                <a:schemeClr val="dk1"/>
              </a:solidFill>
              <a:effectLst/>
              <a:latin typeface="+mn-lt"/>
              <a:ea typeface="+mn-ea"/>
              <a:cs typeface="+mn-cs"/>
            </a:rPr>
            <a:t> = 15.887,20 EUR  </a:t>
          </a:r>
          <a:endParaRPr lang="de-DE" sz="2000"/>
        </a:p>
      </xdr:txBody>
    </xdr:sp>
    <xdr:clientData/>
  </xdr:twoCellAnchor>
  <xdr:oneCellAnchor>
    <xdr:from>
      <xdr:col>9</xdr:col>
      <xdr:colOff>495300</xdr:colOff>
      <xdr:row>14</xdr:row>
      <xdr:rowOff>171450</xdr:rowOff>
    </xdr:from>
    <xdr:ext cx="5533333" cy="3314286"/>
    <xdr:pic>
      <xdr:nvPicPr>
        <xdr:cNvPr id="3" name="Grafik 2">
          <a:extLst>
            <a:ext uri="{FF2B5EF4-FFF2-40B4-BE49-F238E27FC236}">
              <a16:creationId xmlns:a16="http://schemas.microsoft.com/office/drawing/2014/main" id="{7291AC34-6EDA-4A2D-95BD-847ADE22C60E}"/>
            </a:ext>
          </a:extLst>
        </xdr:cNvPr>
        <xdr:cNvPicPr>
          <a:picLocks noChangeAspect="1"/>
        </xdr:cNvPicPr>
      </xdr:nvPicPr>
      <xdr:blipFill>
        <a:blip xmlns:r="http://schemas.openxmlformats.org/officeDocument/2006/relationships" r:embed="rId1"/>
        <a:stretch>
          <a:fillRect/>
        </a:stretch>
      </xdr:blipFill>
      <xdr:spPr>
        <a:xfrm>
          <a:off x="7353300" y="2838450"/>
          <a:ext cx="5533333" cy="3314286"/>
        </a:xfrm>
        <a:prstGeom prst="rect">
          <a:avLst/>
        </a:prstGeom>
      </xdr:spPr>
    </xdr:pic>
    <xdr:clientData/>
  </xdr:oneCellAnchor>
  <xdr:twoCellAnchor>
    <xdr:from>
      <xdr:col>3</xdr:col>
      <xdr:colOff>0</xdr:colOff>
      <xdr:row>16</xdr:row>
      <xdr:rowOff>38100</xdr:rowOff>
    </xdr:from>
    <xdr:to>
      <xdr:col>9</xdr:col>
      <xdr:colOff>485775</xdr:colOff>
      <xdr:row>17</xdr:row>
      <xdr:rowOff>95250</xdr:rowOff>
    </xdr:to>
    <xdr:cxnSp macro="">
      <xdr:nvCxnSpPr>
        <xdr:cNvPr id="4" name="Gerade Verbindung mit Pfeil 3">
          <a:extLst>
            <a:ext uri="{FF2B5EF4-FFF2-40B4-BE49-F238E27FC236}">
              <a16:creationId xmlns:a16="http://schemas.microsoft.com/office/drawing/2014/main" id="{42E70EE4-498D-439E-AE7E-6E9B2C5CA78F}"/>
            </a:ext>
          </a:extLst>
        </xdr:cNvPr>
        <xdr:cNvCxnSpPr/>
      </xdr:nvCxnSpPr>
      <xdr:spPr>
        <a:xfrm flipH="1" flipV="1">
          <a:off x="2286000" y="3086100"/>
          <a:ext cx="5057775"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12</xdr:col>
      <xdr:colOff>200024</xdr:colOff>
      <xdr:row>1</xdr:row>
      <xdr:rowOff>152399</xdr:rowOff>
    </xdr:from>
    <xdr:to>
      <xdr:col>21</xdr:col>
      <xdr:colOff>438149</xdr:colOff>
      <xdr:row>32</xdr:row>
      <xdr:rowOff>104774</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1492CEBD-E36A-4DA4-AC62-4314CBE48905}"/>
                </a:ext>
              </a:extLst>
            </xdr:cNvPr>
            <xdr:cNvSpPr txBox="1"/>
          </xdr:nvSpPr>
          <xdr:spPr>
            <a:xfrm>
              <a:off x="9344024" y="342899"/>
              <a:ext cx="7096125" cy="5857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auf dem Papier:</a:t>
              </a:r>
              <a:r>
                <a:rPr lang="de-DE" sz="1100" baseline="0"/>
                <a:t> </a:t>
              </a:r>
            </a:p>
            <a:p>
              <a:endParaRPr kumimoji="0" lang="de-DE" sz="1100" b="0" i="0" u="none" strike="noStrike" kern="1200" cap="none" spc="0" normalizeH="0" baseline="0" noProof="0">
                <a:ln>
                  <a:noFill/>
                </a:ln>
                <a:solidFill>
                  <a:prstClr val="black"/>
                </a:solidFill>
                <a:effectLst/>
                <a:uLnTx/>
                <a:uFillTx/>
                <a:latin typeface="+mn-lt"/>
                <a:ea typeface="+mn-ea"/>
                <a:cs typeface="+mn-cs"/>
              </a:endParaRPr>
            </a:p>
            <a:p>
              <a:r>
                <a:rPr kumimoji="0" lang="de-DE" sz="2000" b="1" i="0" u="none" strike="noStrike" kern="1200" cap="none" spc="0" normalizeH="0" baseline="0" noProof="0">
                  <a:ln>
                    <a:noFill/>
                  </a:ln>
                  <a:solidFill>
                    <a:prstClr val="black"/>
                  </a:solidFill>
                  <a:effectLst/>
                  <a:uLnTx/>
                  <a:uFillTx/>
                  <a:latin typeface="+mn-lt"/>
                  <a:ea typeface="+mn-ea"/>
                  <a:cs typeface="+mn-cs"/>
                </a:rPr>
                <a:t>a) </a:t>
              </a:r>
              <a:r>
                <a:rPr kumimoji="0" lang="de-DE" sz="2000" b="0" i="0" u="none" strike="noStrike" kern="1200" cap="none" spc="0" normalizeH="0" baseline="0" noProof="0" dirty="0">
                  <a:ln>
                    <a:noFill/>
                  </a:ln>
                  <a:solidFill>
                    <a:prstClr val="black"/>
                  </a:solidFill>
                  <a:effectLst/>
                  <a:uLnTx/>
                  <a:uFillTx/>
                  <a:latin typeface="+mn-lt"/>
                  <a:ea typeface="+mn-ea"/>
                  <a:cs typeface="+mn-cs"/>
                </a:rPr>
                <a:t>KW = -7.000 + </a:t>
              </a:r>
              <a14:m>
                <m:oMath xmlns:m="http://schemas.openxmlformats.org/officeDocument/2006/math">
                  <m:f>
                    <m:fPr>
                      <m:ctrlP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1,1</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²</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³</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4</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5</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6</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7</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8</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1" i="0" u="none" strike="noStrike" kern="1200" cap="none" spc="0" normalizeH="0" baseline="0" noProof="0" dirty="0">
                  <a:ln>
                    <a:noFill/>
                  </a:ln>
                  <a:solidFill>
                    <a:prstClr val="black"/>
                  </a:solidFill>
                  <a:effectLst/>
                  <a:uLnTx/>
                  <a:uFillTx/>
                  <a:latin typeface="+mn-lt"/>
                  <a:ea typeface="+mn-ea"/>
                  <a:cs typeface="+mn-cs"/>
                </a:rPr>
                <a:t>-71,55 €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Kapitalwert ist negativ. Die Idee sollte nicht umgesetzt werden</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1" i="0" u="none" strike="noStrike" kern="1200" cap="none" spc="0" normalizeH="0" baseline="0" noProof="0" dirty="0">
                  <a:ln>
                    <a:noFill/>
                  </a:ln>
                  <a:solidFill>
                    <a:prstClr val="black"/>
                  </a:solidFill>
                  <a:effectLst/>
                  <a:uLnTx/>
                  <a:uFillTx/>
                  <a:latin typeface="+mn-lt"/>
                  <a:ea typeface="+mn-ea"/>
                  <a:cs typeface="+mn-cs"/>
                </a:rPr>
                <a:t>b) </a:t>
              </a:r>
              <a:r>
                <a:rPr kumimoji="0" lang="de-DE" sz="2000" b="0" i="0" u="none" strike="noStrike" kern="1200" cap="none" spc="0" normalizeH="0" baseline="0" noProof="0" dirty="0">
                  <a:ln>
                    <a:noFill/>
                  </a:ln>
                  <a:solidFill>
                    <a:prstClr val="black"/>
                  </a:solidFill>
                  <a:effectLst/>
                  <a:uLnTx/>
                  <a:uFillTx/>
                  <a:latin typeface="+mn-lt"/>
                  <a:ea typeface="+mn-ea"/>
                  <a:cs typeface="+mn-cs"/>
                </a:rPr>
                <a:t>KW = -7.000 + </a:t>
              </a:r>
              <a14:m>
                <m:oMath xmlns:m="http://schemas.openxmlformats.org/officeDocument/2006/math">
                  <m:f>
                    <m:fPr>
                      <m:ctrlP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1,1</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²</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³</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4</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5</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6</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7</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1.750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8</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1" i="0" u="none" strike="noStrike" kern="1200" cap="none" spc="0" normalizeH="0" baseline="0" noProof="0" dirty="0">
                  <a:ln>
                    <a:noFill/>
                  </a:ln>
                  <a:solidFill>
                    <a:prstClr val="black"/>
                  </a:solidFill>
                  <a:effectLst/>
                  <a:uLnTx/>
                  <a:uFillTx/>
                  <a:latin typeface="+mn-lt"/>
                  <a:ea typeface="+mn-ea"/>
                  <a:cs typeface="+mn-cs"/>
                </a:rPr>
                <a:t>255,01 €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Kapitalwert ist positiv. Die Idee sollte umgesetzt werden</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1" i="0" u="none" strike="noStrike" kern="1200" cap="none" spc="0" normalizeH="0" baseline="0" noProof="0" dirty="0">
                  <a:ln>
                    <a:noFill/>
                  </a:ln>
                  <a:solidFill>
                    <a:prstClr val="black"/>
                  </a:solidFill>
                  <a:effectLst/>
                  <a:uLnTx/>
                  <a:uFillTx/>
                  <a:latin typeface="+mn-lt"/>
                  <a:ea typeface="+mn-ea"/>
                  <a:cs typeface="+mn-cs"/>
                </a:rPr>
                <a:t>c) </a:t>
              </a:r>
              <a:r>
                <a:rPr kumimoji="0" lang="de-DE" sz="2000" b="0" i="0" u="none" strike="noStrike" kern="1200" cap="none" spc="0" normalizeH="0" baseline="0" noProof="0" dirty="0">
                  <a:ln>
                    <a:noFill/>
                  </a:ln>
                  <a:solidFill>
                    <a:prstClr val="black"/>
                  </a:solidFill>
                  <a:effectLst/>
                  <a:uLnTx/>
                  <a:uFillTx/>
                  <a:latin typeface="+mn-lt"/>
                  <a:ea typeface="+mn-ea"/>
                  <a:cs typeface="+mn-cs"/>
                </a:rPr>
                <a:t>-71,55 * 1,1</a:t>
              </a:r>
              <a:r>
                <a:rPr kumimoji="0" lang="de-DE" sz="2000" b="0" i="0" u="none" strike="noStrike" kern="1200" cap="none" spc="0" normalizeH="0" baseline="30000" noProof="0" dirty="0">
                  <a:ln>
                    <a:noFill/>
                  </a:ln>
                  <a:solidFill>
                    <a:prstClr val="black"/>
                  </a:solidFill>
                  <a:effectLst/>
                  <a:uLnTx/>
                  <a:uFillTx/>
                  <a:latin typeface="+mn-lt"/>
                  <a:ea typeface="+mn-ea"/>
                  <a:cs typeface="+mn-cs"/>
                </a:rPr>
                <a:t>8</a:t>
              </a:r>
              <a:r>
                <a:rPr kumimoji="0" lang="de-DE" sz="2000" b="0" i="0" u="none" strike="noStrike" kern="1200" cap="none" spc="0" normalizeH="0" baseline="0" noProof="0" dirty="0">
                  <a:ln>
                    <a:noFill/>
                  </a:ln>
                  <a:solidFill>
                    <a:prstClr val="black"/>
                  </a:solidFill>
                  <a:effectLst/>
                  <a:uLnTx/>
                  <a:uFillTx/>
                  <a:latin typeface="+mn-lt"/>
                  <a:ea typeface="+mn-ea"/>
                  <a:cs typeface="+mn-cs"/>
                </a:rPr>
                <a:t> =153,37 €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Liquidationserlös muss 153,37€ betragen, damit der Kapitalwert = 0 ist. </a:t>
              </a:r>
            </a:p>
            <a:p>
              <a:endParaRPr lang="de-DE" sz="1100"/>
            </a:p>
          </xdr:txBody>
        </xdr:sp>
      </mc:Choice>
      <mc:Fallback>
        <xdr:sp macro="" textlink="">
          <xdr:nvSpPr>
            <xdr:cNvPr id="2" name="Textfeld 1">
              <a:extLst>
                <a:ext uri="{FF2B5EF4-FFF2-40B4-BE49-F238E27FC236}">
                  <a16:creationId xmlns:a16="http://schemas.microsoft.com/office/drawing/2014/main" id="{1492CEBD-E36A-4DA4-AC62-4314CBE48905}"/>
                </a:ext>
              </a:extLst>
            </xdr:cNvPr>
            <xdr:cNvSpPr txBox="1"/>
          </xdr:nvSpPr>
          <xdr:spPr>
            <a:xfrm>
              <a:off x="9344024" y="342899"/>
              <a:ext cx="7096125" cy="5857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auf dem Papier:</a:t>
              </a:r>
              <a:r>
                <a:rPr lang="de-DE" sz="1100" baseline="0"/>
                <a:t> </a:t>
              </a:r>
            </a:p>
            <a:p>
              <a:endParaRPr kumimoji="0" lang="de-DE" sz="1100" b="0" i="0" u="none" strike="noStrike" kern="1200" cap="none" spc="0" normalizeH="0" baseline="0" noProof="0">
                <a:ln>
                  <a:noFill/>
                </a:ln>
                <a:solidFill>
                  <a:prstClr val="black"/>
                </a:solidFill>
                <a:effectLst/>
                <a:uLnTx/>
                <a:uFillTx/>
                <a:latin typeface="+mn-lt"/>
                <a:ea typeface="+mn-ea"/>
                <a:cs typeface="+mn-cs"/>
              </a:endParaRPr>
            </a:p>
            <a:p>
              <a:r>
                <a:rPr kumimoji="0" lang="de-DE" sz="2000" b="1" i="0" u="none" strike="noStrike" kern="1200" cap="none" spc="0" normalizeH="0" baseline="0" noProof="0">
                  <a:ln>
                    <a:noFill/>
                  </a:ln>
                  <a:solidFill>
                    <a:prstClr val="black"/>
                  </a:solidFill>
                  <a:effectLst/>
                  <a:uLnTx/>
                  <a:uFillTx/>
                  <a:latin typeface="+mn-lt"/>
                  <a:ea typeface="+mn-ea"/>
                  <a:cs typeface="+mn-cs"/>
                </a:rPr>
                <a:t>a) </a:t>
              </a:r>
              <a:r>
                <a:rPr kumimoji="0" lang="de-DE" sz="2000" b="0" i="0" u="none" strike="noStrike" kern="1200" cap="none" spc="0" normalizeH="0" baseline="0" noProof="0" dirty="0">
                  <a:ln>
                    <a:noFill/>
                  </a:ln>
                  <a:solidFill>
                    <a:prstClr val="black"/>
                  </a:solidFill>
                  <a:effectLst/>
                  <a:uLnTx/>
                  <a:uFillTx/>
                  <a:latin typeface="+mn-lt"/>
                  <a:ea typeface="+mn-ea"/>
                  <a:cs typeface="+mn-cs"/>
                </a:rPr>
                <a:t>KW = -7.000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1.400/1,1²</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1.400/1,1³</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4</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5</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6</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7</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8</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1" i="0" u="none" strike="noStrike" kern="1200" cap="none" spc="0" normalizeH="0" baseline="0" noProof="0" dirty="0">
                  <a:ln>
                    <a:noFill/>
                  </a:ln>
                  <a:solidFill>
                    <a:prstClr val="black"/>
                  </a:solidFill>
                  <a:effectLst/>
                  <a:uLnTx/>
                  <a:uFillTx/>
                  <a:latin typeface="+mn-lt"/>
                  <a:ea typeface="+mn-ea"/>
                  <a:cs typeface="+mn-cs"/>
                </a:rPr>
                <a:t>-71,55 €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Kapitalwert ist negativ. Die Idee sollte nicht umgesetzt werden</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1" i="0" u="none" strike="noStrike" kern="1200" cap="none" spc="0" normalizeH="0" baseline="0" noProof="0" dirty="0">
                  <a:ln>
                    <a:noFill/>
                  </a:ln>
                  <a:solidFill>
                    <a:prstClr val="black"/>
                  </a:solidFill>
                  <a:effectLst/>
                  <a:uLnTx/>
                  <a:uFillTx/>
                  <a:latin typeface="+mn-lt"/>
                  <a:ea typeface="+mn-ea"/>
                  <a:cs typeface="+mn-cs"/>
                </a:rPr>
                <a:t>b) </a:t>
              </a:r>
              <a:r>
                <a:rPr kumimoji="0" lang="de-DE" sz="2000" b="0" i="0" u="none" strike="noStrike" kern="1200" cap="none" spc="0" normalizeH="0" baseline="0" noProof="0" dirty="0">
                  <a:ln>
                    <a:noFill/>
                  </a:ln>
                  <a:solidFill>
                    <a:prstClr val="black"/>
                  </a:solidFill>
                  <a:effectLst/>
                  <a:uLnTx/>
                  <a:uFillTx/>
                  <a:latin typeface="+mn-lt"/>
                  <a:ea typeface="+mn-ea"/>
                  <a:cs typeface="+mn-cs"/>
                </a:rPr>
                <a:t>KW = -7.000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1.400/1,1²</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1.400/1,1³</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4</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5</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6</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7</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1.750/1,1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8</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1" i="0" u="none" strike="noStrike" kern="1200" cap="none" spc="0" normalizeH="0" baseline="0" noProof="0" dirty="0">
                  <a:ln>
                    <a:noFill/>
                  </a:ln>
                  <a:solidFill>
                    <a:prstClr val="black"/>
                  </a:solidFill>
                  <a:effectLst/>
                  <a:uLnTx/>
                  <a:uFillTx/>
                  <a:latin typeface="+mn-lt"/>
                  <a:ea typeface="+mn-ea"/>
                  <a:cs typeface="+mn-cs"/>
                </a:rPr>
                <a:t>255,01 €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Kapitalwert ist positiv. Die Idee sollte umgesetzt werden</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1" i="0" u="none" strike="noStrike" kern="1200" cap="none" spc="0" normalizeH="0" baseline="0" noProof="0" dirty="0">
                  <a:ln>
                    <a:noFill/>
                  </a:ln>
                  <a:solidFill>
                    <a:prstClr val="black"/>
                  </a:solidFill>
                  <a:effectLst/>
                  <a:uLnTx/>
                  <a:uFillTx/>
                  <a:latin typeface="+mn-lt"/>
                  <a:ea typeface="+mn-ea"/>
                  <a:cs typeface="+mn-cs"/>
                </a:rPr>
                <a:t>c) </a:t>
              </a:r>
              <a:r>
                <a:rPr kumimoji="0" lang="de-DE" sz="2000" b="0" i="0" u="none" strike="noStrike" kern="1200" cap="none" spc="0" normalizeH="0" baseline="0" noProof="0" dirty="0">
                  <a:ln>
                    <a:noFill/>
                  </a:ln>
                  <a:solidFill>
                    <a:prstClr val="black"/>
                  </a:solidFill>
                  <a:effectLst/>
                  <a:uLnTx/>
                  <a:uFillTx/>
                  <a:latin typeface="+mn-lt"/>
                  <a:ea typeface="+mn-ea"/>
                  <a:cs typeface="+mn-cs"/>
                </a:rPr>
                <a:t>-71,55 * 1,1</a:t>
              </a:r>
              <a:r>
                <a:rPr kumimoji="0" lang="de-DE" sz="2000" b="0" i="0" u="none" strike="noStrike" kern="1200" cap="none" spc="0" normalizeH="0" baseline="30000" noProof="0" dirty="0">
                  <a:ln>
                    <a:noFill/>
                  </a:ln>
                  <a:solidFill>
                    <a:prstClr val="black"/>
                  </a:solidFill>
                  <a:effectLst/>
                  <a:uLnTx/>
                  <a:uFillTx/>
                  <a:latin typeface="+mn-lt"/>
                  <a:ea typeface="+mn-ea"/>
                  <a:cs typeface="+mn-cs"/>
                </a:rPr>
                <a:t>8</a:t>
              </a:r>
              <a:r>
                <a:rPr kumimoji="0" lang="de-DE" sz="2000" b="0" i="0" u="none" strike="noStrike" kern="1200" cap="none" spc="0" normalizeH="0" baseline="0" noProof="0" dirty="0">
                  <a:ln>
                    <a:noFill/>
                  </a:ln>
                  <a:solidFill>
                    <a:prstClr val="black"/>
                  </a:solidFill>
                  <a:effectLst/>
                  <a:uLnTx/>
                  <a:uFillTx/>
                  <a:latin typeface="+mn-lt"/>
                  <a:ea typeface="+mn-ea"/>
                  <a:cs typeface="+mn-cs"/>
                </a:rPr>
                <a:t> =153,37 €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Liquidationserlös muss 153,37€ betragen, damit der Kapitalwert = 0 ist. </a:t>
              </a:r>
            </a:p>
            <a:p>
              <a:endParaRPr lang="de-DE" sz="1100"/>
            </a:p>
          </xdr:txBody>
        </xdr:sp>
      </mc:Fallback>
    </mc:AlternateContent>
    <xdr:clientData/>
  </xdr:twoCellAnchor>
</xdr:wsDr>
</file>

<file path=xl/drawings/drawing25.xml><?xml version="1.0" encoding="utf-8"?>
<xdr:wsDr xmlns:xdr="http://schemas.openxmlformats.org/drawingml/2006/spreadsheetDrawing" xmlns:a="http://schemas.openxmlformats.org/drawingml/2006/main">
  <xdr:twoCellAnchor>
    <xdr:from>
      <xdr:col>12</xdr:col>
      <xdr:colOff>9525</xdr:colOff>
      <xdr:row>0</xdr:row>
      <xdr:rowOff>133349</xdr:rowOff>
    </xdr:from>
    <xdr:to>
      <xdr:col>22</xdr:col>
      <xdr:colOff>314325</xdr:colOff>
      <xdr:row>29</xdr:row>
      <xdr:rowOff>104774</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49E130D0-8F05-4814-A187-9C0A8CAB6ED5}"/>
                </a:ext>
              </a:extLst>
            </xdr:cNvPr>
            <xdr:cNvSpPr txBox="1"/>
          </xdr:nvSpPr>
          <xdr:spPr>
            <a:xfrm>
              <a:off x="9153525" y="133349"/>
              <a:ext cx="7924800" cy="549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Lösung auf dem Papier:</a:t>
              </a:r>
            </a:p>
            <a:p>
              <a:endParaRPr lang="de-DE" sz="1600"/>
            </a:p>
            <a:p>
              <a:r>
                <a:rPr lang="de-DE" sz="1600"/>
                <a:t>Es handelt sich um zwei Renten, daher ist die</a:t>
              </a:r>
              <a:r>
                <a:rPr lang="de-DE" sz="1600" baseline="0"/>
                <a:t> Anwendung des Rentenbarwertfaktors möglich:</a:t>
              </a:r>
            </a:p>
            <a:p>
              <a:endParaRPr lang="de-DE" sz="1100" baseline="0"/>
            </a:p>
            <a:p>
              <a:pPr marL="0" marR="0" lvl="0" indent="0" defTabSz="914400" rtl="0" eaLnBrk="1" fontAlgn="auto" latinLnBrk="0" hangingPunct="1">
                <a:lnSpc>
                  <a:spcPct val="100000"/>
                </a:lnSpc>
                <a:spcBef>
                  <a:spcPts val="0"/>
                </a:spcBef>
                <a:spcAft>
                  <a:spcPts val="0"/>
                </a:spcAft>
                <a:buClrTx/>
                <a:buSzTx/>
                <a:buFontTx/>
                <a:buNone/>
                <a:tabLst/>
                <a:defRPr/>
              </a:pPr>
              <a:r>
                <a:rPr lang="de-DE" sz="1600" b="1" baseline="0"/>
                <a:t>Investition A: </a:t>
              </a: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K</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C x </a:t>
              </a:r>
              <a14:m>
                <m:oMath xmlns:m="http://schemas.openxmlformats.org/officeDocument/2006/math">
                  <m:f>
                    <m:fPr>
                      <m:ctrlPr>
                        <a:rPr lang="de-DE" sz="1600" i="1">
                          <a:solidFill>
                            <a:schemeClr val="dk1"/>
                          </a:solidFill>
                          <a:effectLst/>
                          <a:latin typeface="Cambria Math" panose="02040503050406030204" pitchFamily="18" charset="0"/>
                          <a:ea typeface="+mn-ea"/>
                          <a:cs typeface="+mn-cs"/>
                        </a:rPr>
                      </m:ctrlPr>
                    </m:fPr>
                    <m:num>
                      <m:d>
                        <m:dPr>
                          <m:ctrlPr>
                            <a:rPr lang="de-DE" sz="1600" i="1">
                              <a:solidFill>
                                <a:schemeClr val="dk1"/>
                              </a:solidFill>
                              <a:effectLst/>
                              <a:latin typeface="Cambria Math" panose="02040503050406030204" pitchFamily="18" charset="0"/>
                              <a:ea typeface="+mn-ea"/>
                              <a:cs typeface="+mn-cs"/>
                            </a:rPr>
                          </m:ctrlPr>
                        </m:dPr>
                        <m:e>
                          <m:r>
                            <a:rPr lang="de-DE" sz="1600" i="1">
                              <a:solidFill>
                                <a:schemeClr val="dk1"/>
                              </a:solidFill>
                              <a:effectLst/>
                              <a:latin typeface="Cambria Math" panose="02040503050406030204" pitchFamily="18" charset="0"/>
                              <a:ea typeface="+mn-ea"/>
                              <a:cs typeface="+mn-cs"/>
                            </a:rPr>
                            <m:t>1+</m:t>
                          </m:r>
                          <m:r>
                            <a:rPr lang="de-DE" sz="1600" i="1">
                              <a:solidFill>
                                <a:schemeClr val="dk1"/>
                              </a:solidFill>
                              <a:effectLst/>
                              <a:latin typeface="Cambria Math" panose="02040503050406030204" pitchFamily="18" charset="0"/>
                              <a:ea typeface="+mn-ea"/>
                              <a:cs typeface="+mn-cs"/>
                            </a:rPr>
                            <m:t>𝑖</m:t>
                          </m:r>
                        </m:e>
                      </m:d>
                      <m:r>
                        <a:rPr lang="de-DE" sz="1600" i="1" baseline="30000">
                          <a:solidFill>
                            <a:schemeClr val="dk1"/>
                          </a:solidFill>
                          <a:effectLst/>
                          <a:latin typeface="Cambria Math" panose="02040503050406030204" pitchFamily="18" charset="0"/>
                          <a:ea typeface="+mn-ea"/>
                          <a:cs typeface="+mn-cs"/>
                        </a:rPr>
                        <m:t>𝑛</m:t>
                      </m:r>
                      <m:r>
                        <a:rPr lang="de-DE" sz="1600" i="1">
                          <a:solidFill>
                            <a:schemeClr val="dk1"/>
                          </a:solidFill>
                          <a:effectLst/>
                          <a:latin typeface="Cambria Math" panose="02040503050406030204" pitchFamily="18" charset="0"/>
                          <a:ea typeface="+mn-ea"/>
                          <a:cs typeface="+mn-cs"/>
                        </a:rPr>
                        <m:t> −1</m:t>
                      </m:r>
                    </m:num>
                    <m:den>
                      <m:r>
                        <a:rPr lang="de-DE" sz="1600" i="1">
                          <a:solidFill>
                            <a:schemeClr val="dk1"/>
                          </a:solidFill>
                          <a:effectLst/>
                          <a:latin typeface="Cambria Math" panose="02040503050406030204" pitchFamily="18" charset="0"/>
                          <a:ea typeface="+mn-ea"/>
                          <a:cs typeface="+mn-cs"/>
                        </a:rPr>
                        <m:t> </m:t>
                      </m:r>
                      <m:r>
                        <a:rPr lang="de-DE" sz="1600" i="1">
                          <a:solidFill>
                            <a:schemeClr val="dk1"/>
                          </a:solidFill>
                          <a:effectLst/>
                          <a:latin typeface="Cambria Math" panose="02040503050406030204" pitchFamily="18" charset="0"/>
                          <a:ea typeface="+mn-ea"/>
                          <a:cs typeface="+mn-cs"/>
                        </a:rPr>
                        <m:t>𝑖</m:t>
                      </m:r>
                      <m:r>
                        <a:rPr lang="de-DE" sz="1600" b="0" i="1">
                          <a:solidFill>
                            <a:schemeClr val="dk1"/>
                          </a:solidFill>
                          <a:effectLst/>
                          <a:latin typeface="Cambria Math" panose="02040503050406030204" pitchFamily="18" charset="0"/>
                          <a:ea typeface="+mn-ea"/>
                          <a:cs typeface="+mn-cs"/>
                        </a:rPr>
                        <m:t> </m:t>
                      </m:r>
                      <m:d>
                        <m:dPr>
                          <m:ctrlPr>
                            <a:rPr lang="de-DE" sz="1600" b="0" i="1">
                              <a:solidFill>
                                <a:schemeClr val="dk1"/>
                              </a:solidFill>
                              <a:effectLst/>
                              <a:latin typeface="Cambria Math" panose="02040503050406030204" pitchFamily="18" charset="0"/>
                              <a:ea typeface="+mn-ea"/>
                              <a:cs typeface="+mn-cs"/>
                            </a:rPr>
                          </m:ctrlPr>
                        </m:dPr>
                        <m:e>
                          <m:r>
                            <a:rPr lang="de-DE" sz="1600" b="0" i="1">
                              <a:solidFill>
                                <a:schemeClr val="dk1"/>
                              </a:solidFill>
                              <a:effectLst/>
                              <a:latin typeface="Cambria Math" panose="02040503050406030204" pitchFamily="18" charset="0"/>
                              <a:ea typeface="+mn-ea"/>
                              <a:cs typeface="+mn-cs"/>
                            </a:rPr>
                            <m:t>1+</m:t>
                          </m:r>
                          <m:r>
                            <a:rPr lang="de-DE" sz="1600" b="0" i="1">
                              <a:solidFill>
                                <a:schemeClr val="dk1"/>
                              </a:solidFill>
                              <a:effectLst/>
                              <a:latin typeface="Cambria Math" panose="02040503050406030204" pitchFamily="18" charset="0"/>
                              <a:ea typeface="+mn-ea"/>
                              <a:cs typeface="+mn-cs"/>
                            </a:rPr>
                            <m:t>𝑖</m:t>
                          </m:r>
                        </m:e>
                      </m:d>
                      <m:r>
                        <a:rPr lang="de-DE" sz="1600" b="0" i="1" baseline="30000">
                          <a:solidFill>
                            <a:schemeClr val="dk1"/>
                          </a:solidFill>
                          <a:effectLst/>
                          <a:latin typeface="Cambria Math" panose="02040503050406030204" pitchFamily="18" charset="0"/>
                          <a:ea typeface="+mn-ea"/>
                          <a:cs typeface="+mn-cs"/>
                        </a:rPr>
                        <m:t>𝑛</m:t>
                      </m:r>
                    </m:den>
                  </m:f>
                </m:oMath>
              </a14:m>
              <a:r>
                <a:rPr lang="de-DE" sz="1600">
                  <a:solidFill>
                    <a:schemeClr val="dk1"/>
                  </a:solidFill>
                  <a:effectLst/>
                  <a:latin typeface="+mn-lt"/>
                  <a:ea typeface="+mn-ea"/>
                  <a:cs typeface="+mn-cs"/>
                </a:rPr>
                <a:t>  - A</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K</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6.000 x </a:t>
              </a:r>
              <a14:m>
                <m:oMath xmlns:m="http://schemas.openxmlformats.org/officeDocument/2006/math">
                  <m:f>
                    <m:fPr>
                      <m:ctrlPr>
                        <a:rPr lang="de-DE" sz="1600" i="1">
                          <a:solidFill>
                            <a:schemeClr val="dk1"/>
                          </a:solidFill>
                          <a:effectLst/>
                          <a:latin typeface="Cambria Math" panose="02040503050406030204" pitchFamily="18" charset="0"/>
                          <a:ea typeface="+mn-ea"/>
                          <a:cs typeface="+mn-cs"/>
                        </a:rPr>
                      </m:ctrlPr>
                    </m:fPr>
                    <m:num>
                      <m:d>
                        <m:dPr>
                          <m:ctrlPr>
                            <a:rPr lang="de-DE" sz="1600" i="1">
                              <a:solidFill>
                                <a:schemeClr val="dk1"/>
                              </a:solidFill>
                              <a:effectLst/>
                              <a:latin typeface="Cambria Math" panose="02040503050406030204" pitchFamily="18" charset="0"/>
                              <a:ea typeface="+mn-ea"/>
                              <a:cs typeface="+mn-cs"/>
                            </a:rPr>
                          </m:ctrlPr>
                        </m:dPr>
                        <m:e>
                          <m:r>
                            <a:rPr lang="de-DE" sz="1600" i="1">
                              <a:solidFill>
                                <a:schemeClr val="dk1"/>
                              </a:solidFill>
                              <a:effectLst/>
                              <a:latin typeface="Cambria Math" panose="02040503050406030204" pitchFamily="18" charset="0"/>
                              <a:ea typeface="+mn-ea"/>
                              <a:cs typeface="+mn-cs"/>
                            </a:rPr>
                            <m:t>1+</m:t>
                          </m:r>
                          <m:r>
                            <a:rPr lang="de-DE" sz="1600" b="0" i="1">
                              <a:solidFill>
                                <a:schemeClr val="dk1"/>
                              </a:solidFill>
                              <a:effectLst/>
                              <a:latin typeface="Cambria Math" panose="02040503050406030204" pitchFamily="18" charset="0"/>
                              <a:ea typeface="+mn-ea"/>
                              <a:cs typeface="+mn-cs"/>
                            </a:rPr>
                            <m:t>0,07</m:t>
                          </m:r>
                        </m:e>
                      </m:d>
                      <m:r>
                        <a:rPr lang="de-DE" sz="1600" b="0" i="1" baseline="30000">
                          <a:solidFill>
                            <a:schemeClr val="dk1"/>
                          </a:solidFill>
                          <a:effectLst/>
                          <a:latin typeface="Cambria Math" panose="02040503050406030204" pitchFamily="18" charset="0"/>
                          <a:ea typeface="+mn-ea"/>
                          <a:cs typeface="+mn-cs"/>
                        </a:rPr>
                        <m:t>3</m:t>
                      </m:r>
                      <m:r>
                        <a:rPr lang="de-DE" sz="1600" i="1">
                          <a:solidFill>
                            <a:schemeClr val="dk1"/>
                          </a:solidFill>
                          <a:effectLst/>
                          <a:latin typeface="Cambria Math" panose="02040503050406030204" pitchFamily="18" charset="0"/>
                          <a:ea typeface="+mn-ea"/>
                          <a:cs typeface="+mn-cs"/>
                        </a:rPr>
                        <m:t> −1</m:t>
                      </m:r>
                    </m:num>
                    <m:den>
                      <m:r>
                        <a:rPr lang="de-DE" sz="1600" i="1">
                          <a:solidFill>
                            <a:schemeClr val="dk1"/>
                          </a:solidFill>
                          <a:effectLst/>
                          <a:latin typeface="Cambria Math" panose="02040503050406030204" pitchFamily="18" charset="0"/>
                          <a:ea typeface="+mn-ea"/>
                          <a:cs typeface="+mn-cs"/>
                        </a:rPr>
                        <m:t> </m:t>
                      </m:r>
                      <m:r>
                        <a:rPr lang="de-DE" sz="1600" b="0" i="1">
                          <a:solidFill>
                            <a:schemeClr val="dk1"/>
                          </a:solidFill>
                          <a:effectLst/>
                          <a:latin typeface="Cambria Math" panose="02040503050406030204" pitchFamily="18" charset="0"/>
                          <a:ea typeface="+mn-ea"/>
                          <a:cs typeface="+mn-cs"/>
                        </a:rPr>
                        <m:t>0,07 </m:t>
                      </m:r>
                      <m:d>
                        <m:dPr>
                          <m:ctrlPr>
                            <a:rPr lang="de-DE" sz="1600" b="0" i="1">
                              <a:solidFill>
                                <a:schemeClr val="dk1"/>
                              </a:solidFill>
                              <a:effectLst/>
                              <a:latin typeface="Cambria Math" panose="02040503050406030204" pitchFamily="18" charset="0"/>
                              <a:ea typeface="+mn-ea"/>
                              <a:cs typeface="+mn-cs"/>
                            </a:rPr>
                          </m:ctrlPr>
                        </m:dPr>
                        <m:e>
                          <m:r>
                            <a:rPr lang="de-DE" sz="1600" b="0" i="1">
                              <a:solidFill>
                                <a:schemeClr val="dk1"/>
                              </a:solidFill>
                              <a:effectLst/>
                              <a:latin typeface="Cambria Math" panose="02040503050406030204" pitchFamily="18" charset="0"/>
                              <a:ea typeface="+mn-ea"/>
                              <a:cs typeface="+mn-cs"/>
                            </a:rPr>
                            <m:t>1+0,07</m:t>
                          </m:r>
                        </m:e>
                      </m:d>
                      <m:r>
                        <a:rPr lang="de-DE" sz="1600" b="0" i="1" baseline="30000">
                          <a:solidFill>
                            <a:schemeClr val="dk1"/>
                          </a:solidFill>
                          <a:effectLst/>
                          <a:latin typeface="Cambria Math" panose="02040503050406030204" pitchFamily="18" charset="0"/>
                          <a:ea typeface="+mn-ea"/>
                          <a:cs typeface="+mn-cs"/>
                        </a:rPr>
                        <m:t>3</m:t>
                      </m:r>
                    </m:den>
                  </m:f>
                </m:oMath>
              </a14:m>
              <a:r>
                <a:rPr lang="de-DE" sz="1600">
                  <a:solidFill>
                    <a:schemeClr val="dk1"/>
                  </a:solidFill>
                  <a:effectLst/>
                  <a:latin typeface="+mn-lt"/>
                  <a:ea typeface="+mn-ea"/>
                  <a:cs typeface="+mn-cs"/>
                </a:rPr>
                <a:t>  - 15.000 =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15.745,90 - 15.000 = 745,90 €</a:t>
              </a:r>
              <a:endParaRPr lang="de-DE" sz="16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de-DE">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1" i="0" u="none" strike="noStrike" kern="0" cap="none" spc="0" normalizeH="0" baseline="0" noProof="0">
                  <a:ln>
                    <a:noFill/>
                  </a:ln>
                  <a:solidFill>
                    <a:prstClr val="black"/>
                  </a:solidFill>
                  <a:effectLst/>
                  <a:uLnTx/>
                  <a:uFillTx/>
                  <a:latin typeface="+mn-lt"/>
                  <a:ea typeface="+mn-ea"/>
                  <a:cs typeface="+mn-cs"/>
                </a:rPr>
                <a:t>Investition A: </a:t>
              </a: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C x </a:t>
              </a:r>
              <a14:m>
                <m:oMath xmlns:m="http://schemas.openxmlformats.org/officeDocument/2006/math">
                  <m:f>
                    <m:f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d>
                        <m:d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𝑖</m:t>
                          </m:r>
                        </m:e>
                      </m:d>
                      <m:r>
                        <a:rPr kumimoji="0" lang="de-DE" sz="16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𝑛</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−1</m:t>
                      </m:r>
                    </m:num>
                    <m:den>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𝑖</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m:t>
                      </m:r>
                      <m:d>
                        <m:d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𝑖</m:t>
                          </m:r>
                        </m:e>
                      </m:d>
                      <m:r>
                        <a:rPr kumimoji="0" lang="de-DE" sz="16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𝑛</m:t>
                      </m:r>
                    </m:den>
                  </m:f>
                </m:oMath>
              </a14:m>
              <a:r>
                <a:rPr kumimoji="0" lang="de-DE" sz="1600" b="0" i="0" u="none" strike="noStrike" kern="0" cap="none" spc="0" normalizeH="0" baseline="0" noProof="0">
                  <a:ln>
                    <a:noFill/>
                  </a:ln>
                  <a:solidFill>
                    <a:prstClr val="black"/>
                  </a:solidFill>
                  <a:effectLst/>
                  <a:uLnTx/>
                  <a:uFillTx/>
                  <a:latin typeface="+mn-lt"/>
                  <a:ea typeface="+mn-ea"/>
                  <a:cs typeface="+mn-cs"/>
                </a:rPr>
                <a:t>  - A</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6.478 x </a:t>
              </a:r>
              <a14:m>
                <m:oMath xmlns:m="http://schemas.openxmlformats.org/officeDocument/2006/math">
                  <m:f>
                    <m:f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d>
                        <m:d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1+0,07</m:t>
                          </m:r>
                        </m:e>
                      </m:d>
                      <m:r>
                        <a:rPr kumimoji="0" lang="de-DE" sz="16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3</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−1</m:t>
                      </m:r>
                    </m:num>
                    <m:den>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0,07 </m:t>
                      </m:r>
                      <m:d>
                        <m:d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1+0,07</m:t>
                          </m:r>
                        </m:e>
                      </m:d>
                      <m:r>
                        <a:rPr kumimoji="0" lang="de-DE" sz="16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3</m:t>
                      </m:r>
                    </m:den>
                  </m:f>
                </m:oMath>
              </a14:m>
              <a:r>
                <a:rPr kumimoji="0" lang="de-DE" sz="1600" b="0" i="0" u="none" strike="noStrike" kern="0" cap="none" spc="0" normalizeH="0" baseline="0" noProof="0">
                  <a:ln>
                    <a:noFill/>
                  </a:ln>
                  <a:solidFill>
                    <a:prstClr val="black"/>
                  </a:solidFill>
                  <a:effectLst/>
                  <a:uLnTx/>
                  <a:uFillTx/>
                  <a:latin typeface="+mn-lt"/>
                  <a:ea typeface="+mn-ea"/>
                  <a:cs typeface="+mn-cs"/>
                </a:rPr>
                <a:t>  - 17.000 =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17.000,32 - 17.000 = 0,32 €</a:t>
              </a:r>
            </a:p>
            <a:p>
              <a:endParaRPr lang="de-DE" sz="1100"/>
            </a:p>
          </xdr:txBody>
        </xdr:sp>
      </mc:Choice>
      <mc:Fallback>
        <xdr:sp macro="" textlink="">
          <xdr:nvSpPr>
            <xdr:cNvPr id="2" name="Textfeld 1">
              <a:extLst>
                <a:ext uri="{FF2B5EF4-FFF2-40B4-BE49-F238E27FC236}">
                  <a16:creationId xmlns:a16="http://schemas.microsoft.com/office/drawing/2014/main" id="{49E130D0-8F05-4814-A187-9C0A8CAB6ED5}"/>
                </a:ext>
              </a:extLst>
            </xdr:cNvPr>
            <xdr:cNvSpPr txBox="1"/>
          </xdr:nvSpPr>
          <xdr:spPr>
            <a:xfrm>
              <a:off x="9153525" y="133349"/>
              <a:ext cx="7924800" cy="549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Lösung auf dem Papier:</a:t>
              </a:r>
            </a:p>
            <a:p>
              <a:endParaRPr lang="de-DE" sz="1600"/>
            </a:p>
            <a:p>
              <a:r>
                <a:rPr lang="de-DE" sz="1600"/>
                <a:t>Es handelt sich um zwei Renten, daher ist die</a:t>
              </a:r>
              <a:r>
                <a:rPr lang="de-DE" sz="1600" baseline="0"/>
                <a:t> Anwendung des Rentenbarwertfaktors möglich:</a:t>
              </a:r>
            </a:p>
            <a:p>
              <a:endParaRPr lang="de-DE" sz="1100" baseline="0"/>
            </a:p>
            <a:p>
              <a:pPr marL="0" marR="0" lvl="0" indent="0" defTabSz="914400" rtl="0" eaLnBrk="1" fontAlgn="auto" latinLnBrk="0" hangingPunct="1">
                <a:lnSpc>
                  <a:spcPct val="100000"/>
                </a:lnSpc>
                <a:spcBef>
                  <a:spcPts val="0"/>
                </a:spcBef>
                <a:spcAft>
                  <a:spcPts val="0"/>
                </a:spcAft>
                <a:buClrTx/>
                <a:buSzTx/>
                <a:buFontTx/>
                <a:buNone/>
                <a:tabLst/>
                <a:defRPr/>
              </a:pPr>
              <a:r>
                <a:rPr lang="de-DE" sz="1600" b="1" baseline="0"/>
                <a:t>Investition A: </a:t>
              </a: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K</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C x </a:t>
              </a:r>
              <a:r>
                <a:rPr lang="de-DE" sz="1600" i="0">
                  <a:solidFill>
                    <a:schemeClr val="dk1"/>
                  </a:solidFill>
                  <a:effectLst/>
                  <a:latin typeface="Cambria Math" panose="02040503050406030204" pitchFamily="18" charset="0"/>
                  <a:ea typeface="+mn-ea"/>
                  <a:cs typeface="+mn-cs"/>
                </a:rPr>
                <a:t>((1+𝑖)</a:t>
              </a:r>
              <a:r>
                <a:rPr lang="de-DE" sz="1600" i="0" baseline="30000">
                  <a:solidFill>
                    <a:schemeClr val="dk1"/>
                  </a:solidFill>
                  <a:effectLst/>
                  <a:latin typeface="Cambria Math" panose="02040503050406030204" pitchFamily="18" charset="0"/>
                  <a:ea typeface="+mn-ea"/>
                  <a:cs typeface="+mn-cs"/>
                </a:rPr>
                <a:t>𝑛</a:t>
              </a:r>
              <a:r>
                <a:rPr lang="de-DE" sz="1600" i="0">
                  <a:solidFill>
                    <a:schemeClr val="dk1"/>
                  </a:solidFill>
                  <a:effectLst/>
                  <a:latin typeface="Cambria Math" panose="02040503050406030204" pitchFamily="18" charset="0"/>
                  <a:ea typeface="+mn-ea"/>
                  <a:cs typeface="+mn-cs"/>
                </a:rPr>
                <a:t> −1)/( 𝑖</a:t>
              </a:r>
              <a:r>
                <a:rPr lang="de-DE" sz="1600" b="0" i="0">
                  <a:solidFill>
                    <a:schemeClr val="dk1"/>
                  </a:solidFill>
                  <a:effectLst/>
                  <a:latin typeface="Cambria Math" panose="02040503050406030204" pitchFamily="18" charset="0"/>
                  <a:ea typeface="+mn-ea"/>
                  <a:cs typeface="+mn-cs"/>
                </a:rPr>
                <a:t> (1+𝑖)</a:t>
              </a:r>
              <a:r>
                <a:rPr lang="de-DE" sz="1600" b="0" i="0" baseline="30000">
                  <a:solidFill>
                    <a:schemeClr val="dk1"/>
                  </a:solidFill>
                  <a:effectLst/>
                  <a:latin typeface="Cambria Math" panose="02040503050406030204" pitchFamily="18" charset="0"/>
                  <a:ea typeface="+mn-ea"/>
                  <a:cs typeface="+mn-cs"/>
                </a:rPr>
                <a:t>𝑛)</a:t>
              </a:r>
              <a:r>
                <a:rPr lang="de-DE" sz="1600">
                  <a:solidFill>
                    <a:schemeClr val="dk1"/>
                  </a:solidFill>
                  <a:effectLst/>
                  <a:latin typeface="+mn-lt"/>
                  <a:ea typeface="+mn-ea"/>
                  <a:cs typeface="+mn-cs"/>
                </a:rPr>
                <a:t>  - A</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K</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6.000 x </a:t>
              </a:r>
              <a:r>
                <a:rPr lang="de-DE" sz="1600" i="0">
                  <a:solidFill>
                    <a:schemeClr val="dk1"/>
                  </a:solidFill>
                  <a:effectLst/>
                  <a:latin typeface="Cambria Math" panose="02040503050406030204" pitchFamily="18" charset="0"/>
                  <a:ea typeface="+mn-ea"/>
                  <a:cs typeface="+mn-cs"/>
                </a:rPr>
                <a:t>((1+</a:t>
              </a:r>
              <a:r>
                <a:rPr lang="de-DE" sz="1600" b="0" i="0">
                  <a:solidFill>
                    <a:schemeClr val="dk1"/>
                  </a:solidFill>
                  <a:effectLst/>
                  <a:latin typeface="Cambria Math" panose="02040503050406030204" pitchFamily="18" charset="0"/>
                  <a:ea typeface="+mn-ea"/>
                  <a:cs typeface="+mn-cs"/>
                </a:rPr>
                <a:t>0,07)</a:t>
              </a:r>
              <a:r>
                <a:rPr lang="de-DE" sz="1600" b="0" i="0" baseline="30000">
                  <a:solidFill>
                    <a:schemeClr val="dk1"/>
                  </a:solidFill>
                  <a:effectLst/>
                  <a:latin typeface="Cambria Math" panose="02040503050406030204" pitchFamily="18" charset="0"/>
                  <a:ea typeface="+mn-ea"/>
                  <a:cs typeface="+mn-cs"/>
                </a:rPr>
                <a:t>3</a:t>
              </a:r>
              <a:r>
                <a:rPr lang="de-DE" sz="1600" i="0">
                  <a:solidFill>
                    <a:schemeClr val="dk1"/>
                  </a:solidFill>
                  <a:effectLst/>
                  <a:latin typeface="Cambria Math" panose="02040503050406030204" pitchFamily="18" charset="0"/>
                  <a:ea typeface="+mn-ea"/>
                  <a:cs typeface="+mn-cs"/>
                </a:rPr>
                <a:t> −1)/( </a:t>
              </a:r>
              <a:r>
                <a:rPr lang="de-DE" sz="1600" b="0" i="0">
                  <a:solidFill>
                    <a:schemeClr val="dk1"/>
                  </a:solidFill>
                  <a:effectLst/>
                  <a:latin typeface="Cambria Math" panose="02040503050406030204" pitchFamily="18" charset="0"/>
                  <a:ea typeface="+mn-ea"/>
                  <a:cs typeface="+mn-cs"/>
                </a:rPr>
                <a:t>0,07 (1+0,07)</a:t>
              </a:r>
              <a:r>
                <a:rPr lang="de-DE" sz="1600" b="0" i="0" baseline="30000">
                  <a:solidFill>
                    <a:schemeClr val="dk1"/>
                  </a:solidFill>
                  <a:effectLst/>
                  <a:latin typeface="Cambria Math" panose="02040503050406030204" pitchFamily="18" charset="0"/>
                  <a:ea typeface="+mn-ea"/>
                  <a:cs typeface="+mn-cs"/>
                </a:rPr>
                <a:t>3)</a:t>
              </a:r>
              <a:r>
                <a:rPr lang="de-DE" sz="1600">
                  <a:solidFill>
                    <a:schemeClr val="dk1"/>
                  </a:solidFill>
                  <a:effectLst/>
                  <a:latin typeface="+mn-lt"/>
                  <a:ea typeface="+mn-ea"/>
                  <a:cs typeface="+mn-cs"/>
                </a:rPr>
                <a:t>  - 15.000 =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15.745,90 - 15.000 = 745,90 €</a:t>
              </a:r>
              <a:endParaRPr lang="de-DE" sz="16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de-DE">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1" i="0" u="none" strike="noStrike" kern="0" cap="none" spc="0" normalizeH="0" baseline="0" noProof="0">
                  <a:ln>
                    <a:noFill/>
                  </a:ln>
                  <a:solidFill>
                    <a:prstClr val="black"/>
                  </a:solidFill>
                  <a:effectLst/>
                  <a:uLnTx/>
                  <a:uFillTx/>
                  <a:latin typeface="+mn-lt"/>
                  <a:ea typeface="+mn-ea"/>
                  <a:cs typeface="+mn-cs"/>
                </a:rPr>
                <a:t>Investition A: </a:t>
              </a: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C x </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((1+𝑖)</a:t>
              </a:r>
              <a:r>
                <a:rPr kumimoji="0" lang="de-DE" sz="16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𝑛</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−1)/( 𝑖 (1+𝑖)</a:t>
              </a:r>
              <a:r>
                <a:rPr kumimoji="0" lang="de-DE" sz="16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𝑛</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a:t>
              </a:r>
              <a:r>
                <a:rPr kumimoji="0" lang="de-DE" sz="1600" b="0" i="0" u="none" strike="noStrike" kern="0" cap="none" spc="0" normalizeH="0" baseline="0" noProof="0">
                  <a:ln>
                    <a:noFill/>
                  </a:ln>
                  <a:solidFill>
                    <a:prstClr val="black"/>
                  </a:solidFill>
                  <a:effectLst/>
                  <a:uLnTx/>
                  <a:uFillTx/>
                  <a:latin typeface="+mn-lt"/>
                  <a:ea typeface="+mn-ea"/>
                  <a:cs typeface="+mn-cs"/>
                </a:rPr>
                <a:t>  - A</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6.478 x </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((1+0,07)</a:t>
              </a:r>
              <a:r>
                <a:rPr kumimoji="0" lang="de-DE" sz="16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3</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−1)/( 0,07 (1+0,07)</a:t>
              </a:r>
              <a:r>
                <a:rPr kumimoji="0" lang="de-DE" sz="16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3</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a:t>
              </a:r>
              <a:r>
                <a:rPr kumimoji="0" lang="de-DE" sz="1600" b="0" i="0" u="none" strike="noStrike" kern="0" cap="none" spc="0" normalizeH="0" baseline="0" noProof="0">
                  <a:ln>
                    <a:noFill/>
                  </a:ln>
                  <a:solidFill>
                    <a:prstClr val="black"/>
                  </a:solidFill>
                  <a:effectLst/>
                  <a:uLnTx/>
                  <a:uFillTx/>
                  <a:latin typeface="+mn-lt"/>
                  <a:ea typeface="+mn-ea"/>
                  <a:cs typeface="+mn-cs"/>
                </a:rPr>
                <a:t>  - 17.000 =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17.000,32 - 17.000 = 0,32 €</a:t>
              </a:r>
            </a:p>
            <a:p>
              <a:endParaRPr lang="de-DE" sz="1100"/>
            </a:p>
          </xdr:txBody>
        </xdr:sp>
      </mc:Fallback>
    </mc:AlternateContent>
    <xdr:clientData/>
  </xdr:twoCellAnchor>
  <xdr:twoCellAnchor>
    <xdr:from>
      <xdr:col>1</xdr:col>
      <xdr:colOff>9524</xdr:colOff>
      <xdr:row>19</xdr:row>
      <xdr:rowOff>180975</xdr:rowOff>
    </xdr:from>
    <xdr:to>
      <xdr:col>7</xdr:col>
      <xdr:colOff>781050</xdr:colOff>
      <xdr:row>22</xdr:row>
      <xdr:rowOff>76200</xdr:rowOff>
    </xdr:to>
    <xdr:sp macro="" textlink="">
      <xdr:nvSpPr>
        <xdr:cNvPr id="3" name="Textfeld 2">
          <a:extLst>
            <a:ext uri="{FF2B5EF4-FFF2-40B4-BE49-F238E27FC236}">
              <a16:creationId xmlns:a16="http://schemas.microsoft.com/office/drawing/2014/main" id="{3173ABE3-BA18-4BBC-9A4F-6D00106D1C1F}"/>
            </a:ext>
          </a:extLst>
        </xdr:cNvPr>
        <xdr:cNvSpPr txBox="1"/>
      </xdr:nvSpPr>
      <xdr:spPr>
        <a:xfrm>
          <a:off x="771524" y="3800475"/>
          <a:ext cx="5324476"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Bei Renten führen</a:t>
          </a:r>
          <a:r>
            <a:rPr lang="de-DE" sz="1100" baseline="0"/>
            <a:t> beide Funktionen zum richtigen Ergebnis, aber es empflielt sich, bei Renten die BW-Funktion zu verwenden.</a:t>
          </a:r>
          <a:endParaRPr lang="de-DE"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6</xdr:col>
      <xdr:colOff>723900</xdr:colOff>
      <xdr:row>2</xdr:row>
      <xdr:rowOff>38100</xdr:rowOff>
    </xdr:from>
    <xdr:to>
      <xdr:col>18</xdr:col>
      <xdr:colOff>428625</xdr:colOff>
      <xdr:row>21</xdr:row>
      <xdr:rowOff>104775</xdr:rowOff>
    </xdr:to>
    <xdr:sp macro="" textlink="">
      <xdr:nvSpPr>
        <xdr:cNvPr id="2" name="Textfeld 1">
          <a:extLst>
            <a:ext uri="{FF2B5EF4-FFF2-40B4-BE49-F238E27FC236}">
              <a16:creationId xmlns:a16="http://schemas.microsoft.com/office/drawing/2014/main" id="{6E0CBA9A-DA49-4CFE-9151-F3ABC8D7290C}"/>
            </a:ext>
          </a:extLst>
        </xdr:cNvPr>
        <xdr:cNvSpPr txBox="1"/>
      </xdr:nvSpPr>
      <xdr:spPr>
        <a:xfrm>
          <a:off x="5295900" y="419100"/>
          <a:ext cx="8848725" cy="3686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a:t>Lösung auf dem Papier:</a:t>
          </a:r>
        </a:p>
        <a:p>
          <a:endParaRPr lang="de-DE" sz="1800"/>
        </a:p>
        <a:p>
          <a:r>
            <a:rPr lang="de-DE" sz="1800"/>
            <a:t>- 2.000.000€</a:t>
          </a:r>
          <a:r>
            <a:rPr lang="de-DE" sz="1800" baseline="0"/>
            <a:t> + 870.000€ * 1,1</a:t>
          </a:r>
          <a:r>
            <a:rPr lang="de-DE" sz="1800" baseline="30000"/>
            <a:t> -1 </a:t>
          </a:r>
          <a:r>
            <a:rPr lang="de-DE" sz="1800" baseline="0"/>
            <a:t>+ 2.068.000€ * 1,1 </a:t>
          </a:r>
          <a:r>
            <a:rPr lang="de-DE" sz="1800" baseline="30000"/>
            <a:t>-2</a:t>
          </a:r>
        </a:p>
        <a:p>
          <a:r>
            <a:rPr lang="de-DE" sz="1800" baseline="0"/>
            <a:t> </a:t>
          </a:r>
        </a:p>
        <a:p>
          <a:r>
            <a:rPr lang="de-DE" sz="1800" baseline="0"/>
            <a:t>= -2.000.000€ + 790.909,09€ + 1.709.090,91€ </a:t>
          </a:r>
        </a:p>
        <a:p>
          <a:endParaRPr lang="de-DE" sz="1800" baseline="0"/>
        </a:p>
        <a:p>
          <a:r>
            <a:rPr lang="de-DE" sz="1800" baseline="0"/>
            <a:t>= 500.000 €</a:t>
          </a:r>
          <a:endParaRPr lang="de-DE" sz="18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4</xdr:col>
      <xdr:colOff>647700</xdr:colOff>
      <xdr:row>2</xdr:row>
      <xdr:rowOff>0</xdr:rowOff>
    </xdr:from>
    <xdr:to>
      <xdr:col>13</xdr:col>
      <xdr:colOff>161926</xdr:colOff>
      <xdr:row>11</xdr:row>
      <xdr:rowOff>104775</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DD945470-AEE4-4693-B65F-1B047993E8AE}"/>
                </a:ext>
              </a:extLst>
            </xdr:cNvPr>
            <xdr:cNvSpPr txBox="1"/>
          </xdr:nvSpPr>
          <xdr:spPr>
            <a:xfrm>
              <a:off x="3695700" y="381000"/>
              <a:ext cx="6372226"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Multiplikation des Kapitalwertes</a:t>
              </a:r>
              <a:r>
                <a:rPr lang="de-DE" sz="2000" baseline="0"/>
                <a:t> mit dem Wiedergewinnungsfaktor:</a:t>
              </a:r>
            </a:p>
            <a:p>
              <a:endParaRPr lang="de-DE" sz="2000"/>
            </a:p>
            <a:p>
              <a:r>
                <a:rPr lang="de-DE" sz="2000"/>
                <a:t>576,89€ * </a:t>
              </a:r>
              <a14:m>
                <m:oMath xmlns:m="http://schemas.openxmlformats.org/officeDocument/2006/math">
                  <m:f>
                    <m:fPr>
                      <m:ctrlPr>
                        <a:rPr lang="de-DE" sz="2000" i="1">
                          <a:latin typeface="Cambria Math" panose="02040503050406030204" pitchFamily="18" charset="0"/>
                        </a:rPr>
                      </m:ctrlPr>
                    </m:fPr>
                    <m:num>
                      <m:sSup>
                        <m:sSupPr>
                          <m:ctrlPr>
                            <a:rPr lang="de-DE" sz="2000" i="1">
                              <a:latin typeface="Cambria Math" panose="02040503050406030204" pitchFamily="18" charset="0"/>
                            </a:rPr>
                          </m:ctrlPr>
                        </m:sSupPr>
                        <m:e>
                          <m:r>
                            <a:rPr lang="de-DE" sz="2000" b="0" i="1">
                              <a:latin typeface="Cambria Math" panose="02040503050406030204" pitchFamily="18" charset="0"/>
                            </a:rPr>
                            <m:t>1,08</m:t>
                          </m:r>
                        </m:e>
                        <m:sup>
                          <m:r>
                            <a:rPr lang="de-DE" sz="2000" b="0" i="1">
                              <a:latin typeface="Cambria Math" panose="02040503050406030204" pitchFamily="18" charset="0"/>
                            </a:rPr>
                            <m:t>3</m:t>
                          </m:r>
                        </m:sup>
                      </m:sSup>
                      <m:r>
                        <a:rPr lang="de-DE" sz="2000" b="0" i="1">
                          <a:latin typeface="Cambria Math" panose="02040503050406030204" pitchFamily="18" charset="0"/>
                        </a:rPr>
                        <m:t>∗0,08</m:t>
                      </m:r>
                    </m:num>
                    <m:den>
                      <m:sSup>
                        <m:sSupPr>
                          <m:ctrlPr>
                            <a:rPr lang="de-DE" sz="2000" i="1">
                              <a:latin typeface="Cambria Math" panose="02040503050406030204" pitchFamily="18" charset="0"/>
                            </a:rPr>
                          </m:ctrlPr>
                        </m:sSupPr>
                        <m:e>
                          <m:r>
                            <a:rPr lang="de-DE" sz="2000" b="0" i="1">
                              <a:latin typeface="Cambria Math" panose="02040503050406030204" pitchFamily="18" charset="0"/>
                            </a:rPr>
                            <m:t>1,08</m:t>
                          </m:r>
                        </m:e>
                        <m:sup>
                          <m:r>
                            <a:rPr lang="de-DE" sz="2000" b="0" i="1">
                              <a:latin typeface="Cambria Math" panose="02040503050406030204" pitchFamily="18" charset="0"/>
                            </a:rPr>
                            <m:t>3</m:t>
                          </m:r>
                        </m:sup>
                      </m:sSup>
                      <m:r>
                        <a:rPr lang="de-DE" sz="2000" b="0" i="1">
                          <a:latin typeface="Cambria Math" panose="02040503050406030204" pitchFamily="18" charset="0"/>
                        </a:rPr>
                        <m:t>−1</m:t>
                      </m:r>
                    </m:den>
                  </m:f>
                  <m:r>
                    <a:rPr lang="de-DE" sz="2000" b="0" i="1">
                      <a:latin typeface="Cambria Math" panose="02040503050406030204" pitchFamily="18" charset="0"/>
                    </a:rPr>
                    <m:t>=576,89€ ∗0,388034= </m:t>
                  </m:r>
                </m:oMath>
              </a14:m>
              <a:r>
                <a:rPr lang="de-DE" sz="2000"/>
                <a:t>223,85 €</a:t>
              </a:r>
            </a:p>
          </xdr:txBody>
        </xdr:sp>
      </mc:Choice>
      <mc:Fallback>
        <xdr:sp macro="" textlink="">
          <xdr:nvSpPr>
            <xdr:cNvPr id="2" name="Textfeld 1">
              <a:extLst>
                <a:ext uri="{FF2B5EF4-FFF2-40B4-BE49-F238E27FC236}">
                  <a16:creationId xmlns:a16="http://schemas.microsoft.com/office/drawing/2014/main" id="{DD945470-AEE4-4693-B65F-1B047993E8AE}"/>
                </a:ext>
              </a:extLst>
            </xdr:cNvPr>
            <xdr:cNvSpPr txBox="1"/>
          </xdr:nvSpPr>
          <xdr:spPr>
            <a:xfrm>
              <a:off x="3695700" y="381000"/>
              <a:ext cx="6372226"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Multiplikation des Kapitalwertes</a:t>
              </a:r>
              <a:r>
                <a:rPr lang="de-DE" sz="2000" baseline="0"/>
                <a:t> mit dem Wiedergewinnungsfaktor:</a:t>
              </a:r>
            </a:p>
            <a:p>
              <a:endParaRPr lang="de-DE" sz="2000"/>
            </a:p>
            <a:p>
              <a:r>
                <a:rPr lang="de-DE" sz="2000"/>
                <a:t>576,89€ * </a:t>
              </a:r>
              <a:r>
                <a:rPr lang="de-DE" sz="2000" i="0">
                  <a:latin typeface="Cambria Math" panose="02040503050406030204" pitchFamily="18" charset="0"/>
                </a:rPr>
                <a:t>(〖</a:t>
              </a:r>
              <a:r>
                <a:rPr lang="de-DE" sz="2000" b="0" i="0">
                  <a:latin typeface="Cambria Math" panose="02040503050406030204" pitchFamily="18" charset="0"/>
                </a:rPr>
                <a:t>1,08〗^3∗0,08)/(〖1,08〗^3−1)=576,89€ ∗0,388034= </a:t>
              </a:r>
              <a:r>
                <a:rPr lang="de-DE" sz="2000"/>
                <a:t>223,85 €</a:t>
              </a:r>
            </a:p>
          </xdr:txBody>
        </xdr:sp>
      </mc:Fallback>
    </mc:AlternateContent>
    <xdr:clientData/>
  </xdr:twoCellAnchor>
  <xdr:oneCellAnchor>
    <xdr:from>
      <xdr:col>10</xdr:col>
      <xdr:colOff>600075</xdr:colOff>
      <xdr:row>11</xdr:row>
      <xdr:rowOff>180975</xdr:rowOff>
    </xdr:from>
    <xdr:ext cx="5628571" cy="3190476"/>
    <xdr:pic>
      <xdr:nvPicPr>
        <xdr:cNvPr id="3" name="Grafik 2">
          <a:extLst>
            <a:ext uri="{FF2B5EF4-FFF2-40B4-BE49-F238E27FC236}">
              <a16:creationId xmlns:a16="http://schemas.microsoft.com/office/drawing/2014/main" id="{3AB50C8E-CE71-4963-BDBF-3D441B41FF16}"/>
            </a:ext>
          </a:extLst>
        </xdr:cNvPr>
        <xdr:cNvPicPr>
          <a:picLocks noChangeAspect="1"/>
        </xdr:cNvPicPr>
      </xdr:nvPicPr>
      <xdr:blipFill>
        <a:blip xmlns:r="http://schemas.openxmlformats.org/officeDocument/2006/relationships" r:embed="rId1"/>
        <a:stretch>
          <a:fillRect/>
        </a:stretch>
      </xdr:blipFill>
      <xdr:spPr>
        <a:xfrm>
          <a:off x="8220075" y="2276475"/>
          <a:ext cx="5628571" cy="3190476"/>
        </a:xfrm>
        <a:prstGeom prst="rect">
          <a:avLst/>
        </a:prstGeom>
      </xdr:spPr>
    </xdr:pic>
    <xdr:clientData/>
  </xdr:oneCellAnchor>
  <xdr:twoCellAnchor>
    <xdr:from>
      <xdr:col>5</xdr:col>
      <xdr:colOff>85726</xdr:colOff>
      <xdr:row>13</xdr:row>
      <xdr:rowOff>161926</xdr:rowOff>
    </xdr:from>
    <xdr:to>
      <xdr:col>10</xdr:col>
      <xdr:colOff>552450</xdr:colOff>
      <xdr:row>14</xdr:row>
      <xdr:rowOff>47625</xdr:rowOff>
    </xdr:to>
    <xdr:cxnSp macro="">
      <xdr:nvCxnSpPr>
        <xdr:cNvPr id="4" name="Gerade Verbindung mit Pfeil 3">
          <a:extLst>
            <a:ext uri="{FF2B5EF4-FFF2-40B4-BE49-F238E27FC236}">
              <a16:creationId xmlns:a16="http://schemas.microsoft.com/office/drawing/2014/main" id="{EDD38945-ED0E-4CEA-AE8D-89B04C0ACCCA}"/>
            </a:ext>
          </a:extLst>
        </xdr:cNvPr>
        <xdr:cNvCxnSpPr/>
      </xdr:nvCxnSpPr>
      <xdr:spPr>
        <a:xfrm flipH="1" flipV="1">
          <a:off x="3895726" y="2638426"/>
          <a:ext cx="4276724" cy="76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3</xdr:col>
      <xdr:colOff>38099</xdr:colOff>
      <xdr:row>6</xdr:row>
      <xdr:rowOff>171449</xdr:rowOff>
    </xdr:from>
    <xdr:to>
      <xdr:col>7</xdr:col>
      <xdr:colOff>9525</xdr:colOff>
      <xdr:row>9</xdr:row>
      <xdr:rowOff>114300</xdr:rowOff>
    </xdr:to>
    <xdr:sp macro="" textlink="">
      <xdr:nvSpPr>
        <xdr:cNvPr id="2" name="Textfeld 1">
          <a:extLst>
            <a:ext uri="{FF2B5EF4-FFF2-40B4-BE49-F238E27FC236}">
              <a16:creationId xmlns:a16="http://schemas.microsoft.com/office/drawing/2014/main" id="{C869C9CD-E974-4E03-9F83-80E44386C9F4}"/>
            </a:ext>
          </a:extLst>
        </xdr:cNvPr>
        <xdr:cNvSpPr txBox="1"/>
      </xdr:nvSpPr>
      <xdr:spPr>
        <a:xfrm>
          <a:off x="2324099" y="1314449"/>
          <a:ext cx="3019426" cy="514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&lt;-- Berechnet mit Excel-Funktion NBW</a:t>
          </a:r>
        </a:p>
        <a:p>
          <a:r>
            <a:rPr lang="de-DE" sz="1100"/>
            <a:t>&lt;-- Berechnet mit Excel-Funktion BW, da Rente</a:t>
          </a:r>
        </a:p>
      </xdr:txBody>
    </xdr:sp>
    <xdr:clientData/>
  </xdr:twoCellAnchor>
  <xdr:twoCellAnchor>
    <xdr:from>
      <xdr:col>8</xdr:col>
      <xdr:colOff>47625</xdr:colOff>
      <xdr:row>14</xdr:row>
      <xdr:rowOff>123825</xdr:rowOff>
    </xdr:from>
    <xdr:to>
      <xdr:col>14</xdr:col>
      <xdr:colOff>28575</xdr:colOff>
      <xdr:row>31</xdr:row>
      <xdr:rowOff>57150</xdr:rowOff>
    </xdr:to>
    <xdr:sp macro="" textlink="">
      <xdr:nvSpPr>
        <xdr:cNvPr id="3" name="Textfeld 2">
          <a:extLst>
            <a:ext uri="{FF2B5EF4-FFF2-40B4-BE49-F238E27FC236}">
              <a16:creationId xmlns:a16="http://schemas.microsoft.com/office/drawing/2014/main" id="{5F8DA353-B780-4D4C-90D5-BD292E31D22D}"/>
            </a:ext>
          </a:extLst>
        </xdr:cNvPr>
        <xdr:cNvSpPr txBox="1"/>
      </xdr:nvSpPr>
      <xdr:spPr>
        <a:xfrm>
          <a:off x="6143625" y="2790825"/>
          <a:ext cx="4552950" cy="3171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 Teilaufgabe</a:t>
          </a:r>
          <a:r>
            <a:rPr lang="de-DE" sz="1100" baseline="0"/>
            <a:t> b):</a:t>
          </a:r>
        </a:p>
        <a:p>
          <a:endParaRPr lang="de-DE" sz="1100" baseline="0"/>
        </a:p>
        <a:p>
          <a:r>
            <a:rPr lang="de-DE" sz="1100" baseline="0"/>
            <a:t>Problematiken: </a:t>
          </a:r>
        </a:p>
        <a:p>
          <a:r>
            <a:rPr lang="de-DE" sz="1100" baseline="0"/>
            <a:t>Ergänzungsinvestition Maschine B:  70 TEUR</a:t>
          </a:r>
        </a:p>
        <a:p>
          <a:r>
            <a:rPr lang="de-DE" sz="1100" baseline="0"/>
            <a:t>Anschlussinvestition Maschine B:  4. und 5. Jahr</a:t>
          </a:r>
        </a:p>
        <a:p>
          <a:r>
            <a:rPr lang="de-DE" sz="1100" baseline="0"/>
            <a:t>Zahlungsstrukturdifferenzen: 10 TEUR im 1. Jahr, 5 TEUR im 2. Jahr, 15 TEUR im 3. Jahr.</a:t>
          </a:r>
        </a:p>
        <a:p>
          <a:endParaRPr lang="de-DE" sz="1100" baseline="0"/>
        </a:p>
        <a:p>
          <a:r>
            <a:rPr lang="de-DE" sz="1100" baseline="0"/>
            <a:t>Unter Zugrundelegung eines vollkommenen Kapitalmarktes ist der Vergleich vollständig, da die Kapitalwerte der Teilproblembereiche gleich null sind. </a:t>
          </a:r>
        </a:p>
        <a:p>
          <a:endParaRPr lang="de-DE" sz="1100" baseline="0"/>
        </a:p>
        <a:p>
          <a:endParaRPr lang="de-DE" sz="1100"/>
        </a:p>
      </xdr:txBody>
    </xdr:sp>
    <xdr:clientData/>
  </xdr:twoCellAnchor>
  <xdr:twoCellAnchor>
    <xdr:from>
      <xdr:col>8</xdr:col>
      <xdr:colOff>19050</xdr:colOff>
      <xdr:row>33</xdr:row>
      <xdr:rowOff>180974</xdr:rowOff>
    </xdr:from>
    <xdr:to>
      <xdr:col>14</xdr:col>
      <xdr:colOff>0</xdr:colOff>
      <xdr:row>56</xdr:row>
      <xdr:rowOff>9525</xdr:rowOff>
    </xdr:to>
    <xdr:sp macro="" textlink="">
      <xdr:nvSpPr>
        <xdr:cNvPr id="4" name="Textfeld 3">
          <a:extLst>
            <a:ext uri="{FF2B5EF4-FFF2-40B4-BE49-F238E27FC236}">
              <a16:creationId xmlns:a16="http://schemas.microsoft.com/office/drawing/2014/main" id="{DE44DEF0-8122-40C7-8337-7106C0B8131B}"/>
            </a:ext>
          </a:extLst>
        </xdr:cNvPr>
        <xdr:cNvSpPr txBox="1"/>
      </xdr:nvSpPr>
      <xdr:spPr>
        <a:xfrm>
          <a:off x="6115050" y="6467474"/>
          <a:ext cx="4552950" cy="4210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 Teilaufgabe</a:t>
          </a:r>
          <a:r>
            <a:rPr lang="de-DE" sz="1100" baseline="0"/>
            <a:t> c):</a:t>
          </a:r>
        </a:p>
        <a:p>
          <a:endParaRPr lang="de-DE" sz="1100" baseline="0"/>
        </a:p>
        <a:p>
          <a:r>
            <a:rPr lang="de-DE" sz="1100" baseline="0"/>
            <a:t>Da Maschine B einen höheren internen Zinsfuß als Maschine A aufweist und der interne Zinsfuß von Maschine B höher ist, als der Kalkulationszinssatzz von 10 %, sollte nach der Internen-Zinsfuß-Methode Maschine B ausgewählt werden.</a:t>
          </a:r>
        </a:p>
        <a:p>
          <a:endParaRPr lang="de-DE" sz="1100" baseline="0"/>
        </a:p>
        <a:p>
          <a:r>
            <a:rPr lang="de-DE" sz="1100" u="sng" baseline="0"/>
            <a:t>ABER:</a:t>
          </a:r>
        </a:p>
        <a:p>
          <a:endParaRPr lang="de-DE" sz="1100" baseline="0"/>
        </a:p>
        <a:p>
          <a:r>
            <a:rPr lang="de-DE" sz="1100" baseline="0"/>
            <a:t>Gemäß Kapitalwertmethode (Teilaufgabe a) wäre Maschine A auszuwählen. Es treten also bei der Anwendung der Kapitalwertmethode und der Interner-Zinsfuß-Methode unterschiedliche Rangfolgen auf. </a:t>
          </a:r>
        </a:p>
        <a:p>
          <a:endParaRPr lang="de-DE" sz="1100" baseline="0"/>
        </a:p>
        <a:p>
          <a:r>
            <a:rPr lang="de-DE" sz="1100" b="1">
              <a:solidFill>
                <a:schemeClr val="dk1"/>
              </a:solidFill>
              <a:effectLst/>
              <a:latin typeface="+mn-lt"/>
              <a:ea typeface="+mn-ea"/>
              <a:cs typeface="+mn-cs"/>
            </a:rPr>
            <a:t>Insbesondere beim Vergleich von zwei Alternativprojekten mit deutlichen Unterschieden hinsichtlich der Anschaffungsausgaben, Rückflüssen oder Nutzungsdauern besteht bei der Internen-Zinsfuß-Methode die Gefahr von Fehlentscheidungen aufgrund der unrealistischen impliziten Wiederanlageprämisse zum internen Zinsfuß.</a:t>
          </a:r>
        </a:p>
        <a:p>
          <a:endParaRPr lang="de-DE" sz="1100" b="1" baseline="0">
            <a:solidFill>
              <a:schemeClr val="dk1"/>
            </a:solidFill>
            <a:effectLst/>
            <a:latin typeface="+mn-lt"/>
            <a:ea typeface="+mn-ea"/>
            <a:cs typeface="+mn-cs"/>
          </a:endParaRPr>
        </a:p>
        <a:p>
          <a:endParaRPr lang="de-DE" sz="1100" baseline="0"/>
        </a:p>
        <a:p>
          <a:pPr marL="0" marR="0" lvl="0" indent="0" defTabSz="914400" rtl="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Aus finanzierungstheoretischer Perspektive </a:t>
          </a:r>
          <a:r>
            <a:rPr lang="de-DE" sz="1100" u="sng">
              <a:solidFill>
                <a:schemeClr val="dk1"/>
              </a:solidFill>
              <a:effectLst/>
              <a:latin typeface="+mn-lt"/>
              <a:ea typeface="+mn-ea"/>
              <a:cs typeface="+mn-cs"/>
            </a:rPr>
            <a:t>kann allein die Kapitalwertmethode eine eindeutige Entscheidung treffen</a:t>
          </a:r>
          <a:r>
            <a:rPr lang="de-DE" sz="1100">
              <a:solidFill>
                <a:schemeClr val="dk1"/>
              </a:solidFill>
              <a:effectLst/>
              <a:latin typeface="+mn-lt"/>
              <a:ea typeface="+mn-ea"/>
              <a:cs typeface="+mn-cs"/>
            </a:rPr>
            <a:t>, sodass diese für die Entscheidungsfindung zu bevorzugen ist.  </a:t>
          </a:r>
          <a:r>
            <a:rPr lang="de-DE" sz="1100" b="1">
              <a:solidFill>
                <a:schemeClr val="dk1"/>
              </a:solidFill>
              <a:effectLst/>
              <a:latin typeface="+mn-lt"/>
              <a:ea typeface="+mn-ea"/>
              <a:cs typeface="+mn-cs"/>
            </a:rPr>
            <a:t>==&gt; Maschine A wählen</a:t>
          </a:r>
          <a:endParaRPr lang="de-DE" b="1">
            <a:effectLst/>
          </a:endParaRPr>
        </a:p>
        <a:p>
          <a:endParaRPr lang="de-DE" sz="1100" baseline="0"/>
        </a:p>
        <a:p>
          <a:endParaRPr lang="de-DE" sz="1100" baseline="0"/>
        </a:p>
        <a:p>
          <a:endParaRPr lang="de-DE" sz="1100"/>
        </a:p>
      </xdr:txBody>
    </xdr:sp>
    <xdr:clientData/>
  </xdr:twoCellAnchor>
  <xdr:twoCellAnchor>
    <xdr:from>
      <xdr:col>8</xdr:col>
      <xdr:colOff>76200</xdr:colOff>
      <xdr:row>1</xdr:row>
      <xdr:rowOff>171450</xdr:rowOff>
    </xdr:from>
    <xdr:to>
      <xdr:col>14</xdr:col>
      <xdr:colOff>9525</xdr:colOff>
      <xdr:row>10</xdr:row>
      <xdr:rowOff>9525</xdr:rowOff>
    </xdr:to>
    <xdr:sp macro="" textlink="">
      <xdr:nvSpPr>
        <xdr:cNvPr id="5" name="Textfeld 4">
          <a:extLst>
            <a:ext uri="{FF2B5EF4-FFF2-40B4-BE49-F238E27FC236}">
              <a16:creationId xmlns:a16="http://schemas.microsoft.com/office/drawing/2014/main" id="{C2DCE216-1FA3-43F6-AF19-D283EB3DD4F1}"/>
            </a:ext>
          </a:extLst>
        </xdr:cNvPr>
        <xdr:cNvSpPr txBox="1"/>
      </xdr:nvSpPr>
      <xdr:spPr>
        <a:xfrm>
          <a:off x="6172200" y="361950"/>
          <a:ext cx="4505325"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a:t>
          </a:r>
          <a:r>
            <a:rPr lang="de-DE" sz="1100" baseline="0"/>
            <a:t> Teilaufgabe a):</a:t>
          </a:r>
        </a:p>
        <a:p>
          <a:endParaRPr lang="de-DE" sz="1100" baseline="0"/>
        </a:p>
        <a:p>
          <a:r>
            <a:rPr lang="de-DE" sz="1100" baseline="0"/>
            <a:t>Da Maschine A einen höheren Kapitalwert aufweist als Maschine B, sollte Maschine A ausgewählt werden. </a:t>
          </a:r>
          <a:endParaRPr lang="de-DE" sz="1100"/>
        </a:p>
      </xdr:txBody>
    </xdr:sp>
    <xdr:clientData/>
  </xdr:twoCellAnchor>
  <xdr:twoCellAnchor>
    <xdr:from>
      <xdr:col>3</xdr:col>
      <xdr:colOff>0</xdr:colOff>
      <xdr:row>35</xdr:row>
      <xdr:rowOff>0</xdr:rowOff>
    </xdr:from>
    <xdr:to>
      <xdr:col>6</xdr:col>
      <xdr:colOff>733426</xdr:colOff>
      <xdr:row>37</xdr:row>
      <xdr:rowOff>133351</xdr:rowOff>
    </xdr:to>
    <xdr:sp macro="" textlink="">
      <xdr:nvSpPr>
        <xdr:cNvPr id="6" name="Textfeld 5">
          <a:extLst>
            <a:ext uri="{FF2B5EF4-FFF2-40B4-BE49-F238E27FC236}">
              <a16:creationId xmlns:a16="http://schemas.microsoft.com/office/drawing/2014/main" id="{733CA6CA-996C-4AA9-8BD2-2F5F22F64B05}"/>
            </a:ext>
          </a:extLst>
        </xdr:cNvPr>
        <xdr:cNvSpPr txBox="1"/>
      </xdr:nvSpPr>
      <xdr:spPr>
        <a:xfrm>
          <a:off x="2286000" y="6667500"/>
          <a:ext cx="3019426" cy="514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&lt;-- Berechnet mit Excel-Funktion IKV</a:t>
          </a:r>
        </a:p>
        <a:p>
          <a:r>
            <a:rPr lang="de-DE" sz="1100"/>
            <a:t>&lt;-- Berechnet mit Excel-Funktion IKV</a:t>
          </a:r>
        </a:p>
      </xdr:txBody>
    </xdr:sp>
    <xdr:clientData/>
  </xdr:twoCellAnchor>
  <xdr:twoCellAnchor>
    <xdr:from>
      <xdr:col>1</xdr:col>
      <xdr:colOff>0</xdr:colOff>
      <xdr:row>37</xdr:row>
      <xdr:rowOff>185737</xdr:rowOff>
    </xdr:from>
    <xdr:to>
      <xdr:col>3</xdr:col>
      <xdr:colOff>742950</xdr:colOff>
      <xdr:row>52</xdr:row>
      <xdr:rowOff>71437</xdr:rowOff>
    </xdr:to>
    <xdr:graphicFrame macro="">
      <xdr:nvGraphicFramePr>
        <xdr:cNvPr id="7" name="Diagramm 6">
          <a:extLst>
            <a:ext uri="{FF2B5EF4-FFF2-40B4-BE49-F238E27FC236}">
              <a16:creationId xmlns:a16="http://schemas.microsoft.com/office/drawing/2014/main" id="{4B218B9D-C5FE-4390-841A-8B4CFDFBB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53</xdr:row>
      <xdr:rowOff>23812</xdr:rowOff>
    </xdr:from>
    <xdr:to>
      <xdr:col>3</xdr:col>
      <xdr:colOff>752475</xdr:colOff>
      <xdr:row>67</xdr:row>
      <xdr:rowOff>100012</xdr:rowOff>
    </xdr:to>
    <xdr:graphicFrame macro="">
      <xdr:nvGraphicFramePr>
        <xdr:cNvPr id="8" name="Diagramm 7">
          <a:extLst>
            <a:ext uri="{FF2B5EF4-FFF2-40B4-BE49-F238E27FC236}">
              <a16:creationId xmlns:a16="http://schemas.microsoft.com/office/drawing/2014/main" id="{FE66FBEF-FEF9-4B27-B2A7-1D5084AF5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2</xdr:col>
      <xdr:colOff>257175</xdr:colOff>
      <xdr:row>2</xdr:row>
      <xdr:rowOff>57150</xdr:rowOff>
    </xdr:from>
    <xdr:to>
      <xdr:col>14</xdr:col>
      <xdr:colOff>752475</xdr:colOff>
      <xdr:row>33</xdr:row>
      <xdr:rowOff>160020</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BACF6E72-41BA-4D89-878F-30D71FAFC282}"/>
                </a:ext>
              </a:extLst>
            </xdr:cNvPr>
            <xdr:cNvSpPr txBox="1"/>
          </xdr:nvSpPr>
          <xdr:spPr>
            <a:xfrm>
              <a:off x="1781175" y="438150"/>
              <a:ext cx="9639300" cy="6008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Versuchszinssatz  i</a:t>
              </a:r>
              <a:r>
                <a:rPr kumimoji="0" lang="de-DE" sz="1600" b="0" i="0" u="none" strike="noStrike" kern="0" cap="none" spc="0" normalizeH="0" baseline="-25000" noProof="0">
                  <a:ln>
                    <a:noFill/>
                  </a:ln>
                  <a:solidFill>
                    <a:prstClr val="black"/>
                  </a:solidFill>
                  <a:effectLst/>
                  <a:uLnTx/>
                  <a:uFillTx/>
                  <a:latin typeface="+mn-lt"/>
                  <a:ea typeface="+mn-ea"/>
                  <a:cs typeface="+mn-cs"/>
                </a:rPr>
                <a:t>1</a:t>
              </a:r>
              <a:r>
                <a:rPr kumimoji="0" lang="de-DE" sz="1600" b="0" i="0" u="none" strike="noStrike" kern="0" cap="none" spc="0" normalizeH="0" baseline="0" noProof="0">
                  <a:ln>
                    <a:noFill/>
                  </a:ln>
                  <a:solidFill>
                    <a:prstClr val="black"/>
                  </a:solidFill>
                  <a:effectLst/>
                  <a:uLnTx/>
                  <a:uFillTx/>
                  <a:latin typeface="+mn-lt"/>
                  <a:ea typeface="+mn-ea"/>
                  <a:cs typeface="+mn-cs"/>
                </a:rPr>
                <a:t> = 9 %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KW</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bei Versuchszins i</a:t>
              </a:r>
              <a:r>
                <a:rPr kumimoji="0" lang="de-DE" sz="1600" b="0" i="0" u="none" strike="noStrike" kern="0" cap="none" spc="0" normalizeH="0" baseline="-25000" noProof="0">
                  <a:ln>
                    <a:noFill/>
                  </a:ln>
                  <a:solidFill>
                    <a:prstClr val="black"/>
                  </a:solidFill>
                  <a:effectLst/>
                  <a:uLnTx/>
                  <a:uFillTx/>
                  <a:latin typeface="+mn-lt"/>
                  <a:ea typeface="+mn-ea"/>
                  <a:cs typeface="+mn-cs"/>
                </a:rPr>
                <a:t>1</a:t>
              </a:r>
              <a:r>
                <a:rPr kumimoji="0" lang="de-DE" sz="1600" b="0" i="0" u="none" strike="noStrike" kern="0" cap="none" spc="0" normalizeH="0" baseline="0" noProof="0">
                  <a:ln>
                    <a:noFill/>
                  </a:ln>
                  <a:solidFill>
                    <a:prstClr val="black"/>
                  </a:solidFill>
                  <a:effectLst/>
                  <a:uLnTx/>
                  <a:uFillTx/>
                  <a:latin typeface="+mn-lt"/>
                  <a:ea typeface="+mn-ea"/>
                  <a:cs typeface="+mn-cs"/>
                </a:rPr>
                <a:t> = -160.000€ + 20.000€ * 1,09 </a:t>
              </a:r>
              <a:r>
                <a:rPr kumimoji="0" lang="de-DE" sz="1600" b="0" i="0" u="none" strike="noStrike" kern="0" cap="none" spc="0" normalizeH="0" baseline="30000" noProof="0">
                  <a:ln>
                    <a:noFill/>
                  </a:ln>
                  <a:solidFill>
                    <a:prstClr val="black"/>
                  </a:solidFill>
                  <a:effectLst/>
                  <a:uLnTx/>
                  <a:uFillTx/>
                  <a:latin typeface="+mn-lt"/>
                  <a:ea typeface="+mn-ea"/>
                  <a:cs typeface="+mn-cs"/>
                </a:rPr>
                <a:t>-1 </a:t>
              </a:r>
              <a:r>
                <a:rPr kumimoji="0" lang="de-DE" sz="1600" b="0" i="0" u="none" strike="noStrike" kern="0" cap="none" spc="0" normalizeH="0" baseline="0" noProof="0">
                  <a:ln>
                    <a:noFill/>
                  </a:ln>
                  <a:solidFill>
                    <a:prstClr val="black"/>
                  </a:solidFill>
                  <a:effectLst/>
                  <a:uLnTx/>
                  <a:uFillTx/>
                  <a:latin typeface="+mn-lt"/>
                  <a:ea typeface="+mn-ea"/>
                  <a:cs typeface="+mn-cs"/>
                </a:rPr>
                <a:t>+ 40.000€ * 1,09 </a:t>
              </a:r>
              <a:r>
                <a:rPr kumimoji="0" lang="de-DE" sz="1600" b="0" i="0" u="none" strike="noStrike" kern="0" cap="none" spc="0" normalizeH="0" baseline="30000" noProof="0">
                  <a:ln>
                    <a:noFill/>
                  </a:ln>
                  <a:solidFill>
                    <a:prstClr val="black"/>
                  </a:solidFill>
                  <a:effectLst/>
                  <a:uLnTx/>
                  <a:uFillTx/>
                  <a:latin typeface="+mn-lt"/>
                  <a:ea typeface="+mn-ea"/>
                  <a:cs typeface="+mn-cs"/>
                </a:rPr>
                <a:t>-2  </a:t>
              </a:r>
              <a:r>
                <a:rPr kumimoji="0" lang="de-DE" sz="1600" b="0" i="0" u="none" strike="noStrike" kern="0" cap="none" spc="0" normalizeH="0" baseline="0" noProof="0">
                  <a:ln>
                    <a:noFill/>
                  </a:ln>
                  <a:solidFill>
                    <a:prstClr val="black"/>
                  </a:solidFill>
                  <a:effectLst/>
                  <a:uLnTx/>
                  <a:uFillTx/>
                  <a:latin typeface="+mn-lt"/>
                  <a:ea typeface="+mn-ea"/>
                  <a:cs typeface="+mn-cs"/>
                </a:rPr>
                <a:t>+ 45.000€ * 1,09 </a:t>
              </a:r>
              <a:r>
                <a:rPr kumimoji="0" lang="de-DE" sz="1600" b="0" i="0" u="none" strike="noStrike" kern="0" cap="none" spc="0" normalizeH="0" baseline="30000" noProof="0">
                  <a:ln>
                    <a:noFill/>
                  </a:ln>
                  <a:solidFill>
                    <a:prstClr val="black"/>
                  </a:solidFill>
                  <a:effectLst/>
                  <a:uLnTx/>
                  <a:uFillTx/>
                  <a:latin typeface="+mn-lt"/>
                  <a:ea typeface="+mn-ea"/>
                  <a:cs typeface="+mn-cs"/>
                </a:rPr>
                <a:t>-3  </a:t>
              </a:r>
              <a:r>
                <a:rPr kumimoji="0" lang="de-DE" sz="1600" b="0" i="0" u="none" strike="noStrike" kern="0" cap="none" spc="0" normalizeH="0" baseline="0" noProof="0">
                  <a:ln>
                    <a:noFill/>
                  </a:ln>
                  <a:solidFill>
                    <a:prstClr val="black"/>
                  </a:solidFill>
                  <a:effectLst/>
                  <a:uLnTx/>
                  <a:uFillTx/>
                  <a:latin typeface="+mn-lt"/>
                  <a:ea typeface="+mn-ea"/>
                  <a:cs typeface="+mn-cs"/>
                </a:rPr>
                <a:t>+ 50.000€ * 1,09 </a:t>
              </a:r>
              <a:r>
                <a:rPr kumimoji="0" lang="de-DE" sz="1600" b="0" i="0" u="none" strike="noStrike" kern="0" cap="none" spc="0" normalizeH="0" baseline="30000" noProof="0">
                  <a:ln>
                    <a:noFill/>
                  </a:ln>
                  <a:solidFill>
                    <a:prstClr val="black"/>
                  </a:solidFill>
                  <a:effectLst/>
                  <a:uLnTx/>
                  <a:uFillTx/>
                  <a:latin typeface="+mn-lt"/>
                  <a:ea typeface="+mn-ea"/>
                  <a:cs typeface="+mn-cs"/>
                </a:rPr>
                <a:t>-4  </a:t>
              </a:r>
              <a:r>
                <a:rPr kumimoji="0" lang="de-DE" sz="1600" b="0" i="0" u="none" strike="noStrike" kern="0" cap="none" spc="0" normalizeH="0" baseline="0" noProof="0">
                  <a:ln>
                    <a:noFill/>
                  </a:ln>
                  <a:solidFill>
                    <a:prstClr val="black"/>
                  </a:solidFill>
                  <a:effectLst/>
                  <a:uLnTx/>
                  <a:uFillTx/>
                  <a:latin typeface="+mn-lt"/>
                  <a:ea typeface="+mn-ea"/>
                  <a:cs typeface="+mn-cs"/>
                </a:rPr>
                <a:t>+ 60.000€ * 1,09 </a:t>
              </a:r>
              <a:r>
                <a:rPr kumimoji="0" lang="de-DE" sz="1600" b="0" i="0" u="none" strike="noStrike" kern="0" cap="none" spc="0" normalizeH="0" baseline="30000" noProof="0">
                  <a:ln>
                    <a:noFill/>
                  </a:ln>
                  <a:solidFill>
                    <a:prstClr val="black"/>
                  </a:solidFill>
                  <a:effectLst/>
                  <a:uLnTx/>
                  <a:uFillTx/>
                  <a:latin typeface="+mn-lt"/>
                  <a:ea typeface="+mn-ea"/>
                  <a:cs typeface="+mn-cs"/>
                </a:rPr>
                <a:t>-5 </a:t>
              </a:r>
              <a:r>
                <a:rPr kumimoji="0" lang="de-DE" sz="1600" b="0" i="0" u="none" strike="noStrike" kern="0" cap="none" spc="0" normalizeH="0" baseline="0" noProof="0">
                  <a:ln>
                    <a:noFill/>
                  </a:ln>
                  <a:solidFill>
                    <a:prstClr val="black"/>
                  </a:solidFill>
                  <a:effectLst/>
                  <a:uLnTx/>
                  <a:uFillTx/>
                  <a:latin typeface="+mn-lt"/>
                  <a:ea typeface="+mn-ea"/>
                  <a:cs typeface="+mn-cs"/>
                </a:rPr>
                <a:t>= </a:t>
              </a:r>
              <a:r>
                <a:rPr kumimoji="0" lang="de-DE" sz="1600" b="1" i="0" u="none" strike="noStrike" kern="0" cap="none" spc="0" normalizeH="0" baseline="0" noProof="0">
                  <a:ln>
                    <a:noFill/>
                  </a:ln>
                  <a:solidFill>
                    <a:prstClr val="black"/>
                  </a:solidFill>
                  <a:effectLst/>
                  <a:uLnTx/>
                  <a:uFillTx/>
                  <a:latin typeface="+mn-lt"/>
                  <a:ea typeface="+mn-ea"/>
                  <a:cs typeface="+mn-cs"/>
                </a:rPr>
                <a:t>1.180 €  </a:t>
              </a:r>
              <a:r>
                <a:rPr kumimoji="0" lang="de-DE" sz="1600" b="0" i="0" u="none" strike="noStrike" kern="0" cap="none" spc="0" normalizeH="0" baseline="0" noProof="0">
                  <a:ln>
                    <a:noFill/>
                  </a:ln>
                  <a:solidFill>
                    <a:prstClr val="black"/>
                  </a:solidFill>
                  <a:effectLst/>
                  <a:uLnTx/>
                  <a:uFillTx/>
                  <a:latin typeface="+mn-lt"/>
                  <a:ea typeface="+mn-ea"/>
                  <a:cs typeface="+mn-cs"/>
                </a:rPr>
                <a:t>(positiver Kapitalwert)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Versuchszinssatz  i</a:t>
              </a:r>
              <a:r>
                <a:rPr kumimoji="0" lang="de-DE" sz="1600" b="0" i="0" u="none" strike="noStrike" kern="0" cap="none" spc="0" normalizeH="0" baseline="-25000" noProof="0">
                  <a:ln>
                    <a:noFill/>
                  </a:ln>
                  <a:solidFill>
                    <a:prstClr val="black"/>
                  </a:solidFill>
                  <a:effectLst/>
                  <a:uLnTx/>
                  <a:uFillTx/>
                  <a:latin typeface="+mn-lt"/>
                  <a:ea typeface="+mn-ea"/>
                  <a:cs typeface="+mn-cs"/>
                </a:rPr>
                <a:t>2</a:t>
              </a:r>
              <a:r>
                <a:rPr kumimoji="0" lang="de-DE" sz="1600" b="0" i="0" u="none" strike="noStrike" kern="0" cap="none" spc="0" normalizeH="0" baseline="0" noProof="0">
                  <a:ln>
                    <a:noFill/>
                  </a:ln>
                  <a:solidFill>
                    <a:prstClr val="black"/>
                  </a:solidFill>
                  <a:effectLst/>
                  <a:uLnTx/>
                  <a:uFillTx/>
                  <a:latin typeface="+mn-lt"/>
                  <a:ea typeface="+mn-ea"/>
                  <a:cs typeface="+mn-cs"/>
                </a:rPr>
                <a:t> = 12 %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KW</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bei Versuchszins i</a:t>
              </a:r>
              <a:r>
                <a:rPr kumimoji="0" lang="de-DE" sz="1600" b="0" i="0" u="none" strike="noStrike" kern="0" cap="none" spc="0" normalizeH="0" baseline="-25000" noProof="0">
                  <a:ln>
                    <a:noFill/>
                  </a:ln>
                  <a:solidFill>
                    <a:prstClr val="black"/>
                  </a:solidFill>
                  <a:effectLst/>
                  <a:uLnTx/>
                  <a:uFillTx/>
                  <a:latin typeface="+mn-lt"/>
                  <a:ea typeface="+mn-ea"/>
                  <a:cs typeface="+mn-cs"/>
                </a:rPr>
                <a:t>2</a:t>
              </a:r>
              <a:r>
                <a:rPr kumimoji="0" lang="de-DE" sz="1600" b="0" i="0" u="none" strike="noStrike" kern="0" cap="none" spc="0" normalizeH="0" baseline="0" noProof="0">
                  <a:ln>
                    <a:noFill/>
                  </a:ln>
                  <a:solidFill>
                    <a:prstClr val="black"/>
                  </a:solidFill>
                  <a:effectLst/>
                  <a:uLnTx/>
                  <a:uFillTx/>
                  <a:latin typeface="+mn-lt"/>
                  <a:ea typeface="+mn-ea"/>
                  <a:cs typeface="+mn-cs"/>
                </a:rPr>
                <a:t> = -160.000€ + 20.000€ * 1,12 </a:t>
              </a:r>
              <a:r>
                <a:rPr kumimoji="0" lang="de-DE" sz="1600" b="0" i="0" u="none" strike="noStrike" kern="0" cap="none" spc="0" normalizeH="0" baseline="30000" noProof="0">
                  <a:ln>
                    <a:noFill/>
                  </a:ln>
                  <a:solidFill>
                    <a:prstClr val="black"/>
                  </a:solidFill>
                  <a:effectLst/>
                  <a:uLnTx/>
                  <a:uFillTx/>
                  <a:latin typeface="+mn-lt"/>
                  <a:ea typeface="+mn-ea"/>
                  <a:cs typeface="+mn-cs"/>
                </a:rPr>
                <a:t>-1 </a:t>
              </a:r>
              <a:r>
                <a:rPr kumimoji="0" lang="de-DE" sz="1600" b="0" i="0" u="none" strike="noStrike" kern="0" cap="none" spc="0" normalizeH="0" baseline="0" noProof="0">
                  <a:ln>
                    <a:noFill/>
                  </a:ln>
                  <a:solidFill>
                    <a:prstClr val="black"/>
                  </a:solidFill>
                  <a:effectLst/>
                  <a:uLnTx/>
                  <a:uFillTx/>
                  <a:latin typeface="+mn-lt"/>
                  <a:ea typeface="+mn-ea"/>
                  <a:cs typeface="+mn-cs"/>
                </a:rPr>
                <a:t>+ 40.000€ * 1,12 </a:t>
              </a:r>
              <a:r>
                <a:rPr kumimoji="0" lang="de-DE" sz="1600" b="0" i="0" u="none" strike="noStrike" kern="0" cap="none" spc="0" normalizeH="0" baseline="30000" noProof="0">
                  <a:ln>
                    <a:noFill/>
                  </a:ln>
                  <a:solidFill>
                    <a:prstClr val="black"/>
                  </a:solidFill>
                  <a:effectLst/>
                  <a:uLnTx/>
                  <a:uFillTx/>
                  <a:latin typeface="+mn-lt"/>
                  <a:ea typeface="+mn-ea"/>
                  <a:cs typeface="+mn-cs"/>
                </a:rPr>
                <a:t>-2  </a:t>
              </a:r>
              <a:r>
                <a:rPr kumimoji="0" lang="de-DE" sz="1600" b="0" i="0" u="none" strike="noStrike" kern="0" cap="none" spc="0" normalizeH="0" baseline="0" noProof="0">
                  <a:ln>
                    <a:noFill/>
                  </a:ln>
                  <a:solidFill>
                    <a:prstClr val="black"/>
                  </a:solidFill>
                  <a:effectLst/>
                  <a:uLnTx/>
                  <a:uFillTx/>
                  <a:latin typeface="+mn-lt"/>
                  <a:ea typeface="+mn-ea"/>
                  <a:cs typeface="+mn-cs"/>
                </a:rPr>
                <a:t>+ 45.000€ * 1,12 </a:t>
              </a:r>
              <a:r>
                <a:rPr kumimoji="0" lang="de-DE" sz="1600" b="0" i="0" u="none" strike="noStrike" kern="0" cap="none" spc="0" normalizeH="0" baseline="30000" noProof="0">
                  <a:ln>
                    <a:noFill/>
                  </a:ln>
                  <a:solidFill>
                    <a:prstClr val="black"/>
                  </a:solidFill>
                  <a:effectLst/>
                  <a:uLnTx/>
                  <a:uFillTx/>
                  <a:latin typeface="+mn-lt"/>
                  <a:ea typeface="+mn-ea"/>
                  <a:cs typeface="+mn-cs"/>
                </a:rPr>
                <a:t>-3  </a:t>
              </a:r>
              <a:r>
                <a:rPr kumimoji="0" lang="de-DE" sz="1600" b="0" i="0" u="none" strike="noStrike" kern="0" cap="none" spc="0" normalizeH="0" baseline="0" noProof="0">
                  <a:ln>
                    <a:noFill/>
                  </a:ln>
                  <a:solidFill>
                    <a:prstClr val="black"/>
                  </a:solidFill>
                  <a:effectLst/>
                  <a:uLnTx/>
                  <a:uFillTx/>
                  <a:latin typeface="+mn-lt"/>
                  <a:ea typeface="+mn-ea"/>
                  <a:cs typeface="+mn-cs"/>
                </a:rPr>
                <a:t>+ 50.000€ * 1,12 </a:t>
              </a:r>
              <a:r>
                <a:rPr kumimoji="0" lang="de-DE" sz="1600" b="0" i="0" u="none" strike="noStrike" kern="0" cap="none" spc="0" normalizeH="0" baseline="30000" noProof="0">
                  <a:ln>
                    <a:noFill/>
                  </a:ln>
                  <a:solidFill>
                    <a:prstClr val="black"/>
                  </a:solidFill>
                  <a:effectLst/>
                  <a:uLnTx/>
                  <a:uFillTx/>
                  <a:latin typeface="+mn-lt"/>
                  <a:ea typeface="+mn-ea"/>
                  <a:cs typeface="+mn-cs"/>
                </a:rPr>
                <a:t>-4  </a:t>
              </a:r>
              <a:r>
                <a:rPr kumimoji="0" lang="de-DE" sz="1600" b="0" i="0" u="none" strike="noStrike" kern="0" cap="none" spc="0" normalizeH="0" baseline="0" noProof="0">
                  <a:ln>
                    <a:noFill/>
                  </a:ln>
                  <a:solidFill>
                    <a:prstClr val="black"/>
                  </a:solidFill>
                  <a:effectLst/>
                  <a:uLnTx/>
                  <a:uFillTx/>
                  <a:latin typeface="+mn-lt"/>
                  <a:ea typeface="+mn-ea"/>
                  <a:cs typeface="+mn-cs"/>
                </a:rPr>
                <a:t>+ 60.000€ * 1,12 </a:t>
              </a:r>
              <a:r>
                <a:rPr kumimoji="0" lang="de-DE" sz="1600" b="0" i="0" u="none" strike="noStrike" kern="0" cap="none" spc="0" normalizeH="0" baseline="30000" noProof="0">
                  <a:ln>
                    <a:noFill/>
                  </a:ln>
                  <a:solidFill>
                    <a:prstClr val="black"/>
                  </a:solidFill>
                  <a:effectLst/>
                  <a:uLnTx/>
                  <a:uFillTx/>
                  <a:latin typeface="+mn-lt"/>
                  <a:ea typeface="+mn-ea"/>
                  <a:cs typeface="+mn-cs"/>
                </a:rPr>
                <a:t>-5 </a:t>
              </a:r>
              <a:r>
                <a:rPr kumimoji="0" lang="de-DE" sz="1600" b="0" i="0" u="none" strike="noStrike" kern="0" cap="none" spc="0" normalizeH="0" baseline="0" noProof="0">
                  <a:ln>
                    <a:noFill/>
                  </a:ln>
                  <a:solidFill>
                    <a:prstClr val="black"/>
                  </a:solidFill>
                  <a:effectLst/>
                  <a:uLnTx/>
                  <a:uFillTx/>
                  <a:latin typeface="+mn-lt"/>
                  <a:ea typeface="+mn-ea"/>
                  <a:cs typeface="+mn-cs"/>
                </a:rPr>
                <a:t>= </a:t>
              </a:r>
              <a:r>
                <a:rPr kumimoji="0" lang="de-DE" sz="1600" b="1" i="0" u="none" strike="noStrike" kern="0" cap="none" spc="0" normalizeH="0" baseline="0" noProof="0">
                  <a:ln>
                    <a:noFill/>
                  </a:ln>
                  <a:solidFill>
                    <a:schemeClr val="tx1"/>
                  </a:solidFill>
                  <a:effectLst/>
                  <a:uLnTx/>
                  <a:uFillTx/>
                  <a:latin typeface="+mn-lt"/>
                  <a:ea typeface="+mn-ea"/>
                  <a:cs typeface="+mn-cs"/>
                </a:rPr>
                <a:t>- 12.403 €  </a:t>
              </a:r>
              <a:r>
                <a:rPr kumimoji="0" lang="de-DE" sz="1600" b="0" i="0" u="none" strike="noStrike" kern="0" cap="none" spc="0" normalizeH="0" baseline="0" noProof="0">
                  <a:ln>
                    <a:noFill/>
                  </a:ln>
                  <a:solidFill>
                    <a:prstClr val="black"/>
                  </a:solidFill>
                  <a:effectLst/>
                  <a:uLnTx/>
                  <a:uFillTx/>
                  <a:latin typeface="+mn-lt"/>
                  <a:ea typeface="+mn-ea"/>
                  <a:cs typeface="+mn-cs"/>
                </a:rPr>
                <a:t>(negativer Kapitalwert)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Lineare Interpolation: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i´</a:t>
              </a:r>
              <a:r>
                <a:rPr kumimoji="0" lang="de-DE" sz="1600" b="0" i="0" u="none" strike="noStrike" kern="0" cap="none" spc="0" normalizeH="0" baseline="-25000" noProof="0">
                  <a:ln>
                    <a:noFill/>
                  </a:ln>
                  <a:solidFill>
                    <a:prstClr val="black"/>
                  </a:solidFill>
                  <a:effectLst/>
                  <a:uLnTx/>
                  <a:uFillTx/>
                  <a:latin typeface="+mn-lt"/>
                  <a:ea typeface="+mn-ea"/>
                  <a:cs typeface="+mn-cs"/>
                </a:rPr>
                <a:t>IZF </a:t>
              </a:r>
              <a:r>
                <a:rPr kumimoji="0" lang="de-DE" sz="1600" b="0" i="0" u="none" strike="noStrike" kern="0" cap="none" spc="0" normalizeH="0" baseline="0" noProof="0">
                  <a:ln>
                    <a:noFill/>
                  </a:ln>
                  <a:solidFill>
                    <a:prstClr val="black"/>
                  </a:solidFill>
                  <a:effectLst/>
                  <a:uLnTx/>
                  <a:uFillTx/>
                  <a:latin typeface="+mn-lt"/>
                  <a:ea typeface="+mn-ea"/>
                  <a:cs typeface="+mn-cs"/>
                </a:rPr>
                <a:t>= </a:t>
              </a:r>
              <a14:m>
                <m:oMath xmlns:m="http://schemas.openxmlformats.org/officeDocument/2006/math">
                  <m:r>
                    <m:rPr>
                      <m:sty m:val="p"/>
                    </m:rP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m:t>i</m:t>
                  </m:r>
                  <m:r>
                    <a:rPr kumimoji="0" lang="de-DE" sz="1600" b="0" i="0" u="none" strike="noStrike" kern="0" cap="none" spc="0" normalizeH="0" baseline="-25000" noProof="0">
                      <a:ln>
                        <a:noFill/>
                      </a:ln>
                      <a:solidFill>
                        <a:prstClr val="black"/>
                      </a:solidFill>
                      <a:effectLst/>
                      <a:uLnTx/>
                      <a:uFillTx/>
                      <a:latin typeface="Cambria Math" panose="02040503050406030204" pitchFamily="18" charset="0"/>
                      <a:ea typeface="+mn-ea"/>
                      <a:cs typeface="+mn-cs"/>
                    </a:rPr>
                    <m:t>1</m:t>
                  </m:r>
                  <m: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m:t>− </m:t>
                  </m:r>
                  <m:f>
                    <m:f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𝑖</m:t>
                      </m:r>
                      <m:r>
                        <a:rPr kumimoji="0" lang="de-DE" sz="1600" b="0" i="1" u="none" strike="noStrike" kern="0" cap="none" spc="0" normalizeH="0" baseline="-25000" noProof="0">
                          <a:ln>
                            <a:noFill/>
                          </a:ln>
                          <a:solidFill>
                            <a:prstClr val="black"/>
                          </a:solidFill>
                          <a:effectLst/>
                          <a:uLnTx/>
                          <a:uFillTx/>
                          <a:latin typeface="Cambria Math" panose="02040503050406030204" pitchFamily="18" charset="0"/>
                          <a:ea typeface="+mn-ea"/>
                          <a:cs typeface="+mn-cs"/>
                        </a:rPr>
                        <m:t>1 </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𝑖</m:t>
                      </m:r>
                      <m:r>
                        <a:rPr kumimoji="0" lang="de-DE" sz="1600" b="0" i="1" u="none" strike="noStrike" kern="0" cap="none" spc="0" normalizeH="0" baseline="-25000" noProof="0">
                          <a:ln>
                            <a:noFill/>
                          </a:ln>
                          <a:solidFill>
                            <a:prstClr val="black"/>
                          </a:solidFill>
                          <a:effectLst/>
                          <a:uLnTx/>
                          <a:uFillTx/>
                          <a:latin typeface="Cambria Math" panose="02040503050406030204" pitchFamily="18" charset="0"/>
                          <a:ea typeface="+mn-ea"/>
                          <a:cs typeface="+mn-cs"/>
                        </a:rPr>
                        <m:t>2</m:t>
                      </m:r>
                    </m:num>
                    <m:den>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𝐾𝑊</m:t>
                      </m:r>
                      <m:r>
                        <a:rPr kumimoji="0" lang="de-DE" sz="1600" b="0" i="1" u="none" strike="noStrike" kern="0" cap="none" spc="0" normalizeH="0" baseline="-25000" noProof="0">
                          <a:ln>
                            <a:noFill/>
                          </a:ln>
                          <a:solidFill>
                            <a:prstClr val="black"/>
                          </a:solidFill>
                          <a:effectLst/>
                          <a:uLnTx/>
                          <a:uFillTx/>
                          <a:latin typeface="Cambria Math" panose="02040503050406030204" pitchFamily="18" charset="0"/>
                          <a:ea typeface="+mn-ea"/>
                          <a:cs typeface="+mn-cs"/>
                        </a:rPr>
                        <m:t>1</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𝐾𝑊</m:t>
                      </m:r>
                      <m:r>
                        <a:rPr kumimoji="0" lang="de-DE" sz="1600" b="0" i="1" u="none" strike="noStrike" kern="0" cap="none" spc="0" normalizeH="0" baseline="-25000" noProof="0">
                          <a:ln>
                            <a:noFill/>
                          </a:ln>
                          <a:solidFill>
                            <a:prstClr val="black"/>
                          </a:solidFill>
                          <a:effectLst/>
                          <a:uLnTx/>
                          <a:uFillTx/>
                          <a:latin typeface="Cambria Math" panose="02040503050406030204" pitchFamily="18" charset="0"/>
                          <a:ea typeface="+mn-ea"/>
                          <a:cs typeface="+mn-cs"/>
                        </a:rPr>
                        <m:t>2</m:t>
                      </m:r>
                    </m:den>
                  </m:f>
                </m:oMath>
              </a14:m>
              <a:r>
                <a:rPr kumimoji="0" lang="de-DE" sz="1600" b="0" i="0" u="none" strike="noStrike" kern="0" cap="none" spc="0" normalizeH="0" baseline="0" noProof="0">
                  <a:ln>
                    <a:noFill/>
                  </a:ln>
                  <a:solidFill>
                    <a:prstClr val="black"/>
                  </a:solidFill>
                  <a:effectLst/>
                  <a:uLnTx/>
                  <a:uFillTx/>
                  <a:latin typeface="+mn-lt"/>
                  <a:ea typeface="+mn-ea"/>
                  <a:cs typeface="+mn-cs"/>
                </a:rPr>
                <a:t> x KW</a:t>
              </a:r>
              <a:r>
                <a:rPr kumimoji="0" lang="de-DE" sz="1600" b="0" i="0" u="none" strike="noStrike" kern="0" cap="none" spc="0" normalizeH="0" baseline="-25000" noProof="0">
                  <a:ln>
                    <a:noFill/>
                  </a:ln>
                  <a:solidFill>
                    <a:prstClr val="black"/>
                  </a:solidFill>
                  <a:effectLst/>
                  <a:uLnTx/>
                  <a:uFillTx/>
                  <a:latin typeface="+mn-lt"/>
                  <a:ea typeface="+mn-ea"/>
                  <a:cs typeface="+mn-cs"/>
                </a:rPr>
                <a:t>1</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i´</a:t>
              </a:r>
              <a:r>
                <a:rPr kumimoji="0" lang="de-DE" sz="1600" b="0" i="0" u="none" strike="noStrike" kern="0" cap="none" spc="0" normalizeH="0" baseline="-25000" noProof="0">
                  <a:ln>
                    <a:noFill/>
                  </a:ln>
                  <a:solidFill>
                    <a:prstClr val="black"/>
                  </a:solidFill>
                  <a:effectLst/>
                  <a:uLnTx/>
                  <a:uFillTx/>
                  <a:latin typeface="+mn-lt"/>
                  <a:ea typeface="+mn-ea"/>
                  <a:cs typeface="+mn-cs"/>
                </a:rPr>
                <a:t>IZF </a:t>
              </a:r>
              <a:r>
                <a:rPr kumimoji="0" lang="de-DE" sz="1600" b="0" i="0" u="none" strike="noStrike" kern="0" cap="none" spc="0" normalizeH="0" baseline="0" noProof="0">
                  <a:ln>
                    <a:noFill/>
                  </a:ln>
                  <a:solidFill>
                    <a:prstClr val="black"/>
                  </a:solidFill>
                  <a:effectLst/>
                  <a:uLnTx/>
                  <a:uFillTx/>
                  <a:latin typeface="+mn-lt"/>
                  <a:ea typeface="+mn-ea"/>
                  <a:cs typeface="+mn-cs"/>
                </a:rPr>
                <a:t>= </a:t>
              </a:r>
              <a14:m>
                <m:oMath xmlns:m="http://schemas.openxmlformats.org/officeDocument/2006/math">
                  <m: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m:t>0,09−</m:t>
                  </m:r>
                  <m:r>
                    <a:rPr kumimoji="0" lang="de-DE" sz="1600" b="0" i="0" u="none" strike="noStrike" kern="0" cap="none" spc="0" normalizeH="0" baseline="-25000" noProof="0">
                      <a:ln>
                        <a:noFill/>
                      </a:ln>
                      <a:solidFill>
                        <a:prstClr val="black"/>
                      </a:solidFill>
                      <a:effectLst/>
                      <a:uLnTx/>
                      <a:uFillTx/>
                      <a:latin typeface="Cambria Math" panose="02040503050406030204" pitchFamily="18" charset="0"/>
                      <a:ea typeface="+mn-ea"/>
                      <a:cs typeface="+mn-cs"/>
                    </a:rPr>
                    <m:t> </m:t>
                  </m:r>
                  <m:f>
                    <m:f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0,09−0,12</m:t>
                      </m:r>
                    </m:num>
                    <m:den>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1.180 −(−12.403) </m:t>
                      </m:r>
                    </m:den>
                  </m:f>
                </m:oMath>
              </a14:m>
              <a:r>
                <a:rPr kumimoji="0" lang="de-DE" sz="1600" b="0" i="0" u="none" strike="noStrike" kern="0" cap="none" spc="0" normalizeH="0" baseline="0" noProof="0">
                  <a:ln>
                    <a:noFill/>
                  </a:ln>
                  <a:solidFill>
                    <a:prstClr val="black"/>
                  </a:solidFill>
                  <a:effectLst/>
                  <a:uLnTx/>
                  <a:uFillTx/>
                  <a:latin typeface="+mn-lt"/>
                  <a:ea typeface="+mn-ea"/>
                  <a:cs typeface="+mn-cs"/>
                </a:rPr>
                <a:t>  x 1.180= 0,0926</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i´</a:t>
              </a:r>
              <a:r>
                <a:rPr kumimoji="0" lang="de-DE" sz="1600" b="0" i="0" u="none" strike="noStrike" kern="0" cap="none" spc="0" normalizeH="0" baseline="-25000" noProof="0">
                  <a:ln>
                    <a:noFill/>
                  </a:ln>
                  <a:solidFill>
                    <a:prstClr val="black"/>
                  </a:solidFill>
                  <a:effectLst/>
                  <a:uLnTx/>
                  <a:uFillTx/>
                  <a:latin typeface="+mn-lt"/>
                  <a:ea typeface="+mn-ea"/>
                  <a:cs typeface="+mn-cs"/>
                </a:rPr>
                <a:t>IZF </a:t>
              </a:r>
              <a:r>
                <a:rPr kumimoji="0" lang="de-DE" sz="1600" b="0" i="0" u="none" strike="noStrike" kern="0" cap="none" spc="0" normalizeH="0" baseline="0" noProof="0">
                  <a:ln>
                    <a:noFill/>
                  </a:ln>
                  <a:solidFill>
                    <a:prstClr val="black"/>
                  </a:solidFill>
                  <a:effectLst/>
                  <a:uLnTx/>
                  <a:uFillTx/>
                  <a:latin typeface="+mn-lt"/>
                  <a:ea typeface="+mn-ea"/>
                  <a:cs typeface="+mn-cs"/>
                </a:rPr>
                <a:t>=  9,26 %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Lösung: Der interne Zinsfuß beträgt 9,26 %. Er übersteigt den Kalkulationszinssatz von 8 %. Daher ist die Investition vorteilhaft.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endParaRPr lang="de-DE" sz="1100"/>
            </a:p>
          </xdr:txBody>
        </xdr:sp>
      </mc:Choice>
      <mc:Fallback>
        <xdr:sp macro="" textlink="">
          <xdr:nvSpPr>
            <xdr:cNvPr id="2" name="Textfeld 1">
              <a:extLst>
                <a:ext uri="{FF2B5EF4-FFF2-40B4-BE49-F238E27FC236}">
                  <a16:creationId xmlns:a16="http://schemas.microsoft.com/office/drawing/2014/main" id="{BACF6E72-41BA-4D89-878F-30D71FAFC282}"/>
                </a:ext>
              </a:extLst>
            </xdr:cNvPr>
            <xdr:cNvSpPr txBox="1"/>
          </xdr:nvSpPr>
          <xdr:spPr>
            <a:xfrm>
              <a:off x="1781175" y="438150"/>
              <a:ext cx="9639300" cy="6008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Versuchszinssatz  i</a:t>
              </a:r>
              <a:r>
                <a:rPr kumimoji="0" lang="de-DE" sz="1600" b="0" i="0" u="none" strike="noStrike" kern="0" cap="none" spc="0" normalizeH="0" baseline="-25000" noProof="0">
                  <a:ln>
                    <a:noFill/>
                  </a:ln>
                  <a:solidFill>
                    <a:prstClr val="black"/>
                  </a:solidFill>
                  <a:effectLst/>
                  <a:uLnTx/>
                  <a:uFillTx/>
                  <a:latin typeface="+mn-lt"/>
                  <a:ea typeface="+mn-ea"/>
                  <a:cs typeface="+mn-cs"/>
                </a:rPr>
                <a:t>1</a:t>
              </a:r>
              <a:r>
                <a:rPr kumimoji="0" lang="de-DE" sz="1600" b="0" i="0" u="none" strike="noStrike" kern="0" cap="none" spc="0" normalizeH="0" baseline="0" noProof="0">
                  <a:ln>
                    <a:noFill/>
                  </a:ln>
                  <a:solidFill>
                    <a:prstClr val="black"/>
                  </a:solidFill>
                  <a:effectLst/>
                  <a:uLnTx/>
                  <a:uFillTx/>
                  <a:latin typeface="+mn-lt"/>
                  <a:ea typeface="+mn-ea"/>
                  <a:cs typeface="+mn-cs"/>
                </a:rPr>
                <a:t> = 9 %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KW</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bei Versuchszins i</a:t>
              </a:r>
              <a:r>
                <a:rPr kumimoji="0" lang="de-DE" sz="1600" b="0" i="0" u="none" strike="noStrike" kern="0" cap="none" spc="0" normalizeH="0" baseline="-25000" noProof="0">
                  <a:ln>
                    <a:noFill/>
                  </a:ln>
                  <a:solidFill>
                    <a:prstClr val="black"/>
                  </a:solidFill>
                  <a:effectLst/>
                  <a:uLnTx/>
                  <a:uFillTx/>
                  <a:latin typeface="+mn-lt"/>
                  <a:ea typeface="+mn-ea"/>
                  <a:cs typeface="+mn-cs"/>
                </a:rPr>
                <a:t>1</a:t>
              </a:r>
              <a:r>
                <a:rPr kumimoji="0" lang="de-DE" sz="1600" b="0" i="0" u="none" strike="noStrike" kern="0" cap="none" spc="0" normalizeH="0" baseline="0" noProof="0">
                  <a:ln>
                    <a:noFill/>
                  </a:ln>
                  <a:solidFill>
                    <a:prstClr val="black"/>
                  </a:solidFill>
                  <a:effectLst/>
                  <a:uLnTx/>
                  <a:uFillTx/>
                  <a:latin typeface="+mn-lt"/>
                  <a:ea typeface="+mn-ea"/>
                  <a:cs typeface="+mn-cs"/>
                </a:rPr>
                <a:t> = -160.000€ + 20.000€ * 1,09 </a:t>
              </a:r>
              <a:r>
                <a:rPr kumimoji="0" lang="de-DE" sz="1600" b="0" i="0" u="none" strike="noStrike" kern="0" cap="none" spc="0" normalizeH="0" baseline="30000" noProof="0">
                  <a:ln>
                    <a:noFill/>
                  </a:ln>
                  <a:solidFill>
                    <a:prstClr val="black"/>
                  </a:solidFill>
                  <a:effectLst/>
                  <a:uLnTx/>
                  <a:uFillTx/>
                  <a:latin typeface="+mn-lt"/>
                  <a:ea typeface="+mn-ea"/>
                  <a:cs typeface="+mn-cs"/>
                </a:rPr>
                <a:t>-1 </a:t>
              </a:r>
              <a:r>
                <a:rPr kumimoji="0" lang="de-DE" sz="1600" b="0" i="0" u="none" strike="noStrike" kern="0" cap="none" spc="0" normalizeH="0" baseline="0" noProof="0">
                  <a:ln>
                    <a:noFill/>
                  </a:ln>
                  <a:solidFill>
                    <a:prstClr val="black"/>
                  </a:solidFill>
                  <a:effectLst/>
                  <a:uLnTx/>
                  <a:uFillTx/>
                  <a:latin typeface="+mn-lt"/>
                  <a:ea typeface="+mn-ea"/>
                  <a:cs typeface="+mn-cs"/>
                </a:rPr>
                <a:t>+ 40.000€ * 1,09 </a:t>
              </a:r>
              <a:r>
                <a:rPr kumimoji="0" lang="de-DE" sz="1600" b="0" i="0" u="none" strike="noStrike" kern="0" cap="none" spc="0" normalizeH="0" baseline="30000" noProof="0">
                  <a:ln>
                    <a:noFill/>
                  </a:ln>
                  <a:solidFill>
                    <a:prstClr val="black"/>
                  </a:solidFill>
                  <a:effectLst/>
                  <a:uLnTx/>
                  <a:uFillTx/>
                  <a:latin typeface="+mn-lt"/>
                  <a:ea typeface="+mn-ea"/>
                  <a:cs typeface="+mn-cs"/>
                </a:rPr>
                <a:t>-2  </a:t>
              </a:r>
              <a:r>
                <a:rPr kumimoji="0" lang="de-DE" sz="1600" b="0" i="0" u="none" strike="noStrike" kern="0" cap="none" spc="0" normalizeH="0" baseline="0" noProof="0">
                  <a:ln>
                    <a:noFill/>
                  </a:ln>
                  <a:solidFill>
                    <a:prstClr val="black"/>
                  </a:solidFill>
                  <a:effectLst/>
                  <a:uLnTx/>
                  <a:uFillTx/>
                  <a:latin typeface="+mn-lt"/>
                  <a:ea typeface="+mn-ea"/>
                  <a:cs typeface="+mn-cs"/>
                </a:rPr>
                <a:t>+ 45.000€ * 1,09 </a:t>
              </a:r>
              <a:r>
                <a:rPr kumimoji="0" lang="de-DE" sz="1600" b="0" i="0" u="none" strike="noStrike" kern="0" cap="none" spc="0" normalizeH="0" baseline="30000" noProof="0">
                  <a:ln>
                    <a:noFill/>
                  </a:ln>
                  <a:solidFill>
                    <a:prstClr val="black"/>
                  </a:solidFill>
                  <a:effectLst/>
                  <a:uLnTx/>
                  <a:uFillTx/>
                  <a:latin typeface="+mn-lt"/>
                  <a:ea typeface="+mn-ea"/>
                  <a:cs typeface="+mn-cs"/>
                </a:rPr>
                <a:t>-3  </a:t>
              </a:r>
              <a:r>
                <a:rPr kumimoji="0" lang="de-DE" sz="1600" b="0" i="0" u="none" strike="noStrike" kern="0" cap="none" spc="0" normalizeH="0" baseline="0" noProof="0">
                  <a:ln>
                    <a:noFill/>
                  </a:ln>
                  <a:solidFill>
                    <a:prstClr val="black"/>
                  </a:solidFill>
                  <a:effectLst/>
                  <a:uLnTx/>
                  <a:uFillTx/>
                  <a:latin typeface="+mn-lt"/>
                  <a:ea typeface="+mn-ea"/>
                  <a:cs typeface="+mn-cs"/>
                </a:rPr>
                <a:t>+ 50.000€ * 1,09 </a:t>
              </a:r>
              <a:r>
                <a:rPr kumimoji="0" lang="de-DE" sz="1600" b="0" i="0" u="none" strike="noStrike" kern="0" cap="none" spc="0" normalizeH="0" baseline="30000" noProof="0">
                  <a:ln>
                    <a:noFill/>
                  </a:ln>
                  <a:solidFill>
                    <a:prstClr val="black"/>
                  </a:solidFill>
                  <a:effectLst/>
                  <a:uLnTx/>
                  <a:uFillTx/>
                  <a:latin typeface="+mn-lt"/>
                  <a:ea typeface="+mn-ea"/>
                  <a:cs typeface="+mn-cs"/>
                </a:rPr>
                <a:t>-4  </a:t>
              </a:r>
              <a:r>
                <a:rPr kumimoji="0" lang="de-DE" sz="1600" b="0" i="0" u="none" strike="noStrike" kern="0" cap="none" spc="0" normalizeH="0" baseline="0" noProof="0">
                  <a:ln>
                    <a:noFill/>
                  </a:ln>
                  <a:solidFill>
                    <a:prstClr val="black"/>
                  </a:solidFill>
                  <a:effectLst/>
                  <a:uLnTx/>
                  <a:uFillTx/>
                  <a:latin typeface="+mn-lt"/>
                  <a:ea typeface="+mn-ea"/>
                  <a:cs typeface="+mn-cs"/>
                </a:rPr>
                <a:t>+ 60.000€ * 1,09 </a:t>
              </a:r>
              <a:r>
                <a:rPr kumimoji="0" lang="de-DE" sz="1600" b="0" i="0" u="none" strike="noStrike" kern="0" cap="none" spc="0" normalizeH="0" baseline="30000" noProof="0">
                  <a:ln>
                    <a:noFill/>
                  </a:ln>
                  <a:solidFill>
                    <a:prstClr val="black"/>
                  </a:solidFill>
                  <a:effectLst/>
                  <a:uLnTx/>
                  <a:uFillTx/>
                  <a:latin typeface="+mn-lt"/>
                  <a:ea typeface="+mn-ea"/>
                  <a:cs typeface="+mn-cs"/>
                </a:rPr>
                <a:t>-5 </a:t>
              </a:r>
              <a:r>
                <a:rPr kumimoji="0" lang="de-DE" sz="1600" b="0" i="0" u="none" strike="noStrike" kern="0" cap="none" spc="0" normalizeH="0" baseline="0" noProof="0">
                  <a:ln>
                    <a:noFill/>
                  </a:ln>
                  <a:solidFill>
                    <a:prstClr val="black"/>
                  </a:solidFill>
                  <a:effectLst/>
                  <a:uLnTx/>
                  <a:uFillTx/>
                  <a:latin typeface="+mn-lt"/>
                  <a:ea typeface="+mn-ea"/>
                  <a:cs typeface="+mn-cs"/>
                </a:rPr>
                <a:t>= </a:t>
              </a:r>
              <a:r>
                <a:rPr kumimoji="0" lang="de-DE" sz="1600" b="1" i="0" u="none" strike="noStrike" kern="0" cap="none" spc="0" normalizeH="0" baseline="0" noProof="0">
                  <a:ln>
                    <a:noFill/>
                  </a:ln>
                  <a:solidFill>
                    <a:prstClr val="black"/>
                  </a:solidFill>
                  <a:effectLst/>
                  <a:uLnTx/>
                  <a:uFillTx/>
                  <a:latin typeface="+mn-lt"/>
                  <a:ea typeface="+mn-ea"/>
                  <a:cs typeface="+mn-cs"/>
                </a:rPr>
                <a:t>1.180 €  </a:t>
              </a:r>
              <a:r>
                <a:rPr kumimoji="0" lang="de-DE" sz="1600" b="0" i="0" u="none" strike="noStrike" kern="0" cap="none" spc="0" normalizeH="0" baseline="0" noProof="0">
                  <a:ln>
                    <a:noFill/>
                  </a:ln>
                  <a:solidFill>
                    <a:prstClr val="black"/>
                  </a:solidFill>
                  <a:effectLst/>
                  <a:uLnTx/>
                  <a:uFillTx/>
                  <a:latin typeface="+mn-lt"/>
                  <a:ea typeface="+mn-ea"/>
                  <a:cs typeface="+mn-cs"/>
                </a:rPr>
                <a:t>(positiver Kapitalwert)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Versuchszinssatz  i</a:t>
              </a:r>
              <a:r>
                <a:rPr kumimoji="0" lang="de-DE" sz="1600" b="0" i="0" u="none" strike="noStrike" kern="0" cap="none" spc="0" normalizeH="0" baseline="-25000" noProof="0">
                  <a:ln>
                    <a:noFill/>
                  </a:ln>
                  <a:solidFill>
                    <a:prstClr val="black"/>
                  </a:solidFill>
                  <a:effectLst/>
                  <a:uLnTx/>
                  <a:uFillTx/>
                  <a:latin typeface="+mn-lt"/>
                  <a:ea typeface="+mn-ea"/>
                  <a:cs typeface="+mn-cs"/>
                </a:rPr>
                <a:t>2</a:t>
              </a:r>
              <a:r>
                <a:rPr kumimoji="0" lang="de-DE" sz="1600" b="0" i="0" u="none" strike="noStrike" kern="0" cap="none" spc="0" normalizeH="0" baseline="0" noProof="0">
                  <a:ln>
                    <a:noFill/>
                  </a:ln>
                  <a:solidFill>
                    <a:prstClr val="black"/>
                  </a:solidFill>
                  <a:effectLst/>
                  <a:uLnTx/>
                  <a:uFillTx/>
                  <a:latin typeface="+mn-lt"/>
                  <a:ea typeface="+mn-ea"/>
                  <a:cs typeface="+mn-cs"/>
                </a:rPr>
                <a:t> = 12 %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KW</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bei Versuchszins i</a:t>
              </a:r>
              <a:r>
                <a:rPr kumimoji="0" lang="de-DE" sz="1600" b="0" i="0" u="none" strike="noStrike" kern="0" cap="none" spc="0" normalizeH="0" baseline="-25000" noProof="0">
                  <a:ln>
                    <a:noFill/>
                  </a:ln>
                  <a:solidFill>
                    <a:prstClr val="black"/>
                  </a:solidFill>
                  <a:effectLst/>
                  <a:uLnTx/>
                  <a:uFillTx/>
                  <a:latin typeface="+mn-lt"/>
                  <a:ea typeface="+mn-ea"/>
                  <a:cs typeface="+mn-cs"/>
                </a:rPr>
                <a:t>2</a:t>
              </a:r>
              <a:r>
                <a:rPr kumimoji="0" lang="de-DE" sz="1600" b="0" i="0" u="none" strike="noStrike" kern="0" cap="none" spc="0" normalizeH="0" baseline="0" noProof="0">
                  <a:ln>
                    <a:noFill/>
                  </a:ln>
                  <a:solidFill>
                    <a:prstClr val="black"/>
                  </a:solidFill>
                  <a:effectLst/>
                  <a:uLnTx/>
                  <a:uFillTx/>
                  <a:latin typeface="+mn-lt"/>
                  <a:ea typeface="+mn-ea"/>
                  <a:cs typeface="+mn-cs"/>
                </a:rPr>
                <a:t> = -160.000€ + 20.000€ * 1,12 </a:t>
              </a:r>
              <a:r>
                <a:rPr kumimoji="0" lang="de-DE" sz="1600" b="0" i="0" u="none" strike="noStrike" kern="0" cap="none" spc="0" normalizeH="0" baseline="30000" noProof="0">
                  <a:ln>
                    <a:noFill/>
                  </a:ln>
                  <a:solidFill>
                    <a:prstClr val="black"/>
                  </a:solidFill>
                  <a:effectLst/>
                  <a:uLnTx/>
                  <a:uFillTx/>
                  <a:latin typeface="+mn-lt"/>
                  <a:ea typeface="+mn-ea"/>
                  <a:cs typeface="+mn-cs"/>
                </a:rPr>
                <a:t>-1 </a:t>
              </a:r>
              <a:r>
                <a:rPr kumimoji="0" lang="de-DE" sz="1600" b="0" i="0" u="none" strike="noStrike" kern="0" cap="none" spc="0" normalizeH="0" baseline="0" noProof="0">
                  <a:ln>
                    <a:noFill/>
                  </a:ln>
                  <a:solidFill>
                    <a:prstClr val="black"/>
                  </a:solidFill>
                  <a:effectLst/>
                  <a:uLnTx/>
                  <a:uFillTx/>
                  <a:latin typeface="+mn-lt"/>
                  <a:ea typeface="+mn-ea"/>
                  <a:cs typeface="+mn-cs"/>
                </a:rPr>
                <a:t>+ 40.000€ * 1,12 </a:t>
              </a:r>
              <a:r>
                <a:rPr kumimoji="0" lang="de-DE" sz="1600" b="0" i="0" u="none" strike="noStrike" kern="0" cap="none" spc="0" normalizeH="0" baseline="30000" noProof="0">
                  <a:ln>
                    <a:noFill/>
                  </a:ln>
                  <a:solidFill>
                    <a:prstClr val="black"/>
                  </a:solidFill>
                  <a:effectLst/>
                  <a:uLnTx/>
                  <a:uFillTx/>
                  <a:latin typeface="+mn-lt"/>
                  <a:ea typeface="+mn-ea"/>
                  <a:cs typeface="+mn-cs"/>
                </a:rPr>
                <a:t>-2  </a:t>
              </a:r>
              <a:r>
                <a:rPr kumimoji="0" lang="de-DE" sz="1600" b="0" i="0" u="none" strike="noStrike" kern="0" cap="none" spc="0" normalizeH="0" baseline="0" noProof="0">
                  <a:ln>
                    <a:noFill/>
                  </a:ln>
                  <a:solidFill>
                    <a:prstClr val="black"/>
                  </a:solidFill>
                  <a:effectLst/>
                  <a:uLnTx/>
                  <a:uFillTx/>
                  <a:latin typeface="+mn-lt"/>
                  <a:ea typeface="+mn-ea"/>
                  <a:cs typeface="+mn-cs"/>
                </a:rPr>
                <a:t>+ 45.000€ * 1,12 </a:t>
              </a:r>
              <a:r>
                <a:rPr kumimoji="0" lang="de-DE" sz="1600" b="0" i="0" u="none" strike="noStrike" kern="0" cap="none" spc="0" normalizeH="0" baseline="30000" noProof="0">
                  <a:ln>
                    <a:noFill/>
                  </a:ln>
                  <a:solidFill>
                    <a:prstClr val="black"/>
                  </a:solidFill>
                  <a:effectLst/>
                  <a:uLnTx/>
                  <a:uFillTx/>
                  <a:latin typeface="+mn-lt"/>
                  <a:ea typeface="+mn-ea"/>
                  <a:cs typeface="+mn-cs"/>
                </a:rPr>
                <a:t>-3  </a:t>
              </a:r>
              <a:r>
                <a:rPr kumimoji="0" lang="de-DE" sz="1600" b="0" i="0" u="none" strike="noStrike" kern="0" cap="none" spc="0" normalizeH="0" baseline="0" noProof="0">
                  <a:ln>
                    <a:noFill/>
                  </a:ln>
                  <a:solidFill>
                    <a:prstClr val="black"/>
                  </a:solidFill>
                  <a:effectLst/>
                  <a:uLnTx/>
                  <a:uFillTx/>
                  <a:latin typeface="+mn-lt"/>
                  <a:ea typeface="+mn-ea"/>
                  <a:cs typeface="+mn-cs"/>
                </a:rPr>
                <a:t>+ 50.000€ * 1,12 </a:t>
              </a:r>
              <a:r>
                <a:rPr kumimoji="0" lang="de-DE" sz="1600" b="0" i="0" u="none" strike="noStrike" kern="0" cap="none" spc="0" normalizeH="0" baseline="30000" noProof="0">
                  <a:ln>
                    <a:noFill/>
                  </a:ln>
                  <a:solidFill>
                    <a:prstClr val="black"/>
                  </a:solidFill>
                  <a:effectLst/>
                  <a:uLnTx/>
                  <a:uFillTx/>
                  <a:latin typeface="+mn-lt"/>
                  <a:ea typeface="+mn-ea"/>
                  <a:cs typeface="+mn-cs"/>
                </a:rPr>
                <a:t>-4  </a:t>
              </a:r>
              <a:r>
                <a:rPr kumimoji="0" lang="de-DE" sz="1600" b="0" i="0" u="none" strike="noStrike" kern="0" cap="none" spc="0" normalizeH="0" baseline="0" noProof="0">
                  <a:ln>
                    <a:noFill/>
                  </a:ln>
                  <a:solidFill>
                    <a:prstClr val="black"/>
                  </a:solidFill>
                  <a:effectLst/>
                  <a:uLnTx/>
                  <a:uFillTx/>
                  <a:latin typeface="+mn-lt"/>
                  <a:ea typeface="+mn-ea"/>
                  <a:cs typeface="+mn-cs"/>
                </a:rPr>
                <a:t>+ 60.000€ * 1,12 </a:t>
              </a:r>
              <a:r>
                <a:rPr kumimoji="0" lang="de-DE" sz="1600" b="0" i="0" u="none" strike="noStrike" kern="0" cap="none" spc="0" normalizeH="0" baseline="30000" noProof="0">
                  <a:ln>
                    <a:noFill/>
                  </a:ln>
                  <a:solidFill>
                    <a:prstClr val="black"/>
                  </a:solidFill>
                  <a:effectLst/>
                  <a:uLnTx/>
                  <a:uFillTx/>
                  <a:latin typeface="+mn-lt"/>
                  <a:ea typeface="+mn-ea"/>
                  <a:cs typeface="+mn-cs"/>
                </a:rPr>
                <a:t>-5 </a:t>
              </a:r>
              <a:r>
                <a:rPr kumimoji="0" lang="de-DE" sz="1600" b="0" i="0" u="none" strike="noStrike" kern="0" cap="none" spc="0" normalizeH="0" baseline="0" noProof="0">
                  <a:ln>
                    <a:noFill/>
                  </a:ln>
                  <a:solidFill>
                    <a:prstClr val="black"/>
                  </a:solidFill>
                  <a:effectLst/>
                  <a:uLnTx/>
                  <a:uFillTx/>
                  <a:latin typeface="+mn-lt"/>
                  <a:ea typeface="+mn-ea"/>
                  <a:cs typeface="+mn-cs"/>
                </a:rPr>
                <a:t>= </a:t>
              </a:r>
              <a:r>
                <a:rPr kumimoji="0" lang="de-DE" sz="1600" b="1" i="0" u="none" strike="noStrike" kern="0" cap="none" spc="0" normalizeH="0" baseline="0" noProof="0">
                  <a:ln>
                    <a:noFill/>
                  </a:ln>
                  <a:solidFill>
                    <a:schemeClr val="tx1"/>
                  </a:solidFill>
                  <a:effectLst/>
                  <a:uLnTx/>
                  <a:uFillTx/>
                  <a:latin typeface="+mn-lt"/>
                  <a:ea typeface="+mn-ea"/>
                  <a:cs typeface="+mn-cs"/>
                </a:rPr>
                <a:t>- 12.403 €  </a:t>
              </a:r>
              <a:r>
                <a:rPr kumimoji="0" lang="de-DE" sz="1600" b="0" i="0" u="none" strike="noStrike" kern="0" cap="none" spc="0" normalizeH="0" baseline="0" noProof="0">
                  <a:ln>
                    <a:noFill/>
                  </a:ln>
                  <a:solidFill>
                    <a:prstClr val="black"/>
                  </a:solidFill>
                  <a:effectLst/>
                  <a:uLnTx/>
                  <a:uFillTx/>
                  <a:latin typeface="+mn-lt"/>
                  <a:ea typeface="+mn-ea"/>
                  <a:cs typeface="+mn-cs"/>
                </a:rPr>
                <a:t>(negativer Kapitalwert)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Lineare Interpolation: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i´</a:t>
              </a:r>
              <a:r>
                <a:rPr kumimoji="0" lang="de-DE" sz="1600" b="0" i="0" u="none" strike="noStrike" kern="0" cap="none" spc="0" normalizeH="0" baseline="-25000" noProof="0">
                  <a:ln>
                    <a:noFill/>
                  </a:ln>
                  <a:solidFill>
                    <a:prstClr val="black"/>
                  </a:solidFill>
                  <a:effectLst/>
                  <a:uLnTx/>
                  <a:uFillTx/>
                  <a:latin typeface="+mn-lt"/>
                  <a:ea typeface="+mn-ea"/>
                  <a:cs typeface="+mn-cs"/>
                </a:rPr>
                <a:t>IZF </a:t>
              </a:r>
              <a:r>
                <a:rPr kumimoji="0" lang="de-DE" sz="1600" b="0" i="0" u="none" strike="noStrike" kern="0" cap="none" spc="0" normalizeH="0" baseline="0" noProof="0">
                  <a:ln>
                    <a:noFill/>
                  </a:ln>
                  <a:solidFill>
                    <a:prstClr val="black"/>
                  </a:solidFill>
                  <a:effectLst/>
                  <a:uLnTx/>
                  <a:uFillTx/>
                  <a:latin typeface="+mn-lt"/>
                  <a:ea typeface="+mn-ea"/>
                  <a:cs typeface="+mn-cs"/>
                </a:rPr>
                <a:t>= </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i</a:t>
              </a:r>
              <a:r>
                <a:rPr kumimoji="0" lang="de-DE" sz="1600" b="0" i="0" u="none" strike="noStrike" kern="0" cap="none" spc="0" normalizeH="0" baseline="-25000" noProof="0">
                  <a:ln>
                    <a:noFill/>
                  </a:ln>
                  <a:solidFill>
                    <a:prstClr val="black"/>
                  </a:solidFill>
                  <a:effectLst/>
                  <a:uLnTx/>
                  <a:uFillTx/>
                  <a:latin typeface="Cambria Math" panose="02040503050406030204" pitchFamily="18" charset="0"/>
                  <a:ea typeface="+mn-ea"/>
                  <a:cs typeface="+mn-cs"/>
                </a:rPr>
                <a:t>1</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(𝑖</a:t>
              </a:r>
              <a:r>
                <a:rPr kumimoji="0" lang="de-DE" sz="1600" b="0" i="0" u="none" strike="noStrike" kern="0" cap="none" spc="0" normalizeH="0" baseline="-25000" noProof="0">
                  <a:ln>
                    <a:noFill/>
                  </a:ln>
                  <a:solidFill>
                    <a:prstClr val="black"/>
                  </a:solidFill>
                  <a:effectLst/>
                  <a:uLnTx/>
                  <a:uFillTx/>
                  <a:latin typeface="Cambria Math" panose="02040503050406030204" pitchFamily="18" charset="0"/>
                  <a:ea typeface="+mn-ea"/>
                  <a:cs typeface="+mn-cs"/>
                </a:rPr>
                <a:t>1 </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−𝑖</a:t>
              </a:r>
              <a:r>
                <a:rPr kumimoji="0" lang="de-DE" sz="1600" b="0" i="0" u="none" strike="noStrike" kern="0" cap="none" spc="0" normalizeH="0" baseline="-25000" noProof="0">
                  <a:ln>
                    <a:noFill/>
                  </a:ln>
                  <a:solidFill>
                    <a:prstClr val="black"/>
                  </a:solidFill>
                  <a:effectLst/>
                  <a:uLnTx/>
                  <a:uFillTx/>
                  <a:latin typeface="Cambria Math" panose="02040503050406030204" pitchFamily="18" charset="0"/>
                  <a:ea typeface="+mn-ea"/>
                  <a:cs typeface="+mn-cs"/>
                </a:rPr>
                <a:t>2</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)/(𝐾𝑊</a:t>
              </a:r>
              <a:r>
                <a:rPr kumimoji="0" lang="de-DE" sz="1600" b="0" i="0" u="none" strike="noStrike" kern="0" cap="none" spc="0" normalizeH="0" baseline="-25000" noProof="0">
                  <a:ln>
                    <a:noFill/>
                  </a:ln>
                  <a:solidFill>
                    <a:prstClr val="black"/>
                  </a:solidFill>
                  <a:effectLst/>
                  <a:uLnTx/>
                  <a:uFillTx/>
                  <a:latin typeface="Cambria Math" panose="02040503050406030204" pitchFamily="18" charset="0"/>
                  <a:ea typeface="+mn-ea"/>
                  <a:cs typeface="+mn-cs"/>
                </a:rPr>
                <a:t>1</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−𝐾𝑊</a:t>
              </a:r>
              <a:r>
                <a:rPr kumimoji="0" lang="de-DE" sz="1600" b="0" i="0" u="none" strike="noStrike" kern="0" cap="none" spc="0" normalizeH="0" baseline="-25000" noProof="0">
                  <a:ln>
                    <a:noFill/>
                  </a:ln>
                  <a:solidFill>
                    <a:prstClr val="black"/>
                  </a:solidFill>
                  <a:effectLst/>
                  <a:uLnTx/>
                  <a:uFillTx/>
                  <a:latin typeface="Cambria Math" panose="02040503050406030204" pitchFamily="18" charset="0"/>
                  <a:ea typeface="+mn-ea"/>
                  <a:cs typeface="+mn-cs"/>
                </a:rPr>
                <a:t>2</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a:t>
              </a:r>
              <a:r>
                <a:rPr kumimoji="0" lang="de-DE" sz="1600" b="0" i="0" u="none" strike="noStrike" kern="0" cap="none" spc="0" normalizeH="0" baseline="0" noProof="0">
                  <a:ln>
                    <a:noFill/>
                  </a:ln>
                  <a:solidFill>
                    <a:prstClr val="black"/>
                  </a:solidFill>
                  <a:effectLst/>
                  <a:uLnTx/>
                  <a:uFillTx/>
                  <a:latin typeface="+mn-lt"/>
                  <a:ea typeface="+mn-ea"/>
                  <a:cs typeface="+mn-cs"/>
                </a:rPr>
                <a:t> x KW</a:t>
              </a:r>
              <a:r>
                <a:rPr kumimoji="0" lang="de-DE" sz="1600" b="0" i="0" u="none" strike="noStrike" kern="0" cap="none" spc="0" normalizeH="0" baseline="-25000" noProof="0">
                  <a:ln>
                    <a:noFill/>
                  </a:ln>
                  <a:solidFill>
                    <a:prstClr val="black"/>
                  </a:solidFill>
                  <a:effectLst/>
                  <a:uLnTx/>
                  <a:uFillTx/>
                  <a:latin typeface="+mn-lt"/>
                  <a:ea typeface="+mn-ea"/>
                  <a:cs typeface="+mn-cs"/>
                </a:rPr>
                <a:t>1</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i´</a:t>
              </a:r>
              <a:r>
                <a:rPr kumimoji="0" lang="de-DE" sz="1600" b="0" i="0" u="none" strike="noStrike" kern="0" cap="none" spc="0" normalizeH="0" baseline="-25000" noProof="0">
                  <a:ln>
                    <a:noFill/>
                  </a:ln>
                  <a:solidFill>
                    <a:prstClr val="black"/>
                  </a:solidFill>
                  <a:effectLst/>
                  <a:uLnTx/>
                  <a:uFillTx/>
                  <a:latin typeface="+mn-lt"/>
                  <a:ea typeface="+mn-ea"/>
                  <a:cs typeface="+mn-cs"/>
                </a:rPr>
                <a:t>IZF </a:t>
              </a:r>
              <a:r>
                <a:rPr kumimoji="0" lang="de-DE" sz="1600" b="0" i="0" u="none" strike="noStrike" kern="0" cap="none" spc="0" normalizeH="0" baseline="0" noProof="0">
                  <a:ln>
                    <a:noFill/>
                  </a:ln>
                  <a:solidFill>
                    <a:prstClr val="black"/>
                  </a:solidFill>
                  <a:effectLst/>
                  <a:uLnTx/>
                  <a:uFillTx/>
                  <a:latin typeface="+mn-lt"/>
                  <a:ea typeface="+mn-ea"/>
                  <a:cs typeface="+mn-cs"/>
                </a:rPr>
                <a:t>= </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0,09−</a:t>
              </a:r>
              <a:r>
                <a:rPr kumimoji="0" lang="de-DE" sz="1600" b="0" i="0" u="none" strike="noStrike" kern="0" cap="none" spc="0" normalizeH="0" baseline="-25000" noProof="0">
                  <a:ln>
                    <a:noFill/>
                  </a:ln>
                  <a:solidFill>
                    <a:prstClr val="black"/>
                  </a:solidFill>
                  <a:effectLst/>
                  <a:uLnTx/>
                  <a:uFillTx/>
                  <a:latin typeface="Cambria Math" panose="02040503050406030204" pitchFamily="18" charset="0"/>
                  <a:ea typeface="+mn-ea"/>
                  <a:cs typeface="+mn-cs"/>
                </a:rPr>
                <a:t> </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(0,09−0,12)/(1.180 −(−12.403) )</a:t>
              </a:r>
              <a:r>
                <a:rPr kumimoji="0" lang="de-DE" sz="1600" b="0" i="0" u="none" strike="noStrike" kern="0" cap="none" spc="0" normalizeH="0" baseline="0" noProof="0">
                  <a:ln>
                    <a:noFill/>
                  </a:ln>
                  <a:solidFill>
                    <a:prstClr val="black"/>
                  </a:solidFill>
                  <a:effectLst/>
                  <a:uLnTx/>
                  <a:uFillTx/>
                  <a:latin typeface="+mn-lt"/>
                  <a:ea typeface="+mn-ea"/>
                  <a:cs typeface="+mn-cs"/>
                </a:rPr>
                <a:t>  x 1.180= 0,0926</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i´</a:t>
              </a:r>
              <a:r>
                <a:rPr kumimoji="0" lang="de-DE" sz="1600" b="0" i="0" u="none" strike="noStrike" kern="0" cap="none" spc="0" normalizeH="0" baseline="-25000" noProof="0">
                  <a:ln>
                    <a:noFill/>
                  </a:ln>
                  <a:solidFill>
                    <a:prstClr val="black"/>
                  </a:solidFill>
                  <a:effectLst/>
                  <a:uLnTx/>
                  <a:uFillTx/>
                  <a:latin typeface="+mn-lt"/>
                  <a:ea typeface="+mn-ea"/>
                  <a:cs typeface="+mn-cs"/>
                </a:rPr>
                <a:t>IZF </a:t>
              </a:r>
              <a:r>
                <a:rPr kumimoji="0" lang="de-DE" sz="1600" b="0" i="0" u="none" strike="noStrike" kern="0" cap="none" spc="0" normalizeH="0" baseline="0" noProof="0">
                  <a:ln>
                    <a:noFill/>
                  </a:ln>
                  <a:solidFill>
                    <a:prstClr val="black"/>
                  </a:solidFill>
                  <a:effectLst/>
                  <a:uLnTx/>
                  <a:uFillTx/>
                  <a:latin typeface="+mn-lt"/>
                  <a:ea typeface="+mn-ea"/>
                  <a:cs typeface="+mn-cs"/>
                </a:rPr>
                <a:t>=  9,26 %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Lösung: Der interne Zinsfuß beträgt 9,26 %. Er übersteigt den Kalkulationszinssatz von 8 %. Daher ist die Investition vorteilhaft.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endParaRPr lang="de-DE" sz="1100"/>
            </a:p>
          </xdr:txBody>
        </xdr:sp>
      </mc:Fallback>
    </mc:AlternateContent>
    <xdr:clientData/>
  </xdr:twoCellAnchor>
</xdr:wsDr>
</file>

<file path=xl/drawings/drawing30.xml><?xml version="1.0" encoding="utf-8"?>
<xdr:wsDr xmlns:xdr="http://schemas.openxmlformats.org/drawingml/2006/spreadsheetDrawing" xmlns:a="http://schemas.openxmlformats.org/drawingml/2006/main">
  <xdr:twoCellAnchor>
    <xdr:from>
      <xdr:col>7</xdr:col>
      <xdr:colOff>47625</xdr:colOff>
      <xdr:row>0</xdr:row>
      <xdr:rowOff>190499</xdr:rowOff>
    </xdr:from>
    <xdr:to>
      <xdr:col>15</xdr:col>
      <xdr:colOff>476250</xdr:colOff>
      <xdr:row>38</xdr:row>
      <xdr:rowOff>171450</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200C1B8B-4E64-4C9D-B190-E9B2B9BFAF70}"/>
                </a:ext>
              </a:extLst>
            </xdr:cNvPr>
            <xdr:cNvSpPr txBox="1"/>
          </xdr:nvSpPr>
          <xdr:spPr>
            <a:xfrm>
              <a:off x="5381625" y="190499"/>
              <a:ext cx="6524625" cy="7219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a) Lösung mittels linearer Interpolation:</a:t>
              </a:r>
            </a:p>
            <a:p>
              <a:endParaRPr lang="de-DE" sz="1600"/>
            </a:p>
            <a:p>
              <a:endParaRPr lang="de-DE" sz="1600"/>
            </a:p>
            <a:p>
              <a:endParaRPr lang="de-DE" sz="1600"/>
            </a:p>
            <a:p>
              <a:endParaRPr lang="de-DE" sz="1600"/>
            </a:p>
            <a:p>
              <a:endParaRPr lang="de-DE" sz="1600"/>
            </a:p>
            <a:p>
              <a:endParaRPr lang="de-DE" sz="1600"/>
            </a:p>
            <a:p>
              <a:endParaRPr lang="de-DE" sz="1600"/>
            </a:p>
            <a:p>
              <a:endParaRPr lang="de-DE" sz="1600"/>
            </a:p>
            <a:p>
              <a:r>
                <a:rPr lang="de-DE" sz="1600"/>
                <a:t>Versuchszinssatz </a:t>
              </a:r>
              <a:r>
                <a:rPr lang="de-DE" sz="1600" baseline="0"/>
                <a:t> i</a:t>
              </a:r>
              <a:r>
                <a:rPr lang="de-DE" sz="1600" baseline="-25000"/>
                <a:t>1</a:t>
              </a:r>
              <a:r>
                <a:rPr lang="de-DE" sz="1600" baseline="0"/>
                <a:t> = 10 %</a:t>
              </a:r>
            </a:p>
            <a:p>
              <a:endParaRPr lang="de-DE" sz="1600" baseline="0"/>
            </a:p>
            <a:p>
              <a:r>
                <a:rPr lang="de-DE" sz="1600" baseline="0"/>
                <a:t>KW</a:t>
              </a:r>
              <a:r>
                <a:rPr lang="de-DE" sz="1600" baseline="-25000"/>
                <a:t>0</a:t>
              </a:r>
              <a:r>
                <a:rPr lang="de-DE" sz="1600" baseline="0"/>
                <a:t> bei Versuchszins i</a:t>
              </a:r>
              <a:r>
                <a:rPr lang="de-DE" sz="1600" baseline="-25000"/>
                <a:t>1</a:t>
              </a:r>
              <a:r>
                <a:rPr lang="de-DE" sz="1600" baseline="0"/>
                <a:t> = -16.000.000€ + 8.640.000€ * 1,1 </a:t>
              </a:r>
              <a:r>
                <a:rPr lang="de-DE" sz="1600" baseline="30000"/>
                <a:t>-1 </a:t>
              </a:r>
              <a:r>
                <a:rPr lang="de-DE" sz="1600" baseline="0"/>
                <a:t>+ 10.640. 000 € * 1,1 </a:t>
              </a:r>
              <a:r>
                <a:rPr lang="de-DE" sz="1600" baseline="30000"/>
                <a:t>-2 </a:t>
              </a:r>
              <a:r>
                <a:rPr lang="de-DE" sz="1600" baseline="0"/>
                <a:t>= 647.933,88 €</a:t>
              </a:r>
            </a:p>
            <a:p>
              <a:endParaRPr lang="de-DE" sz="1600" baseline="0"/>
            </a:p>
            <a:p>
              <a:r>
                <a:rPr lang="de-DE" sz="1600">
                  <a:solidFill>
                    <a:schemeClr val="dk1"/>
                  </a:solidFill>
                  <a:effectLst/>
                  <a:latin typeface="+mn-lt"/>
                  <a:ea typeface="+mn-ea"/>
                  <a:cs typeface="+mn-cs"/>
                </a:rPr>
                <a:t>Versuchszinssatz </a:t>
              </a:r>
              <a:r>
                <a:rPr lang="de-DE" sz="1600" baseline="0">
                  <a:solidFill>
                    <a:schemeClr val="dk1"/>
                  </a:solidFill>
                  <a:effectLst/>
                  <a:latin typeface="+mn-lt"/>
                  <a:ea typeface="+mn-ea"/>
                  <a:cs typeface="+mn-cs"/>
                </a:rPr>
                <a:t> i</a:t>
              </a:r>
              <a:r>
                <a:rPr lang="de-DE" sz="1600" baseline="-25000">
                  <a:solidFill>
                    <a:schemeClr val="dk1"/>
                  </a:solidFill>
                  <a:effectLst/>
                  <a:latin typeface="+mn-lt"/>
                  <a:ea typeface="+mn-ea"/>
                  <a:cs typeface="+mn-cs"/>
                </a:rPr>
                <a:t>2</a:t>
              </a:r>
              <a:r>
                <a:rPr lang="de-DE" sz="1600" baseline="0">
                  <a:solidFill>
                    <a:schemeClr val="dk1"/>
                  </a:solidFill>
                  <a:effectLst/>
                  <a:latin typeface="+mn-lt"/>
                  <a:ea typeface="+mn-ea"/>
                  <a:cs typeface="+mn-cs"/>
                </a:rPr>
                <a:t> = 15 %</a:t>
              </a:r>
            </a:p>
            <a:p>
              <a:endParaRPr lang="de-DE" sz="1600">
                <a:effectLst/>
              </a:endParaRPr>
            </a:p>
            <a:p>
              <a:r>
                <a:rPr lang="de-DE" sz="1600" baseline="0">
                  <a:solidFill>
                    <a:schemeClr val="dk1"/>
                  </a:solidFill>
                  <a:effectLst/>
                  <a:latin typeface="+mn-lt"/>
                  <a:ea typeface="+mn-ea"/>
                  <a:cs typeface="+mn-cs"/>
                </a:rPr>
                <a:t>KW</a:t>
              </a:r>
              <a:r>
                <a:rPr lang="de-DE" sz="1600" baseline="-25000">
                  <a:solidFill>
                    <a:schemeClr val="dk1"/>
                  </a:solidFill>
                  <a:effectLst/>
                  <a:latin typeface="+mn-lt"/>
                  <a:ea typeface="+mn-ea"/>
                  <a:cs typeface="+mn-cs"/>
                </a:rPr>
                <a:t>0</a:t>
              </a:r>
              <a:r>
                <a:rPr lang="de-DE" sz="1600" baseline="0">
                  <a:solidFill>
                    <a:schemeClr val="dk1"/>
                  </a:solidFill>
                  <a:effectLst/>
                  <a:latin typeface="+mn-lt"/>
                  <a:ea typeface="+mn-ea"/>
                  <a:cs typeface="+mn-cs"/>
                </a:rPr>
                <a:t> bei Versuchszins i</a:t>
              </a:r>
              <a:r>
                <a:rPr lang="de-DE" sz="1600" baseline="-25000">
                  <a:solidFill>
                    <a:schemeClr val="dk1"/>
                  </a:solidFill>
                  <a:effectLst/>
                  <a:latin typeface="+mn-lt"/>
                  <a:ea typeface="+mn-ea"/>
                  <a:cs typeface="+mn-cs"/>
                </a:rPr>
                <a:t>2</a:t>
              </a:r>
              <a:r>
                <a:rPr lang="de-DE" sz="1600" baseline="0">
                  <a:solidFill>
                    <a:schemeClr val="dk1"/>
                  </a:solidFill>
                  <a:effectLst/>
                  <a:latin typeface="+mn-lt"/>
                  <a:ea typeface="+mn-ea"/>
                  <a:cs typeface="+mn-cs"/>
                </a:rPr>
                <a:t> = -16.000.000€ + 8.640.000€ * 1,15 </a:t>
              </a:r>
              <a:r>
                <a:rPr lang="de-DE" sz="1600" baseline="30000">
                  <a:solidFill>
                    <a:schemeClr val="dk1"/>
                  </a:solidFill>
                  <a:effectLst/>
                  <a:latin typeface="+mn-lt"/>
                  <a:ea typeface="+mn-ea"/>
                  <a:cs typeface="+mn-cs"/>
                </a:rPr>
                <a:t>-1 </a:t>
              </a:r>
              <a:r>
                <a:rPr lang="de-DE" sz="1600" baseline="0">
                  <a:solidFill>
                    <a:schemeClr val="dk1"/>
                  </a:solidFill>
                  <a:effectLst/>
                  <a:latin typeface="+mn-lt"/>
                  <a:ea typeface="+mn-ea"/>
                  <a:cs typeface="+mn-cs"/>
                </a:rPr>
                <a:t>+ 10.640. 000 € * 1,15 </a:t>
              </a:r>
              <a:r>
                <a:rPr lang="de-DE" sz="1600" baseline="30000">
                  <a:solidFill>
                    <a:schemeClr val="dk1"/>
                  </a:solidFill>
                  <a:effectLst/>
                  <a:latin typeface="+mn-lt"/>
                  <a:ea typeface="+mn-ea"/>
                  <a:cs typeface="+mn-cs"/>
                </a:rPr>
                <a:t>-2 </a:t>
              </a:r>
              <a:r>
                <a:rPr lang="de-DE" sz="1600" baseline="0">
                  <a:solidFill>
                    <a:schemeClr val="dk1"/>
                  </a:solidFill>
                  <a:effectLst/>
                  <a:latin typeface="+mn-lt"/>
                  <a:ea typeface="+mn-ea"/>
                  <a:cs typeface="+mn-cs"/>
                </a:rPr>
                <a:t>= -441.587,90 €</a:t>
              </a:r>
              <a:endParaRPr lang="de-DE" sz="1600">
                <a:effectLst/>
              </a:endParaRPr>
            </a:p>
            <a:p>
              <a:endParaRPr lang="de-DE" sz="1600"/>
            </a:p>
            <a:p>
              <a:endParaRPr lang="de-DE" sz="1600"/>
            </a:p>
            <a:p>
              <a:r>
                <a:rPr lang="de-DE" sz="1600"/>
                <a:t>Lineare Interpolation:</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a:t>
              </a:r>
              <a14:m>
                <m:oMath xmlns:m="http://schemas.openxmlformats.org/officeDocument/2006/math">
                  <m:r>
                    <m:rPr>
                      <m:sty m:val="p"/>
                    </m:rPr>
                    <a:rPr lang="de-DE" sz="1600" b="0" i="0">
                      <a:solidFill>
                        <a:schemeClr val="dk1"/>
                      </a:solidFill>
                      <a:effectLst/>
                      <a:latin typeface="Cambria Math" panose="02040503050406030204" pitchFamily="18" charset="0"/>
                      <a:ea typeface="+mn-ea"/>
                      <a:cs typeface="+mn-cs"/>
                    </a:rPr>
                    <m:t>i</m:t>
                  </m:r>
                  <m:r>
                    <a:rPr lang="de-DE" sz="1600" b="0" i="0" baseline="-25000">
                      <a:solidFill>
                        <a:schemeClr val="dk1"/>
                      </a:solidFill>
                      <a:effectLst/>
                      <a:latin typeface="Cambria Math" panose="02040503050406030204" pitchFamily="18" charset="0"/>
                      <a:ea typeface="+mn-ea"/>
                      <a:cs typeface="+mn-cs"/>
                    </a:rPr>
                    <m:t>1</m:t>
                  </m:r>
                  <m:r>
                    <a:rPr lang="de-DE" sz="1600" b="0" i="0">
                      <a:solidFill>
                        <a:schemeClr val="dk1"/>
                      </a:solidFill>
                      <a:effectLst/>
                      <a:latin typeface="Cambria Math" panose="02040503050406030204" pitchFamily="18" charset="0"/>
                      <a:ea typeface="+mn-ea"/>
                      <a:cs typeface="+mn-cs"/>
                    </a:rPr>
                    <m:t>− </m:t>
                  </m:r>
                  <m:f>
                    <m:fPr>
                      <m:ctrlPr>
                        <a:rPr lang="de-DE" sz="1600" i="1">
                          <a:solidFill>
                            <a:schemeClr val="dk1"/>
                          </a:solidFill>
                          <a:effectLst/>
                          <a:latin typeface="Cambria Math" panose="02040503050406030204" pitchFamily="18" charset="0"/>
                          <a:ea typeface="+mn-ea"/>
                          <a:cs typeface="+mn-cs"/>
                        </a:rPr>
                      </m:ctrlPr>
                    </m:fPr>
                    <m:num>
                      <m:r>
                        <a:rPr lang="de-DE" sz="1600" b="0" i="1">
                          <a:solidFill>
                            <a:schemeClr val="dk1"/>
                          </a:solidFill>
                          <a:effectLst/>
                          <a:latin typeface="Cambria Math" panose="02040503050406030204" pitchFamily="18" charset="0"/>
                          <a:ea typeface="+mn-ea"/>
                          <a:cs typeface="+mn-cs"/>
                        </a:rPr>
                        <m:t>𝑖</m:t>
                      </m:r>
                      <m:r>
                        <a:rPr lang="de-DE" sz="1600" b="0" i="1" baseline="-25000">
                          <a:solidFill>
                            <a:schemeClr val="dk1"/>
                          </a:solidFill>
                          <a:effectLst/>
                          <a:latin typeface="Cambria Math" panose="02040503050406030204" pitchFamily="18" charset="0"/>
                          <a:ea typeface="+mn-ea"/>
                          <a:cs typeface="+mn-cs"/>
                        </a:rPr>
                        <m:t>1 </m:t>
                      </m:r>
                      <m:r>
                        <a:rPr lang="de-DE" sz="1600" b="0" i="1">
                          <a:solidFill>
                            <a:schemeClr val="dk1"/>
                          </a:solidFill>
                          <a:effectLst/>
                          <a:latin typeface="Cambria Math" panose="02040503050406030204" pitchFamily="18" charset="0"/>
                          <a:ea typeface="+mn-ea"/>
                          <a:cs typeface="+mn-cs"/>
                        </a:rPr>
                        <m:t>−</m:t>
                      </m:r>
                      <m:r>
                        <a:rPr lang="de-DE" sz="1600" b="0" i="1">
                          <a:solidFill>
                            <a:schemeClr val="dk1"/>
                          </a:solidFill>
                          <a:effectLst/>
                          <a:latin typeface="Cambria Math" panose="02040503050406030204" pitchFamily="18" charset="0"/>
                          <a:ea typeface="+mn-ea"/>
                          <a:cs typeface="+mn-cs"/>
                        </a:rPr>
                        <m:t>𝑖</m:t>
                      </m:r>
                      <m:r>
                        <a:rPr lang="de-DE" sz="1600" b="0" i="1" baseline="-25000">
                          <a:solidFill>
                            <a:schemeClr val="dk1"/>
                          </a:solidFill>
                          <a:effectLst/>
                          <a:latin typeface="Cambria Math" panose="02040503050406030204" pitchFamily="18" charset="0"/>
                          <a:ea typeface="+mn-ea"/>
                          <a:cs typeface="+mn-cs"/>
                        </a:rPr>
                        <m:t>2</m:t>
                      </m:r>
                    </m:num>
                    <m:den>
                      <m:r>
                        <a:rPr lang="de-DE" sz="1600" b="0" i="1">
                          <a:solidFill>
                            <a:schemeClr val="dk1"/>
                          </a:solidFill>
                          <a:effectLst/>
                          <a:latin typeface="Cambria Math" panose="02040503050406030204" pitchFamily="18" charset="0"/>
                          <a:ea typeface="+mn-ea"/>
                          <a:cs typeface="+mn-cs"/>
                        </a:rPr>
                        <m:t>𝐾𝑊</m:t>
                      </m:r>
                      <m:r>
                        <a:rPr lang="de-DE" sz="1600" b="0" i="1" baseline="-25000">
                          <a:solidFill>
                            <a:schemeClr val="dk1"/>
                          </a:solidFill>
                          <a:effectLst/>
                          <a:latin typeface="Cambria Math" panose="02040503050406030204" pitchFamily="18" charset="0"/>
                          <a:ea typeface="+mn-ea"/>
                          <a:cs typeface="+mn-cs"/>
                        </a:rPr>
                        <m:t>1</m:t>
                      </m:r>
                      <m:r>
                        <a:rPr lang="de-DE" sz="1600" b="0" i="1">
                          <a:solidFill>
                            <a:schemeClr val="dk1"/>
                          </a:solidFill>
                          <a:effectLst/>
                          <a:latin typeface="Cambria Math" panose="02040503050406030204" pitchFamily="18" charset="0"/>
                          <a:ea typeface="+mn-ea"/>
                          <a:cs typeface="+mn-cs"/>
                        </a:rPr>
                        <m:t> −</m:t>
                      </m:r>
                      <m:r>
                        <a:rPr lang="de-DE" sz="1600" b="0" i="1">
                          <a:solidFill>
                            <a:schemeClr val="dk1"/>
                          </a:solidFill>
                          <a:effectLst/>
                          <a:latin typeface="Cambria Math" panose="02040503050406030204" pitchFamily="18" charset="0"/>
                          <a:ea typeface="+mn-ea"/>
                          <a:cs typeface="+mn-cs"/>
                        </a:rPr>
                        <m:t>𝐾𝑊</m:t>
                      </m:r>
                      <m:r>
                        <a:rPr lang="de-DE" sz="1600" b="0" i="1" baseline="-25000">
                          <a:solidFill>
                            <a:schemeClr val="dk1"/>
                          </a:solidFill>
                          <a:effectLst/>
                          <a:latin typeface="Cambria Math" panose="02040503050406030204" pitchFamily="18" charset="0"/>
                          <a:ea typeface="+mn-ea"/>
                          <a:cs typeface="+mn-cs"/>
                        </a:rPr>
                        <m:t>2</m:t>
                      </m:r>
                    </m:den>
                  </m:f>
                </m:oMath>
              </a14:m>
              <a:r>
                <a:rPr lang="de-DE" sz="1600"/>
                <a:t> x KW</a:t>
              </a:r>
              <a:r>
                <a:rPr lang="de-DE" sz="1600" baseline="-25000"/>
                <a:t>1</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a:t>
              </a:r>
              <a14:m>
                <m:oMath xmlns:m="http://schemas.openxmlformats.org/officeDocument/2006/math">
                  <m:r>
                    <a:rPr lang="de-DE" sz="1600" b="0" i="0">
                      <a:solidFill>
                        <a:schemeClr val="dk1"/>
                      </a:solidFill>
                      <a:effectLst/>
                      <a:latin typeface="Cambria Math" panose="02040503050406030204" pitchFamily="18" charset="0"/>
                      <a:ea typeface="+mn-ea"/>
                      <a:cs typeface="+mn-cs"/>
                    </a:rPr>
                    <m:t>0,10−</m:t>
                  </m:r>
                  <m:r>
                    <a:rPr lang="de-DE" sz="1600" b="0" i="0" baseline="-25000">
                      <a:solidFill>
                        <a:schemeClr val="dk1"/>
                      </a:solidFill>
                      <a:effectLst/>
                      <a:latin typeface="Cambria Math" panose="02040503050406030204" pitchFamily="18" charset="0"/>
                      <a:ea typeface="+mn-ea"/>
                      <a:cs typeface="+mn-cs"/>
                    </a:rPr>
                    <m:t> </m:t>
                  </m:r>
                  <m:f>
                    <m:fPr>
                      <m:ctrlPr>
                        <a:rPr lang="de-DE" sz="1600" i="1">
                          <a:solidFill>
                            <a:schemeClr val="dk1"/>
                          </a:solidFill>
                          <a:effectLst/>
                          <a:latin typeface="Cambria Math" panose="02040503050406030204" pitchFamily="18" charset="0"/>
                          <a:ea typeface="+mn-ea"/>
                          <a:cs typeface="+mn-cs"/>
                        </a:rPr>
                      </m:ctrlPr>
                    </m:fPr>
                    <m:num>
                      <m:r>
                        <a:rPr lang="de-DE" sz="1600" b="0" i="1">
                          <a:solidFill>
                            <a:schemeClr val="dk1"/>
                          </a:solidFill>
                          <a:effectLst/>
                          <a:latin typeface="Cambria Math" panose="02040503050406030204" pitchFamily="18" charset="0"/>
                          <a:ea typeface="+mn-ea"/>
                          <a:cs typeface="+mn-cs"/>
                        </a:rPr>
                        <m:t>0,10 −0,15</m:t>
                      </m:r>
                    </m:num>
                    <m:den>
                      <m:r>
                        <a:rPr lang="de-DE" sz="1600" b="0" i="1">
                          <a:solidFill>
                            <a:schemeClr val="dk1"/>
                          </a:solidFill>
                          <a:effectLst/>
                          <a:latin typeface="Cambria Math" panose="02040503050406030204" pitchFamily="18" charset="0"/>
                          <a:ea typeface="+mn-ea"/>
                          <a:cs typeface="+mn-cs"/>
                        </a:rPr>
                        <m:t>647.933,88 −(−441.587,90) </m:t>
                      </m:r>
                    </m:den>
                  </m:f>
                </m:oMath>
              </a14:m>
              <a:r>
                <a:rPr lang="de-DE" sz="1600"/>
                <a:t>  x 647.933,88= 0,12973 </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12,97</a:t>
              </a:r>
              <a:r>
                <a:rPr lang="de-DE" sz="1600" baseline="0">
                  <a:solidFill>
                    <a:schemeClr val="dk1"/>
                  </a:solidFill>
                  <a:effectLst/>
                  <a:latin typeface="+mn-lt"/>
                  <a:ea typeface="+mn-ea"/>
                  <a:cs typeface="+mn-cs"/>
                </a:rPr>
                <a:t> %</a:t>
              </a:r>
              <a:endParaRPr lang="de-DE" sz="1600"/>
            </a:p>
          </xdr:txBody>
        </xdr:sp>
      </mc:Choice>
      <mc:Fallback>
        <xdr:sp macro="" textlink="">
          <xdr:nvSpPr>
            <xdr:cNvPr id="2" name="Textfeld 1">
              <a:extLst>
                <a:ext uri="{FF2B5EF4-FFF2-40B4-BE49-F238E27FC236}">
                  <a16:creationId xmlns:a16="http://schemas.microsoft.com/office/drawing/2014/main" id="{200C1B8B-4E64-4C9D-B190-E9B2B9BFAF70}"/>
                </a:ext>
              </a:extLst>
            </xdr:cNvPr>
            <xdr:cNvSpPr txBox="1"/>
          </xdr:nvSpPr>
          <xdr:spPr>
            <a:xfrm>
              <a:off x="5381625" y="190499"/>
              <a:ext cx="6524625" cy="7219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a) Lösung mittels linearer Interpolation:</a:t>
              </a:r>
            </a:p>
            <a:p>
              <a:endParaRPr lang="de-DE" sz="1600"/>
            </a:p>
            <a:p>
              <a:endParaRPr lang="de-DE" sz="1600"/>
            </a:p>
            <a:p>
              <a:endParaRPr lang="de-DE" sz="1600"/>
            </a:p>
            <a:p>
              <a:endParaRPr lang="de-DE" sz="1600"/>
            </a:p>
            <a:p>
              <a:endParaRPr lang="de-DE" sz="1600"/>
            </a:p>
            <a:p>
              <a:endParaRPr lang="de-DE" sz="1600"/>
            </a:p>
            <a:p>
              <a:endParaRPr lang="de-DE" sz="1600"/>
            </a:p>
            <a:p>
              <a:endParaRPr lang="de-DE" sz="1600"/>
            </a:p>
            <a:p>
              <a:r>
                <a:rPr lang="de-DE" sz="1600"/>
                <a:t>Versuchszinssatz </a:t>
              </a:r>
              <a:r>
                <a:rPr lang="de-DE" sz="1600" baseline="0"/>
                <a:t> i</a:t>
              </a:r>
              <a:r>
                <a:rPr lang="de-DE" sz="1600" baseline="-25000"/>
                <a:t>1</a:t>
              </a:r>
              <a:r>
                <a:rPr lang="de-DE" sz="1600" baseline="0"/>
                <a:t> = 10 %</a:t>
              </a:r>
            </a:p>
            <a:p>
              <a:endParaRPr lang="de-DE" sz="1600" baseline="0"/>
            </a:p>
            <a:p>
              <a:r>
                <a:rPr lang="de-DE" sz="1600" baseline="0"/>
                <a:t>KW</a:t>
              </a:r>
              <a:r>
                <a:rPr lang="de-DE" sz="1600" baseline="-25000"/>
                <a:t>0</a:t>
              </a:r>
              <a:r>
                <a:rPr lang="de-DE" sz="1600" baseline="0"/>
                <a:t> bei Versuchszins i</a:t>
              </a:r>
              <a:r>
                <a:rPr lang="de-DE" sz="1600" baseline="-25000"/>
                <a:t>1</a:t>
              </a:r>
              <a:r>
                <a:rPr lang="de-DE" sz="1600" baseline="0"/>
                <a:t> = -16.000.000€ + 8.640.000€ * 1,1 </a:t>
              </a:r>
              <a:r>
                <a:rPr lang="de-DE" sz="1600" baseline="30000"/>
                <a:t>-1 </a:t>
              </a:r>
              <a:r>
                <a:rPr lang="de-DE" sz="1600" baseline="0"/>
                <a:t>+ 10.640. 000 € * 1,1 </a:t>
              </a:r>
              <a:r>
                <a:rPr lang="de-DE" sz="1600" baseline="30000"/>
                <a:t>-2 </a:t>
              </a:r>
              <a:r>
                <a:rPr lang="de-DE" sz="1600" baseline="0"/>
                <a:t>= 647.933,88 €</a:t>
              </a:r>
            </a:p>
            <a:p>
              <a:endParaRPr lang="de-DE" sz="1600" baseline="0"/>
            </a:p>
            <a:p>
              <a:r>
                <a:rPr lang="de-DE" sz="1600">
                  <a:solidFill>
                    <a:schemeClr val="dk1"/>
                  </a:solidFill>
                  <a:effectLst/>
                  <a:latin typeface="+mn-lt"/>
                  <a:ea typeface="+mn-ea"/>
                  <a:cs typeface="+mn-cs"/>
                </a:rPr>
                <a:t>Versuchszinssatz </a:t>
              </a:r>
              <a:r>
                <a:rPr lang="de-DE" sz="1600" baseline="0">
                  <a:solidFill>
                    <a:schemeClr val="dk1"/>
                  </a:solidFill>
                  <a:effectLst/>
                  <a:latin typeface="+mn-lt"/>
                  <a:ea typeface="+mn-ea"/>
                  <a:cs typeface="+mn-cs"/>
                </a:rPr>
                <a:t> i</a:t>
              </a:r>
              <a:r>
                <a:rPr lang="de-DE" sz="1600" baseline="-25000">
                  <a:solidFill>
                    <a:schemeClr val="dk1"/>
                  </a:solidFill>
                  <a:effectLst/>
                  <a:latin typeface="+mn-lt"/>
                  <a:ea typeface="+mn-ea"/>
                  <a:cs typeface="+mn-cs"/>
                </a:rPr>
                <a:t>2</a:t>
              </a:r>
              <a:r>
                <a:rPr lang="de-DE" sz="1600" baseline="0">
                  <a:solidFill>
                    <a:schemeClr val="dk1"/>
                  </a:solidFill>
                  <a:effectLst/>
                  <a:latin typeface="+mn-lt"/>
                  <a:ea typeface="+mn-ea"/>
                  <a:cs typeface="+mn-cs"/>
                </a:rPr>
                <a:t> = 15 %</a:t>
              </a:r>
            </a:p>
            <a:p>
              <a:endParaRPr lang="de-DE" sz="1600">
                <a:effectLst/>
              </a:endParaRPr>
            </a:p>
            <a:p>
              <a:r>
                <a:rPr lang="de-DE" sz="1600" baseline="0">
                  <a:solidFill>
                    <a:schemeClr val="dk1"/>
                  </a:solidFill>
                  <a:effectLst/>
                  <a:latin typeface="+mn-lt"/>
                  <a:ea typeface="+mn-ea"/>
                  <a:cs typeface="+mn-cs"/>
                </a:rPr>
                <a:t>KW</a:t>
              </a:r>
              <a:r>
                <a:rPr lang="de-DE" sz="1600" baseline="-25000">
                  <a:solidFill>
                    <a:schemeClr val="dk1"/>
                  </a:solidFill>
                  <a:effectLst/>
                  <a:latin typeface="+mn-lt"/>
                  <a:ea typeface="+mn-ea"/>
                  <a:cs typeface="+mn-cs"/>
                </a:rPr>
                <a:t>0</a:t>
              </a:r>
              <a:r>
                <a:rPr lang="de-DE" sz="1600" baseline="0">
                  <a:solidFill>
                    <a:schemeClr val="dk1"/>
                  </a:solidFill>
                  <a:effectLst/>
                  <a:latin typeface="+mn-lt"/>
                  <a:ea typeface="+mn-ea"/>
                  <a:cs typeface="+mn-cs"/>
                </a:rPr>
                <a:t> bei Versuchszins i</a:t>
              </a:r>
              <a:r>
                <a:rPr lang="de-DE" sz="1600" baseline="-25000">
                  <a:solidFill>
                    <a:schemeClr val="dk1"/>
                  </a:solidFill>
                  <a:effectLst/>
                  <a:latin typeface="+mn-lt"/>
                  <a:ea typeface="+mn-ea"/>
                  <a:cs typeface="+mn-cs"/>
                </a:rPr>
                <a:t>2</a:t>
              </a:r>
              <a:r>
                <a:rPr lang="de-DE" sz="1600" baseline="0">
                  <a:solidFill>
                    <a:schemeClr val="dk1"/>
                  </a:solidFill>
                  <a:effectLst/>
                  <a:latin typeface="+mn-lt"/>
                  <a:ea typeface="+mn-ea"/>
                  <a:cs typeface="+mn-cs"/>
                </a:rPr>
                <a:t> = -16.000.000€ + 8.640.000€ * 1,15 </a:t>
              </a:r>
              <a:r>
                <a:rPr lang="de-DE" sz="1600" baseline="30000">
                  <a:solidFill>
                    <a:schemeClr val="dk1"/>
                  </a:solidFill>
                  <a:effectLst/>
                  <a:latin typeface="+mn-lt"/>
                  <a:ea typeface="+mn-ea"/>
                  <a:cs typeface="+mn-cs"/>
                </a:rPr>
                <a:t>-1 </a:t>
              </a:r>
              <a:r>
                <a:rPr lang="de-DE" sz="1600" baseline="0">
                  <a:solidFill>
                    <a:schemeClr val="dk1"/>
                  </a:solidFill>
                  <a:effectLst/>
                  <a:latin typeface="+mn-lt"/>
                  <a:ea typeface="+mn-ea"/>
                  <a:cs typeface="+mn-cs"/>
                </a:rPr>
                <a:t>+ 10.640. 000 € * 1,15 </a:t>
              </a:r>
              <a:r>
                <a:rPr lang="de-DE" sz="1600" baseline="30000">
                  <a:solidFill>
                    <a:schemeClr val="dk1"/>
                  </a:solidFill>
                  <a:effectLst/>
                  <a:latin typeface="+mn-lt"/>
                  <a:ea typeface="+mn-ea"/>
                  <a:cs typeface="+mn-cs"/>
                </a:rPr>
                <a:t>-2 </a:t>
              </a:r>
              <a:r>
                <a:rPr lang="de-DE" sz="1600" baseline="0">
                  <a:solidFill>
                    <a:schemeClr val="dk1"/>
                  </a:solidFill>
                  <a:effectLst/>
                  <a:latin typeface="+mn-lt"/>
                  <a:ea typeface="+mn-ea"/>
                  <a:cs typeface="+mn-cs"/>
                </a:rPr>
                <a:t>= -441.587,90 €</a:t>
              </a:r>
              <a:endParaRPr lang="de-DE" sz="1600">
                <a:effectLst/>
              </a:endParaRPr>
            </a:p>
            <a:p>
              <a:endParaRPr lang="de-DE" sz="1600"/>
            </a:p>
            <a:p>
              <a:endParaRPr lang="de-DE" sz="1600"/>
            </a:p>
            <a:p>
              <a:r>
                <a:rPr lang="de-DE" sz="1600"/>
                <a:t>Lineare Interpolation:</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a:t>
              </a:r>
              <a:r>
                <a:rPr lang="de-DE" sz="1600" b="0" i="0">
                  <a:solidFill>
                    <a:schemeClr val="dk1"/>
                  </a:solidFill>
                  <a:effectLst/>
                  <a:latin typeface="Cambria Math" panose="02040503050406030204" pitchFamily="18" charset="0"/>
                  <a:ea typeface="+mn-ea"/>
                  <a:cs typeface="+mn-cs"/>
                </a:rPr>
                <a:t>i</a:t>
              </a:r>
              <a:r>
                <a:rPr lang="de-DE" sz="1600" b="0" i="0" baseline="-25000">
                  <a:solidFill>
                    <a:schemeClr val="dk1"/>
                  </a:solidFill>
                  <a:effectLst/>
                  <a:latin typeface="Cambria Math" panose="02040503050406030204" pitchFamily="18" charset="0"/>
                  <a:ea typeface="+mn-ea"/>
                  <a:cs typeface="+mn-cs"/>
                </a:rPr>
                <a:t>1</a:t>
              </a:r>
              <a:r>
                <a:rPr lang="de-DE" sz="1600" b="0" i="0">
                  <a:solidFill>
                    <a:schemeClr val="dk1"/>
                  </a:solidFill>
                  <a:effectLst/>
                  <a:latin typeface="Cambria Math" panose="02040503050406030204" pitchFamily="18" charset="0"/>
                  <a:ea typeface="+mn-ea"/>
                  <a:cs typeface="+mn-cs"/>
                </a:rPr>
                <a:t>−  (𝑖</a:t>
              </a:r>
              <a:r>
                <a:rPr lang="de-DE" sz="1600" b="0" i="0" baseline="-25000">
                  <a:solidFill>
                    <a:schemeClr val="dk1"/>
                  </a:solidFill>
                  <a:effectLst/>
                  <a:latin typeface="Cambria Math" panose="02040503050406030204" pitchFamily="18" charset="0"/>
                  <a:ea typeface="+mn-ea"/>
                  <a:cs typeface="+mn-cs"/>
                </a:rPr>
                <a:t>1 </a:t>
              </a:r>
              <a:r>
                <a:rPr lang="de-DE" sz="1600" b="0" i="0">
                  <a:solidFill>
                    <a:schemeClr val="dk1"/>
                  </a:solidFill>
                  <a:effectLst/>
                  <a:latin typeface="Cambria Math" panose="02040503050406030204" pitchFamily="18" charset="0"/>
                  <a:ea typeface="+mn-ea"/>
                  <a:cs typeface="+mn-cs"/>
                </a:rPr>
                <a:t>−𝑖</a:t>
              </a:r>
              <a:r>
                <a:rPr lang="de-DE" sz="1600" b="0" i="0" baseline="-25000">
                  <a:solidFill>
                    <a:schemeClr val="dk1"/>
                  </a:solidFill>
                  <a:effectLst/>
                  <a:latin typeface="Cambria Math" panose="02040503050406030204" pitchFamily="18" charset="0"/>
                  <a:ea typeface="+mn-ea"/>
                  <a:cs typeface="+mn-cs"/>
                </a:rPr>
                <a:t>2)/(</a:t>
              </a:r>
              <a:r>
                <a:rPr lang="de-DE" sz="1600" b="0" i="0">
                  <a:solidFill>
                    <a:schemeClr val="dk1"/>
                  </a:solidFill>
                  <a:effectLst/>
                  <a:latin typeface="Cambria Math" panose="02040503050406030204" pitchFamily="18" charset="0"/>
                  <a:ea typeface="+mn-ea"/>
                  <a:cs typeface="+mn-cs"/>
                </a:rPr>
                <a:t>𝐾𝑊</a:t>
              </a:r>
              <a:r>
                <a:rPr lang="de-DE" sz="1600" b="0" i="0" baseline="-25000">
                  <a:solidFill>
                    <a:schemeClr val="dk1"/>
                  </a:solidFill>
                  <a:effectLst/>
                  <a:latin typeface="Cambria Math" panose="02040503050406030204" pitchFamily="18" charset="0"/>
                  <a:ea typeface="+mn-ea"/>
                  <a:cs typeface="+mn-cs"/>
                </a:rPr>
                <a:t>1</a:t>
              </a:r>
              <a:r>
                <a:rPr lang="de-DE" sz="1600" b="0" i="0">
                  <a:solidFill>
                    <a:schemeClr val="dk1"/>
                  </a:solidFill>
                  <a:effectLst/>
                  <a:latin typeface="Cambria Math" panose="02040503050406030204" pitchFamily="18" charset="0"/>
                  <a:ea typeface="+mn-ea"/>
                  <a:cs typeface="+mn-cs"/>
                </a:rPr>
                <a:t> −𝐾𝑊</a:t>
              </a:r>
              <a:r>
                <a:rPr lang="de-DE" sz="1600" b="0" i="0" baseline="-25000">
                  <a:solidFill>
                    <a:schemeClr val="dk1"/>
                  </a:solidFill>
                  <a:effectLst/>
                  <a:latin typeface="Cambria Math" panose="02040503050406030204" pitchFamily="18" charset="0"/>
                  <a:ea typeface="+mn-ea"/>
                  <a:cs typeface="+mn-cs"/>
                </a:rPr>
                <a:t>2)</a:t>
              </a:r>
              <a:r>
                <a:rPr lang="de-DE" sz="1600"/>
                <a:t> x KW</a:t>
              </a:r>
              <a:r>
                <a:rPr lang="de-DE" sz="1600" baseline="-25000"/>
                <a:t>1</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a:t>
              </a:r>
              <a:r>
                <a:rPr lang="de-DE" sz="1600" b="0" i="0">
                  <a:solidFill>
                    <a:schemeClr val="dk1"/>
                  </a:solidFill>
                  <a:effectLst/>
                  <a:latin typeface="Cambria Math" panose="02040503050406030204" pitchFamily="18" charset="0"/>
                  <a:ea typeface="+mn-ea"/>
                  <a:cs typeface="+mn-cs"/>
                </a:rPr>
                <a:t>0,10−</a:t>
              </a:r>
              <a:r>
                <a:rPr lang="de-DE" sz="1600" b="0" i="0" baseline="-25000">
                  <a:solidFill>
                    <a:schemeClr val="dk1"/>
                  </a:solidFill>
                  <a:effectLst/>
                  <a:latin typeface="Cambria Math" panose="02040503050406030204" pitchFamily="18" charset="0"/>
                  <a:ea typeface="+mn-ea"/>
                  <a:cs typeface="+mn-cs"/>
                </a:rPr>
                <a:t> </a:t>
              </a:r>
              <a:r>
                <a:rPr lang="de-DE" sz="1600" b="0" i="0">
                  <a:solidFill>
                    <a:schemeClr val="dk1"/>
                  </a:solidFill>
                  <a:effectLst/>
                  <a:latin typeface="Cambria Math" panose="02040503050406030204" pitchFamily="18" charset="0"/>
                  <a:ea typeface="+mn-ea"/>
                  <a:cs typeface="+mn-cs"/>
                </a:rPr>
                <a:t> (0,10 −0,15)/(647.933,88 −(−441.587,90) )</a:t>
              </a:r>
              <a:r>
                <a:rPr lang="de-DE" sz="1600"/>
                <a:t>  x 647.933,88= 0,12973 </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12,97</a:t>
              </a:r>
              <a:r>
                <a:rPr lang="de-DE" sz="1600" baseline="0">
                  <a:solidFill>
                    <a:schemeClr val="dk1"/>
                  </a:solidFill>
                  <a:effectLst/>
                  <a:latin typeface="+mn-lt"/>
                  <a:ea typeface="+mn-ea"/>
                  <a:cs typeface="+mn-cs"/>
                </a:rPr>
                <a:t> %</a:t>
              </a:r>
              <a:endParaRPr lang="de-DE" sz="1600"/>
            </a:p>
          </xdr:txBody>
        </xdr:sp>
      </mc:Fallback>
    </mc:AlternateContent>
    <xdr:clientData/>
  </xdr:twoCellAnchor>
  <xdr:oneCellAnchor>
    <xdr:from>
      <xdr:col>7</xdr:col>
      <xdr:colOff>257175</xdr:colOff>
      <xdr:row>2</xdr:row>
      <xdr:rowOff>161925</xdr:rowOff>
    </xdr:from>
    <xdr:ext cx="4600000" cy="1552381"/>
    <xdr:pic>
      <xdr:nvPicPr>
        <xdr:cNvPr id="3" name="Grafik 2">
          <a:extLst>
            <a:ext uri="{FF2B5EF4-FFF2-40B4-BE49-F238E27FC236}">
              <a16:creationId xmlns:a16="http://schemas.microsoft.com/office/drawing/2014/main" id="{3DB0A8AF-A469-41A2-9869-30DDDBC7F487}"/>
            </a:ext>
          </a:extLst>
        </xdr:cNvPr>
        <xdr:cNvPicPr>
          <a:picLocks noChangeAspect="1"/>
        </xdr:cNvPicPr>
      </xdr:nvPicPr>
      <xdr:blipFill>
        <a:blip xmlns:r="http://schemas.openxmlformats.org/officeDocument/2006/relationships" r:embed="rId1"/>
        <a:stretch>
          <a:fillRect/>
        </a:stretch>
      </xdr:blipFill>
      <xdr:spPr>
        <a:xfrm>
          <a:off x="5591175" y="542925"/>
          <a:ext cx="4600000" cy="1552381"/>
        </a:xfrm>
        <a:prstGeom prst="rect">
          <a:avLst/>
        </a:prstGeom>
      </xdr:spPr>
    </xdr:pic>
    <xdr:clientData/>
  </xdr:oneCellAnchor>
  <xdr:twoCellAnchor>
    <xdr:from>
      <xdr:col>0</xdr:col>
      <xdr:colOff>619125</xdr:colOff>
      <xdr:row>19</xdr:row>
      <xdr:rowOff>123825</xdr:rowOff>
    </xdr:from>
    <xdr:to>
      <xdr:col>5</xdr:col>
      <xdr:colOff>400050</xdr:colOff>
      <xdr:row>28</xdr:row>
      <xdr:rowOff>66675</xdr:rowOff>
    </xdr:to>
    <xdr:sp macro="" textlink="">
      <xdr:nvSpPr>
        <xdr:cNvPr id="4" name="Textfeld 3">
          <a:extLst>
            <a:ext uri="{FF2B5EF4-FFF2-40B4-BE49-F238E27FC236}">
              <a16:creationId xmlns:a16="http://schemas.microsoft.com/office/drawing/2014/main" id="{15EBC4C2-DB9D-4CF3-AF98-1272F42833E3}"/>
            </a:ext>
          </a:extLst>
        </xdr:cNvPr>
        <xdr:cNvSpPr txBox="1"/>
      </xdr:nvSpPr>
      <xdr:spPr>
        <a:xfrm>
          <a:off x="619125" y="3743325"/>
          <a:ext cx="3590925" cy="165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c) Da der</a:t>
          </a:r>
          <a:r>
            <a:rPr lang="de-DE" sz="1600" baseline="0"/>
            <a:t> Kapitalmarktzins mit 5,7% deutlich unter dem internen Zinsfuß von 12,9% liegt, sollte die Fluggesellschaft die Investition durchführen.</a:t>
          </a:r>
          <a:endParaRPr lang="de-DE" sz="16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12</xdr:col>
      <xdr:colOff>409574</xdr:colOff>
      <xdr:row>17</xdr:row>
      <xdr:rowOff>9524</xdr:rowOff>
    </xdr:from>
    <xdr:to>
      <xdr:col>18</xdr:col>
      <xdr:colOff>133350</xdr:colOff>
      <xdr:row>34</xdr:row>
      <xdr:rowOff>28575</xdr:rowOff>
    </xdr:to>
    <xdr:sp macro="" textlink="">
      <xdr:nvSpPr>
        <xdr:cNvPr id="2" name="Textfeld 1">
          <a:extLst>
            <a:ext uri="{FF2B5EF4-FFF2-40B4-BE49-F238E27FC236}">
              <a16:creationId xmlns:a16="http://schemas.microsoft.com/office/drawing/2014/main" id="{6B21A980-3ECA-4D54-962F-15464BD86031}"/>
            </a:ext>
          </a:extLst>
        </xdr:cNvPr>
        <xdr:cNvSpPr txBox="1"/>
      </xdr:nvSpPr>
      <xdr:spPr>
        <a:xfrm>
          <a:off x="9553574" y="3248024"/>
          <a:ext cx="4295776" cy="3257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 Teilaufgabe c):</a:t>
          </a:r>
        </a:p>
        <a:p>
          <a:endParaRPr lang="de-DE" sz="1100"/>
        </a:p>
        <a:p>
          <a:r>
            <a:rPr lang="de-DE" sz="1100"/>
            <a:t>Teilaufgabe</a:t>
          </a:r>
          <a:r>
            <a:rPr lang="de-DE" sz="1100" baseline="0"/>
            <a:t> a) hat nur einen einzigen internen Zinsfuß, da nur ein Vorzeichenwechsel stattfindet. Teilaufgabe b) hat zwei interne Zinsfüße, da zwei Vorzeichenwechsel stattfinden.</a:t>
          </a:r>
        </a:p>
        <a:p>
          <a:endParaRPr lang="de-DE" sz="1100" baseline="0"/>
        </a:p>
        <a:p>
          <a:pPr marL="0" marR="0" lvl="0" indent="0" defTabSz="914400" rtl="0" eaLnBrk="1" fontAlgn="auto" latinLnBrk="0" hangingPunct="1">
            <a:lnSpc>
              <a:spcPct val="100000"/>
            </a:lnSpc>
            <a:spcBef>
              <a:spcPts val="0"/>
            </a:spcBef>
            <a:spcAft>
              <a:spcPts val="0"/>
            </a:spcAft>
            <a:buClrTx/>
            <a:buSzTx/>
            <a:buFontTx/>
            <a:buNone/>
            <a:tabLst/>
            <a:defRPr/>
          </a:pPr>
          <a:r>
            <a:rPr lang="de-DE" sz="1100" baseline="0"/>
            <a:t>Der interne Zinsfuß für Teilaufgabe a) gibt die falsche Antwort: nach ihm sollte das Buchprojekt durchgeführt werden, allerdings ist der Kapitalwert (a) negativ. Es handelt sich nicht um eine Normalinvestition, da die Zahlungsreihe mit einer Einzahlung beginnt, der Auszahlungen folgen. Der interne Zinsfuß muss also anders interpretiert werden: Clinton sollte das Buchprojekt nur durchführen, wenn </a:t>
          </a:r>
          <a:r>
            <a:rPr lang="de-DE" sz="1100">
              <a:solidFill>
                <a:schemeClr val="dk1"/>
              </a:solidFill>
              <a:effectLst/>
              <a:latin typeface="+mn-lt"/>
              <a:ea typeface="+mn-ea"/>
              <a:cs typeface="+mn-cs"/>
            </a:rPr>
            <a:t>die Opportunitätskosten </a:t>
          </a:r>
          <a:r>
            <a:rPr lang="de-DE" sz="1100" i="1">
              <a:solidFill>
                <a:schemeClr val="dk1"/>
              </a:solidFill>
              <a:effectLst/>
              <a:latin typeface="+mn-lt"/>
              <a:ea typeface="+mn-ea"/>
              <a:cs typeface="+mn-cs"/>
            </a:rPr>
            <a:t>höher</a:t>
          </a:r>
          <a:r>
            <a:rPr lang="de-DE" sz="1100">
              <a:solidFill>
                <a:schemeClr val="dk1"/>
              </a:solidFill>
              <a:effectLst/>
              <a:latin typeface="+mn-lt"/>
              <a:ea typeface="+mn-ea"/>
              <a:cs typeface="+mn-cs"/>
            </a:rPr>
            <a:t> wären als der IZF (60,73%).</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1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Bei</a:t>
          </a:r>
          <a:r>
            <a:rPr lang="de-DE" sz="1100" baseline="0">
              <a:solidFill>
                <a:schemeClr val="dk1"/>
              </a:solidFill>
              <a:effectLst/>
              <a:latin typeface="+mn-lt"/>
              <a:ea typeface="+mn-ea"/>
              <a:cs typeface="+mn-cs"/>
            </a:rPr>
            <a:t> Teilaufgabe b) gibt es mehr als einen internen Zinsfuß. In  diesem Fall gibt der IZF keine eindeutige Antwort, sodass die IZF-Regel hier nicht anwendbar ist. Der Kapitalwert ist in a) und b) negativ, sodass das Projektunter diesen Bedingungen nicht durchgeführt werden sollte </a:t>
          </a:r>
          <a:endParaRPr lang="de-DE">
            <a:effectLst/>
          </a:endParaRPr>
        </a:p>
        <a:p>
          <a:endParaRPr lang="de-DE" sz="1100" baseline="0"/>
        </a:p>
        <a:p>
          <a:endParaRPr lang="de-DE" sz="1100" baseline="0"/>
        </a:p>
        <a:p>
          <a:endParaRPr lang="de-DE" sz="1100"/>
        </a:p>
      </xdr:txBody>
    </xdr:sp>
    <xdr:clientData/>
  </xdr:twoCellAnchor>
  <xdr:twoCellAnchor>
    <xdr:from>
      <xdr:col>5</xdr:col>
      <xdr:colOff>914400</xdr:colOff>
      <xdr:row>18</xdr:row>
      <xdr:rowOff>14287</xdr:rowOff>
    </xdr:from>
    <xdr:to>
      <xdr:col>10</xdr:col>
      <xdr:colOff>733425</xdr:colOff>
      <xdr:row>32</xdr:row>
      <xdr:rowOff>90487</xdr:rowOff>
    </xdr:to>
    <xdr:graphicFrame macro="">
      <xdr:nvGraphicFramePr>
        <xdr:cNvPr id="3" name="Diagramm 2">
          <a:extLst>
            <a:ext uri="{FF2B5EF4-FFF2-40B4-BE49-F238E27FC236}">
              <a16:creationId xmlns:a16="http://schemas.microsoft.com/office/drawing/2014/main" id="{5251FA63-9211-4EEE-B5D6-E82720FF9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33</xdr:row>
      <xdr:rowOff>23812</xdr:rowOff>
    </xdr:from>
    <xdr:to>
      <xdr:col>10</xdr:col>
      <xdr:colOff>742950</xdr:colOff>
      <xdr:row>47</xdr:row>
      <xdr:rowOff>100012</xdr:rowOff>
    </xdr:to>
    <xdr:graphicFrame macro="">
      <xdr:nvGraphicFramePr>
        <xdr:cNvPr id="4" name="Diagramm 3">
          <a:extLst>
            <a:ext uri="{FF2B5EF4-FFF2-40B4-BE49-F238E27FC236}">
              <a16:creationId xmlns:a16="http://schemas.microsoft.com/office/drawing/2014/main" id="{A83A61D9-0FBA-4CE6-8CD7-01D988692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94</xdr:row>
      <xdr:rowOff>14287</xdr:rowOff>
    </xdr:from>
    <xdr:to>
      <xdr:col>8</xdr:col>
      <xdr:colOff>762000</xdr:colOff>
      <xdr:row>108</xdr:row>
      <xdr:rowOff>90487</xdr:rowOff>
    </xdr:to>
    <xdr:graphicFrame macro="">
      <xdr:nvGraphicFramePr>
        <xdr:cNvPr id="5" name="Diagramm 4">
          <a:extLst>
            <a:ext uri="{FF2B5EF4-FFF2-40B4-BE49-F238E27FC236}">
              <a16:creationId xmlns:a16="http://schemas.microsoft.com/office/drawing/2014/main" id="{C04567E7-0D80-432E-90E4-1DDEBDB83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466725</xdr:colOff>
      <xdr:row>86</xdr:row>
      <xdr:rowOff>76200</xdr:rowOff>
    </xdr:from>
    <xdr:to>
      <xdr:col>18</xdr:col>
      <xdr:colOff>104775</xdr:colOff>
      <xdr:row>97</xdr:row>
      <xdr:rowOff>114300</xdr:rowOff>
    </xdr:to>
    <xdr:sp macro="" textlink="">
      <xdr:nvSpPr>
        <xdr:cNvPr id="6" name="Textfeld 5">
          <a:extLst>
            <a:ext uri="{FF2B5EF4-FFF2-40B4-BE49-F238E27FC236}">
              <a16:creationId xmlns:a16="http://schemas.microsoft.com/office/drawing/2014/main" id="{EA807609-90F5-444E-9D8C-CCB3692DECCF}"/>
            </a:ext>
          </a:extLst>
        </xdr:cNvPr>
        <xdr:cNvSpPr txBox="1"/>
      </xdr:nvSpPr>
      <xdr:spPr>
        <a:xfrm>
          <a:off x="8086725" y="16459200"/>
          <a:ext cx="5734050" cy="213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a:t>
          </a:r>
          <a:r>
            <a:rPr lang="de-DE" sz="1100" baseline="0"/>
            <a:t> </a:t>
          </a:r>
          <a:r>
            <a:rPr lang="de-DE" sz="1100"/>
            <a:t>Teilaufgabe d):</a:t>
          </a:r>
        </a:p>
        <a:p>
          <a:endParaRPr lang="de-DE" sz="1100"/>
        </a:p>
        <a:p>
          <a:r>
            <a:rPr lang="de-DE" sz="1100"/>
            <a:t>Unter diesen Bedingungen existiert kein interner Zinsfuß, sodass die IZF-Regel</a:t>
          </a:r>
          <a:r>
            <a:rPr lang="de-DE" sz="1100" baseline="0"/>
            <a:t> hier nicht angewendet werden kann. Das Projekt hat nun allerdings einen positiven Kapitalwert. Es sollte durchgeführt werden. </a:t>
          </a:r>
          <a:endParaRPr lang="de-DE" sz="1100"/>
        </a:p>
        <a:p>
          <a:endParaRPr lang="de-DE" sz="1100"/>
        </a:p>
        <a:p>
          <a:endParaRPr lang="de-DE"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14</xdr:row>
      <xdr:rowOff>95250</xdr:rowOff>
    </xdr:from>
    <xdr:to>
      <xdr:col>10</xdr:col>
      <xdr:colOff>38100</xdr:colOff>
      <xdr:row>28</xdr:row>
      <xdr:rowOff>123825</xdr:rowOff>
    </xdr:to>
    <xdr:sp macro="" textlink="">
      <xdr:nvSpPr>
        <xdr:cNvPr id="2" name="Textfeld 1">
          <a:extLst>
            <a:ext uri="{FF2B5EF4-FFF2-40B4-BE49-F238E27FC236}">
              <a16:creationId xmlns:a16="http://schemas.microsoft.com/office/drawing/2014/main" id="{3E9D1A57-3724-4EE1-B886-B06E0EADB12A}"/>
            </a:ext>
          </a:extLst>
        </xdr:cNvPr>
        <xdr:cNvSpPr txBox="1"/>
      </xdr:nvSpPr>
      <xdr:spPr>
        <a:xfrm>
          <a:off x="0" y="2762250"/>
          <a:ext cx="7658100" cy="2695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b) Nach der Kapitalwertmethode wäre in Maschine A zu investieren,</a:t>
          </a:r>
          <a:r>
            <a:rPr lang="de-DE" sz="1100" baseline="0"/>
            <a:t> da Sie den höheren Kapitalwert ausweist. Nach der dynamischen Amortisationsrechnung wäre in Maschine B zu investieren, da sie die kürzere Amortisationszeit aufweist. </a:t>
          </a:r>
        </a:p>
        <a:p>
          <a:endParaRPr lang="de-DE" sz="1100" baseline="0"/>
        </a:p>
        <a:p>
          <a:r>
            <a:rPr lang="de-DE" sz="1100" baseline="0"/>
            <a:t>ABER:</a:t>
          </a:r>
        </a:p>
        <a:p>
          <a:pPr marL="0" marR="0" lvl="0" indent="0" defTabSz="914400" rtl="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Die dynamische Amortisationsrechnung berücksichtigt ausschließlich Risikogesichtspunkte. Sie benachteiligt Investitionsprojekte mit anfänglich niedrigen/niedrigeren Einzahlungsüberschüssen, da solche Investitionsprojekte i.d.R abgelehnt werden. Rückflüsse</a:t>
          </a:r>
          <a:r>
            <a:rPr lang="de-DE" sz="1100" baseline="0">
              <a:solidFill>
                <a:schemeClr val="dk1"/>
              </a:solidFill>
              <a:effectLst/>
              <a:latin typeface="+mn-lt"/>
              <a:ea typeface="+mn-ea"/>
              <a:cs typeface="+mn-cs"/>
            </a:rPr>
            <a:t> nach Ablauf der Amortisationszeit und damit die absolute Vorteilhaftigkeit werden nicht berücksichtigt </a:t>
          </a:r>
          <a:r>
            <a:rPr lang="de-DE" sz="1100">
              <a:solidFill>
                <a:schemeClr val="dk1"/>
              </a:solidFill>
              <a:effectLst/>
              <a:latin typeface="+mn-lt"/>
              <a:ea typeface="+mn-ea"/>
              <a:cs typeface="+mn-cs"/>
            </a:rPr>
            <a:t> (obwohl unter Umständen ein hoher Kapitalwert vorliegt). </a:t>
          </a:r>
          <a:endParaRPr lang="de-DE" sz="1100">
            <a:effectLst/>
          </a:endParaRPr>
        </a:p>
        <a:p>
          <a:endParaRPr lang="de-DE" sz="1100"/>
        </a:p>
        <a:p>
          <a:pPr marL="0" marR="0" lvl="0" indent="0" defTabSz="914400" rtl="0" eaLnBrk="1" fontAlgn="auto" latinLnBrk="0" hangingPunct="1">
            <a:lnSpc>
              <a:spcPct val="100000"/>
            </a:lnSpc>
            <a:spcBef>
              <a:spcPts val="0"/>
            </a:spcBef>
            <a:spcAft>
              <a:spcPts val="0"/>
            </a:spcAft>
            <a:buClrTx/>
            <a:buSzTx/>
            <a:buFontTx/>
            <a:buNone/>
            <a:tabLst/>
            <a:defRPr/>
          </a:pPr>
          <a:r>
            <a:rPr lang="de-DE" sz="1100" b="1">
              <a:solidFill>
                <a:schemeClr val="dk1"/>
              </a:solidFill>
              <a:effectLst/>
              <a:latin typeface="+mn-lt"/>
              <a:ea typeface="+mn-ea"/>
              <a:cs typeface="+mn-cs"/>
            </a:rPr>
            <a:t>Die dynamische Amortisationsrechnung sollte nicht als alleinige Methode der Investitionsrechnung eingesetzt werden, sondern vielmehr </a:t>
          </a:r>
          <a:r>
            <a:rPr lang="de-DE" sz="1100" b="1" u="sng">
              <a:solidFill>
                <a:schemeClr val="dk1"/>
              </a:solidFill>
              <a:effectLst/>
              <a:latin typeface="+mn-lt"/>
              <a:ea typeface="+mn-ea"/>
              <a:cs typeface="+mn-cs"/>
            </a:rPr>
            <a:t>als Ergänzung einer anderen Methode </a:t>
          </a:r>
          <a:r>
            <a:rPr lang="de-DE" sz="1100" b="1">
              <a:solidFill>
                <a:schemeClr val="dk1"/>
              </a:solidFill>
              <a:effectLst/>
              <a:latin typeface="+mn-lt"/>
              <a:ea typeface="+mn-ea"/>
              <a:cs typeface="+mn-cs"/>
            </a:rPr>
            <a:t>herangezogen werden.</a:t>
          </a:r>
          <a:endParaRPr lang="de-DE">
            <a:effectLst/>
          </a:endParaRPr>
        </a:p>
        <a:p>
          <a:endParaRPr lang="de-DE" sz="1100"/>
        </a:p>
      </xdr:txBody>
    </xdr:sp>
    <xdr:clientData/>
  </xdr:twoCellAnchor>
  <xdr:twoCellAnchor>
    <xdr:from>
      <xdr:col>11</xdr:col>
      <xdr:colOff>152400</xdr:colOff>
      <xdr:row>12</xdr:row>
      <xdr:rowOff>95250</xdr:rowOff>
    </xdr:from>
    <xdr:to>
      <xdr:col>17</xdr:col>
      <xdr:colOff>133350</xdr:colOff>
      <xdr:row>39</xdr:row>
      <xdr:rowOff>152400</xdr:rowOff>
    </xdr:to>
    <xdr:sp macro="" textlink="">
      <xdr:nvSpPr>
        <xdr:cNvPr id="3" name="Textfeld 2">
          <a:extLst>
            <a:ext uri="{FF2B5EF4-FFF2-40B4-BE49-F238E27FC236}">
              <a16:creationId xmlns:a16="http://schemas.microsoft.com/office/drawing/2014/main" id="{7F4CF675-C00B-4383-A773-192849F426BD}"/>
            </a:ext>
          </a:extLst>
        </xdr:cNvPr>
        <xdr:cNvSpPr txBox="1"/>
      </xdr:nvSpPr>
      <xdr:spPr>
        <a:xfrm>
          <a:off x="8534400" y="2381250"/>
          <a:ext cx="4552950" cy="520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auf dem Papier (Beispiel):</a:t>
          </a:r>
        </a:p>
        <a:p>
          <a:r>
            <a:rPr lang="de-DE" sz="1100"/>
            <a:t>a)</a:t>
          </a:r>
        </a:p>
        <a:p>
          <a:r>
            <a:rPr lang="de-DE" sz="1100" b="1"/>
            <a:t>Maschine</a:t>
          </a:r>
          <a:r>
            <a:rPr lang="de-DE" sz="1100" b="1" baseline="0"/>
            <a:t> A:  </a:t>
          </a:r>
          <a:r>
            <a:rPr lang="de-DE" sz="1100" baseline="0"/>
            <a:t>Rückflüsse:       Barwert Rückflüsse     kumulierter Barwert</a:t>
          </a:r>
        </a:p>
        <a:p>
          <a:endParaRPr lang="de-DE" sz="1100" baseline="0"/>
        </a:p>
        <a:p>
          <a:r>
            <a:rPr lang="de-DE" sz="1100" baseline="0"/>
            <a:t>    Jahr 1:	85,00€	77,27€		  77,27€</a:t>
          </a:r>
        </a:p>
        <a:p>
          <a:r>
            <a:rPr lang="de-DE" sz="1100" baseline="0"/>
            <a:t>    Jahr 2:	90,00€	74,38€		151,65€ </a:t>
          </a:r>
        </a:p>
        <a:p>
          <a:r>
            <a:rPr lang="de-DE" sz="1100" baseline="0"/>
            <a:t>    Jahr 3:	80,00€	60,11€		211,76€</a:t>
          </a:r>
        </a:p>
        <a:p>
          <a:r>
            <a:rPr lang="de-DE" sz="1100" baseline="0"/>
            <a:t>    Jahr 4:	80,00€	54,64€		266,40€</a:t>
          </a:r>
        </a:p>
        <a:p>
          <a:r>
            <a:rPr lang="de-DE" sz="1100" baseline="0"/>
            <a:t>    Jahr 5:	70,00€	43,46€		</a:t>
          </a:r>
          <a:r>
            <a:rPr lang="de-DE" sz="1100" b="1" baseline="0"/>
            <a:t>309,86€</a:t>
          </a:r>
        </a:p>
        <a:p>
          <a:endParaRPr lang="de-DE" sz="1100" b="1" baseline="0"/>
        </a:p>
        <a:p>
          <a:r>
            <a:rPr lang="de-DE" sz="1100" b="1" baseline="0"/>
            <a:t>Die Maschine A amortisiert sich nach 5 Jahren</a:t>
          </a:r>
        </a:p>
        <a:p>
          <a:endParaRPr lang="de-DE" sz="1100" b="1" baseline="0"/>
        </a:p>
        <a:p>
          <a:r>
            <a:rPr lang="de-DE" sz="1100" b="1">
              <a:solidFill>
                <a:schemeClr val="dk1"/>
              </a:solidFill>
              <a:effectLst/>
              <a:latin typeface="+mn-lt"/>
              <a:ea typeface="+mn-ea"/>
              <a:cs typeface="+mn-cs"/>
            </a:rPr>
            <a:t>Maschine</a:t>
          </a:r>
          <a:r>
            <a:rPr lang="de-DE" sz="1100" b="1" baseline="0">
              <a:solidFill>
                <a:schemeClr val="dk1"/>
              </a:solidFill>
              <a:effectLst/>
              <a:latin typeface="+mn-lt"/>
              <a:ea typeface="+mn-ea"/>
              <a:cs typeface="+mn-cs"/>
            </a:rPr>
            <a:t> B:  </a:t>
          </a:r>
          <a:r>
            <a:rPr lang="de-DE" sz="1100" baseline="0">
              <a:solidFill>
                <a:schemeClr val="dk1"/>
              </a:solidFill>
              <a:effectLst/>
              <a:latin typeface="+mn-lt"/>
              <a:ea typeface="+mn-ea"/>
              <a:cs typeface="+mn-cs"/>
            </a:rPr>
            <a:t>Rückflüsse:       Barwert Rückflüsse     kumulierter Barwert</a:t>
          </a:r>
          <a:endParaRPr lang="de-DE">
            <a:effectLst/>
          </a:endParaRPr>
        </a:p>
        <a:p>
          <a:r>
            <a:rPr lang="de-DE" sz="1100" baseline="0">
              <a:solidFill>
                <a:schemeClr val="dk1"/>
              </a:solidFill>
              <a:effectLst/>
              <a:latin typeface="+mn-lt"/>
              <a:ea typeface="+mn-ea"/>
              <a:cs typeface="+mn-cs"/>
            </a:rPr>
            <a:t>    Jahr 1:	95,00€	86,36€		  86,36€</a:t>
          </a:r>
          <a:endParaRPr lang="de-DE">
            <a:effectLst/>
          </a:endParaRPr>
        </a:p>
        <a:p>
          <a:r>
            <a:rPr lang="de-DE" sz="1100" baseline="0">
              <a:solidFill>
                <a:schemeClr val="dk1"/>
              </a:solidFill>
              <a:effectLst/>
              <a:latin typeface="+mn-lt"/>
              <a:ea typeface="+mn-ea"/>
              <a:cs typeface="+mn-cs"/>
            </a:rPr>
            <a:t>    Jahr 2:	95,00€	78,51€		164,88€ </a:t>
          </a:r>
          <a:endParaRPr lang="de-DE">
            <a:effectLst/>
          </a:endParaRPr>
        </a:p>
        <a:p>
          <a:r>
            <a:rPr lang="de-DE" sz="1100" baseline="0">
              <a:solidFill>
                <a:schemeClr val="dk1"/>
              </a:solidFill>
              <a:effectLst/>
              <a:latin typeface="+mn-lt"/>
              <a:ea typeface="+mn-ea"/>
              <a:cs typeface="+mn-cs"/>
            </a:rPr>
            <a:t>    Jahr 3:	95,00€	71,37€		</a:t>
          </a:r>
          <a:r>
            <a:rPr lang="de-DE" sz="1100" b="1" baseline="0">
              <a:solidFill>
                <a:schemeClr val="dk1"/>
              </a:solidFill>
              <a:effectLst/>
              <a:latin typeface="+mn-lt"/>
              <a:ea typeface="+mn-ea"/>
              <a:cs typeface="+mn-cs"/>
            </a:rPr>
            <a:t>236,25€</a:t>
          </a:r>
        </a:p>
        <a:p>
          <a:endParaRPr lang="de-DE"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1" baseline="0">
              <a:solidFill>
                <a:schemeClr val="dk1"/>
              </a:solidFill>
              <a:effectLst/>
              <a:latin typeface="+mn-lt"/>
              <a:ea typeface="+mn-ea"/>
              <a:cs typeface="+mn-cs"/>
            </a:rPr>
            <a:t>Die Maschine B amortisiert sich nach 5 Jahren</a:t>
          </a:r>
        </a:p>
        <a:p>
          <a:pPr marL="0" marR="0" lvl="0" indent="0" defTabSz="914400" eaLnBrk="1" fontAlgn="auto" latinLnBrk="0" hangingPunct="1">
            <a:lnSpc>
              <a:spcPct val="100000"/>
            </a:lnSpc>
            <a:spcBef>
              <a:spcPts val="0"/>
            </a:spcBef>
            <a:spcAft>
              <a:spcPts val="0"/>
            </a:spcAft>
            <a:buClrTx/>
            <a:buSzTx/>
            <a:buFontTx/>
            <a:buNone/>
            <a:tabLst/>
            <a:defRPr/>
          </a:pPr>
          <a:endParaRPr lang="de-DE"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baseline="0">
              <a:solidFill>
                <a:schemeClr val="dk1"/>
              </a:solidFill>
              <a:effectLst/>
              <a:latin typeface="+mn-lt"/>
              <a:ea typeface="+mn-ea"/>
              <a:cs typeface="+mn-cs"/>
            </a:rPr>
            <a:t>Lösung: Nach der Entscheidungsregel der dynamischen Amortisationsrechnung wäre Machine B anzuschaffen, da sie die kürzere Amortisationszeit hat.</a:t>
          </a:r>
          <a:endParaRPr lang="de-DE" b="0">
            <a:effectLst/>
          </a:endParaRPr>
        </a:p>
        <a:p>
          <a:endParaRPr lang="de-DE" b="1">
            <a:effectLst/>
          </a:endParaRPr>
        </a:p>
        <a:p>
          <a:endParaRPr lang="de-DE" sz="1100" b="1"/>
        </a:p>
        <a:p>
          <a:endParaRPr lang="de-DE" sz="1100" b="1"/>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3</xdr:col>
      <xdr:colOff>314325</xdr:colOff>
      <xdr:row>15</xdr:row>
      <xdr:rowOff>171450</xdr:rowOff>
    </xdr:from>
    <xdr:to>
      <xdr:col>4</xdr:col>
      <xdr:colOff>1123950</xdr:colOff>
      <xdr:row>17</xdr:row>
      <xdr:rowOff>47625</xdr:rowOff>
    </xdr:to>
    <xdr:sp macro="" textlink="">
      <xdr:nvSpPr>
        <xdr:cNvPr id="2" name="Textfeld 1">
          <a:extLst>
            <a:ext uri="{FF2B5EF4-FFF2-40B4-BE49-F238E27FC236}">
              <a16:creationId xmlns:a16="http://schemas.microsoft.com/office/drawing/2014/main" id="{E32ABDD4-59A5-4772-A82E-1902EF7443AF}"/>
            </a:ext>
          </a:extLst>
        </xdr:cNvPr>
        <xdr:cNvSpPr txBox="1"/>
      </xdr:nvSpPr>
      <xdr:spPr>
        <a:xfrm>
          <a:off x="2600325" y="3028950"/>
          <a:ext cx="12096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=RMZ(A2;B7;-90000)</a:t>
          </a:r>
        </a:p>
      </xdr:txBody>
    </xdr:sp>
    <xdr:clientData/>
  </xdr:twoCellAnchor>
  <xdr:twoCellAnchor>
    <xdr:from>
      <xdr:col>5</xdr:col>
      <xdr:colOff>47625</xdr:colOff>
      <xdr:row>15</xdr:row>
      <xdr:rowOff>123825</xdr:rowOff>
    </xdr:from>
    <xdr:to>
      <xdr:col>8</xdr:col>
      <xdr:colOff>381000</xdr:colOff>
      <xdr:row>25</xdr:row>
      <xdr:rowOff>38100</xdr:rowOff>
    </xdr:to>
    <mc:AlternateContent xmlns:mc="http://schemas.openxmlformats.org/markup-compatibility/2006">
      <mc:Choice xmlns:a14="http://schemas.microsoft.com/office/drawing/2010/main" Requires="a14">
        <xdr:sp macro="" textlink="">
          <xdr:nvSpPr>
            <xdr:cNvPr id="3" name="Textfeld 2">
              <a:extLst>
                <a:ext uri="{FF2B5EF4-FFF2-40B4-BE49-F238E27FC236}">
                  <a16:creationId xmlns:a16="http://schemas.microsoft.com/office/drawing/2014/main" id="{A7EFBCDC-58AB-41D0-865D-77D3BDA9EA7A}"/>
                </a:ext>
              </a:extLst>
            </xdr:cNvPr>
            <xdr:cNvSpPr txBox="1"/>
          </xdr:nvSpPr>
          <xdr:spPr>
            <a:xfrm>
              <a:off x="3857625" y="2981325"/>
              <a:ext cx="2619375"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Multiplikation </a:t>
              </a:r>
              <a:r>
                <a:rPr lang="de-DE" sz="2000" baseline="0"/>
                <a:t>mit dem Wiedergewinnungsfaktor (5 Jahre, 5%):</a:t>
              </a:r>
            </a:p>
            <a:p>
              <a:endParaRPr lang="de-DE" sz="2000"/>
            </a:p>
            <a:p>
              <a:r>
                <a:rPr lang="de-DE" sz="2000"/>
                <a:t>90.000€ * </a:t>
              </a:r>
              <a14:m>
                <m:oMath xmlns:m="http://schemas.openxmlformats.org/officeDocument/2006/math">
                  <m:f>
                    <m:fPr>
                      <m:ctrlPr>
                        <a:rPr lang="de-DE" sz="2000" i="1">
                          <a:latin typeface="Cambria Math" panose="02040503050406030204" pitchFamily="18" charset="0"/>
                        </a:rPr>
                      </m:ctrlPr>
                    </m:fPr>
                    <m:num>
                      <m:sSup>
                        <m:sSupPr>
                          <m:ctrlPr>
                            <a:rPr lang="de-DE" sz="2000" i="1">
                              <a:latin typeface="Cambria Math" panose="02040503050406030204" pitchFamily="18" charset="0"/>
                            </a:rPr>
                          </m:ctrlPr>
                        </m:sSupPr>
                        <m:e>
                          <m:r>
                            <a:rPr lang="de-DE" sz="2000" b="0" i="1">
                              <a:latin typeface="Cambria Math" panose="02040503050406030204" pitchFamily="18" charset="0"/>
                            </a:rPr>
                            <m:t>1,05</m:t>
                          </m:r>
                        </m:e>
                        <m:sup>
                          <m:r>
                            <a:rPr lang="de-DE" sz="2000" b="0" i="1">
                              <a:latin typeface="Cambria Math" panose="02040503050406030204" pitchFamily="18" charset="0"/>
                            </a:rPr>
                            <m:t>5</m:t>
                          </m:r>
                        </m:sup>
                      </m:sSup>
                      <m:r>
                        <a:rPr lang="de-DE" sz="2000" b="0" i="1">
                          <a:latin typeface="Cambria Math" panose="02040503050406030204" pitchFamily="18" charset="0"/>
                        </a:rPr>
                        <m:t>∗0,05</m:t>
                      </m:r>
                    </m:num>
                    <m:den>
                      <m:sSup>
                        <m:sSupPr>
                          <m:ctrlPr>
                            <a:rPr lang="de-DE" sz="2000" i="1">
                              <a:latin typeface="Cambria Math" panose="02040503050406030204" pitchFamily="18" charset="0"/>
                            </a:rPr>
                          </m:ctrlPr>
                        </m:sSupPr>
                        <m:e>
                          <m:r>
                            <a:rPr lang="de-DE" sz="2000" b="0" i="1">
                              <a:latin typeface="Cambria Math" panose="02040503050406030204" pitchFamily="18" charset="0"/>
                            </a:rPr>
                            <m:t>1,05</m:t>
                          </m:r>
                        </m:e>
                        <m:sup>
                          <m:r>
                            <a:rPr lang="de-DE" sz="2000" b="0" i="1">
                              <a:latin typeface="Cambria Math" panose="02040503050406030204" pitchFamily="18" charset="0"/>
                            </a:rPr>
                            <m:t>5</m:t>
                          </m:r>
                        </m:sup>
                      </m:sSup>
                      <m:r>
                        <a:rPr lang="de-DE" sz="2000" b="0" i="1">
                          <a:latin typeface="Cambria Math" panose="02040503050406030204" pitchFamily="18" charset="0"/>
                        </a:rPr>
                        <m:t>−1</m:t>
                      </m:r>
                    </m:den>
                  </m:f>
                  <m:r>
                    <a:rPr lang="de-DE" sz="2000" b="0" i="1">
                      <a:latin typeface="Cambria Math" panose="02040503050406030204" pitchFamily="18" charset="0"/>
                    </a:rPr>
                    <m:t>=</m:t>
                  </m:r>
                </m:oMath>
              </a14:m>
              <a:r>
                <a:rPr lang="de-DE" sz="2000"/>
                <a:t> 20.787,73 €</a:t>
              </a:r>
            </a:p>
          </xdr:txBody>
        </xdr:sp>
      </mc:Choice>
      <mc:Fallback>
        <xdr:sp macro="" textlink="">
          <xdr:nvSpPr>
            <xdr:cNvPr id="3" name="Textfeld 2">
              <a:extLst>
                <a:ext uri="{FF2B5EF4-FFF2-40B4-BE49-F238E27FC236}">
                  <a16:creationId xmlns:a16="http://schemas.microsoft.com/office/drawing/2014/main" id="{A7EFBCDC-58AB-41D0-865D-77D3BDA9EA7A}"/>
                </a:ext>
              </a:extLst>
            </xdr:cNvPr>
            <xdr:cNvSpPr txBox="1"/>
          </xdr:nvSpPr>
          <xdr:spPr>
            <a:xfrm>
              <a:off x="3857625" y="2981325"/>
              <a:ext cx="2619375"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Multiplikation </a:t>
              </a:r>
              <a:r>
                <a:rPr lang="de-DE" sz="2000" baseline="0"/>
                <a:t>mit dem Wiedergewinnungsfaktor (5 Jahre, 5%):</a:t>
              </a:r>
            </a:p>
            <a:p>
              <a:endParaRPr lang="de-DE" sz="2000"/>
            </a:p>
            <a:p>
              <a:r>
                <a:rPr lang="de-DE" sz="2000"/>
                <a:t>90.000€ * </a:t>
              </a:r>
              <a:r>
                <a:rPr lang="de-DE" sz="2000" i="0">
                  <a:latin typeface="Cambria Math" panose="02040503050406030204" pitchFamily="18" charset="0"/>
                </a:rPr>
                <a:t>(〖</a:t>
              </a:r>
              <a:r>
                <a:rPr lang="de-DE" sz="2000" b="0" i="0">
                  <a:latin typeface="Cambria Math" panose="02040503050406030204" pitchFamily="18" charset="0"/>
                </a:rPr>
                <a:t>1,05〗^5∗0,05)/(〖1,05〗^5−1)=</a:t>
              </a:r>
              <a:r>
                <a:rPr lang="de-DE" sz="2000"/>
                <a:t> 20.787,73 €</a:t>
              </a:r>
            </a:p>
          </xdr:txBody>
        </xdr:sp>
      </mc:Fallback>
    </mc:AlternateContent>
    <xdr:clientData/>
  </xdr:twoCellAnchor>
  <xdr:twoCellAnchor>
    <xdr:from>
      <xdr:col>6</xdr:col>
      <xdr:colOff>447676</xdr:colOff>
      <xdr:row>1</xdr:row>
      <xdr:rowOff>19050</xdr:rowOff>
    </xdr:from>
    <xdr:to>
      <xdr:col>12</xdr:col>
      <xdr:colOff>428626</xdr:colOff>
      <xdr:row>15</xdr:row>
      <xdr:rowOff>28575</xdr:rowOff>
    </xdr:to>
    <xdr:sp macro="" textlink="">
      <xdr:nvSpPr>
        <xdr:cNvPr id="4" name="Textfeld 3">
          <a:extLst>
            <a:ext uri="{FF2B5EF4-FFF2-40B4-BE49-F238E27FC236}">
              <a16:creationId xmlns:a16="http://schemas.microsoft.com/office/drawing/2014/main" id="{26D30428-BD69-459C-8D7F-0E7C6585EEEF}"/>
            </a:ext>
          </a:extLst>
        </xdr:cNvPr>
        <xdr:cNvSpPr txBox="1"/>
      </xdr:nvSpPr>
      <xdr:spPr>
        <a:xfrm>
          <a:off x="5019676" y="209550"/>
          <a:ext cx="4552950" cy="267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auf dem Papier:		</a:t>
          </a:r>
        </a:p>
        <a:p>
          <a:r>
            <a:rPr lang="de-DE" sz="1100"/>
            <a:t>			kumierte Barwerte:	</a:t>
          </a:r>
        </a:p>
        <a:p>
          <a:r>
            <a:rPr lang="de-DE" sz="1100"/>
            <a:t>1. Jahr: 15.000 * 1,05 </a:t>
          </a:r>
          <a:r>
            <a:rPr lang="de-DE" sz="1100" baseline="30000"/>
            <a:t>-1 </a:t>
          </a:r>
          <a:r>
            <a:rPr lang="de-DE" sz="1100"/>
            <a:t>= 14.825,71	14.825,71 €</a:t>
          </a: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2. Jahr: 15.000 * 1,05 </a:t>
          </a:r>
          <a:r>
            <a:rPr lang="de-DE" sz="1100" baseline="30000">
              <a:solidFill>
                <a:schemeClr val="dk1"/>
              </a:solidFill>
              <a:effectLst/>
              <a:latin typeface="+mn-lt"/>
              <a:ea typeface="+mn-ea"/>
              <a:cs typeface="+mn-cs"/>
            </a:rPr>
            <a:t>-2 </a:t>
          </a:r>
          <a:r>
            <a:rPr lang="de-DE" sz="1100">
              <a:solidFill>
                <a:schemeClr val="dk1"/>
              </a:solidFill>
              <a:effectLst/>
              <a:latin typeface="+mn-lt"/>
              <a:ea typeface="+mn-ea"/>
              <a:cs typeface="+mn-cs"/>
            </a:rPr>
            <a:t>= 13.605,44	27.891,16 €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3. Jahr: 15.000 * 1,05 </a:t>
          </a:r>
          <a:r>
            <a:rPr lang="de-DE" sz="1100" baseline="30000">
              <a:solidFill>
                <a:schemeClr val="dk1"/>
              </a:solidFill>
              <a:effectLst/>
              <a:latin typeface="+mn-lt"/>
              <a:ea typeface="+mn-ea"/>
              <a:cs typeface="+mn-cs"/>
            </a:rPr>
            <a:t>-3 </a:t>
          </a:r>
          <a:r>
            <a:rPr lang="de-DE" sz="1100">
              <a:solidFill>
                <a:schemeClr val="dk1"/>
              </a:solidFill>
              <a:effectLst/>
              <a:latin typeface="+mn-lt"/>
              <a:ea typeface="+mn-ea"/>
              <a:cs typeface="+mn-cs"/>
            </a:rPr>
            <a:t>= 12.957,56	40.848,72 €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4. Jahr: 15.000 * 1,05 </a:t>
          </a:r>
          <a:r>
            <a:rPr lang="de-DE" sz="1100" baseline="30000">
              <a:solidFill>
                <a:schemeClr val="dk1"/>
              </a:solidFill>
              <a:effectLst/>
              <a:latin typeface="+mn-lt"/>
              <a:ea typeface="+mn-ea"/>
              <a:cs typeface="+mn-cs"/>
            </a:rPr>
            <a:t>-4 </a:t>
          </a:r>
          <a:r>
            <a:rPr lang="de-DE" sz="1100">
              <a:solidFill>
                <a:schemeClr val="dk1"/>
              </a:solidFill>
              <a:effectLst/>
              <a:latin typeface="+mn-lt"/>
              <a:ea typeface="+mn-ea"/>
              <a:cs typeface="+mn-cs"/>
            </a:rPr>
            <a:t>= 12.340,54	53.189,26 €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5. Jahr: 15.000 * 1,05 </a:t>
          </a:r>
          <a:r>
            <a:rPr lang="de-DE" sz="1100" baseline="30000">
              <a:solidFill>
                <a:schemeClr val="dk1"/>
              </a:solidFill>
              <a:effectLst/>
              <a:latin typeface="+mn-lt"/>
              <a:ea typeface="+mn-ea"/>
              <a:cs typeface="+mn-cs"/>
            </a:rPr>
            <a:t>-5 </a:t>
          </a:r>
          <a:r>
            <a:rPr lang="de-DE" sz="1100">
              <a:solidFill>
                <a:schemeClr val="dk1"/>
              </a:solidFill>
              <a:effectLst/>
              <a:latin typeface="+mn-lt"/>
              <a:ea typeface="+mn-ea"/>
              <a:cs typeface="+mn-cs"/>
            </a:rPr>
            <a:t>= 11.752,89	64.942,15 €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6. Jahr: 15.000 * 1,05 </a:t>
          </a:r>
          <a:r>
            <a:rPr lang="de-DE" sz="1100" baseline="30000">
              <a:solidFill>
                <a:schemeClr val="dk1"/>
              </a:solidFill>
              <a:effectLst/>
              <a:latin typeface="+mn-lt"/>
              <a:ea typeface="+mn-ea"/>
              <a:cs typeface="+mn-cs"/>
            </a:rPr>
            <a:t>-6 </a:t>
          </a:r>
          <a:r>
            <a:rPr lang="de-DE" sz="1100">
              <a:solidFill>
                <a:schemeClr val="dk1"/>
              </a:solidFill>
              <a:effectLst/>
              <a:latin typeface="+mn-lt"/>
              <a:ea typeface="+mn-ea"/>
              <a:cs typeface="+mn-cs"/>
            </a:rPr>
            <a:t>= 11.193,23	76.135,38 €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7. Jahr: 15.000 * 1,05 </a:t>
          </a:r>
          <a:r>
            <a:rPr lang="de-DE" sz="1100" baseline="30000">
              <a:solidFill>
                <a:schemeClr val="dk1"/>
              </a:solidFill>
              <a:effectLst/>
              <a:latin typeface="+mn-lt"/>
              <a:ea typeface="+mn-ea"/>
              <a:cs typeface="+mn-cs"/>
            </a:rPr>
            <a:t>-7 </a:t>
          </a:r>
          <a:r>
            <a:rPr lang="de-DE" sz="1100">
              <a:solidFill>
                <a:schemeClr val="dk1"/>
              </a:solidFill>
              <a:effectLst/>
              <a:latin typeface="+mn-lt"/>
              <a:ea typeface="+mn-ea"/>
              <a:cs typeface="+mn-cs"/>
            </a:rPr>
            <a:t>= 10.660,22	86.795,60 €</a:t>
          </a: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8. Jahr: 15.000 * 1,05 </a:t>
          </a:r>
          <a:r>
            <a:rPr lang="de-DE" sz="1100" baseline="30000">
              <a:solidFill>
                <a:schemeClr val="dk1"/>
              </a:solidFill>
              <a:effectLst/>
              <a:latin typeface="+mn-lt"/>
              <a:ea typeface="+mn-ea"/>
              <a:cs typeface="+mn-cs"/>
            </a:rPr>
            <a:t>-8 </a:t>
          </a:r>
          <a:r>
            <a:rPr lang="de-DE" sz="1100">
              <a:solidFill>
                <a:schemeClr val="dk1"/>
              </a:solidFill>
              <a:effectLst/>
              <a:latin typeface="+mn-lt"/>
              <a:ea typeface="+mn-ea"/>
              <a:cs typeface="+mn-cs"/>
            </a:rPr>
            <a:t>= 10.152,59	</a:t>
          </a:r>
          <a:r>
            <a:rPr lang="de-DE" sz="1100" b="1">
              <a:solidFill>
                <a:schemeClr val="dk1"/>
              </a:solidFill>
              <a:effectLst/>
              <a:latin typeface="+mn-lt"/>
              <a:ea typeface="+mn-ea"/>
              <a:cs typeface="+mn-cs"/>
            </a:rPr>
            <a:t>96.948,19 €</a:t>
          </a:r>
          <a:endParaRPr lang="de-DE" b="1">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de-DE">
            <a:effectLst/>
          </a:endParaRPr>
        </a:p>
        <a:p>
          <a:r>
            <a:rPr lang="de-DE" sz="1100"/>
            <a:t>Die Amortisation erfolgt im achten Jahr</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142875</xdr:colOff>
      <xdr:row>21</xdr:row>
      <xdr:rowOff>180975</xdr:rowOff>
    </xdr:from>
    <xdr:to>
      <xdr:col>7</xdr:col>
      <xdr:colOff>9525</xdr:colOff>
      <xdr:row>23</xdr:row>
      <xdr:rowOff>76200</xdr:rowOff>
    </xdr:to>
    <xdr:sp macro="" textlink="">
      <xdr:nvSpPr>
        <xdr:cNvPr id="2" name="Textfeld 1">
          <a:extLst>
            <a:ext uri="{FF2B5EF4-FFF2-40B4-BE49-F238E27FC236}">
              <a16:creationId xmlns:a16="http://schemas.microsoft.com/office/drawing/2014/main" id="{E7B09605-041B-430E-91E3-42074D20B333}"/>
            </a:ext>
          </a:extLst>
        </xdr:cNvPr>
        <xdr:cNvSpPr txBox="1"/>
      </xdr:nvSpPr>
      <xdr:spPr>
        <a:xfrm>
          <a:off x="142875" y="4181475"/>
          <a:ext cx="52006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Der Kapitalwert der Anlage ist positiv. Die</a:t>
          </a:r>
          <a:r>
            <a:rPr lang="de-DE" sz="1100" baseline="0"/>
            <a:t> Anlage sollte angeschafft werden</a:t>
          </a:r>
          <a:endParaRPr lang="de-DE" sz="1100"/>
        </a:p>
      </xdr:txBody>
    </xdr:sp>
    <xdr:clientData/>
  </xdr:twoCellAnchor>
</xdr:wsDr>
</file>

<file path=xl/drawings/drawing35.xml><?xml version="1.0" encoding="utf-8"?>
<xdr:wsDr xmlns:xdr="http://schemas.openxmlformats.org/drawingml/2006/spreadsheetDrawing" xmlns:a="http://schemas.openxmlformats.org/drawingml/2006/main">
  <xdr:oneCellAnchor>
    <xdr:from>
      <xdr:col>2</xdr:col>
      <xdr:colOff>142875</xdr:colOff>
      <xdr:row>4</xdr:row>
      <xdr:rowOff>142875</xdr:rowOff>
    </xdr:from>
    <xdr:ext cx="184731" cy="264560"/>
    <xdr:sp macro="" textlink="">
      <xdr:nvSpPr>
        <xdr:cNvPr id="2" name="Textfeld 1">
          <a:extLst>
            <a:ext uri="{FF2B5EF4-FFF2-40B4-BE49-F238E27FC236}">
              <a16:creationId xmlns:a16="http://schemas.microsoft.com/office/drawing/2014/main" id="{EB660D84-25D7-4494-BCA1-A3DB3E9FF126}"/>
            </a:ext>
          </a:extLst>
        </xdr:cNvPr>
        <xdr:cNvSpPr txBox="1"/>
      </xdr:nvSpPr>
      <xdr:spPr>
        <a:xfrm>
          <a:off x="1666875" y="904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2</xdr:col>
      <xdr:colOff>962025</xdr:colOff>
      <xdr:row>22</xdr:row>
      <xdr:rowOff>190499</xdr:rowOff>
    </xdr:from>
    <xdr:to>
      <xdr:col>8</xdr:col>
      <xdr:colOff>533400</xdr:colOff>
      <xdr:row>27</xdr:row>
      <xdr:rowOff>209550</xdr:rowOff>
    </xdr:to>
    <xdr:sp macro="" textlink="">
      <xdr:nvSpPr>
        <xdr:cNvPr id="3" name="Textfeld 2">
          <a:extLst>
            <a:ext uri="{FF2B5EF4-FFF2-40B4-BE49-F238E27FC236}">
              <a16:creationId xmlns:a16="http://schemas.microsoft.com/office/drawing/2014/main" id="{D5AD4366-0862-44E4-B254-17D238D2F9E3}"/>
            </a:ext>
          </a:extLst>
        </xdr:cNvPr>
        <xdr:cNvSpPr txBox="1"/>
      </xdr:nvSpPr>
      <xdr:spPr>
        <a:xfrm>
          <a:off x="2286000" y="4381499"/>
          <a:ext cx="4343400" cy="952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 Zug B hat einen höheren Kapitalwert, daher sollte in Zug B investiert werden.</a:t>
          </a:r>
        </a:p>
        <a:p>
          <a:endParaRPr lang="de-DE" sz="1100"/>
        </a:p>
        <a:p>
          <a:pPr rtl="0" eaLnBrk="1" fontAlgn="auto" latinLnBrk="0" hangingPunct="1"/>
          <a:r>
            <a:rPr lang="de-DE" sz="1100" b="0">
              <a:solidFill>
                <a:schemeClr val="dk1"/>
              </a:solidFill>
              <a:effectLst/>
              <a:latin typeface="+mn-lt"/>
              <a:ea typeface="+mn-ea"/>
              <a:cs typeface="+mn-cs"/>
            </a:rPr>
            <a:t>Lösung</a:t>
          </a:r>
          <a:r>
            <a:rPr lang="de-DE" sz="1100" b="0" baseline="0">
              <a:solidFill>
                <a:schemeClr val="dk1"/>
              </a:solidFill>
              <a:effectLst/>
              <a:latin typeface="+mn-lt"/>
              <a:ea typeface="+mn-ea"/>
              <a:cs typeface="+mn-cs"/>
            </a:rPr>
            <a:t> b) Auch unter Berücksichtigung der gewichteten Gesamtkapitalkostenansätze ist Zug B auszuwählen. </a:t>
          </a:r>
          <a:endParaRPr lang="de-DE" b="0">
            <a:effectLst/>
          </a:endParaRPr>
        </a:p>
        <a:p>
          <a:endParaRPr lang="de-DE" sz="1100" baseline="0">
            <a:solidFill>
              <a:schemeClr val="dk1"/>
            </a:solidFill>
            <a:effectLst/>
            <a:latin typeface="+mn-lt"/>
            <a:ea typeface="+mn-ea"/>
            <a:cs typeface="+mn-cs"/>
          </a:endParaRPr>
        </a:p>
        <a:p>
          <a:endParaRPr lang="de-DE"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3</xdr:col>
      <xdr:colOff>9525</xdr:colOff>
      <xdr:row>5</xdr:row>
      <xdr:rowOff>180975</xdr:rowOff>
    </xdr:from>
    <xdr:to>
      <xdr:col>5</xdr:col>
      <xdr:colOff>9525</xdr:colOff>
      <xdr:row>7</xdr:row>
      <xdr:rowOff>38100</xdr:rowOff>
    </xdr:to>
    <xdr:sp macro="" textlink="">
      <xdr:nvSpPr>
        <xdr:cNvPr id="2" name="Textfeld 1">
          <a:extLst>
            <a:ext uri="{FF2B5EF4-FFF2-40B4-BE49-F238E27FC236}">
              <a16:creationId xmlns:a16="http://schemas.microsoft.com/office/drawing/2014/main" id="{496A419A-2C4C-4DA1-A942-9A8AE42426C9}"/>
            </a:ext>
          </a:extLst>
        </xdr:cNvPr>
        <xdr:cNvSpPr txBox="1"/>
      </xdr:nvSpPr>
      <xdr:spPr>
        <a:xfrm>
          <a:off x="2295525" y="1133475"/>
          <a:ext cx="15240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5% + 1,3 * (11% - 5%) = 12,8%</a:t>
          </a:r>
        </a:p>
      </xdr:txBody>
    </xdr:sp>
    <xdr:clientData/>
  </xdr:twoCellAnchor>
  <xdr:twoCellAnchor>
    <xdr:from>
      <xdr:col>3</xdr:col>
      <xdr:colOff>9525</xdr:colOff>
      <xdr:row>11</xdr:row>
      <xdr:rowOff>171450</xdr:rowOff>
    </xdr:from>
    <xdr:to>
      <xdr:col>5</xdr:col>
      <xdr:colOff>733425</xdr:colOff>
      <xdr:row>13</xdr:row>
      <xdr:rowOff>28575</xdr:rowOff>
    </xdr:to>
    <xdr:sp macro="" textlink="">
      <xdr:nvSpPr>
        <xdr:cNvPr id="3" name="Textfeld 2">
          <a:extLst>
            <a:ext uri="{FF2B5EF4-FFF2-40B4-BE49-F238E27FC236}">
              <a16:creationId xmlns:a16="http://schemas.microsoft.com/office/drawing/2014/main" id="{D25A8D00-4C53-4615-9C10-BE8001968885}"/>
            </a:ext>
          </a:extLst>
        </xdr:cNvPr>
        <xdr:cNvSpPr txBox="1"/>
      </xdr:nvSpPr>
      <xdr:spPr>
        <a:xfrm>
          <a:off x="2295525" y="2266950"/>
          <a:ext cx="22479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12,8%</a:t>
          </a:r>
          <a:r>
            <a:rPr lang="de-DE" sz="1100" baseline="0"/>
            <a:t> * </a:t>
          </a:r>
          <a:r>
            <a:rPr lang="de-DE" sz="1100"/>
            <a:t>45% + 8%  * (1 - 30%) * 55% = 8,84%</a:t>
          </a:r>
        </a:p>
      </xdr:txBody>
    </xdr:sp>
    <xdr:clientData/>
  </xdr:twoCellAnchor>
  <xdr:twoCellAnchor>
    <xdr:from>
      <xdr:col>3</xdr:col>
      <xdr:colOff>400050</xdr:colOff>
      <xdr:row>33</xdr:row>
      <xdr:rowOff>161925</xdr:rowOff>
    </xdr:from>
    <xdr:to>
      <xdr:col>8</xdr:col>
      <xdr:colOff>666750</xdr:colOff>
      <xdr:row>35</xdr:row>
      <xdr:rowOff>95250</xdr:rowOff>
    </xdr:to>
    <xdr:sp macro="" textlink="">
      <xdr:nvSpPr>
        <xdr:cNvPr id="4" name="Textfeld 3">
          <a:extLst>
            <a:ext uri="{FF2B5EF4-FFF2-40B4-BE49-F238E27FC236}">
              <a16:creationId xmlns:a16="http://schemas.microsoft.com/office/drawing/2014/main" id="{632B9B94-4CFF-40EF-AE14-AED4081542B8}"/>
            </a:ext>
          </a:extLst>
        </xdr:cNvPr>
        <xdr:cNvSpPr txBox="1"/>
      </xdr:nvSpPr>
      <xdr:spPr>
        <a:xfrm>
          <a:off x="2686050" y="6448425"/>
          <a:ext cx="407670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Der Kapitalwert der Anlage ist positiv. Die Anlage sollte angeschafft werden</a:t>
          </a:r>
        </a:p>
      </xdr:txBody>
    </xdr:sp>
    <xdr:clientData/>
  </xdr:twoCellAnchor>
  <xdr:twoCellAnchor>
    <xdr:from>
      <xdr:col>3</xdr:col>
      <xdr:colOff>19050</xdr:colOff>
      <xdr:row>14</xdr:row>
      <xdr:rowOff>19050</xdr:rowOff>
    </xdr:from>
    <xdr:to>
      <xdr:col>5</xdr:col>
      <xdr:colOff>781050</xdr:colOff>
      <xdr:row>15</xdr:row>
      <xdr:rowOff>28575</xdr:rowOff>
    </xdr:to>
    <xdr:sp macro="" textlink="">
      <xdr:nvSpPr>
        <xdr:cNvPr id="5" name="Textfeld 4">
          <a:extLst>
            <a:ext uri="{FF2B5EF4-FFF2-40B4-BE49-F238E27FC236}">
              <a16:creationId xmlns:a16="http://schemas.microsoft.com/office/drawing/2014/main" id="{88784E69-EEB1-4A42-855A-D0C2ABC1C211}"/>
            </a:ext>
          </a:extLst>
        </xdr:cNvPr>
        <xdr:cNvSpPr txBox="1"/>
      </xdr:nvSpPr>
      <xdr:spPr>
        <a:xfrm>
          <a:off x="2305050" y="2686050"/>
          <a:ext cx="226695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i</a:t>
          </a:r>
          <a:r>
            <a:rPr lang="de-DE" sz="1100" baseline="-25000"/>
            <a:t>s</a:t>
          </a:r>
          <a:r>
            <a:rPr lang="de-DE" sz="1100"/>
            <a:t> = (1-s) * i = (1 -30%)</a:t>
          </a:r>
          <a:r>
            <a:rPr lang="de-DE" sz="1100" baseline="0"/>
            <a:t> * 8,84%</a:t>
          </a:r>
          <a:endParaRPr lang="de-DE"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4</xdr:col>
      <xdr:colOff>133350</xdr:colOff>
      <xdr:row>7</xdr:row>
      <xdr:rowOff>9525</xdr:rowOff>
    </xdr:from>
    <xdr:to>
      <xdr:col>8</xdr:col>
      <xdr:colOff>676275</xdr:colOff>
      <xdr:row>13</xdr:row>
      <xdr:rowOff>133350</xdr:rowOff>
    </xdr:to>
    <xdr:sp macro="" textlink="">
      <xdr:nvSpPr>
        <xdr:cNvPr id="2" name="Textfeld 1">
          <a:extLst>
            <a:ext uri="{FF2B5EF4-FFF2-40B4-BE49-F238E27FC236}">
              <a16:creationId xmlns:a16="http://schemas.microsoft.com/office/drawing/2014/main" id="{6A757BF8-1A50-46FF-BA3A-2B02BF72A1C7}"/>
            </a:ext>
          </a:extLst>
        </xdr:cNvPr>
        <xdr:cNvSpPr txBox="1"/>
      </xdr:nvSpPr>
      <xdr:spPr>
        <a:xfrm>
          <a:off x="3181350" y="1343025"/>
          <a:ext cx="359092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Die optimale Nutzungsdauer bei einem beschränkten Plaungshorizont von 6 Jahren beträgt 2 Jahre </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4</xdr:col>
      <xdr:colOff>190500</xdr:colOff>
      <xdr:row>6</xdr:row>
      <xdr:rowOff>161925</xdr:rowOff>
    </xdr:from>
    <xdr:to>
      <xdr:col>8</xdr:col>
      <xdr:colOff>38100</xdr:colOff>
      <xdr:row>10</xdr:row>
      <xdr:rowOff>142875</xdr:rowOff>
    </xdr:to>
    <xdr:sp macro="" textlink="">
      <xdr:nvSpPr>
        <xdr:cNvPr id="2" name="Textfeld 1">
          <a:extLst>
            <a:ext uri="{FF2B5EF4-FFF2-40B4-BE49-F238E27FC236}">
              <a16:creationId xmlns:a16="http://schemas.microsoft.com/office/drawing/2014/main" id="{A8B794CC-E0D8-43EC-AA90-952C08151536}"/>
            </a:ext>
          </a:extLst>
        </xdr:cNvPr>
        <xdr:cNvSpPr txBox="1"/>
      </xdr:nvSpPr>
      <xdr:spPr>
        <a:xfrm>
          <a:off x="3238500" y="1304925"/>
          <a:ext cx="289560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Die optimale Nutzungsdauer von Anlage A beträgt drei Jahre</a:t>
          </a:r>
        </a:p>
      </xdr:txBody>
    </xdr:sp>
    <xdr:clientData/>
  </xdr:twoCellAnchor>
  <xdr:twoCellAnchor>
    <xdr:from>
      <xdr:col>4</xdr:col>
      <xdr:colOff>0</xdr:colOff>
      <xdr:row>17</xdr:row>
      <xdr:rowOff>0</xdr:rowOff>
    </xdr:from>
    <xdr:to>
      <xdr:col>7</xdr:col>
      <xdr:colOff>609600</xdr:colOff>
      <xdr:row>20</xdr:row>
      <xdr:rowOff>171450</xdr:rowOff>
    </xdr:to>
    <xdr:sp macro="" textlink="">
      <xdr:nvSpPr>
        <xdr:cNvPr id="3" name="Textfeld 2">
          <a:extLst>
            <a:ext uri="{FF2B5EF4-FFF2-40B4-BE49-F238E27FC236}">
              <a16:creationId xmlns:a16="http://schemas.microsoft.com/office/drawing/2014/main" id="{5AED6BC1-3BA8-45EC-B1FA-9609C97386E6}"/>
            </a:ext>
          </a:extLst>
        </xdr:cNvPr>
        <xdr:cNvSpPr txBox="1"/>
      </xdr:nvSpPr>
      <xdr:spPr>
        <a:xfrm>
          <a:off x="3048000" y="3238500"/>
          <a:ext cx="289560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Die optimale Nutzungsdauer von Anlage B beträgt drei Jahre</a:t>
          </a:r>
        </a:p>
      </xdr:txBody>
    </xdr:sp>
    <xdr:clientData/>
  </xdr:twoCellAnchor>
  <xdr:twoCellAnchor>
    <xdr:from>
      <xdr:col>3</xdr:col>
      <xdr:colOff>752475</xdr:colOff>
      <xdr:row>31</xdr:row>
      <xdr:rowOff>133350</xdr:rowOff>
    </xdr:from>
    <xdr:to>
      <xdr:col>7</xdr:col>
      <xdr:colOff>561975</xdr:colOff>
      <xdr:row>41</xdr:row>
      <xdr:rowOff>123826</xdr:rowOff>
    </xdr:to>
    <xdr:sp macro="" textlink="">
      <xdr:nvSpPr>
        <xdr:cNvPr id="4" name="Textfeld 3">
          <a:extLst>
            <a:ext uri="{FF2B5EF4-FFF2-40B4-BE49-F238E27FC236}">
              <a16:creationId xmlns:a16="http://schemas.microsoft.com/office/drawing/2014/main" id="{BE44EC34-87CF-4AF2-8DF3-0EF038298293}"/>
            </a:ext>
          </a:extLst>
        </xdr:cNvPr>
        <xdr:cNvSpPr txBox="1"/>
      </xdr:nvSpPr>
      <xdr:spPr>
        <a:xfrm>
          <a:off x="3038475" y="6038850"/>
          <a:ext cx="2857500" cy="1895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Teilaufgabe c):</a:t>
          </a:r>
        </a:p>
        <a:p>
          <a:endParaRPr lang="de-DE" sz="1100"/>
        </a:p>
        <a:p>
          <a:r>
            <a:rPr lang="de-DE" sz="1100"/>
            <a:t>Anlage B sollte angeschafft</a:t>
          </a:r>
          <a:r>
            <a:rPr lang="de-DE" sz="1100" baseline="0"/>
            <a:t> werden, da sie bei einer dreijährigen Nutzungsdauer einen höheren Kapitalwert erbringt als Anlage A.</a:t>
          </a:r>
        </a:p>
        <a:p>
          <a:endParaRPr lang="de-DE" sz="1100" baseline="0"/>
        </a:p>
        <a:p>
          <a:r>
            <a:rPr lang="de-DE" sz="1100" baseline="0"/>
            <a:t>Zwar hat Anlage A einen höheren internen Zinsfuß als Anlage B, aber aus den bekannten Gründen ist hier der Kapitawertmethode der Vorzug zu geben. </a:t>
          </a:r>
          <a:endParaRPr lang="de-DE" sz="1100"/>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6</xdr:col>
      <xdr:colOff>561976</xdr:colOff>
      <xdr:row>2</xdr:row>
      <xdr:rowOff>1</xdr:rowOff>
    </xdr:from>
    <xdr:to>
      <xdr:col>16</xdr:col>
      <xdr:colOff>133350</xdr:colOff>
      <xdr:row>13</xdr:row>
      <xdr:rowOff>95251</xdr:rowOff>
    </xdr:to>
    <xdr:sp macro="" textlink="">
      <xdr:nvSpPr>
        <xdr:cNvPr id="2" name="Textfeld 1">
          <a:extLst>
            <a:ext uri="{FF2B5EF4-FFF2-40B4-BE49-F238E27FC236}">
              <a16:creationId xmlns:a16="http://schemas.microsoft.com/office/drawing/2014/main" id="{65853EEE-A48C-4DA4-93C8-F84892CE9083}"/>
            </a:ext>
          </a:extLst>
        </xdr:cNvPr>
        <xdr:cNvSpPr txBox="1"/>
      </xdr:nvSpPr>
      <xdr:spPr>
        <a:xfrm>
          <a:off x="5133976" y="381001"/>
          <a:ext cx="7191374"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Lösung auf dem Papier:</a:t>
          </a:r>
        </a:p>
        <a:p>
          <a:endParaRPr lang="de-DE" sz="2000"/>
        </a:p>
        <a:p>
          <a:r>
            <a:rPr lang="de-DE" sz="2000"/>
            <a:t>-150.000 + 30.000 x 1,1 </a:t>
          </a:r>
          <a:r>
            <a:rPr lang="de-DE" sz="2000" baseline="30000"/>
            <a:t>-1</a:t>
          </a:r>
          <a:r>
            <a:rPr lang="de-DE" sz="2000"/>
            <a:t> + 40.000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-2</a:t>
          </a:r>
          <a:r>
            <a:rPr lang="de-DE" sz="2000" baseline="0">
              <a:solidFill>
                <a:schemeClr val="dk1"/>
              </a:solidFill>
              <a:effectLst/>
              <a:latin typeface="+mn-lt"/>
              <a:ea typeface="+mn-ea"/>
              <a:cs typeface="+mn-cs"/>
            </a:rPr>
            <a:t> + 50.000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-3</a:t>
          </a:r>
          <a:r>
            <a:rPr lang="de-DE" sz="2000" baseline="0">
              <a:solidFill>
                <a:schemeClr val="dk1"/>
              </a:solidFill>
              <a:effectLst/>
              <a:latin typeface="+mn-lt"/>
              <a:ea typeface="+mn-ea"/>
              <a:cs typeface="+mn-cs"/>
            </a:rPr>
            <a:t>  + 45.000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-4</a:t>
          </a:r>
          <a:r>
            <a:rPr lang="de-DE" sz="2000" baseline="0">
              <a:solidFill>
                <a:schemeClr val="dk1"/>
              </a:solidFill>
              <a:effectLst/>
              <a:latin typeface="+mn-lt"/>
              <a:ea typeface="+mn-ea"/>
              <a:cs typeface="+mn-cs"/>
            </a:rPr>
            <a:t>  + 35.000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-5</a:t>
          </a:r>
          <a:r>
            <a:rPr lang="de-DE" sz="2000" baseline="0">
              <a:solidFill>
                <a:schemeClr val="dk1"/>
              </a:solidFill>
              <a:effectLst/>
              <a:latin typeface="+mn-lt"/>
              <a:ea typeface="+mn-ea"/>
              <a:cs typeface="+mn-cs"/>
            </a:rPr>
            <a:t>  + 25.000 x </a:t>
          </a:r>
          <a:r>
            <a:rPr lang="de-DE" sz="2000">
              <a:solidFill>
                <a:schemeClr val="dk1"/>
              </a:solidFill>
              <a:effectLst/>
              <a:latin typeface="+mn-lt"/>
              <a:ea typeface="+mn-ea"/>
              <a:cs typeface="+mn-cs"/>
            </a:rPr>
            <a:t>1,1 </a:t>
          </a:r>
          <a:r>
            <a:rPr lang="de-DE" sz="2000" baseline="30000">
              <a:solidFill>
                <a:schemeClr val="dk1"/>
              </a:solidFill>
              <a:effectLst/>
              <a:latin typeface="+mn-lt"/>
              <a:ea typeface="+mn-ea"/>
              <a:cs typeface="+mn-cs"/>
            </a:rPr>
            <a:t>-5</a:t>
          </a:r>
          <a:r>
            <a:rPr lang="de-DE" sz="2000" baseline="0">
              <a:solidFill>
                <a:schemeClr val="dk1"/>
              </a:solidFill>
              <a:effectLst/>
              <a:latin typeface="+mn-lt"/>
              <a:ea typeface="+mn-ea"/>
              <a:cs typeface="+mn-cs"/>
            </a:rPr>
            <a:t> = 15.887,20 EUR  </a:t>
          </a:r>
          <a:endParaRPr lang="de-DE" sz="2000"/>
        </a:p>
      </xdr:txBody>
    </xdr:sp>
    <xdr:clientData/>
  </xdr:twoCellAnchor>
  <xdr:oneCellAnchor>
    <xdr:from>
      <xdr:col>9</xdr:col>
      <xdr:colOff>495300</xdr:colOff>
      <xdr:row>14</xdr:row>
      <xdr:rowOff>171450</xdr:rowOff>
    </xdr:from>
    <xdr:ext cx="5533333" cy="3314286"/>
    <xdr:pic>
      <xdr:nvPicPr>
        <xdr:cNvPr id="3" name="Grafik 2">
          <a:extLst>
            <a:ext uri="{FF2B5EF4-FFF2-40B4-BE49-F238E27FC236}">
              <a16:creationId xmlns:a16="http://schemas.microsoft.com/office/drawing/2014/main" id="{66E2A3F9-6B64-4AF9-8D87-AC9D4999260A}"/>
            </a:ext>
          </a:extLst>
        </xdr:cNvPr>
        <xdr:cNvPicPr>
          <a:picLocks noChangeAspect="1"/>
        </xdr:cNvPicPr>
      </xdr:nvPicPr>
      <xdr:blipFill>
        <a:blip xmlns:r="http://schemas.openxmlformats.org/officeDocument/2006/relationships" r:embed="rId1"/>
        <a:stretch>
          <a:fillRect/>
        </a:stretch>
      </xdr:blipFill>
      <xdr:spPr>
        <a:xfrm>
          <a:off x="7353300" y="2838450"/>
          <a:ext cx="5533333" cy="3314286"/>
        </a:xfrm>
        <a:prstGeom prst="rect">
          <a:avLst/>
        </a:prstGeom>
      </xdr:spPr>
    </xdr:pic>
    <xdr:clientData/>
  </xdr:oneCellAnchor>
  <xdr:twoCellAnchor>
    <xdr:from>
      <xdr:col>3</xdr:col>
      <xdr:colOff>0</xdr:colOff>
      <xdr:row>16</xdr:row>
      <xdr:rowOff>38100</xdr:rowOff>
    </xdr:from>
    <xdr:to>
      <xdr:col>9</xdr:col>
      <xdr:colOff>485775</xdr:colOff>
      <xdr:row>17</xdr:row>
      <xdr:rowOff>95250</xdr:rowOff>
    </xdr:to>
    <xdr:cxnSp macro="">
      <xdr:nvCxnSpPr>
        <xdr:cNvPr id="4" name="Gerade Verbindung mit Pfeil 3">
          <a:extLst>
            <a:ext uri="{FF2B5EF4-FFF2-40B4-BE49-F238E27FC236}">
              <a16:creationId xmlns:a16="http://schemas.microsoft.com/office/drawing/2014/main" id="{B55D18DE-CA41-4DAA-A4CE-E59D88D99499}"/>
            </a:ext>
          </a:extLst>
        </xdr:cNvPr>
        <xdr:cNvCxnSpPr/>
      </xdr:nvCxnSpPr>
      <xdr:spPr>
        <a:xfrm flipH="1" flipV="1">
          <a:off x="2286000" y="3086100"/>
          <a:ext cx="5057775"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11</xdr:col>
      <xdr:colOff>714374</xdr:colOff>
      <xdr:row>1</xdr:row>
      <xdr:rowOff>152399</xdr:rowOff>
    </xdr:from>
    <xdr:to>
      <xdr:col>21</xdr:col>
      <xdr:colOff>190499</xdr:colOff>
      <xdr:row>32</xdr:row>
      <xdr:rowOff>104774</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9E087717-2DDA-4F6E-BAB7-44A36AEB9C0C}"/>
                </a:ext>
              </a:extLst>
            </xdr:cNvPr>
            <xdr:cNvSpPr txBox="1"/>
          </xdr:nvSpPr>
          <xdr:spPr>
            <a:xfrm>
              <a:off x="9096374" y="342899"/>
              <a:ext cx="7096125" cy="5857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auf dem Papier:</a:t>
              </a:r>
              <a:r>
                <a:rPr lang="de-DE" sz="1100" baseline="0"/>
                <a:t> </a:t>
              </a:r>
            </a:p>
            <a:p>
              <a:endParaRPr kumimoji="0" lang="de-DE" sz="1100" b="0" i="0" u="none" strike="noStrike" kern="1200" cap="none" spc="0" normalizeH="0" baseline="0" noProof="0">
                <a:ln>
                  <a:noFill/>
                </a:ln>
                <a:solidFill>
                  <a:prstClr val="black"/>
                </a:solidFill>
                <a:effectLst/>
                <a:uLnTx/>
                <a:uFillTx/>
                <a:latin typeface="+mn-lt"/>
                <a:ea typeface="+mn-ea"/>
                <a:cs typeface="+mn-cs"/>
              </a:endParaRPr>
            </a:p>
            <a:p>
              <a:r>
                <a:rPr kumimoji="0" lang="de-DE" sz="2000" b="1" i="0" u="none" strike="noStrike" kern="1200" cap="none" spc="0" normalizeH="0" baseline="0" noProof="0">
                  <a:ln>
                    <a:noFill/>
                  </a:ln>
                  <a:solidFill>
                    <a:prstClr val="black"/>
                  </a:solidFill>
                  <a:effectLst/>
                  <a:uLnTx/>
                  <a:uFillTx/>
                  <a:latin typeface="+mn-lt"/>
                  <a:ea typeface="+mn-ea"/>
                  <a:cs typeface="+mn-cs"/>
                </a:rPr>
                <a:t>a) </a:t>
              </a:r>
              <a:r>
                <a:rPr kumimoji="0" lang="de-DE" sz="2000" b="0" i="0" u="none" strike="noStrike" kern="1200" cap="none" spc="0" normalizeH="0" baseline="0" noProof="0" dirty="0">
                  <a:ln>
                    <a:noFill/>
                  </a:ln>
                  <a:solidFill>
                    <a:prstClr val="black"/>
                  </a:solidFill>
                  <a:effectLst/>
                  <a:uLnTx/>
                  <a:uFillTx/>
                  <a:latin typeface="+mn-lt"/>
                  <a:ea typeface="+mn-ea"/>
                  <a:cs typeface="+mn-cs"/>
                </a:rPr>
                <a:t>KW = -7.000 + </a:t>
              </a:r>
              <a14:m>
                <m:oMath xmlns:m="http://schemas.openxmlformats.org/officeDocument/2006/math">
                  <m:f>
                    <m:fPr>
                      <m:ctrlP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1,1</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²</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³</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4</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5</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6</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7</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8</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1" i="0" u="none" strike="noStrike" kern="1200" cap="none" spc="0" normalizeH="0" baseline="0" noProof="0" dirty="0">
                  <a:ln>
                    <a:noFill/>
                  </a:ln>
                  <a:solidFill>
                    <a:prstClr val="black"/>
                  </a:solidFill>
                  <a:effectLst/>
                  <a:uLnTx/>
                  <a:uFillTx/>
                  <a:latin typeface="+mn-lt"/>
                  <a:ea typeface="+mn-ea"/>
                  <a:cs typeface="+mn-cs"/>
                </a:rPr>
                <a:t>-71,55 €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Kapitalwert ist negativ. Die Idee sollte nicht umgesetzt werden</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1" i="0" u="none" strike="noStrike" kern="1200" cap="none" spc="0" normalizeH="0" baseline="0" noProof="0" dirty="0">
                  <a:ln>
                    <a:noFill/>
                  </a:ln>
                  <a:solidFill>
                    <a:prstClr val="black"/>
                  </a:solidFill>
                  <a:effectLst/>
                  <a:uLnTx/>
                  <a:uFillTx/>
                  <a:latin typeface="+mn-lt"/>
                  <a:ea typeface="+mn-ea"/>
                  <a:cs typeface="+mn-cs"/>
                </a:rPr>
                <a:t>b) </a:t>
              </a:r>
              <a:r>
                <a:rPr kumimoji="0" lang="de-DE" sz="2000" b="0" i="0" u="none" strike="noStrike" kern="1200" cap="none" spc="0" normalizeH="0" baseline="0" noProof="0" dirty="0">
                  <a:ln>
                    <a:noFill/>
                  </a:ln>
                  <a:solidFill>
                    <a:prstClr val="black"/>
                  </a:solidFill>
                  <a:effectLst/>
                  <a:uLnTx/>
                  <a:uFillTx/>
                  <a:latin typeface="+mn-lt"/>
                  <a:ea typeface="+mn-ea"/>
                  <a:cs typeface="+mn-cs"/>
                </a:rPr>
                <a:t>KW = -7.000 + </a:t>
              </a:r>
              <a14:m>
                <m:oMath xmlns:m="http://schemas.openxmlformats.org/officeDocument/2006/math">
                  <m:f>
                    <m:fPr>
                      <m:ctrlP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1,1</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²</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³</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4</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1.400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5</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6</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050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7</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14:m>
                <m:oMath xmlns:m="http://schemas.openxmlformats.org/officeDocument/2006/math">
                  <m:f>
                    <m:fPr>
                      <m:ctrlP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ctrlPr>
                    </m:fPr>
                    <m:num>
                      <m:r>
                        <a:rPr kumimoji="0" lang="de-DE" sz="2000" b="0" i="1" u="none" strike="noStrike" kern="1200" cap="none" spc="0" normalizeH="0" baseline="0" noProof="0" smtClean="0">
                          <a:ln>
                            <a:noFill/>
                          </a:ln>
                          <a:solidFill>
                            <a:prstClr val="black"/>
                          </a:solidFill>
                          <a:effectLst/>
                          <a:uLnTx/>
                          <a:uFillTx/>
                          <a:latin typeface="Cambria Math" panose="02040503050406030204" pitchFamily="18" charset="0"/>
                          <a:ea typeface="+mn-ea"/>
                          <a:cs typeface="+mn-cs"/>
                        </a:rPr>
                        <m:t>1.750</m:t>
                      </m:r>
                    </m:num>
                    <m:den>
                      <m:r>
                        <a:rPr kumimoji="0" lang="de-DE" sz="2000" b="0" i="1" u="none" strike="noStrike" kern="1200" cap="none" spc="0" normalizeH="0" baseline="0" noProof="0">
                          <a:ln>
                            <a:noFill/>
                          </a:ln>
                          <a:solidFill>
                            <a:prstClr val="black"/>
                          </a:solidFill>
                          <a:effectLst/>
                          <a:uLnTx/>
                          <a:uFillTx/>
                          <a:latin typeface="Cambria Math" panose="02040503050406030204" pitchFamily="18" charset="0"/>
                          <a:ea typeface="+mn-ea"/>
                          <a:cs typeface="+mn-cs"/>
                        </a:rPr>
                        <m:t>1,1</m:t>
                      </m:r>
                      <m:r>
                        <a:rPr kumimoji="0" lang="de-DE" sz="2000" b="0" i="1" u="none" strike="noStrike" kern="1200" cap="none" spc="0" normalizeH="0" baseline="30000" noProof="0" smtClean="0">
                          <a:ln>
                            <a:noFill/>
                          </a:ln>
                          <a:solidFill>
                            <a:prstClr val="black"/>
                          </a:solidFill>
                          <a:effectLst/>
                          <a:uLnTx/>
                          <a:uFillTx/>
                          <a:latin typeface="Cambria Math" panose="02040503050406030204" pitchFamily="18" charset="0"/>
                          <a:ea typeface="+mn-ea"/>
                          <a:cs typeface="+mn-cs"/>
                        </a:rPr>
                        <m:t>8</m:t>
                      </m:r>
                    </m:den>
                  </m:f>
                </m:oMath>
              </a14:m>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1" i="0" u="none" strike="noStrike" kern="1200" cap="none" spc="0" normalizeH="0" baseline="0" noProof="0" dirty="0">
                  <a:ln>
                    <a:noFill/>
                  </a:ln>
                  <a:solidFill>
                    <a:prstClr val="black"/>
                  </a:solidFill>
                  <a:effectLst/>
                  <a:uLnTx/>
                  <a:uFillTx/>
                  <a:latin typeface="+mn-lt"/>
                  <a:ea typeface="+mn-ea"/>
                  <a:cs typeface="+mn-cs"/>
                </a:rPr>
                <a:t>255,01 €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Kapitalwert ist positiv. Die Idee sollte umgesetzt werden</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1" i="0" u="none" strike="noStrike" kern="1200" cap="none" spc="0" normalizeH="0" baseline="0" noProof="0" dirty="0">
                  <a:ln>
                    <a:noFill/>
                  </a:ln>
                  <a:solidFill>
                    <a:prstClr val="black"/>
                  </a:solidFill>
                  <a:effectLst/>
                  <a:uLnTx/>
                  <a:uFillTx/>
                  <a:latin typeface="+mn-lt"/>
                  <a:ea typeface="+mn-ea"/>
                  <a:cs typeface="+mn-cs"/>
                </a:rPr>
                <a:t>c) </a:t>
              </a:r>
              <a:r>
                <a:rPr kumimoji="0" lang="de-DE" sz="2000" b="0" i="0" u="none" strike="noStrike" kern="1200" cap="none" spc="0" normalizeH="0" baseline="0" noProof="0" dirty="0">
                  <a:ln>
                    <a:noFill/>
                  </a:ln>
                  <a:solidFill>
                    <a:prstClr val="black"/>
                  </a:solidFill>
                  <a:effectLst/>
                  <a:uLnTx/>
                  <a:uFillTx/>
                  <a:latin typeface="+mn-lt"/>
                  <a:ea typeface="+mn-ea"/>
                  <a:cs typeface="+mn-cs"/>
                </a:rPr>
                <a:t>-71,55 * 1,1</a:t>
              </a:r>
              <a:r>
                <a:rPr kumimoji="0" lang="de-DE" sz="2000" b="0" i="0" u="none" strike="noStrike" kern="1200" cap="none" spc="0" normalizeH="0" baseline="30000" noProof="0" dirty="0">
                  <a:ln>
                    <a:noFill/>
                  </a:ln>
                  <a:solidFill>
                    <a:prstClr val="black"/>
                  </a:solidFill>
                  <a:effectLst/>
                  <a:uLnTx/>
                  <a:uFillTx/>
                  <a:latin typeface="+mn-lt"/>
                  <a:ea typeface="+mn-ea"/>
                  <a:cs typeface="+mn-cs"/>
                </a:rPr>
                <a:t>8</a:t>
              </a:r>
              <a:r>
                <a:rPr kumimoji="0" lang="de-DE" sz="2000" b="0" i="0" u="none" strike="noStrike" kern="1200" cap="none" spc="0" normalizeH="0" baseline="0" noProof="0" dirty="0">
                  <a:ln>
                    <a:noFill/>
                  </a:ln>
                  <a:solidFill>
                    <a:prstClr val="black"/>
                  </a:solidFill>
                  <a:effectLst/>
                  <a:uLnTx/>
                  <a:uFillTx/>
                  <a:latin typeface="+mn-lt"/>
                  <a:ea typeface="+mn-ea"/>
                  <a:cs typeface="+mn-cs"/>
                </a:rPr>
                <a:t> =153,37 €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Liquidationserlös muss 153,37€ betragen, damit der Kapitalwert = 0 ist. </a:t>
              </a:r>
            </a:p>
            <a:p>
              <a:endParaRPr lang="de-DE" sz="1100"/>
            </a:p>
          </xdr:txBody>
        </xdr:sp>
      </mc:Choice>
      <mc:Fallback>
        <xdr:sp macro="" textlink="">
          <xdr:nvSpPr>
            <xdr:cNvPr id="2" name="Textfeld 1">
              <a:extLst>
                <a:ext uri="{FF2B5EF4-FFF2-40B4-BE49-F238E27FC236}">
                  <a16:creationId xmlns:a16="http://schemas.microsoft.com/office/drawing/2014/main" id="{9E087717-2DDA-4F6E-BAB7-44A36AEB9C0C}"/>
                </a:ext>
              </a:extLst>
            </xdr:cNvPr>
            <xdr:cNvSpPr txBox="1"/>
          </xdr:nvSpPr>
          <xdr:spPr>
            <a:xfrm>
              <a:off x="9096374" y="342899"/>
              <a:ext cx="7096125" cy="5857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auf dem Papier:</a:t>
              </a:r>
              <a:r>
                <a:rPr lang="de-DE" sz="1100" baseline="0"/>
                <a:t> </a:t>
              </a:r>
            </a:p>
            <a:p>
              <a:endParaRPr kumimoji="0" lang="de-DE" sz="1100" b="0" i="0" u="none" strike="noStrike" kern="1200" cap="none" spc="0" normalizeH="0" baseline="0" noProof="0">
                <a:ln>
                  <a:noFill/>
                </a:ln>
                <a:solidFill>
                  <a:prstClr val="black"/>
                </a:solidFill>
                <a:effectLst/>
                <a:uLnTx/>
                <a:uFillTx/>
                <a:latin typeface="+mn-lt"/>
                <a:ea typeface="+mn-ea"/>
                <a:cs typeface="+mn-cs"/>
              </a:endParaRPr>
            </a:p>
            <a:p>
              <a:r>
                <a:rPr kumimoji="0" lang="de-DE" sz="2000" b="1" i="0" u="none" strike="noStrike" kern="1200" cap="none" spc="0" normalizeH="0" baseline="0" noProof="0">
                  <a:ln>
                    <a:noFill/>
                  </a:ln>
                  <a:solidFill>
                    <a:prstClr val="black"/>
                  </a:solidFill>
                  <a:effectLst/>
                  <a:uLnTx/>
                  <a:uFillTx/>
                  <a:latin typeface="+mn-lt"/>
                  <a:ea typeface="+mn-ea"/>
                  <a:cs typeface="+mn-cs"/>
                </a:rPr>
                <a:t>a) </a:t>
              </a:r>
              <a:r>
                <a:rPr kumimoji="0" lang="de-DE" sz="2000" b="0" i="0" u="none" strike="noStrike" kern="1200" cap="none" spc="0" normalizeH="0" baseline="0" noProof="0" dirty="0">
                  <a:ln>
                    <a:noFill/>
                  </a:ln>
                  <a:solidFill>
                    <a:prstClr val="black"/>
                  </a:solidFill>
                  <a:effectLst/>
                  <a:uLnTx/>
                  <a:uFillTx/>
                  <a:latin typeface="+mn-lt"/>
                  <a:ea typeface="+mn-ea"/>
                  <a:cs typeface="+mn-cs"/>
                </a:rPr>
                <a:t>KW = -7.000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1.400/1,1²</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1.400/1,1³</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4</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5</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6</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7</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8</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1" i="0" u="none" strike="noStrike" kern="1200" cap="none" spc="0" normalizeH="0" baseline="0" noProof="0" dirty="0">
                  <a:ln>
                    <a:noFill/>
                  </a:ln>
                  <a:solidFill>
                    <a:prstClr val="black"/>
                  </a:solidFill>
                  <a:effectLst/>
                  <a:uLnTx/>
                  <a:uFillTx/>
                  <a:latin typeface="+mn-lt"/>
                  <a:ea typeface="+mn-ea"/>
                  <a:cs typeface="+mn-cs"/>
                </a:rPr>
                <a:t>-71,55 €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Kapitalwert ist negativ. Die Idee sollte nicht umgesetzt werden</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1" i="0" u="none" strike="noStrike" kern="1200" cap="none" spc="0" normalizeH="0" baseline="0" noProof="0" dirty="0">
                  <a:ln>
                    <a:noFill/>
                  </a:ln>
                  <a:solidFill>
                    <a:prstClr val="black"/>
                  </a:solidFill>
                  <a:effectLst/>
                  <a:uLnTx/>
                  <a:uFillTx/>
                  <a:latin typeface="+mn-lt"/>
                  <a:ea typeface="+mn-ea"/>
                  <a:cs typeface="+mn-cs"/>
                </a:rPr>
                <a:t>b) </a:t>
              </a:r>
              <a:r>
                <a:rPr kumimoji="0" lang="de-DE" sz="2000" b="0" i="0" u="none" strike="noStrike" kern="1200" cap="none" spc="0" normalizeH="0" baseline="0" noProof="0" dirty="0">
                  <a:ln>
                    <a:noFill/>
                  </a:ln>
                  <a:solidFill>
                    <a:prstClr val="black"/>
                  </a:solidFill>
                  <a:effectLst/>
                  <a:uLnTx/>
                  <a:uFillTx/>
                  <a:latin typeface="+mn-lt"/>
                  <a:ea typeface="+mn-ea"/>
                  <a:cs typeface="+mn-cs"/>
                </a:rPr>
                <a:t>KW = -7.000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1.400/1,1²</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1.400/1,1³</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4</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1.400/1,1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5</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6</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1.050/1,1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7</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0" i="0" u="none" strike="noStrike" kern="1200" cap="none" spc="0" normalizeH="0" baseline="0" noProof="0">
                  <a:ln>
                    <a:noFill/>
                  </a:ln>
                  <a:solidFill>
                    <a:prstClr val="black"/>
                  </a:solidFill>
                  <a:effectLst/>
                  <a:uLnTx/>
                  <a:uFillTx/>
                  <a:latin typeface="Cambria Math" panose="02040503050406030204" pitchFamily="18" charset="0"/>
                  <a:ea typeface="+mn-ea"/>
                  <a:cs typeface="+mn-cs"/>
                </a:rPr>
                <a:t>1.750/1,1</a:t>
              </a:r>
              <a:r>
                <a:rPr kumimoji="0" lang="de-DE" sz="2000" b="0" i="0" u="none" strike="noStrike" kern="1200" cap="none" spc="0" normalizeH="0" baseline="30000" noProof="0">
                  <a:ln>
                    <a:noFill/>
                  </a:ln>
                  <a:solidFill>
                    <a:prstClr val="black"/>
                  </a:solidFill>
                  <a:effectLst/>
                  <a:uLnTx/>
                  <a:uFillTx/>
                  <a:latin typeface="Cambria Math" panose="02040503050406030204" pitchFamily="18" charset="0"/>
                  <a:ea typeface="+mn-ea"/>
                  <a:cs typeface="+mn-cs"/>
                </a:rPr>
                <a:t>8</a:t>
              </a:r>
              <a:r>
                <a:rPr kumimoji="0" lang="de-DE" sz="2000" b="0" i="0" u="none" strike="noStrike" kern="1200" cap="none" spc="0" normalizeH="0" baseline="0" noProof="0" dirty="0">
                  <a:ln>
                    <a:noFill/>
                  </a:ln>
                  <a:solidFill>
                    <a:prstClr val="black"/>
                  </a:solidFill>
                  <a:effectLst/>
                  <a:uLnTx/>
                  <a:uFillTx/>
                  <a:latin typeface="+mn-lt"/>
                  <a:ea typeface="+mn-ea"/>
                  <a:cs typeface="+mn-cs"/>
                </a:rPr>
                <a:t>	 = </a:t>
              </a:r>
              <a:r>
                <a:rPr kumimoji="0" lang="de-DE" sz="2000" b="1" i="0" u="none" strike="noStrike" kern="1200" cap="none" spc="0" normalizeH="0" baseline="0" noProof="0" dirty="0">
                  <a:ln>
                    <a:noFill/>
                  </a:ln>
                  <a:solidFill>
                    <a:prstClr val="black"/>
                  </a:solidFill>
                  <a:effectLst/>
                  <a:uLnTx/>
                  <a:uFillTx/>
                  <a:latin typeface="+mn-lt"/>
                  <a:ea typeface="+mn-ea"/>
                  <a:cs typeface="+mn-cs"/>
                </a:rPr>
                <a:t>255,01 €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Kapitalwert ist positiv. Die Idee sollte umgesetzt werden</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1" i="0" u="none" strike="noStrike" kern="1200" cap="none" spc="0" normalizeH="0" baseline="0" noProof="0" dirty="0">
                  <a:ln>
                    <a:noFill/>
                  </a:ln>
                  <a:solidFill>
                    <a:prstClr val="black"/>
                  </a:solidFill>
                  <a:effectLst/>
                  <a:uLnTx/>
                  <a:uFillTx/>
                  <a:latin typeface="+mn-lt"/>
                  <a:ea typeface="+mn-ea"/>
                  <a:cs typeface="+mn-cs"/>
                </a:rPr>
                <a:t>c) </a:t>
              </a:r>
              <a:r>
                <a:rPr kumimoji="0" lang="de-DE" sz="2000" b="0" i="0" u="none" strike="noStrike" kern="1200" cap="none" spc="0" normalizeH="0" baseline="0" noProof="0" dirty="0">
                  <a:ln>
                    <a:noFill/>
                  </a:ln>
                  <a:solidFill>
                    <a:prstClr val="black"/>
                  </a:solidFill>
                  <a:effectLst/>
                  <a:uLnTx/>
                  <a:uFillTx/>
                  <a:latin typeface="+mn-lt"/>
                  <a:ea typeface="+mn-ea"/>
                  <a:cs typeface="+mn-cs"/>
                </a:rPr>
                <a:t>-71,55 * 1,1</a:t>
              </a:r>
              <a:r>
                <a:rPr kumimoji="0" lang="de-DE" sz="2000" b="0" i="0" u="none" strike="noStrike" kern="1200" cap="none" spc="0" normalizeH="0" baseline="30000" noProof="0" dirty="0">
                  <a:ln>
                    <a:noFill/>
                  </a:ln>
                  <a:solidFill>
                    <a:prstClr val="black"/>
                  </a:solidFill>
                  <a:effectLst/>
                  <a:uLnTx/>
                  <a:uFillTx/>
                  <a:latin typeface="+mn-lt"/>
                  <a:ea typeface="+mn-ea"/>
                  <a:cs typeface="+mn-cs"/>
                </a:rPr>
                <a:t>8</a:t>
              </a:r>
              <a:r>
                <a:rPr kumimoji="0" lang="de-DE" sz="2000" b="0" i="0" u="none" strike="noStrike" kern="1200" cap="none" spc="0" normalizeH="0" baseline="0" noProof="0" dirty="0">
                  <a:ln>
                    <a:noFill/>
                  </a:ln>
                  <a:solidFill>
                    <a:prstClr val="black"/>
                  </a:solidFill>
                  <a:effectLst/>
                  <a:uLnTx/>
                  <a:uFillTx/>
                  <a:latin typeface="+mn-lt"/>
                  <a:ea typeface="+mn-ea"/>
                  <a:cs typeface="+mn-cs"/>
                </a:rPr>
                <a:t> =153,37 €</a:t>
              </a:r>
            </a:p>
            <a:p>
              <a:pPr marL="0" marR="0" lvl="0" indent="0" algn="l" defTabSz="914400" rtl="0" eaLnBrk="1" fontAlgn="auto" latinLnBrk="0" hangingPunct="1">
                <a:lnSpc>
                  <a:spcPct val="90000"/>
                </a:lnSpc>
                <a:spcBef>
                  <a:spcPts val="1200"/>
                </a:spcBef>
                <a:spcAft>
                  <a:spcPts val="600"/>
                </a:spcAft>
                <a:buClr>
                  <a:srgbClr val="C00000"/>
                </a:buClr>
                <a:buSzTx/>
                <a:buFont typeface="Wingdings" pitchFamily="2" charset="2"/>
                <a:buNone/>
                <a:tabLst/>
                <a:defRPr/>
              </a:pPr>
              <a:r>
                <a:rPr kumimoji="0" lang="de-DE" sz="2000" b="0" i="0" u="none" strike="noStrike" kern="1200" cap="none" spc="0" normalizeH="0" baseline="0" noProof="0" dirty="0">
                  <a:ln>
                    <a:noFill/>
                  </a:ln>
                  <a:solidFill>
                    <a:prstClr val="black"/>
                  </a:solidFill>
                  <a:effectLst/>
                  <a:uLnTx/>
                  <a:uFillTx/>
                  <a:latin typeface="+mn-lt"/>
                  <a:ea typeface="+mn-ea"/>
                  <a:cs typeface="+mn-cs"/>
                </a:rPr>
                <a:t>Der Liquidationserlös muss 153,37€ betragen, damit der Kapitalwert = 0 ist. </a:t>
              </a:r>
            </a:p>
            <a:p>
              <a:endParaRPr lang="de-DE" sz="1100"/>
            </a:p>
          </xdr:txBody>
        </xdr:sp>
      </mc:Fallback>
    </mc:AlternateContent>
    <xdr:clientData/>
  </xdr:twoCellAnchor>
</xdr:wsDr>
</file>

<file path=xl/drawings/drawing41.xml><?xml version="1.0" encoding="utf-8"?>
<xdr:wsDr xmlns:xdr="http://schemas.openxmlformats.org/drawingml/2006/spreadsheetDrawing" xmlns:a="http://schemas.openxmlformats.org/drawingml/2006/main">
  <xdr:twoCellAnchor>
    <xdr:from>
      <xdr:col>12</xdr:col>
      <xdr:colOff>9525</xdr:colOff>
      <xdr:row>0</xdr:row>
      <xdr:rowOff>133349</xdr:rowOff>
    </xdr:from>
    <xdr:to>
      <xdr:col>22</xdr:col>
      <xdr:colOff>314325</xdr:colOff>
      <xdr:row>29</xdr:row>
      <xdr:rowOff>104774</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8587FFD0-FB60-4A4C-B8D2-87A7A69E7823}"/>
                </a:ext>
              </a:extLst>
            </xdr:cNvPr>
            <xdr:cNvSpPr txBox="1"/>
          </xdr:nvSpPr>
          <xdr:spPr>
            <a:xfrm>
              <a:off x="9153525" y="133349"/>
              <a:ext cx="7924800" cy="549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Lösung auf dem Papier:</a:t>
              </a:r>
            </a:p>
            <a:p>
              <a:endParaRPr lang="de-DE" sz="1600"/>
            </a:p>
            <a:p>
              <a:r>
                <a:rPr lang="de-DE" sz="1600"/>
                <a:t>Es handelt sich um zwei Renten, daher ist die</a:t>
              </a:r>
              <a:r>
                <a:rPr lang="de-DE" sz="1600" baseline="0"/>
                <a:t> Anwendung des Rentenbarwertfaktors möglich:</a:t>
              </a:r>
            </a:p>
            <a:p>
              <a:endParaRPr lang="de-DE" sz="1100" baseline="0"/>
            </a:p>
            <a:p>
              <a:pPr marL="0" marR="0" lvl="0" indent="0" defTabSz="914400" rtl="0" eaLnBrk="1" fontAlgn="auto" latinLnBrk="0" hangingPunct="1">
                <a:lnSpc>
                  <a:spcPct val="100000"/>
                </a:lnSpc>
                <a:spcBef>
                  <a:spcPts val="0"/>
                </a:spcBef>
                <a:spcAft>
                  <a:spcPts val="0"/>
                </a:spcAft>
                <a:buClrTx/>
                <a:buSzTx/>
                <a:buFontTx/>
                <a:buNone/>
                <a:tabLst/>
                <a:defRPr/>
              </a:pPr>
              <a:r>
                <a:rPr lang="de-DE" sz="1600" b="1" baseline="0"/>
                <a:t>Investition A: </a:t>
              </a: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K</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C x </a:t>
              </a:r>
              <a14:m>
                <m:oMath xmlns:m="http://schemas.openxmlformats.org/officeDocument/2006/math">
                  <m:f>
                    <m:fPr>
                      <m:ctrlPr>
                        <a:rPr lang="de-DE" sz="1600" i="1">
                          <a:solidFill>
                            <a:schemeClr val="dk1"/>
                          </a:solidFill>
                          <a:effectLst/>
                          <a:latin typeface="Cambria Math" panose="02040503050406030204" pitchFamily="18" charset="0"/>
                          <a:ea typeface="+mn-ea"/>
                          <a:cs typeface="+mn-cs"/>
                        </a:rPr>
                      </m:ctrlPr>
                    </m:fPr>
                    <m:num>
                      <m:d>
                        <m:dPr>
                          <m:ctrlPr>
                            <a:rPr lang="de-DE" sz="1600" i="1">
                              <a:solidFill>
                                <a:schemeClr val="dk1"/>
                              </a:solidFill>
                              <a:effectLst/>
                              <a:latin typeface="Cambria Math" panose="02040503050406030204" pitchFamily="18" charset="0"/>
                              <a:ea typeface="+mn-ea"/>
                              <a:cs typeface="+mn-cs"/>
                            </a:rPr>
                          </m:ctrlPr>
                        </m:dPr>
                        <m:e>
                          <m:r>
                            <a:rPr lang="de-DE" sz="1600" i="1">
                              <a:solidFill>
                                <a:schemeClr val="dk1"/>
                              </a:solidFill>
                              <a:effectLst/>
                              <a:latin typeface="Cambria Math" panose="02040503050406030204" pitchFamily="18" charset="0"/>
                              <a:ea typeface="+mn-ea"/>
                              <a:cs typeface="+mn-cs"/>
                            </a:rPr>
                            <m:t>1+</m:t>
                          </m:r>
                          <m:r>
                            <a:rPr lang="de-DE" sz="1600" i="1">
                              <a:solidFill>
                                <a:schemeClr val="dk1"/>
                              </a:solidFill>
                              <a:effectLst/>
                              <a:latin typeface="Cambria Math" panose="02040503050406030204" pitchFamily="18" charset="0"/>
                              <a:ea typeface="+mn-ea"/>
                              <a:cs typeface="+mn-cs"/>
                            </a:rPr>
                            <m:t>𝑖</m:t>
                          </m:r>
                        </m:e>
                      </m:d>
                      <m:r>
                        <a:rPr lang="de-DE" sz="1600" i="1" baseline="30000">
                          <a:solidFill>
                            <a:schemeClr val="dk1"/>
                          </a:solidFill>
                          <a:effectLst/>
                          <a:latin typeface="Cambria Math" panose="02040503050406030204" pitchFamily="18" charset="0"/>
                          <a:ea typeface="+mn-ea"/>
                          <a:cs typeface="+mn-cs"/>
                        </a:rPr>
                        <m:t>𝑛</m:t>
                      </m:r>
                      <m:r>
                        <a:rPr lang="de-DE" sz="1600" i="1">
                          <a:solidFill>
                            <a:schemeClr val="dk1"/>
                          </a:solidFill>
                          <a:effectLst/>
                          <a:latin typeface="Cambria Math" panose="02040503050406030204" pitchFamily="18" charset="0"/>
                          <a:ea typeface="+mn-ea"/>
                          <a:cs typeface="+mn-cs"/>
                        </a:rPr>
                        <m:t> −1</m:t>
                      </m:r>
                    </m:num>
                    <m:den>
                      <m:r>
                        <a:rPr lang="de-DE" sz="1600" i="1">
                          <a:solidFill>
                            <a:schemeClr val="dk1"/>
                          </a:solidFill>
                          <a:effectLst/>
                          <a:latin typeface="Cambria Math" panose="02040503050406030204" pitchFamily="18" charset="0"/>
                          <a:ea typeface="+mn-ea"/>
                          <a:cs typeface="+mn-cs"/>
                        </a:rPr>
                        <m:t> </m:t>
                      </m:r>
                      <m:r>
                        <a:rPr lang="de-DE" sz="1600" i="1">
                          <a:solidFill>
                            <a:schemeClr val="dk1"/>
                          </a:solidFill>
                          <a:effectLst/>
                          <a:latin typeface="Cambria Math" panose="02040503050406030204" pitchFamily="18" charset="0"/>
                          <a:ea typeface="+mn-ea"/>
                          <a:cs typeface="+mn-cs"/>
                        </a:rPr>
                        <m:t>𝑖</m:t>
                      </m:r>
                      <m:r>
                        <a:rPr lang="de-DE" sz="1600" b="0" i="1">
                          <a:solidFill>
                            <a:schemeClr val="dk1"/>
                          </a:solidFill>
                          <a:effectLst/>
                          <a:latin typeface="Cambria Math" panose="02040503050406030204" pitchFamily="18" charset="0"/>
                          <a:ea typeface="+mn-ea"/>
                          <a:cs typeface="+mn-cs"/>
                        </a:rPr>
                        <m:t> </m:t>
                      </m:r>
                      <m:d>
                        <m:dPr>
                          <m:ctrlPr>
                            <a:rPr lang="de-DE" sz="1600" b="0" i="1">
                              <a:solidFill>
                                <a:schemeClr val="dk1"/>
                              </a:solidFill>
                              <a:effectLst/>
                              <a:latin typeface="Cambria Math" panose="02040503050406030204" pitchFamily="18" charset="0"/>
                              <a:ea typeface="+mn-ea"/>
                              <a:cs typeface="+mn-cs"/>
                            </a:rPr>
                          </m:ctrlPr>
                        </m:dPr>
                        <m:e>
                          <m:r>
                            <a:rPr lang="de-DE" sz="1600" b="0" i="1">
                              <a:solidFill>
                                <a:schemeClr val="dk1"/>
                              </a:solidFill>
                              <a:effectLst/>
                              <a:latin typeface="Cambria Math" panose="02040503050406030204" pitchFamily="18" charset="0"/>
                              <a:ea typeface="+mn-ea"/>
                              <a:cs typeface="+mn-cs"/>
                            </a:rPr>
                            <m:t>1+</m:t>
                          </m:r>
                          <m:r>
                            <a:rPr lang="de-DE" sz="1600" b="0" i="1">
                              <a:solidFill>
                                <a:schemeClr val="dk1"/>
                              </a:solidFill>
                              <a:effectLst/>
                              <a:latin typeface="Cambria Math" panose="02040503050406030204" pitchFamily="18" charset="0"/>
                              <a:ea typeface="+mn-ea"/>
                              <a:cs typeface="+mn-cs"/>
                            </a:rPr>
                            <m:t>𝑖</m:t>
                          </m:r>
                        </m:e>
                      </m:d>
                      <m:r>
                        <a:rPr lang="de-DE" sz="1600" b="0" i="1" baseline="30000">
                          <a:solidFill>
                            <a:schemeClr val="dk1"/>
                          </a:solidFill>
                          <a:effectLst/>
                          <a:latin typeface="Cambria Math" panose="02040503050406030204" pitchFamily="18" charset="0"/>
                          <a:ea typeface="+mn-ea"/>
                          <a:cs typeface="+mn-cs"/>
                        </a:rPr>
                        <m:t>𝑛</m:t>
                      </m:r>
                    </m:den>
                  </m:f>
                </m:oMath>
              </a14:m>
              <a:r>
                <a:rPr lang="de-DE" sz="1600">
                  <a:solidFill>
                    <a:schemeClr val="dk1"/>
                  </a:solidFill>
                  <a:effectLst/>
                  <a:latin typeface="+mn-lt"/>
                  <a:ea typeface="+mn-ea"/>
                  <a:cs typeface="+mn-cs"/>
                </a:rPr>
                <a:t>  - A</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K</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6.000 x </a:t>
              </a:r>
              <a14:m>
                <m:oMath xmlns:m="http://schemas.openxmlformats.org/officeDocument/2006/math">
                  <m:f>
                    <m:fPr>
                      <m:ctrlPr>
                        <a:rPr lang="de-DE" sz="1600" i="1">
                          <a:solidFill>
                            <a:schemeClr val="dk1"/>
                          </a:solidFill>
                          <a:effectLst/>
                          <a:latin typeface="Cambria Math" panose="02040503050406030204" pitchFamily="18" charset="0"/>
                          <a:ea typeface="+mn-ea"/>
                          <a:cs typeface="+mn-cs"/>
                        </a:rPr>
                      </m:ctrlPr>
                    </m:fPr>
                    <m:num>
                      <m:d>
                        <m:dPr>
                          <m:ctrlPr>
                            <a:rPr lang="de-DE" sz="1600" i="1">
                              <a:solidFill>
                                <a:schemeClr val="dk1"/>
                              </a:solidFill>
                              <a:effectLst/>
                              <a:latin typeface="Cambria Math" panose="02040503050406030204" pitchFamily="18" charset="0"/>
                              <a:ea typeface="+mn-ea"/>
                              <a:cs typeface="+mn-cs"/>
                            </a:rPr>
                          </m:ctrlPr>
                        </m:dPr>
                        <m:e>
                          <m:r>
                            <a:rPr lang="de-DE" sz="1600" i="1">
                              <a:solidFill>
                                <a:schemeClr val="dk1"/>
                              </a:solidFill>
                              <a:effectLst/>
                              <a:latin typeface="Cambria Math" panose="02040503050406030204" pitchFamily="18" charset="0"/>
                              <a:ea typeface="+mn-ea"/>
                              <a:cs typeface="+mn-cs"/>
                            </a:rPr>
                            <m:t>1+</m:t>
                          </m:r>
                          <m:r>
                            <a:rPr lang="de-DE" sz="1600" b="0" i="1">
                              <a:solidFill>
                                <a:schemeClr val="dk1"/>
                              </a:solidFill>
                              <a:effectLst/>
                              <a:latin typeface="Cambria Math" panose="02040503050406030204" pitchFamily="18" charset="0"/>
                              <a:ea typeface="+mn-ea"/>
                              <a:cs typeface="+mn-cs"/>
                            </a:rPr>
                            <m:t>0,07</m:t>
                          </m:r>
                        </m:e>
                      </m:d>
                      <m:r>
                        <a:rPr lang="de-DE" sz="1600" b="0" i="1" baseline="30000">
                          <a:solidFill>
                            <a:schemeClr val="dk1"/>
                          </a:solidFill>
                          <a:effectLst/>
                          <a:latin typeface="Cambria Math" panose="02040503050406030204" pitchFamily="18" charset="0"/>
                          <a:ea typeface="+mn-ea"/>
                          <a:cs typeface="+mn-cs"/>
                        </a:rPr>
                        <m:t>3</m:t>
                      </m:r>
                      <m:r>
                        <a:rPr lang="de-DE" sz="1600" i="1">
                          <a:solidFill>
                            <a:schemeClr val="dk1"/>
                          </a:solidFill>
                          <a:effectLst/>
                          <a:latin typeface="Cambria Math" panose="02040503050406030204" pitchFamily="18" charset="0"/>
                          <a:ea typeface="+mn-ea"/>
                          <a:cs typeface="+mn-cs"/>
                        </a:rPr>
                        <m:t> −1</m:t>
                      </m:r>
                    </m:num>
                    <m:den>
                      <m:r>
                        <a:rPr lang="de-DE" sz="1600" i="1">
                          <a:solidFill>
                            <a:schemeClr val="dk1"/>
                          </a:solidFill>
                          <a:effectLst/>
                          <a:latin typeface="Cambria Math" panose="02040503050406030204" pitchFamily="18" charset="0"/>
                          <a:ea typeface="+mn-ea"/>
                          <a:cs typeface="+mn-cs"/>
                        </a:rPr>
                        <m:t> </m:t>
                      </m:r>
                      <m:r>
                        <a:rPr lang="de-DE" sz="1600" b="0" i="1">
                          <a:solidFill>
                            <a:schemeClr val="dk1"/>
                          </a:solidFill>
                          <a:effectLst/>
                          <a:latin typeface="Cambria Math" panose="02040503050406030204" pitchFamily="18" charset="0"/>
                          <a:ea typeface="+mn-ea"/>
                          <a:cs typeface="+mn-cs"/>
                        </a:rPr>
                        <m:t>0,07 </m:t>
                      </m:r>
                      <m:d>
                        <m:dPr>
                          <m:ctrlPr>
                            <a:rPr lang="de-DE" sz="1600" b="0" i="1">
                              <a:solidFill>
                                <a:schemeClr val="dk1"/>
                              </a:solidFill>
                              <a:effectLst/>
                              <a:latin typeface="Cambria Math" panose="02040503050406030204" pitchFamily="18" charset="0"/>
                              <a:ea typeface="+mn-ea"/>
                              <a:cs typeface="+mn-cs"/>
                            </a:rPr>
                          </m:ctrlPr>
                        </m:dPr>
                        <m:e>
                          <m:r>
                            <a:rPr lang="de-DE" sz="1600" b="0" i="1">
                              <a:solidFill>
                                <a:schemeClr val="dk1"/>
                              </a:solidFill>
                              <a:effectLst/>
                              <a:latin typeface="Cambria Math" panose="02040503050406030204" pitchFamily="18" charset="0"/>
                              <a:ea typeface="+mn-ea"/>
                              <a:cs typeface="+mn-cs"/>
                            </a:rPr>
                            <m:t>1+0,07</m:t>
                          </m:r>
                        </m:e>
                      </m:d>
                      <m:r>
                        <a:rPr lang="de-DE" sz="1600" b="0" i="1" baseline="30000">
                          <a:solidFill>
                            <a:schemeClr val="dk1"/>
                          </a:solidFill>
                          <a:effectLst/>
                          <a:latin typeface="Cambria Math" panose="02040503050406030204" pitchFamily="18" charset="0"/>
                          <a:ea typeface="+mn-ea"/>
                          <a:cs typeface="+mn-cs"/>
                        </a:rPr>
                        <m:t>3</m:t>
                      </m:r>
                    </m:den>
                  </m:f>
                </m:oMath>
              </a14:m>
              <a:r>
                <a:rPr lang="de-DE" sz="1600">
                  <a:solidFill>
                    <a:schemeClr val="dk1"/>
                  </a:solidFill>
                  <a:effectLst/>
                  <a:latin typeface="+mn-lt"/>
                  <a:ea typeface="+mn-ea"/>
                  <a:cs typeface="+mn-cs"/>
                </a:rPr>
                <a:t>  - 15.000 =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15.745,90 - 15.000 = 745,90 €</a:t>
              </a:r>
              <a:endParaRPr lang="de-DE" sz="16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de-DE">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1" i="0" u="none" strike="noStrike" kern="0" cap="none" spc="0" normalizeH="0" baseline="0" noProof="0">
                  <a:ln>
                    <a:noFill/>
                  </a:ln>
                  <a:solidFill>
                    <a:prstClr val="black"/>
                  </a:solidFill>
                  <a:effectLst/>
                  <a:uLnTx/>
                  <a:uFillTx/>
                  <a:latin typeface="+mn-lt"/>
                  <a:ea typeface="+mn-ea"/>
                  <a:cs typeface="+mn-cs"/>
                </a:rPr>
                <a:t>Investition A: </a:t>
              </a: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C x </a:t>
              </a:r>
              <a14:m>
                <m:oMath xmlns:m="http://schemas.openxmlformats.org/officeDocument/2006/math">
                  <m:f>
                    <m:f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d>
                        <m:d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𝑖</m:t>
                          </m:r>
                        </m:e>
                      </m:d>
                      <m:r>
                        <a:rPr kumimoji="0" lang="de-DE" sz="16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𝑛</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−1</m:t>
                      </m:r>
                    </m:num>
                    <m:den>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𝑖</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m:t>
                      </m:r>
                      <m:d>
                        <m:d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𝑖</m:t>
                          </m:r>
                        </m:e>
                      </m:d>
                      <m:r>
                        <a:rPr kumimoji="0" lang="de-DE" sz="16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𝑛</m:t>
                      </m:r>
                    </m:den>
                  </m:f>
                </m:oMath>
              </a14:m>
              <a:r>
                <a:rPr kumimoji="0" lang="de-DE" sz="1600" b="0" i="0" u="none" strike="noStrike" kern="0" cap="none" spc="0" normalizeH="0" baseline="0" noProof="0">
                  <a:ln>
                    <a:noFill/>
                  </a:ln>
                  <a:solidFill>
                    <a:prstClr val="black"/>
                  </a:solidFill>
                  <a:effectLst/>
                  <a:uLnTx/>
                  <a:uFillTx/>
                  <a:latin typeface="+mn-lt"/>
                  <a:ea typeface="+mn-ea"/>
                  <a:cs typeface="+mn-cs"/>
                </a:rPr>
                <a:t>  - A</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6.478 x </a:t>
              </a:r>
              <a14:m>
                <m:oMath xmlns:m="http://schemas.openxmlformats.org/officeDocument/2006/math">
                  <m:f>
                    <m:f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fPr>
                    <m:num>
                      <m:d>
                        <m:d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1+0,07</m:t>
                          </m:r>
                        </m:e>
                      </m:d>
                      <m:r>
                        <a:rPr kumimoji="0" lang="de-DE" sz="16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3</m:t>
                      </m:r>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−1</m:t>
                      </m:r>
                    </m:num>
                    <m:den>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 0,07 </m:t>
                      </m:r>
                      <m:d>
                        <m:dPr>
                          <m:ctrlP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ctrlPr>
                        </m:dPr>
                        <m:e>
                          <m:r>
                            <a:rPr kumimoji="0" lang="de-DE" sz="1600" b="0" i="1" u="none" strike="noStrike" kern="0" cap="none" spc="0" normalizeH="0" baseline="0" noProof="0">
                              <a:ln>
                                <a:noFill/>
                              </a:ln>
                              <a:solidFill>
                                <a:prstClr val="black"/>
                              </a:solidFill>
                              <a:effectLst/>
                              <a:uLnTx/>
                              <a:uFillTx/>
                              <a:latin typeface="Cambria Math" panose="02040503050406030204" pitchFamily="18" charset="0"/>
                              <a:ea typeface="+mn-ea"/>
                              <a:cs typeface="+mn-cs"/>
                            </a:rPr>
                            <m:t>1+0,07</m:t>
                          </m:r>
                        </m:e>
                      </m:d>
                      <m:r>
                        <a:rPr kumimoji="0" lang="de-DE" sz="1600" b="0" i="1" u="none" strike="noStrike" kern="0" cap="none" spc="0" normalizeH="0" baseline="30000" noProof="0">
                          <a:ln>
                            <a:noFill/>
                          </a:ln>
                          <a:solidFill>
                            <a:prstClr val="black"/>
                          </a:solidFill>
                          <a:effectLst/>
                          <a:uLnTx/>
                          <a:uFillTx/>
                          <a:latin typeface="Cambria Math" panose="02040503050406030204" pitchFamily="18" charset="0"/>
                          <a:ea typeface="+mn-ea"/>
                          <a:cs typeface="+mn-cs"/>
                        </a:rPr>
                        <m:t>3</m:t>
                      </m:r>
                    </m:den>
                  </m:f>
                </m:oMath>
              </a14:m>
              <a:r>
                <a:rPr kumimoji="0" lang="de-DE" sz="1600" b="0" i="0" u="none" strike="noStrike" kern="0" cap="none" spc="0" normalizeH="0" baseline="0" noProof="0">
                  <a:ln>
                    <a:noFill/>
                  </a:ln>
                  <a:solidFill>
                    <a:prstClr val="black"/>
                  </a:solidFill>
                  <a:effectLst/>
                  <a:uLnTx/>
                  <a:uFillTx/>
                  <a:latin typeface="+mn-lt"/>
                  <a:ea typeface="+mn-ea"/>
                  <a:cs typeface="+mn-cs"/>
                </a:rPr>
                <a:t>  - 17.000 =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17.000,32 - 17.000 = 0,32 €</a:t>
              </a:r>
            </a:p>
            <a:p>
              <a:endParaRPr lang="de-DE" sz="1100"/>
            </a:p>
          </xdr:txBody>
        </xdr:sp>
      </mc:Choice>
      <mc:Fallback>
        <xdr:sp macro="" textlink="">
          <xdr:nvSpPr>
            <xdr:cNvPr id="2" name="Textfeld 1">
              <a:extLst>
                <a:ext uri="{FF2B5EF4-FFF2-40B4-BE49-F238E27FC236}">
                  <a16:creationId xmlns:a16="http://schemas.microsoft.com/office/drawing/2014/main" id="{8587FFD0-FB60-4A4C-B8D2-87A7A69E7823}"/>
                </a:ext>
              </a:extLst>
            </xdr:cNvPr>
            <xdr:cNvSpPr txBox="1"/>
          </xdr:nvSpPr>
          <xdr:spPr>
            <a:xfrm>
              <a:off x="9153525" y="133349"/>
              <a:ext cx="7924800" cy="549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Lösung auf dem Papier:</a:t>
              </a:r>
            </a:p>
            <a:p>
              <a:endParaRPr lang="de-DE" sz="1600"/>
            </a:p>
            <a:p>
              <a:r>
                <a:rPr lang="de-DE" sz="1600"/>
                <a:t>Es handelt sich um zwei Renten, daher ist die</a:t>
              </a:r>
              <a:r>
                <a:rPr lang="de-DE" sz="1600" baseline="0"/>
                <a:t> Anwendung des Rentenbarwertfaktors möglich:</a:t>
              </a:r>
            </a:p>
            <a:p>
              <a:endParaRPr lang="de-DE" sz="1100" baseline="0"/>
            </a:p>
            <a:p>
              <a:pPr marL="0" marR="0" lvl="0" indent="0" defTabSz="914400" rtl="0" eaLnBrk="1" fontAlgn="auto" latinLnBrk="0" hangingPunct="1">
                <a:lnSpc>
                  <a:spcPct val="100000"/>
                </a:lnSpc>
                <a:spcBef>
                  <a:spcPts val="0"/>
                </a:spcBef>
                <a:spcAft>
                  <a:spcPts val="0"/>
                </a:spcAft>
                <a:buClrTx/>
                <a:buSzTx/>
                <a:buFontTx/>
                <a:buNone/>
                <a:tabLst/>
                <a:defRPr/>
              </a:pPr>
              <a:r>
                <a:rPr lang="de-DE" sz="1600" b="1" baseline="0"/>
                <a:t>Investition A: </a:t>
              </a: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K</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C x </a:t>
              </a:r>
              <a:r>
                <a:rPr lang="de-DE" sz="1600" i="0">
                  <a:solidFill>
                    <a:schemeClr val="dk1"/>
                  </a:solidFill>
                  <a:effectLst/>
                  <a:latin typeface="Cambria Math" panose="02040503050406030204" pitchFamily="18" charset="0"/>
                  <a:ea typeface="+mn-ea"/>
                  <a:cs typeface="+mn-cs"/>
                </a:rPr>
                <a:t>((1+𝑖)</a:t>
              </a:r>
              <a:r>
                <a:rPr lang="de-DE" sz="1600" i="0" baseline="30000">
                  <a:solidFill>
                    <a:schemeClr val="dk1"/>
                  </a:solidFill>
                  <a:effectLst/>
                  <a:latin typeface="Cambria Math" panose="02040503050406030204" pitchFamily="18" charset="0"/>
                  <a:ea typeface="+mn-ea"/>
                  <a:cs typeface="+mn-cs"/>
                </a:rPr>
                <a:t>𝑛</a:t>
              </a:r>
              <a:r>
                <a:rPr lang="de-DE" sz="1600" i="0">
                  <a:solidFill>
                    <a:schemeClr val="dk1"/>
                  </a:solidFill>
                  <a:effectLst/>
                  <a:latin typeface="Cambria Math" panose="02040503050406030204" pitchFamily="18" charset="0"/>
                  <a:ea typeface="+mn-ea"/>
                  <a:cs typeface="+mn-cs"/>
                </a:rPr>
                <a:t> −1)/( 𝑖</a:t>
              </a:r>
              <a:r>
                <a:rPr lang="de-DE" sz="1600" b="0" i="0">
                  <a:solidFill>
                    <a:schemeClr val="dk1"/>
                  </a:solidFill>
                  <a:effectLst/>
                  <a:latin typeface="Cambria Math" panose="02040503050406030204" pitchFamily="18" charset="0"/>
                  <a:ea typeface="+mn-ea"/>
                  <a:cs typeface="+mn-cs"/>
                </a:rPr>
                <a:t> (1+𝑖)</a:t>
              </a:r>
              <a:r>
                <a:rPr lang="de-DE" sz="1600" b="0" i="0" baseline="30000">
                  <a:solidFill>
                    <a:schemeClr val="dk1"/>
                  </a:solidFill>
                  <a:effectLst/>
                  <a:latin typeface="Cambria Math" panose="02040503050406030204" pitchFamily="18" charset="0"/>
                  <a:ea typeface="+mn-ea"/>
                  <a:cs typeface="+mn-cs"/>
                </a:rPr>
                <a:t>𝑛)</a:t>
              </a:r>
              <a:r>
                <a:rPr lang="de-DE" sz="1600">
                  <a:solidFill>
                    <a:schemeClr val="dk1"/>
                  </a:solidFill>
                  <a:effectLst/>
                  <a:latin typeface="+mn-lt"/>
                  <a:ea typeface="+mn-ea"/>
                  <a:cs typeface="+mn-cs"/>
                </a:rPr>
                <a:t>  - A</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K</a:t>
              </a:r>
              <a:r>
                <a:rPr lang="de-DE" sz="1600" baseline="-25000">
                  <a:solidFill>
                    <a:schemeClr val="dk1"/>
                  </a:solidFill>
                  <a:effectLst/>
                  <a:latin typeface="+mn-lt"/>
                  <a:ea typeface="+mn-ea"/>
                  <a:cs typeface="+mn-cs"/>
                </a:rPr>
                <a:t>0</a:t>
              </a:r>
              <a:r>
                <a:rPr lang="de-DE" sz="1600">
                  <a:solidFill>
                    <a:schemeClr val="dk1"/>
                  </a:solidFill>
                  <a:effectLst/>
                  <a:latin typeface="+mn-lt"/>
                  <a:ea typeface="+mn-ea"/>
                  <a:cs typeface="+mn-cs"/>
                </a:rPr>
                <a:t> = 6.000 x </a:t>
              </a:r>
              <a:r>
                <a:rPr lang="de-DE" sz="1600" i="0">
                  <a:solidFill>
                    <a:schemeClr val="dk1"/>
                  </a:solidFill>
                  <a:effectLst/>
                  <a:latin typeface="Cambria Math" panose="02040503050406030204" pitchFamily="18" charset="0"/>
                  <a:ea typeface="+mn-ea"/>
                  <a:cs typeface="+mn-cs"/>
                </a:rPr>
                <a:t>((1+</a:t>
              </a:r>
              <a:r>
                <a:rPr lang="de-DE" sz="1600" b="0" i="0">
                  <a:solidFill>
                    <a:schemeClr val="dk1"/>
                  </a:solidFill>
                  <a:effectLst/>
                  <a:latin typeface="Cambria Math" panose="02040503050406030204" pitchFamily="18" charset="0"/>
                  <a:ea typeface="+mn-ea"/>
                  <a:cs typeface="+mn-cs"/>
                </a:rPr>
                <a:t>0,07)</a:t>
              </a:r>
              <a:r>
                <a:rPr lang="de-DE" sz="1600" b="0" i="0" baseline="30000">
                  <a:solidFill>
                    <a:schemeClr val="dk1"/>
                  </a:solidFill>
                  <a:effectLst/>
                  <a:latin typeface="Cambria Math" panose="02040503050406030204" pitchFamily="18" charset="0"/>
                  <a:ea typeface="+mn-ea"/>
                  <a:cs typeface="+mn-cs"/>
                </a:rPr>
                <a:t>3</a:t>
              </a:r>
              <a:r>
                <a:rPr lang="de-DE" sz="1600" i="0">
                  <a:solidFill>
                    <a:schemeClr val="dk1"/>
                  </a:solidFill>
                  <a:effectLst/>
                  <a:latin typeface="Cambria Math" panose="02040503050406030204" pitchFamily="18" charset="0"/>
                  <a:ea typeface="+mn-ea"/>
                  <a:cs typeface="+mn-cs"/>
                </a:rPr>
                <a:t> −1)/( </a:t>
              </a:r>
              <a:r>
                <a:rPr lang="de-DE" sz="1600" b="0" i="0">
                  <a:solidFill>
                    <a:schemeClr val="dk1"/>
                  </a:solidFill>
                  <a:effectLst/>
                  <a:latin typeface="Cambria Math" panose="02040503050406030204" pitchFamily="18" charset="0"/>
                  <a:ea typeface="+mn-ea"/>
                  <a:cs typeface="+mn-cs"/>
                </a:rPr>
                <a:t>0,07 (1+0,07)</a:t>
              </a:r>
              <a:r>
                <a:rPr lang="de-DE" sz="1600" b="0" i="0" baseline="30000">
                  <a:solidFill>
                    <a:schemeClr val="dk1"/>
                  </a:solidFill>
                  <a:effectLst/>
                  <a:latin typeface="Cambria Math" panose="02040503050406030204" pitchFamily="18" charset="0"/>
                  <a:ea typeface="+mn-ea"/>
                  <a:cs typeface="+mn-cs"/>
                </a:rPr>
                <a:t>3)</a:t>
              </a:r>
              <a:r>
                <a:rPr lang="de-DE" sz="1600">
                  <a:solidFill>
                    <a:schemeClr val="dk1"/>
                  </a:solidFill>
                  <a:effectLst/>
                  <a:latin typeface="+mn-lt"/>
                  <a:ea typeface="+mn-ea"/>
                  <a:cs typeface="+mn-cs"/>
                </a:rPr>
                <a:t>  - 15.000 = </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600">
                  <a:solidFill>
                    <a:schemeClr val="dk1"/>
                  </a:solidFill>
                  <a:effectLst/>
                  <a:latin typeface="+mn-lt"/>
                  <a:ea typeface="+mn-ea"/>
                  <a:cs typeface="+mn-cs"/>
                </a:rPr>
                <a:t>15.745,90 - 15.000 = 745,90 €</a:t>
              </a:r>
              <a:endParaRPr lang="de-DE" sz="16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de-DE">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1" i="0" u="none" strike="noStrike" kern="0" cap="none" spc="0" normalizeH="0" baseline="0" noProof="0">
                  <a:ln>
                    <a:noFill/>
                  </a:ln>
                  <a:solidFill>
                    <a:prstClr val="black"/>
                  </a:solidFill>
                  <a:effectLst/>
                  <a:uLnTx/>
                  <a:uFillTx/>
                  <a:latin typeface="+mn-lt"/>
                  <a:ea typeface="+mn-ea"/>
                  <a:cs typeface="+mn-cs"/>
                </a:rPr>
                <a:t>Investition A: </a:t>
              </a: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C x </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((1+𝑖)</a:t>
              </a:r>
              <a:r>
                <a:rPr kumimoji="0" lang="de-DE" sz="16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𝑛</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−1)/( 𝑖 (1+𝑖)</a:t>
              </a:r>
              <a:r>
                <a:rPr kumimoji="0" lang="de-DE" sz="16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𝑛</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a:t>
              </a:r>
              <a:r>
                <a:rPr kumimoji="0" lang="de-DE" sz="1600" b="0" i="0" u="none" strike="noStrike" kern="0" cap="none" spc="0" normalizeH="0" baseline="0" noProof="0">
                  <a:ln>
                    <a:noFill/>
                  </a:ln>
                  <a:solidFill>
                    <a:prstClr val="black"/>
                  </a:solidFill>
                  <a:effectLst/>
                  <a:uLnTx/>
                  <a:uFillTx/>
                  <a:latin typeface="+mn-lt"/>
                  <a:ea typeface="+mn-ea"/>
                  <a:cs typeface="+mn-cs"/>
                </a:rPr>
                <a:t>  - A</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K</a:t>
              </a:r>
              <a:r>
                <a:rPr kumimoji="0" lang="de-DE" sz="1600" b="0" i="0" u="none" strike="noStrike" kern="0" cap="none" spc="0" normalizeH="0" baseline="-25000" noProof="0">
                  <a:ln>
                    <a:noFill/>
                  </a:ln>
                  <a:solidFill>
                    <a:prstClr val="black"/>
                  </a:solidFill>
                  <a:effectLst/>
                  <a:uLnTx/>
                  <a:uFillTx/>
                  <a:latin typeface="+mn-lt"/>
                  <a:ea typeface="+mn-ea"/>
                  <a:cs typeface="+mn-cs"/>
                </a:rPr>
                <a:t>0</a:t>
              </a:r>
              <a:r>
                <a:rPr kumimoji="0" lang="de-DE" sz="1600" b="0" i="0" u="none" strike="noStrike" kern="0" cap="none" spc="0" normalizeH="0" baseline="0" noProof="0">
                  <a:ln>
                    <a:noFill/>
                  </a:ln>
                  <a:solidFill>
                    <a:prstClr val="black"/>
                  </a:solidFill>
                  <a:effectLst/>
                  <a:uLnTx/>
                  <a:uFillTx/>
                  <a:latin typeface="+mn-lt"/>
                  <a:ea typeface="+mn-ea"/>
                  <a:cs typeface="+mn-cs"/>
                </a:rPr>
                <a:t> = 6.478 x </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((1+0,07)</a:t>
              </a:r>
              <a:r>
                <a:rPr kumimoji="0" lang="de-DE" sz="16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3</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 −1)/( 0,07 (1+0,07)</a:t>
              </a:r>
              <a:r>
                <a:rPr kumimoji="0" lang="de-DE" sz="1600" b="0" i="0" u="none" strike="noStrike" kern="0" cap="none" spc="0" normalizeH="0" baseline="30000" noProof="0">
                  <a:ln>
                    <a:noFill/>
                  </a:ln>
                  <a:solidFill>
                    <a:prstClr val="black"/>
                  </a:solidFill>
                  <a:effectLst/>
                  <a:uLnTx/>
                  <a:uFillTx/>
                  <a:latin typeface="Cambria Math" panose="02040503050406030204" pitchFamily="18" charset="0"/>
                  <a:ea typeface="+mn-ea"/>
                  <a:cs typeface="+mn-cs"/>
                </a:rPr>
                <a:t>3</a:t>
              </a:r>
              <a:r>
                <a:rPr kumimoji="0" lang="de-DE" sz="1600" b="0" i="0" u="none" strike="noStrike" kern="0" cap="none" spc="0" normalizeH="0" baseline="0" noProof="0">
                  <a:ln>
                    <a:noFill/>
                  </a:ln>
                  <a:solidFill>
                    <a:prstClr val="black"/>
                  </a:solidFill>
                  <a:effectLst/>
                  <a:uLnTx/>
                  <a:uFillTx/>
                  <a:latin typeface="Cambria Math" panose="02040503050406030204" pitchFamily="18" charset="0"/>
                  <a:ea typeface="+mn-ea"/>
                  <a:cs typeface="+mn-cs"/>
                </a:rPr>
                <a:t>)</a:t>
              </a:r>
              <a:r>
                <a:rPr kumimoji="0" lang="de-DE" sz="1600" b="0" i="0" u="none" strike="noStrike" kern="0" cap="none" spc="0" normalizeH="0" baseline="0" noProof="0">
                  <a:ln>
                    <a:noFill/>
                  </a:ln>
                  <a:solidFill>
                    <a:prstClr val="black"/>
                  </a:solidFill>
                  <a:effectLst/>
                  <a:uLnTx/>
                  <a:uFillTx/>
                  <a:latin typeface="+mn-lt"/>
                  <a:ea typeface="+mn-ea"/>
                  <a:cs typeface="+mn-cs"/>
                </a:rPr>
                <a:t>  - 17.000 =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de-DE"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de-DE" sz="1600" b="0" i="0" u="none" strike="noStrike" kern="0" cap="none" spc="0" normalizeH="0" baseline="0" noProof="0">
                  <a:ln>
                    <a:noFill/>
                  </a:ln>
                  <a:solidFill>
                    <a:prstClr val="black"/>
                  </a:solidFill>
                  <a:effectLst/>
                  <a:uLnTx/>
                  <a:uFillTx/>
                  <a:latin typeface="+mn-lt"/>
                  <a:ea typeface="+mn-ea"/>
                  <a:cs typeface="+mn-cs"/>
                </a:rPr>
                <a:t>17.000,32 - 17.000 = 0,32 €</a:t>
              </a:r>
            </a:p>
            <a:p>
              <a:endParaRPr lang="de-DE" sz="1100"/>
            </a:p>
          </xdr:txBody>
        </xdr:sp>
      </mc:Fallback>
    </mc:AlternateContent>
    <xdr:clientData/>
  </xdr:twoCellAnchor>
  <xdr:twoCellAnchor>
    <xdr:from>
      <xdr:col>1</xdr:col>
      <xdr:colOff>9524</xdr:colOff>
      <xdr:row>19</xdr:row>
      <xdr:rowOff>180975</xdr:rowOff>
    </xdr:from>
    <xdr:to>
      <xdr:col>7</xdr:col>
      <xdr:colOff>781050</xdr:colOff>
      <xdr:row>22</xdr:row>
      <xdr:rowOff>76200</xdr:rowOff>
    </xdr:to>
    <xdr:sp macro="" textlink="">
      <xdr:nvSpPr>
        <xdr:cNvPr id="3" name="Textfeld 2">
          <a:extLst>
            <a:ext uri="{FF2B5EF4-FFF2-40B4-BE49-F238E27FC236}">
              <a16:creationId xmlns:a16="http://schemas.microsoft.com/office/drawing/2014/main" id="{7916898E-A942-4F31-9AFC-0CFBA5EBF670}"/>
            </a:ext>
          </a:extLst>
        </xdr:cNvPr>
        <xdr:cNvSpPr txBox="1"/>
      </xdr:nvSpPr>
      <xdr:spPr>
        <a:xfrm>
          <a:off x="771524" y="3800475"/>
          <a:ext cx="5324476"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Bei Renten führen</a:t>
          </a:r>
          <a:r>
            <a:rPr lang="de-DE" sz="1100" baseline="0"/>
            <a:t> beide Funktionen zum richtigen Ergebnis, aber es empflielt sich, bei Renten die BW-Funktion zu verwenden.</a:t>
          </a:r>
          <a:endParaRPr lang="de-DE"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6</xdr:col>
      <xdr:colOff>723900</xdr:colOff>
      <xdr:row>2</xdr:row>
      <xdr:rowOff>38100</xdr:rowOff>
    </xdr:from>
    <xdr:to>
      <xdr:col>18</xdr:col>
      <xdr:colOff>428625</xdr:colOff>
      <xdr:row>21</xdr:row>
      <xdr:rowOff>104775</xdr:rowOff>
    </xdr:to>
    <xdr:sp macro="" textlink="">
      <xdr:nvSpPr>
        <xdr:cNvPr id="2" name="Textfeld 1">
          <a:extLst>
            <a:ext uri="{FF2B5EF4-FFF2-40B4-BE49-F238E27FC236}">
              <a16:creationId xmlns:a16="http://schemas.microsoft.com/office/drawing/2014/main" id="{976F22D0-77CE-4547-A1B0-205D6A217AAE}"/>
            </a:ext>
          </a:extLst>
        </xdr:cNvPr>
        <xdr:cNvSpPr txBox="1"/>
      </xdr:nvSpPr>
      <xdr:spPr>
        <a:xfrm>
          <a:off x="5295900" y="419100"/>
          <a:ext cx="8848725" cy="3686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a:t>Lösung auf dem Papier:</a:t>
          </a:r>
        </a:p>
        <a:p>
          <a:endParaRPr lang="de-DE" sz="1800"/>
        </a:p>
        <a:p>
          <a:r>
            <a:rPr lang="de-DE" sz="1800"/>
            <a:t>- 2.000.000€</a:t>
          </a:r>
          <a:r>
            <a:rPr lang="de-DE" sz="1800" baseline="0"/>
            <a:t> + 870.000€ * 1,1</a:t>
          </a:r>
          <a:r>
            <a:rPr lang="de-DE" sz="1800" baseline="30000"/>
            <a:t> -1 </a:t>
          </a:r>
          <a:r>
            <a:rPr lang="de-DE" sz="1800" baseline="0"/>
            <a:t>+ 2.068.000€ * 1,1 </a:t>
          </a:r>
          <a:r>
            <a:rPr lang="de-DE" sz="1800" baseline="30000"/>
            <a:t>-2</a:t>
          </a:r>
        </a:p>
        <a:p>
          <a:r>
            <a:rPr lang="de-DE" sz="1800" baseline="0"/>
            <a:t> </a:t>
          </a:r>
        </a:p>
        <a:p>
          <a:r>
            <a:rPr lang="de-DE" sz="1800" baseline="0"/>
            <a:t>= -2.000.000€ + 790.909,09€ + 1.709.090,91€ </a:t>
          </a:r>
        </a:p>
        <a:p>
          <a:endParaRPr lang="de-DE" sz="1800" baseline="0"/>
        </a:p>
        <a:p>
          <a:r>
            <a:rPr lang="de-DE" sz="1800" baseline="0"/>
            <a:t>= 500.000 €</a:t>
          </a:r>
          <a:endParaRPr lang="de-DE" sz="18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4</xdr:col>
      <xdr:colOff>647700</xdr:colOff>
      <xdr:row>2</xdr:row>
      <xdr:rowOff>0</xdr:rowOff>
    </xdr:from>
    <xdr:to>
      <xdr:col>13</xdr:col>
      <xdr:colOff>161926</xdr:colOff>
      <xdr:row>11</xdr:row>
      <xdr:rowOff>104775</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FA7FB111-FE3E-4524-94F9-D4CE14924396}"/>
                </a:ext>
              </a:extLst>
            </xdr:cNvPr>
            <xdr:cNvSpPr txBox="1"/>
          </xdr:nvSpPr>
          <xdr:spPr>
            <a:xfrm>
              <a:off x="3695700" y="381000"/>
              <a:ext cx="6372226"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Multiplikation des Kapitalwertes</a:t>
              </a:r>
              <a:r>
                <a:rPr lang="de-DE" sz="2000" baseline="0"/>
                <a:t> mit dem Wiedergewinnungsfaktor:</a:t>
              </a:r>
            </a:p>
            <a:p>
              <a:endParaRPr lang="de-DE" sz="2000"/>
            </a:p>
            <a:p>
              <a:r>
                <a:rPr lang="de-DE" sz="2000"/>
                <a:t>576,89€ * </a:t>
              </a:r>
              <a14:m>
                <m:oMath xmlns:m="http://schemas.openxmlformats.org/officeDocument/2006/math">
                  <m:f>
                    <m:fPr>
                      <m:ctrlPr>
                        <a:rPr lang="de-DE" sz="2000" i="1">
                          <a:latin typeface="Cambria Math" panose="02040503050406030204" pitchFamily="18" charset="0"/>
                        </a:rPr>
                      </m:ctrlPr>
                    </m:fPr>
                    <m:num>
                      <m:sSup>
                        <m:sSupPr>
                          <m:ctrlPr>
                            <a:rPr lang="de-DE" sz="2000" i="1">
                              <a:latin typeface="Cambria Math" panose="02040503050406030204" pitchFamily="18" charset="0"/>
                            </a:rPr>
                          </m:ctrlPr>
                        </m:sSupPr>
                        <m:e>
                          <m:r>
                            <a:rPr lang="de-DE" sz="2000" b="0" i="1">
                              <a:latin typeface="Cambria Math" panose="02040503050406030204" pitchFamily="18" charset="0"/>
                            </a:rPr>
                            <m:t>1,08</m:t>
                          </m:r>
                        </m:e>
                        <m:sup>
                          <m:r>
                            <a:rPr lang="de-DE" sz="2000" b="0" i="1">
                              <a:latin typeface="Cambria Math" panose="02040503050406030204" pitchFamily="18" charset="0"/>
                            </a:rPr>
                            <m:t>3</m:t>
                          </m:r>
                        </m:sup>
                      </m:sSup>
                      <m:r>
                        <a:rPr lang="de-DE" sz="2000" b="0" i="1">
                          <a:latin typeface="Cambria Math" panose="02040503050406030204" pitchFamily="18" charset="0"/>
                        </a:rPr>
                        <m:t>∗0,08</m:t>
                      </m:r>
                    </m:num>
                    <m:den>
                      <m:sSup>
                        <m:sSupPr>
                          <m:ctrlPr>
                            <a:rPr lang="de-DE" sz="2000" i="1">
                              <a:latin typeface="Cambria Math" panose="02040503050406030204" pitchFamily="18" charset="0"/>
                            </a:rPr>
                          </m:ctrlPr>
                        </m:sSupPr>
                        <m:e>
                          <m:r>
                            <a:rPr lang="de-DE" sz="2000" b="0" i="1">
                              <a:latin typeface="Cambria Math" panose="02040503050406030204" pitchFamily="18" charset="0"/>
                            </a:rPr>
                            <m:t>1,08</m:t>
                          </m:r>
                        </m:e>
                        <m:sup>
                          <m:r>
                            <a:rPr lang="de-DE" sz="2000" b="0" i="1">
                              <a:latin typeface="Cambria Math" panose="02040503050406030204" pitchFamily="18" charset="0"/>
                            </a:rPr>
                            <m:t>3</m:t>
                          </m:r>
                        </m:sup>
                      </m:sSup>
                      <m:r>
                        <a:rPr lang="de-DE" sz="2000" b="0" i="1">
                          <a:latin typeface="Cambria Math" panose="02040503050406030204" pitchFamily="18" charset="0"/>
                        </a:rPr>
                        <m:t>−1</m:t>
                      </m:r>
                    </m:den>
                  </m:f>
                  <m:r>
                    <a:rPr lang="de-DE" sz="2000" b="0" i="1">
                      <a:latin typeface="Cambria Math" panose="02040503050406030204" pitchFamily="18" charset="0"/>
                    </a:rPr>
                    <m:t>=576,89€ ∗0,388034= </m:t>
                  </m:r>
                </m:oMath>
              </a14:m>
              <a:r>
                <a:rPr lang="de-DE" sz="2000"/>
                <a:t>223,85 €</a:t>
              </a:r>
            </a:p>
          </xdr:txBody>
        </xdr:sp>
      </mc:Choice>
      <mc:Fallback>
        <xdr:sp macro="" textlink="">
          <xdr:nvSpPr>
            <xdr:cNvPr id="2" name="Textfeld 1">
              <a:extLst>
                <a:ext uri="{FF2B5EF4-FFF2-40B4-BE49-F238E27FC236}">
                  <a16:creationId xmlns:a16="http://schemas.microsoft.com/office/drawing/2014/main" id="{FA7FB111-FE3E-4524-94F9-D4CE14924396}"/>
                </a:ext>
              </a:extLst>
            </xdr:cNvPr>
            <xdr:cNvSpPr txBox="1"/>
          </xdr:nvSpPr>
          <xdr:spPr>
            <a:xfrm>
              <a:off x="3695700" y="381000"/>
              <a:ext cx="6372226"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Multiplikation des Kapitalwertes</a:t>
              </a:r>
              <a:r>
                <a:rPr lang="de-DE" sz="2000" baseline="0"/>
                <a:t> mit dem Wiedergewinnungsfaktor:</a:t>
              </a:r>
            </a:p>
            <a:p>
              <a:endParaRPr lang="de-DE" sz="2000"/>
            </a:p>
            <a:p>
              <a:r>
                <a:rPr lang="de-DE" sz="2000"/>
                <a:t>576,89€ * </a:t>
              </a:r>
              <a:r>
                <a:rPr lang="de-DE" sz="2000" i="0">
                  <a:latin typeface="Cambria Math" panose="02040503050406030204" pitchFamily="18" charset="0"/>
                </a:rPr>
                <a:t>(〖</a:t>
              </a:r>
              <a:r>
                <a:rPr lang="de-DE" sz="2000" b="0" i="0">
                  <a:latin typeface="Cambria Math" panose="02040503050406030204" pitchFamily="18" charset="0"/>
                </a:rPr>
                <a:t>1,08〗^3∗0,08)/(〖1,08〗^3−1)=576,89€ ∗0,388034= </a:t>
              </a:r>
              <a:r>
                <a:rPr lang="de-DE" sz="2000"/>
                <a:t>223,85 €</a:t>
              </a:r>
            </a:p>
          </xdr:txBody>
        </xdr:sp>
      </mc:Fallback>
    </mc:AlternateContent>
    <xdr:clientData/>
  </xdr:twoCellAnchor>
  <xdr:oneCellAnchor>
    <xdr:from>
      <xdr:col>10</xdr:col>
      <xdr:colOff>600075</xdr:colOff>
      <xdr:row>11</xdr:row>
      <xdr:rowOff>180975</xdr:rowOff>
    </xdr:from>
    <xdr:ext cx="5628571" cy="3190476"/>
    <xdr:pic>
      <xdr:nvPicPr>
        <xdr:cNvPr id="3" name="Grafik 2">
          <a:extLst>
            <a:ext uri="{FF2B5EF4-FFF2-40B4-BE49-F238E27FC236}">
              <a16:creationId xmlns:a16="http://schemas.microsoft.com/office/drawing/2014/main" id="{7F9146BE-9285-4728-920F-804E0A5793DF}"/>
            </a:ext>
          </a:extLst>
        </xdr:cNvPr>
        <xdr:cNvPicPr>
          <a:picLocks noChangeAspect="1"/>
        </xdr:cNvPicPr>
      </xdr:nvPicPr>
      <xdr:blipFill>
        <a:blip xmlns:r="http://schemas.openxmlformats.org/officeDocument/2006/relationships" r:embed="rId1"/>
        <a:stretch>
          <a:fillRect/>
        </a:stretch>
      </xdr:blipFill>
      <xdr:spPr>
        <a:xfrm>
          <a:off x="8220075" y="2276475"/>
          <a:ext cx="5628571" cy="3190476"/>
        </a:xfrm>
        <a:prstGeom prst="rect">
          <a:avLst/>
        </a:prstGeom>
      </xdr:spPr>
    </xdr:pic>
    <xdr:clientData/>
  </xdr:oneCellAnchor>
  <xdr:twoCellAnchor>
    <xdr:from>
      <xdr:col>5</xdr:col>
      <xdr:colOff>85726</xdr:colOff>
      <xdr:row>13</xdr:row>
      <xdr:rowOff>161926</xdr:rowOff>
    </xdr:from>
    <xdr:to>
      <xdr:col>10</xdr:col>
      <xdr:colOff>552450</xdr:colOff>
      <xdr:row>14</xdr:row>
      <xdr:rowOff>47625</xdr:rowOff>
    </xdr:to>
    <xdr:cxnSp macro="">
      <xdr:nvCxnSpPr>
        <xdr:cNvPr id="4" name="Gerade Verbindung mit Pfeil 3">
          <a:extLst>
            <a:ext uri="{FF2B5EF4-FFF2-40B4-BE49-F238E27FC236}">
              <a16:creationId xmlns:a16="http://schemas.microsoft.com/office/drawing/2014/main" id="{3636933A-2E01-4710-AFB8-A2BA0394149B}"/>
            </a:ext>
          </a:extLst>
        </xdr:cNvPr>
        <xdr:cNvCxnSpPr/>
      </xdr:nvCxnSpPr>
      <xdr:spPr>
        <a:xfrm flipH="1" flipV="1">
          <a:off x="3895726" y="2638426"/>
          <a:ext cx="4276724" cy="76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3</xdr:col>
      <xdr:colOff>38099</xdr:colOff>
      <xdr:row>6</xdr:row>
      <xdr:rowOff>171449</xdr:rowOff>
    </xdr:from>
    <xdr:to>
      <xdr:col>7</xdr:col>
      <xdr:colOff>9525</xdr:colOff>
      <xdr:row>9</xdr:row>
      <xdr:rowOff>114300</xdr:rowOff>
    </xdr:to>
    <xdr:sp macro="" textlink="">
      <xdr:nvSpPr>
        <xdr:cNvPr id="2" name="Textfeld 1">
          <a:extLst>
            <a:ext uri="{FF2B5EF4-FFF2-40B4-BE49-F238E27FC236}">
              <a16:creationId xmlns:a16="http://schemas.microsoft.com/office/drawing/2014/main" id="{39EFA4D7-DF12-402F-9241-74AA0F634950}"/>
            </a:ext>
          </a:extLst>
        </xdr:cNvPr>
        <xdr:cNvSpPr txBox="1"/>
      </xdr:nvSpPr>
      <xdr:spPr>
        <a:xfrm>
          <a:off x="2324099" y="1314449"/>
          <a:ext cx="3019426" cy="514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&lt;-- Berechnet mit Excel-Funktion NBW</a:t>
          </a:r>
        </a:p>
        <a:p>
          <a:r>
            <a:rPr lang="de-DE" sz="1100"/>
            <a:t>&lt;-- Berechnet mit Excel-Funktion BW, da Rente</a:t>
          </a:r>
        </a:p>
      </xdr:txBody>
    </xdr:sp>
    <xdr:clientData/>
  </xdr:twoCellAnchor>
  <xdr:twoCellAnchor>
    <xdr:from>
      <xdr:col>8</xdr:col>
      <xdr:colOff>47625</xdr:colOff>
      <xdr:row>14</xdr:row>
      <xdr:rowOff>123825</xdr:rowOff>
    </xdr:from>
    <xdr:to>
      <xdr:col>14</xdr:col>
      <xdr:colOff>28575</xdr:colOff>
      <xdr:row>31</xdr:row>
      <xdr:rowOff>57150</xdr:rowOff>
    </xdr:to>
    <xdr:sp macro="" textlink="">
      <xdr:nvSpPr>
        <xdr:cNvPr id="3" name="Textfeld 2">
          <a:extLst>
            <a:ext uri="{FF2B5EF4-FFF2-40B4-BE49-F238E27FC236}">
              <a16:creationId xmlns:a16="http://schemas.microsoft.com/office/drawing/2014/main" id="{8D6B0E0F-A1AD-44BE-865B-A0DC820480B9}"/>
            </a:ext>
          </a:extLst>
        </xdr:cNvPr>
        <xdr:cNvSpPr txBox="1"/>
      </xdr:nvSpPr>
      <xdr:spPr>
        <a:xfrm>
          <a:off x="6143625" y="2790825"/>
          <a:ext cx="4552950" cy="3171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 Teilaufgabe</a:t>
          </a:r>
          <a:r>
            <a:rPr lang="de-DE" sz="1100" baseline="0"/>
            <a:t> b):</a:t>
          </a:r>
        </a:p>
        <a:p>
          <a:endParaRPr lang="de-DE" sz="1100" baseline="0"/>
        </a:p>
        <a:p>
          <a:r>
            <a:rPr lang="de-DE" sz="1100" baseline="0"/>
            <a:t>Problematiken: </a:t>
          </a:r>
        </a:p>
        <a:p>
          <a:r>
            <a:rPr lang="de-DE" sz="1100" baseline="0"/>
            <a:t>Ergänzungsinvestition Maschine B:  70 TEUR</a:t>
          </a:r>
        </a:p>
        <a:p>
          <a:r>
            <a:rPr lang="de-DE" sz="1100" baseline="0"/>
            <a:t>Anschlussinvestition Maschine B:  4. und 5. Jahr</a:t>
          </a:r>
        </a:p>
        <a:p>
          <a:r>
            <a:rPr lang="de-DE" sz="1100" baseline="0"/>
            <a:t>Zahlungsstrukturdifferenzen: 10 TEUR im 1. Jahr, 5 TEUR im 2. Jahr, 15 TEUR im 3. Jahr.</a:t>
          </a:r>
        </a:p>
        <a:p>
          <a:endParaRPr lang="de-DE" sz="1100" baseline="0"/>
        </a:p>
        <a:p>
          <a:r>
            <a:rPr lang="de-DE" sz="1100" baseline="0"/>
            <a:t>Unter Zugrundelegung eines vollkommenen Kapitalmarktes ist der Vergleich vollständig, da die Kapitalwerte der Teilproblembereiche gleich null sind. </a:t>
          </a:r>
        </a:p>
        <a:p>
          <a:endParaRPr lang="de-DE" sz="1100" baseline="0"/>
        </a:p>
        <a:p>
          <a:endParaRPr lang="de-DE" sz="1100"/>
        </a:p>
      </xdr:txBody>
    </xdr:sp>
    <xdr:clientData/>
  </xdr:twoCellAnchor>
  <xdr:twoCellAnchor>
    <xdr:from>
      <xdr:col>8</xdr:col>
      <xdr:colOff>19050</xdr:colOff>
      <xdr:row>33</xdr:row>
      <xdr:rowOff>180974</xdr:rowOff>
    </xdr:from>
    <xdr:to>
      <xdr:col>14</xdr:col>
      <xdr:colOff>0</xdr:colOff>
      <xdr:row>56</xdr:row>
      <xdr:rowOff>9525</xdr:rowOff>
    </xdr:to>
    <xdr:sp macro="" textlink="">
      <xdr:nvSpPr>
        <xdr:cNvPr id="4" name="Textfeld 3">
          <a:extLst>
            <a:ext uri="{FF2B5EF4-FFF2-40B4-BE49-F238E27FC236}">
              <a16:creationId xmlns:a16="http://schemas.microsoft.com/office/drawing/2014/main" id="{B6CF0E0B-9DCB-4270-9332-3ABBBA9F1B09}"/>
            </a:ext>
          </a:extLst>
        </xdr:cNvPr>
        <xdr:cNvSpPr txBox="1"/>
      </xdr:nvSpPr>
      <xdr:spPr>
        <a:xfrm>
          <a:off x="6115050" y="6467474"/>
          <a:ext cx="4552950" cy="4210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 Teilaufgabe</a:t>
          </a:r>
          <a:r>
            <a:rPr lang="de-DE" sz="1100" baseline="0"/>
            <a:t> c):</a:t>
          </a:r>
        </a:p>
        <a:p>
          <a:endParaRPr lang="de-DE" sz="1100" baseline="0"/>
        </a:p>
        <a:p>
          <a:r>
            <a:rPr lang="de-DE" sz="1100" baseline="0"/>
            <a:t>Da Maschine B einen höheren internen Zinsfuß als Maschine A aufweist und der interne Zinsfuß von Maschine B höher ist, als der Kalkulationszinssatzz von 10 %, sollte nach der Internen-Zinsfuß-Methode Maschine B ausgewählt werden.</a:t>
          </a:r>
        </a:p>
        <a:p>
          <a:endParaRPr lang="de-DE" sz="1100" baseline="0"/>
        </a:p>
        <a:p>
          <a:r>
            <a:rPr lang="de-DE" sz="1100" u="sng" baseline="0"/>
            <a:t>ABER:</a:t>
          </a:r>
        </a:p>
        <a:p>
          <a:endParaRPr lang="de-DE" sz="1100" baseline="0"/>
        </a:p>
        <a:p>
          <a:r>
            <a:rPr lang="de-DE" sz="1100" baseline="0"/>
            <a:t>Gemäß Kapitalwertmethode (Teilaufgabe a) wäre Maschine A auszuwählen. Es treten also bei der Anwendung der Kapitalwertmethode und der Interner-Zinsfuß-Methode unterschiedliche Rangfolgen auf. </a:t>
          </a:r>
        </a:p>
        <a:p>
          <a:endParaRPr lang="de-DE" sz="1100" baseline="0"/>
        </a:p>
        <a:p>
          <a:r>
            <a:rPr lang="de-DE" sz="1100" b="1">
              <a:solidFill>
                <a:schemeClr val="dk1"/>
              </a:solidFill>
              <a:effectLst/>
              <a:latin typeface="+mn-lt"/>
              <a:ea typeface="+mn-ea"/>
              <a:cs typeface="+mn-cs"/>
            </a:rPr>
            <a:t>Insbesondere beim Vergleich von zwei Alternativprojekten mit deutlichen Unterschieden hinsichtlich der Anschaffungsausgaben, Rückflüssen oder Nutzungsdauern besteht bei der Internen-Zinsfuß-Methode die Gefahr von Fehlentscheidungen aufgrund der unrealistischen impliziten Wiederanlageprämisse zum internen Zinsfuß.</a:t>
          </a:r>
        </a:p>
        <a:p>
          <a:endParaRPr lang="de-DE" sz="1100" b="1" baseline="0">
            <a:solidFill>
              <a:schemeClr val="dk1"/>
            </a:solidFill>
            <a:effectLst/>
            <a:latin typeface="+mn-lt"/>
            <a:ea typeface="+mn-ea"/>
            <a:cs typeface="+mn-cs"/>
          </a:endParaRPr>
        </a:p>
        <a:p>
          <a:endParaRPr lang="de-DE" sz="1100" baseline="0"/>
        </a:p>
        <a:p>
          <a:pPr marL="0" marR="0" lvl="0" indent="0" defTabSz="914400" rtl="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Aus finanzierungstheoretischer Perspektive </a:t>
          </a:r>
          <a:r>
            <a:rPr lang="de-DE" sz="1100" u="sng">
              <a:solidFill>
                <a:schemeClr val="dk1"/>
              </a:solidFill>
              <a:effectLst/>
              <a:latin typeface="+mn-lt"/>
              <a:ea typeface="+mn-ea"/>
              <a:cs typeface="+mn-cs"/>
            </a:rPr>
            <a:t>kann allein die Kapitalwertmethode eine eindeutige Entscheidung treffen</a:t>
          </a:r>
          <a:r>
            <a:rPr lang="de-DE" sz="1100">
              <a:solidFill>
                <a:schemeClr val="dk1"/>
              </a:solidFill>
              <a:effectLst/>
              <a:latin typeface="+mn-lt"/>
              <a:ea typeface="+mn-ea"/>
              <a:cs typeface="+mn-cs"/>
            </a:rPr>
            <a:t>, sodass diese für die Entscheidungsfindung zu bevorzugen ist.  </a:t>
          </a:r>
          <a:r>
            <a:rPr lang="de-DE" sz="1100" b="1">
              <a:solidFill>
                <a:schemeClr val="dk1"/>
              </a:solidFill>
              <a:effectLst/>
              <a:latin typeface="+mn-lt"/>
              <a:ea typeface="+mn-ea"/>
              <a:cs typeface="+mn-cs"/>
            </a:rPr>
            <a:t>==&gt; Maschine A wählen</a:t>
          </a:r>
          <a:endParaRPr lang="de-DE" b="1">
            <a:effectLst/>
          </a:endParaRPr>
        </a:p>
        <a:p>
          <a:endParaRPr lang="de-DE" sz="1100" baseline="0"/>
        </a:p>
        <a:p>
          <a:endParaRPr lang="de-DE" sz="1100" baseline="0"/>
        </a:p>
        <a:p>
          <a:endParaRPr lang="de-DE" sz="1100"/>
        </a:p>
      </xdr:txBody>
    </xdr:sp>
    <xdr:clientData/>
  </xdr:twoCellAnchor>
  <xdr:twoCellAnchor>
    <xdr:from>
      <xdr:col>8</xdr:col>
      <xdr:colOff>76200</xdr:colOff>
      <xdr:row>1</xdr:row>
      <xdr:rowOff>171450</xdr:rowOff>
    </xdr:from>
    <xdr:to>
      <xdr:col>14</xdr:col>
      <xdr:colOff>9525</xdr:colOff>
      <xdr:row>10</xdr:row>
      <xdr:rowOff>9525</xdr:rowOff>
    </xdr:to>
    <xdr:sp macro="" textlink="">
      <xdr:nvSpPr>
        <xdr:cNvPr id="5" name="Textfeld 4">
          <a:extLst>
            <a:ext uri="{FF2B5EF4-FFF2-40B4-BE49-F238E27FC236}">
              <a16:creationId xmlns:a16="http://schemas.microsoft.com/office/drawing/2014/main" id="{15A7B400-DB57-4456-A558-FF03CAD0CC96}"/>
            </a:ext>
          </a:extLst>
        </xdr:cNvPr>
        <xdr:cNvSpPr txBox="1"/>
      </xdr:nvSpPr>
      <xdr:spPr>
        <a:xfrm>
          <a:off x="6172200" y="361950"/>
          <a:ext cx="4505325"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a:t>
          </a:r>
          <a:r>
            <a:rPr lang="de-DE" sz="1100" baseline="0"/>
            <a:t> Teilaufgabe a):</a:t>
          </a:r>
        </a:p>
        <a:p>
          <a:endParaRPr lang="de-DE" sz="1100" baseline="0"/>
        </a:p>
        <a:p>
          <a:r>
            <a:rPr lang="de-DE" sz="1100" baseline="0"/>
            <a:t>Da Maschine A einen höheren Kapitalwert aufweist als Maschine B, sollte Maschine A ausgewählt werden. </a:t>
          </a:r>
          <a:endParaRPr lang="de-DE" sz="1100"/>
        </a:p>
      </xdr:txBody>
    </xdr:sp>
    <xdr:clientData/>
  </xdr:twoCellAnchor>
  <xdr:twoCellAnchor>
    <xdr:from>
      <xdr:col>3</xdr:col>
      <xdr:colOff>0</xdr:colOff>
      <xdr:row>35</xdr:row>
      <xdr:rowOff>0</xdr:rowOff>
    </xdr:from>
    <xdr:to>
      <xdr:col>6</xdr:col>
      <xdr:colOff>733426</xdr:colOff>
      <xdr:row>37</xdr:row>
      <xdr:rowOff>133351</xdr:rowOff>
    </xdr:to>
    <xdr:sp macro="" textlink="">
      <xdr:nvSpPr>
        <xdr:cNvPr id="6" name="Textfeld 5">
          <a:extLst>
            <a:ext uri="{FF2B5EF4-FFF2-40B4-BE49-F238E27FC236}">
              <a16:creationId xmlns:a16="http://schemas.microsoft.com/office/drawing/2014/main" id="{7A703BE6-7056-4EF3-B3F1-F0A98F2AB270}"/>
            </a:ext>
          </a:extLst>
        </xdr:cNvPr>
        <xdr:cNvSpPr txBox="1"/>
      </xdr:nvSpPr>
      <xdr:spPr>
        <a:xfrm>
          <a:off x="2286000" y="6667500"/>
          <a:ext cx="3019426" cy="514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&lt;-- Berechnet mit Excel-Funktion IKV</a:t>
          </a:r>
        </a:p>
        <a:p>
          <a:r>
            <a:rPr lang="de-DE" sz="1100"/>
            <a:t>&lt;-- Berechnet mit Excel-Funktion IKV</a:t>
          </a:r>
        </a:p>
      </xdr:txBody>
    </xdr:sp>
    <xdr:clientData/>
  </xdr:twoCellAnchor>
  <xdr:twoCellAnchor>
    <xdr:from>
      <xdr:col>1</xdr:col>
      <xdr:colOff>0</xdr:colOff>
      <xdr:row>37</xdr:row>
      <xdr:rowOff>185737</xdr:rowOff>
    </xdr:from>
    <xdr:to>
      <xdr:col>3</xdr:col>
      <xdr:colOff>742950</xdr:colOff>
      <xdr:row>52</xdr:row>
      <xdr:rowOff>71437</xdr:rowOff>
    </xdr:to>
    <xdr:graphicFrame macro="">
      <xdr:nvGraphicFramePr>
        <xdr:cNvPr id="7" name="Diagramm 6">
          <a:extLst>
            <a:ext uri="{FF2B5EF4-FFF2-40B4-BE49-F238E27FC236}">
              <a16:creationId xmlns:a16="http://schemas.microsoft.com/office/drawing/2014/main" id="{DC51051A-31E2-48FB-8AE9-24B05926C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53</xdr:row>
      <xdr:rowOff>23812</xdr:rowOff>
    </xdr:from>
    <xdr:to>
      <xdr:col>3</xdr:col>
      <xdr:colOff>752475</xdr:colOff>
      <xdr:row>67</xdr:row>
      <xdr:rowOff>100012</xdr:rowOff>
    </xdr:to>
    <xdr:graphicFrame macro="">
      <xdr:nvGraphicFramePr>
        <xdr:cNvPr id="8" name="Diagramm 7">
          <a:extLst>
            <a:ext uri="{FF2B5EF4-FFF2-40B4-BE49-F238E27FC236}">
              <a16:creationId xmlns:a16="http://schemas.microsoft.com/office/drawing/2014/main" id="{25E81FA2-9604-4209-B489-0755A8A3E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7</xdr:col>
      <xdr:colOff>47625</xdr:colOff>
      <xdr:row>0</xdr:row>
      <xdr:rowOff>190499</xdr:rowOff>
    </xdr:from>
    <xdr:to>
      <xdr:col>15</xdr:col>
      <xdr:colOff>476250</xdr:colOff>
      <xdr:row>38</xdr:row>
      <xdr:rowOff>171450</xdr:rowOff>
    </xdr:to>
    <mc:AlternateContent xmlns:mc="http://schemas.openxmlformats.org/markup-compatibility/2006">
      <mc:Choice xmlns:a14="http://schemas.microsoft.com/office/drawing/2010/main" Requires="a14">
        <xdr:sp macro="" textlink="">
          <xdr:nvSpPr>
            <xdr:cNvPr id="2" name="Textfeld 1">
              <a:extLst>
                <a:ext uri="{FF2B5EF4-FFF2-40B4-BE49-F238E27FC236}">
                  <a16:creationId xmlns:a16="http://schemas.microsoft.com/office/drawing/2014/main" id="{6F54C3FC-D7A9-4CFA-B1B3-7FC38E64A59A}"/>
                </a:ext>
              </a:extLst>
            </xdr:cNvPr>
            <xdr:cNvSpPr txBox="1"/>
          </xdr:nvSpPr>
          <xdr:spPr>
            <a:xfrm>
              <a:off x="5381625" y="190499"/>
              <a:ext cx="6524625" cy="7219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a) Lösung mittels linearer Interpolation:</a:t>
              </a:r>
            </a:p>
            <a:p>
              <a:endParaRPr lang="de-DE" sz="1600"/>
            </a:p>
            <a:p>
              <a:endParaRPr lang="de-DE" sz="1600"/>
            </a:p>
            <a:p>
              <a:endParaRPr lang="de-DE" sz="1600"/>
            </a:p>
            <a:p>
              <a:endParaRPr lang="de-DE" sz="1600"/>
            </a:p>
            <a:p>
              <a:endParaRPr lang="de-DE" sz="1600"/>
            </a:p>
            <a:p>
              <a:endParaRPr lang="de-DE" sz="1600"/>
            </a:p>
            <a:p>
              <a:endParaRPr lang="de-DE" sz="1600"/>
            </a:p>
            <a:p>
              <a:endParaRPr lang="de-DE" sz="1600"/>
            </a:p>
            <a:p>
              <a:r>
                <a:rPr lang="de-DE" sz="1600"/>
                <a:t>Versuchszinssatz </a:t>
              </a:r>
              <a:r>
                <a:rPr lang="de-DE" sz="1600" baseline="0"/>
                <a:t> i</a:t>
              </a:r>
              <a:r>
                <a:rPr lang="de-DE" sz="1600" baseline="-25000"/>
                <a:t>1</a:t>
              </a:r>
              <a:r>
                <a:rPr lang="de-DE" sz="1600" baseline="0"/>
                <a:t> = 10 %</a:t>
              </a:r>
            </a:p>
            <a:p>
              <a:endParaRPr lang="de-DE" sz="1600" baseline="0"/>
            </a:p>
            <a:p>
              <a:r>
                <a:rPr lang="de-DE" sz="1600" baseline="0"/>
                <a:t>KW</a:t>
              </a:r>
              <a:r>
                <a:rPr lang="de-DE" sz="1600" baseline="-25000"/>
                <a:t>0</a:t>
              </a:r>
              <a:r>
                <a:rPr lang="de-DE" sz="1600" baseline="0"/>
                <a:t> bei Versuchszins i</a:t>
              </a:r>
              <a:r>
                <a:rPr lang="de-DE" sz="1600" baseline="-25000"/>
                <a:t>1</a:t>
              </a:r>
              <a:r>
                <a:rPr lang="de-DE" sz="1600" baseline="0"/>
                <a:t> = -16.000.000€ + 8.640.000€ * 1,1 </a:t>
              </a:r>
              <a:r>
                <a:rPr lang="de-DE" sz="1600" baseline="30000"/>
                <a:t>-1 </a:t>
              </a:r>
              <a:r>
                <a:rPr lang="de-DE" sz="1600" baseline="0"/>
                <a:t>+ 10.640. 000 € * 1,1 </a:t>
              </a:r>
              <a:r>
                <a:rPr lang="de-DE" sz="1600" baseline="30000"/>
                <a:t>-2 </a:t>
              </a:r>
              <a:r>
                <a:rPr lang="de-DE" sz="1600" baseline="0"/>
                <a:t>= 647.933,88 €</a:t>
              </a:r>
            </a:p>
            <a:p>
              <a:endParaRPr lang="de-DE" sz="1600" baseline="0"/>
            </a:p>
            <a:p>
              <a:r>
                <a:rPr lang="de-DE" sz="1600">
                  <a:solidFill>
                    <a:schemeClr val="dk1"/>
                  </a:solidFill>
                  <a:effectLst/>
                  <a:latin typeface="+mn-lt"/>
                  <a:ea typeface="+mn-ea"/>
                  <a:cs typeface="+mn-cs"/>
                </a:rPr>
                <a:t>Versuchszinssatz </a:t>
              </a:r>
              <a:r>
                <a:rPr lang="de-DE" sz="1600" baseline="0">
                  <a:solidFill>
                    <a:schemeClr val="dk1"/>
                  </a:solidFill>
                  <a:effectLst/>
                  <a:latin typeface="+mn-lt"/>
                  <a:ea typeface="+mn-ea"/>
                  <a:cs typeface="+mn-cs"/>
                </a:rPr>
                <a:t> i</a:t>
              </a:r>
              <a:r>
                <a:rPr lang="de-DE" sz="1600" baseline="-25000">
                  <a:solidFill>
                    <a:schemeClr val="dk1"/>
                  </a:solidFill>
                  <a:effectLst/>
                  <a:latin typeface="+mn-lt"/>
                  <a:ea typeface="+mn-ea"/>
                  <a:cs typeface="+mn-cs"/>
                </a:rPr>
                <a:t>2</a:t>
              </a:r>
              <a:r>
                <a:rPr lang="de-DE" sz="1600" baseline="0">
                  <a:solidFill>
                    <a:schemeClr val="dk1"/>
                  </a:solidFill>
                  <a:effectLst/>
                  <a:latin typeface="+mn-lt"/>
                  <a:ea typeface="+mn-ea"/>
                  <a:cs typeface="+mn-cs"/>
                </a:rPr>
                <a:t> = 15 %</a:t>
              </a:r>
            </a:p>
            <a:p>
              <a:endParaRPr lang="de-DE" sz="1600">
                <a:effectLst/>
              </a:endParaRPr>
            </a:p>
            <a:p>
              <a:r>
                <a:rPr lang="de-DE" sz="1600" baseline="0">
                  <a:solidFill>
                    <a:schemeClr val="dk1"/>
                  </a:solidFill>
                  <a:effectLst/>
                  <a:latin typeface="+mn-lt"/>
                  <a:ea typeface="+mn-ea"/>
                  <a:cs typeface="+mn-cs"/>
                </a:rPr>
                <a:t>KW</a:t>
              </a:r>
              <a:r>
                <a:rPr lang="de-DE" sz="1600" baseline="-25000">
                  <a:solidFill>
                    <a:schemeClr val="dk1"/>
                  </a:solidFill>
                  <a:effectLst/>
                  <a:latin typeface="+mn-lt"/>
                  <a:ea typeface="+mn-ea"/>
                  <a:cs typeface="+mn-cs"/>
                </a:rPr>
                <a:t>0</a:t>
              </a:r>
              <a:r>
                <a:rPr lang="de-DE" sz="1600" baseline="0">
                  <a:solidFill>
                    <a:schemeClr val="dk1"/>
                  </a:solidFill>
                  <a:effectLst/>
                  <a:latin typeface="+mn-lt"/>
                  <a:ea typeface="+mn-ea"/>
                  <a:cs typeface="+mn-cs"/>
                </a:rPr>
                <a:t> bei Versuchszins i</a:t>
              </a:r>
              <a:r>
                <a:rPr lang="de-DE" sz="1600" baseline="-25000">
                  <a:solidFill>
                    <a:schemeClr val="dk1"/>
                  </a:solidFill>
                  <a:effectLst/>
                  <a:latin typeface="+mn-lt"/>
                  <a:ea typeface="+mn-ea"/>
                  <a:cs typeface="+mn-cs"/>
                </a:rPr>
                <a:t>2</a:t>
              </a:r>
              <a:r>
                <a:rPr lang="de-DE" sz="1600" baseline="0">
                  <a:solidFill>
                    <a:schemeClr val="dk1"/>
                  </a:solidFill>
                  <a:effectLst/>
                  <a:latin typeface="+mn-lt"/>
                  <a:ea typeface="+mn-ea"/>
                  <a:cs typeface="+mn-cs"/>
                </a:rPr>
                <a:t> = -16.000.000€ + 8.640.000€ * 1,15 </a:t>
              </a:r>
              <a:r>
                <a:rPr lang="de-DE" sz="1600" baseline="30000">
                  <a:solidFill>
                    <a:schemeClr val="dk1"/>
                  </a:solidFill>
                  <a:effectLst/>
                  <a:latin typeface="+mn-lt"/>
                  <a:ea typeface="+mn-ea"/>
                  <a:cs typeface="+mn-cs"/>
                </a:rPr>
                <a:t>-1 </a:t>
              </a:r>
              <a:r>
                <a:rPr lang="de-DE" sz="1600" baseline="0">
                  <a:solidFill>
                    <a:schemeClr val="dk1"/>
                  </a:solidFill>
                  <a:effectLst/>
                  <a:latin typeface="+mn-lt"/>
                  <a:ea typeface="+mn-ea"/>
                  <a:cs typeface="+mn-cs"/>
                </a:rPr>
                <a:t>+ 10.640. 000 € * 1,15 </a:t>
              </a:r>
              <a:r>
                <a:rPr lang="de-DE" sz="1600" baseline="30000">
                  <a:solidFill>
                    <a:schemeClr val="dk1"/>
                  </a:solidFill>
                  <a:effectLst/>
                  <a:latin typeface="+mn-lt"/>
                  <a:ea typeface="+mn-ea"/>
                  <a:cs typeface="+mn-cs"/>
                </a:rPr>
                <a:t>-2 </a:t>
              </a:r>
              <a:r>
                <a:rPr lang="de-DE" sz="1600" baseline="0">
                  <a:solidFill>
                    <a:schemeClr val="dk1"/>
                  </a:solidFill>
                  <a:effectLst/>
                  <a:latin typeface="+mn-lt"/>
                  <a:ea typeface="+mn-ea"/>
                  <a:cs typeface="+mn-cs"/>
                </a:rPr>
                <a:t>= -441.587,90 €</a:t>
              </a:r>
              <a:endParaRPr lang="de-DE" sz="1600">
                <a:effectLst/>
              </a:endParaRPr>
            </a:p>
            <a:p>
              <a:endParaRPr lang="de-DE" sz="1600"/>
            </a:p>
            <a:p>
              <a:endParaRPr lang="de-DE" sz="1600"/>
            </a:p>
            <a:p>
              <a:r>
                <a:rPr lang="de-DE" sz="1600"/>
                <a:t>Lineare Interpolation:</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a:t>
              </a:r>
              <a14:m>
                <m:oMath xmlns:m="http://schemas.openxmlformats.org/officeDocument/2006/math">
                  <m:r>
                    <m:rPr>
                      <m:sty m:val="p"/>
                    </m:rPr>
                    <a:rPr lang="de-DE" sz="1600" b="0" i="0">
                      <a:solidFill>
                        <a:schemeClr val="dk1"/>
                      </a:solidFill>
                      <a:effectLst/>
                      <a:latin typeface="Cambria Math" panose="02040503050406030204" pitchFamily="18" charset="0"/>
                      <a:ea typeface="+mn-ea"/>
                      <a:cs typeface="+mn-cs"/>
                    </a:rPr>
                    <m:t>i</m:t>
                  </m:r>
                  <m:r>
                    <a:rPr lang="de-DE" sz="1600" b="0" i="0" baseline="-25000">
                      <a:solidFill>
                        <a:schemeClr val="dk1"/>
                      </a:solidFill>
                      <a:effectLst/>
                      <a:latin typeface="Cambria Math" panose="02040503050406030204" pitchFamily="18" charset="0"/>
                      <a:ea typeface="+mn-ea"/>
                      <a:cs typeface="+mn-cs"/>
                    </a:rPr>
                    <m:t>1</m:t>
                  </m:r>
                  <m:r>
                    <a:rPr lang="de-DE" sz="1600" b="0" i="0">
                      <a:solidFill>
                        <a:schemeClr val="dk1"/>
                      </a:solidFill>
                      <a:effectLst/>
                      <a:latin typeface="Cambria Math" panose="02040503050406030204" pitchFamily="18" charset="0"/>
                      <a:ea typeface="+mn-ea"/>
                      <a:cs typeface="+mn-cs"/>
                    </a:rPr>
                    <m:t>− </m:t>
                  </m:r>
                  <m:f>
                    <m:fPr>
                      <m:ctrlPr>
                        <a:rPr lang="de-DE" sz="1600" i="1">
                          <a:solidFill>
                            <a:schemeClr val="dk1"/>
                          </a:solidFill>
                          <a:effectLst/>
                          <a:latin typeface="Cambria Math" panose="02040503050406030204" pitchFamily="18" charset="0"/>
                          <a:ea typeface="+mn-ea"/>
                          <a:cs typeface="+mn-cs"/>
                        </a:rPr>
                      </m:ctrlPr>
                    </m:fPr>
                    <m:num>
                      <m:r>
                        <a:rPr lang="de-DE" sz="1600" b="0" i="1">
                          <a:solidFill>
                            <a:schemeClr val="dk1"/>
                          </a:solidFill>
                          <a:effectLst/>
                          <a:latin typeface="Cambria Math" panose="02040503050406030204" pitchFamily="18" charset="0"/>
                          <a:ea typeface="+mn-ea"/>
                          <a:cs typeface="+mn-cs"/>
                        </a:rPr>
                        <m:t>𝑖</m:t>
                      </m:r>
                      <m:r>
                        <a:rPr lang="de-DE" sz="1600" b="0" i="1" baseline="-25000">
                          <a:solidFill>
                            <a:schemeClr val="dk1"/>
                          </a:solidFill>
                          <a:effectLst/>
                          <a:latin typeface="Cambria Math" panose="02040503050406030204" pitchFamily="18" charset="0"/>
                          <a:ea typeface="+mn-ea"/>
                          <a:cs typeface="+mn-cs"/>
                        </a:rPr>
                        <m:t>1 </m:t>
                      </m:r>
                      <m:r>
                        <a:rPr lang="de-DE" sz="1600" b="0" i="1">
                          <a:solidFill>
                            <a:schemeClr val="dk1"/>
                          </a:solidFill>
                          <a:effectLst/>
                          <a:latin typeface="Cambria Math" panose="02040503050406030204" pitchFamily="18" charset="0"/>
                          <a:ea typeface="+mn-ea"/>
                          <a:cs typeface="+mn-cs"/>
                        </a:rPr>
                        <m:t>−</m:t>
                      </m:r>
                      <m:r>
                        <a:rPr lang="de-DE" sz="1600" b="0" i="1">
                          <a:solidFill>
                            <a:schemeClr val="dk1"/>
                          </a:solidFill>
                          <a:effectLst/>
                          <a:latin typeface="Cambria Math" panose="02040503050406030204" pitchFamily="18" charset="0"/>
                          <a:ea typeface="+mn-ea"/>
                          <a:cs typeface="+mn-cs"/>
                        </a:rPr>
                        <m:t>𝑖</m:t>
                      </m:r>
                      <m:r>
                        <a:rPr lang="de-DE" sz="1600" b="0" i="1" baseline="-25000">
                          <a:solidFill>
                            <a:schemeClr val="dk1"/>
                          </a:solidFill>
                          <a:effectLst/>
                          <a:latin typeface="Cambria Math" panose="02040503050406030204" pitchFamily="18" charset="0"/>
                          <a:ea typeface="+mn-ea"/>
                          <a:cs typeface="+mn-cs"/>
                        </a:rPr>
                        <m:t>2</m:t>
                      </m:r>
                    </m:num>
                    <m:den>
                      <m:r>
                        <a:rPr lang="de-DE" sz="1600" b="0" i="1">
                          <a:solidFill>
                            <a:schemeClr val="dk1"/>
                          </a:solidFill>
                          <a:effectLst/>
                          <a:latin typeface="Cambria Math" panose="02040503050406030204" pitchFamily="18" charset="0"/>
                          <a:ea typeface="+mn-ea"/>
                          <a:cs typeface="+mn-cs"/>
                        </a:rPr>
                        <m:t>𝐾𝑊</m:t>
                      </m:r>
                      <m:r>
                        <a:rPr lang="de-DE" sz="1600" b="0" i="1" baseline="-25000">
                          <a:solidFill>
                            <a:schemeClr val="dk1"/>
                          </a:solidFill>
                          <a:effectLst/>
                          <a:latin typeface="Cambria Math" panose="02040503050406030204" pitchFamily="18" charset="0"/>
                          <a:ea typeface="+mn-ea"/>
                          <a:cs typeface="+mn-cs"/>
                        </a:rPr>
                        <m:t>1</m:t>
                      </m:r>
                      <m:r>
                        <a:rPr lang="de-DE" sz="1600" b="0" i="1">
                          <a:solidFill>
                            <a:schemeClr val="dk1"/>
                          </a:solidFill>
                          <a:effectLst/>
                          <a:latin typeface="Cambria Math" panose="02040503050406030204" pitchFamily="18" charset="0"/>
                          <a:ea typeface="+mn-ea"/>
                          <a:cs typeface="+mn-cs"/>
                        </a:rPr>
                        <m:t> −</m:t>
                      </m:r>
                      <m:r>
                        <a:rPr lang="de-DE" sz="1600" b="0" i="1">
                          <a:solidFill>
                            <a:schemeClr val="dk1"/>
                          </a:solidFill>
                          <a:effectLst/>
                          <a:latin typeface="Cambria Math" panose="02040503050406030204" pitchFamily="18" charset="0"/>
                          <a:ea typeface="+mn-ea"/>
                          <a:cs typeface="+mn-cs"/>
                        </a:rPr>
                        <m:t>𝐾𝑊</m:t>
                      </m:r>
                      <m:r>
                        <a:rPr lang="de-DE" sz="1600" b="0" i="1" baseline="-25000">
                          <a:solidFill>
                            <a:schemeClr val="dk1"/>
                          </a:solidFill>
                          <a:effectLst/>
                          <a:latin typeface="Cambria Math" panose="02040503050406030204" pitchFamily="18" charset="0"/>
                          <a:ea typeface="+mn-ea"/>
                          <a:cs typeface="+mn-cs"/>
                        </a:rPr>
                        <m:t>2</m:t>
                      </m:r>
                    </m:den>
                  </m:f>
                </m:oMath>
              </a14:m>
              <a:r>
                <a:rPr lang="de-DE" sz="1600"/>
                <a:t> x KW</a:t>
              </a:r>
              <a:r>
                <a:rPr lang="de-DE" sz="1600" baseline="-25000"/>
                <a:t>1</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a:t>
              </a:r>
              <a14:m>
                <m:oMath xmlns:m="http://schemas.openxmlformats.org/officeDocument/2006/math">
                  <m:r>
                    <a:rPr lang="de-DE" sz="1600" b="0" i="0">
                      <a:solidFill>
                        <a:schemeClr val="dk1"/>
                      </a:solidFill>
                      <a:effectLst/>
                      <a:latin typeface="Cambria Math" panose="02040503050406030204" pitchFamily="18" charset="0"/>
                      <a:ea typeface="+mn-ea"/>
                      <a:cs typeface="+mn-cs"/>
                    </a:rPr>
                    <m:t>0,10−</m:t>
                  </m:r>
                  <m:r>
                    <a:rPr lang="de-DE" sz="1600" b="0" i="0" baseline="-25000">
                      <a:solidFill>
                        <a:schemeClr val="dk1"/>
                      </a:solidFill>
                      <a:effectLst/>
                      <a:latin typeface="Cambria Math" panose="02040503050406030204" pitchFamily="18" charset="0"/>
                      <a:ea typeface="+mn-ea"/>
                      <a:cs typeface="+mn-cs"/>
                    </a:rPr>
                    <m:t> </m:t>
                  </m:r>
                  <m:f>
                    <m:fPr>
                      <m:ctrlPr>
                        <a:rPr lang="de-DE" sz="1600" i="1">
                          <a:solidFill>
                            <a:schemeClr val="dk1"/>
                          </a:solidFill>
                          <a:effectLst/>
                          <a:latin typeface="Cambria Math" panose="02040503050406030204" pitchFamily="18" charset="0"/>
                          <a:ea typeface="+mn-ea"/>
                          <a:cs typeface="+mn-cs"/>
                        </a:rPr>
                      </m:ctrlPr>
                    </m:fPr>
                    <m:num>
                      <m:r>
                        <a:rPr lang="de-DE" sz="1600" b="0" i="1">
                          <a:solidFill>
                            <a:schemeClr val="dk1"/>
                          </a:solidFill>
                          <a:effectLst/>
                          <a:latin typeface="Cambria Math" panose="02040503050406030204" pitchFamily="18" charset="0"/>
                          <a:ea typeface="+mn-ea"/>
                          <a:cs typeface="+mn-cs"/>
                        </a:rPr>
                        <m:t>0,10 −0,15</m:t>
                      </m:r>
                    </m:num>
                    <m:den>
                      <m:r>
                        <a:rPr lang="de-DE" sz="1600" b="0" i="1">
                          <a:solidFill>
                            <a:schemeClr val="dk1"/>
                          </a:solidFill>
                          <a:effectLst/>
                          <a:latin typeface="Cambria Math" panose="02040503050406030204" pitchFamily="18" charset="0"/>
                          <a:ea typeface="+mn-ea"/>
                          <a:cs typeface="+mn-cs"/>
                        </a:rPr>
                        <m:t>647.933,88 −(−441.587,90) </m:t>
                      </m:r>
                    </m:den>
                  </m:f>
                </m:oMath>
              </a14:m>
              <a:r>
                <a:rPr lang="de-DE" sz="1600"/>
                <a:t>  x 647.933,88= 0,12973 </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12,97</a:t>
              </a:r>
              <a:r>
                <a:rPr lang="de-DE" sz="1600" baseline="0">
                  <a:solidFill>
                    <a:schemeClr val="dk1"/>
                  </a:solidFill>
                  <a:effectLst/>
                  <a:latin typeface="+mn-lt"/>
                  <a:ea typeface="+mn-ea"/>
                  <a:cs typeface="+mn-cs"/>
                </a:rPr>
                <a:t> %</a:t>
              </a:r>
              <a:endParaRPr lang="de-DE" sz="1600"/>
            </a:p>
          </xdr:txBody>
        </xdr:sp>
      </mc:Choice>
      <mc:Fallback>
        <xdr:sp macro="" textlink="">
          <xdr:nvSpPr>
            <xdr:cNvPr id="2" name="Textfeld 1">
              <a:extLst>
                <a:ext uri="{FF2B5EF4-FFF2-40B4-BE49-F238E27FC236}">
                  <a16:creationId xmlns:a16="http://schemas.microsoft.com/office/drawing/2014/main" id="{6F54C3FC-D7A9-4CFA-B1B3-7FC38E64A59A}"/>
                </a:ext>
              </a:extLst>
            </xdr:cNvPr>
            <xdr:cNvSpPr txBox="1"/>
          </xdr:nvSpPr>
          <xdr:spPr>
            <a:xfrm>
              <a:off x="5381625" y="190499"/>
              <a:ext cx="6524625" cy="7219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a) Lösung mittels linearer Interpolation:</a:t>
              </a:r>
            </a:p>
            <a:p>
              <a:endParaRPr lang="de-DE" sz="1600"/>
            </a:p>
            <a:p>
              <a:endParaRPr lang="de-DE" sz="1600"/>
            </a:p>
            <a:p>
              <a:endParaRPr lang="de-DE" sz="1600"/>
            </a:p>
            <a:p>
              <a:endParaRPr lang="de-DE" sz="1600"/>
            </a:p>
            <a:p>
              <a:endParaRPr lang="de-DE" sz="1600"/>
            </a:p>
            <a:p>
              <a:endParaRPr lang="de-DE" sz="1600"/>
            </a:p>
            <a:p>
              <a:endParaRPr lang="de-DE" sz="1600"/>
            </a:p>
            <a:p>
              <a:endParaRPr lang="de-DE" sz="1600"/>
            </a:p>
            <a:p>
              <a:r>
                <a:rPr lang="de-DE" sz="1600"/>
                <a:t>Versuchszinssatz </a:t>
              </a:r>
              <a:r>
                <a:rPr lang="de-DE" sz="1600" baseline="0"/>
                <a:t> i</a:t>
              </a:r>
              <a:r>
                <a:rPr lang="de-DE" sz="1600" baseline="-25000"/>
                <a:t>1</a:t>
              </a:r>
              <a:r>
                <a:rPr lang="de-DE" sz="1600" baseline="0"/>
                <a:t> = 10 %</a:t>
              </a:r>
            </a:p>
            <a:p>
              <a:endParaRPr lang="de-DE" sz="1600" baseline="0"/>
            </a:p>
            <a:p>
              <a:r>
                <a:rPr lang="de-DE" sz="1600" baseline="0"/>
                <a:t>KW</a:t>
              </a:r>
              <a:r>
                <a:rPr lang="de-DE" sz="1600" baseline="-25000"/>
                <a:t>0</a:t>
              </a:r>
              <a:r>
                <a:rPr lang="de-DE" sz="1600" baseline="0"/>
                <a:t> bei Versuchszins i</a:t>
              </a:r>
              <a:r>
                <a:rPr lang="de-DE" sz="1600" baseline="-25000"/>
                <a:t>1</a:t>
              </a:r>
              <a:r>
                <a:rPr lang="de-DE" sz="1600" baseline="0"/>
                <a:t> = -16.000.000€ + 8.640.000€ * 1,1 </a:t>
              </a:r>
              <a:r>
                <a:rPr lang="de-DE" sz="1600" baseline="30000"/>
                <a:t>-1 </a:t>
              </a:r>
              <a:r>
                <a:rPr lang="de-DE" sz="1600" baseline="0"/>
                <a:t>+ 10.640. 000 € * 1,1 </a:t>
              </a:r>
              <a:r>
                <a:rPr lang="de-DE" sz="1600" baseline="30000"/>
                <a:t>-2 </a:t>
              </a:r>
              <a:r>
                <a:rPr lang="de-DE" sz="1600" baseline="0"/>
                <a:t>= 647.933,88 €</a:t>
              </a:r>
            </a:p>
            <a:p>
              <a:endParaRPr lang="de-DE" sz="1600" baseline="0"/>
            </a:p>
            <a:p>
              <a:r>
                <a:rPr lang="de-DE" sz="1600">
                  <a:solidFill>
                    <a:schemeClr val="dk1"/>
                  </a:solidFill>
                  <a:effectLst/>
                  <a:latin typeface="+mn-lt"/>
                  <a:ea typeface="+mn-ea"/>
                  <a:cs typeface="+mn-cs"/>
                </a:rPr>
                <a:t>Versuchszinssatz </a:t>
              </a:r>
              <a:r>
                <a:rPr lang="de-DE" sz="1600" baseline="0">
                  <a:solidFill>
                    <a:schemeClr val="dk1"/>
                  </a:solidFill>
                  <a:effectLst/>
                  <a:latin typeface="+mn-lt"/>
                  <a:ea typeface="+mn-ea"/>
                  <a:cs typeface="+mn-cs"/>
                </a:rPr>
                <a:t> i</a:t>
              </a:r>
              <a:r>
                <a:rPr lang="de-DE" sz="1600" baseline="-25000">
                  <a:solidFill>
                    <a:schemeClr val="dk1"/>
                  </a:solidFill>
                  <a:effectLst/>
                  <a:latin typeface="+mn-lt"/>
                  <a:ea typeface="+mn-ea"/>
                  <a:cs typeface="+mn-cs"/>
                </a:rPr>
                <a:t>2</a:t>
              </a:r>
              <a:r>
                <a:rPr lang="de-DE" sz="1600" baseline="0">
                  <a:solidFill>
                    <a:schemeClr val="dk1"/>
                  </a:solidFill>
                  <a:effectLst/>
                  <a:latin typeface="+mn-lt"/>
                  <a:ea typeface="+mn-ea"/>
                  <a:cs typeface="+mn-cs"/>
                </a:rPr>
                <a:t> = 15 %</a:t>
              </a:r>
            </a:p>
            <a:p>
              <a:endParaRPr lang="de-DE" sz="1600">
                <a:effectLst/>
              </a:endParaRPr>
            </a:p>
            <a:p>
              <a:r>
                <a:rPr lang="de-DE" sz="1600" baseline="0">
                  <a:solidFill>
                    <a:schemeClr val="dk1"/>
                  </a:solidFill>
                  <a:effectLst/>
                  <a:latin typeface="+mn-lt"/>
                  <a:ea typeface="+mn-ea"/>
                  <a:cs typeface="+mn-cs"/>
                </a:rPr>
                <a:t>KW</a:t>
              </a:r>
              <a:r>
                <a:rPr lang="de-DE" sz="1600" baseline="-25000">
                  <a:solidFill>
                    <a:schemeClr val="dk1"/>
                  </a:solidFill>
                  <a:effectLst/>
                  <a:latin typeface="+mn-lt"/>
                  <a:ea typeface="+mn-ea"/>
                  <a:cs typeface="+mn-cs"/>
                </a:rPr>
                <a:t>0</a:t>
              </a:r>
              <a:r>
                <a:rPr lang="de-DE" sz="1600" baseline="0">
                  <a:solidFill>
                    <a:schemeClr val="dk1"/>
                  </a:solidFill>
                  <a:effectLst/>
                  <a:latin typeface="+mn-lt"/>
                  <a:ea typeface="+mn-ea"/>
                  <a:cs typeface="+mn-cs"/>
                </a:rPr>
                <a:t> bei Versuchszins i</a:t>
              </a:r>
              <a:r>
                <a:rPr lang="de-DE" sz="1600" baseline="-25000">
                  <a:solidFill>
                    <a:schemeClr val="dk1"/>
                  </a:solidFill>
                  <a:effectLst/>
                  <a:latin typeface="+mn-lt"/>
                  <a:ea typeface="+mn-ea"/>
                  <a:cs typeface="+mn-cs"/>
                </a:rPr>
                <a:t>2</a:t>
              </a:r>
              <a:r>
                <a:rPr lang="de-DE" sz="1600" baseline="0">
                  <a:solidFill>
                    <a:schemeClr val="dk1"/>
                  </a:solidFill>
                  <a:effectLst/>
                  <a:latin typeface="+mn-lt"/>
                  <a:ea typeface="+mn-ea"/>
                  <a:cs typeface="+mn-cs"/>
                </a:rPr>
                <a:t> = -16.000.000€ + 8.640.000€ * 1,15 </a:t>
              </a:r>
              <a:r>
                <a:rPr lang="de-DE" sz="1600" baseline="30000">
                  <a:solidFill>
                    <a:schemeClr val="dk1"/>
                  </a:solidFill>
                  <a:effectLst/>
                  <a:latin typeface="+mn-lt"/>
                  <a:ea typeface="+mn-ea"/>
                  <a:cs typeface="+mn-cs"/>
                </a:rPr>
                <a:t>-1 </a:t>
              </a:r>
              <a:r>
                <a:rPr lang="de-DE" sz="1600" baseline="0">
                  <a:solidFill>
                    <a:schemeClr val="dk1"/>
                  </a:solidFill>
                  <a:effectLst/>
                  <a:latin typeface="+mn-lt"/>
                  <a:ea typeface="+mn-ea"/>
                  <a:cs typeface="+mn-cs"/>
                </a:rPr>
                <a:t>+ 10.640. 000 € * 1,15 </a:t>
              </a:r>
              <a:r>
                <a:rPr lang="de-DE" sz="1600" baseline="30000">
                  <a:solidFill>
                    <a:schemeClr val="dk1"/>
                  </a:solidFill>
                  <a:effectLst/>
                  <a:latin typeface="+mn-lt"/>
                  <a:ea typeface="+mn-ea"/>
                  <a:cs typeface="+mn-cs"/>
                </a:rPr>
                <a:t>-2 </a:t>
              </a:r>
              <a:r>
                <a:rPr lang="de-DE" sz="1600" baseline="0">
                  <a:solidFill>
                    <a:schemeClr val="dk1"/>
                  </a:solidFill>
                  <a:effectLst/>
                  <a:latin typeface="+mn-lt"/>
                  <a:ea typeface="+mn-ea"/>
                  <a:cs typeface="+mn-cs"/>
                </a:rPr>
                <a:t>= -441.587,90 €</a:t>
              </a:r>
              <a:endParaRPr lang="de-DE" sz="1600">
                <a:effectLst/>
              </a:endParaRPr>
            </a:p>
            <a:p>
              <a:endParaRPr lang="de-DE" sz="1600"/>
            </a:p>
            <a:p>
              <a:endParaRPr lang="de-DE" sz="1600"/>
            </a:p>
            <a:p>
              <a:r>
                <a:rPr lang="de-DE" sz="1600"/>
                <a:t>Lineare Interpolation:</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a:t>
              </a:r>
              <a:r>
                <a:rPr lang="de-DE" sz="1600" b="0" i="0">
                  <a:solidFill>
                    <a:schemeClr val="dk1"/>
                  </a:solidFill>
                  <a:effectLst/>
                  <a:latin typeface="Cambria Math" panose="02040503050406030204" pitchFamily="18" charset="0"/>
                  <a:ea typeface="+mn-ea"/>
                  <a:cs typeface="+mn-cs"/>
                </a:rPr>
                <a:t>i</a:t>
              </a:r>
              <a:r>
                <a:rPr lang="de-DE" sz="1600" b="0" i="0" baseline="-25000">
                  <a:solidFill>
                    <a:schemeClr val="dk1"/>
                  </a:solidFill>
                  <a:effectLst/>
                  <a:latin typeface="Cambria Math" panose="02040503050406030204" pitchFamily="18" charset="0"/>
                  <a:ea typeface="+mn-ea"/>
                  <a:cs typeface="+mn-cs"/>
                </a:rPr>
                <a:t>1</a:t>
              </a:r>
              <a:r>
                <a:rPr lang="de-DE" sz="1600" b="0" i="0">
                  <a:solidFill>
                    <a:schemeClr val="dk1"/>
                  </a:solidFill>
                  <a:effectLst/>
                  <a:latin typeface="Cambria Math" panose="02040503050406030204" pitchFamily="18" charset="0"/>
                  <a:ea typeface="+mn-ea"/>
                  <a:cs typeface="+mn-cs"/>
                </a:rPr>
                <a:t>−  (𝑖</a:t>
              </a:r>
              <a:r>
                <a:rPr lang="de-DE" sz="1600" b="0" i="0" baseline="-25000">
                  <a:solidFill>
                    <a:schemeClr val="dk1"/>
                  </a:solidFill>
                  <a:effectLst/>
                  <a:latin typeface="Cambria Math" panose="02040503050406030204" pitchFamily="18" charset="0"/>
                  <a:ea typeface="+mn-ea"/>
                  <a:cs typeface="+mn-cs"/>
                </a:rPr>
                <a:t>1 </a:t>
              </a:r>
              <a:r>
                <a:rPr lang="de-DE" sz="1600" b="0" i="0">
                  <a:solidFill>
                    <a:schemeClr val="dk1"/>
                  </a:solidFill>
                  <a:effectLst/>
                  <a:latin typeface="Cambria Math" panose="02040503050406030204" pitchFamily="18" charset="0"/>
                  <a:ea typeface="+mn-ea"/>
                  <a:cs typeface="+mn-cs"/>
                </a:rPr>
                <a:t>−𝑖</a:t>
              </a:r>
              <a:r>
                <a:rPr lang="de-DE" sz="1600" b="0" i="0" baseline="-25000">
                  <a:solidFill>
                    <a:schemeClr val="dk1"/>
                  </a:solidFill>
                  <a:effectLst/>
                  <a:latin typeface="Cambria Math" panose="02040503050406030204" pitchFamily="18" charset="0"/>
                  <a:ea typeface="+mn-ea"/>
                  <a:cs typeface="+mn-cs"/>
                </a:rPr>
                <a:t>2)/(</a:t>
              </a:r>
              <a:r>
                <a:rPr lang="de-DE" sz="1600" b="0" i="0">
                  <a:solidFill>
                    <a:schemeClr val="dk1"/>
                  </a:solidFill>
                  <a:effectLst/>
                  <a:latin typeface="Cambria Math" panose="02040503050406030204" pitchFamily="18" charset="0"/>
                  <a:ea typeface="+mn-ea"/>
                  <a:cs typeface="+mn-cs"/>
                </a:rPr>
                <a:t>𝐾𝑊</a:t>
              </a:r>
              <a:r>
                <a:rPr lang="de-DE" sz="1600" b="0" i="0" baseline="-25000">
                  <a:solidFill>
                    <a:schemeClr val="dk1"/>
                  </a:solidFill>
                  <a:effectLst/>
                  <a:latin typeface="Cambria Math" panose="02040503050406030204" pitchFamily="18" charset="0"/>
                  <a:ea typeface="+mn-ea"/>
                  <a:cs typeface="+mn-cs"/>
                </a:rPr>
                <a:t>1</a:t>
              </a:r>
              <a:r>
                <a:rPr lang="de-DE" sz="1600" b="0" i="0">
                  <a:solidFill>
                    <a:schemeClr val="dk1"/>
                  </a:solidFill>
                  <a:effectLst/>
                  <a:latin typeface="Cambria Math" panose="02040503050406030204" pitchFamily="18" charset="0"/>
                  <a:ea typeface="+mn-ea"/>
                  <a:cs typeface="+mn-cs"/>
                </a:rPr>
                <a:t> −𝐾𝑊</a:t>
              </a:r>
              <a:r>
                <a:rPr lang="de-DE" sz="1600" b="0" i="0" baseline="-25000">
                  <a:solidFill>
                    <a:schemeClr val="dk1"/>
                  </a:solidFill>
                  <a:effectLst/>
                  <a:latin typeface="Cambria Math" panose="02040503050406030204" pitchFamily="18" charset="0"/>
                  <a:ea typeface="+mn-ea"/>
                  <a:cs typeface="+mn-cs"/>
                </a:rPr>
                <a:t>2)</a:t>
              </a:r>
              <a:r>
                <a:rPr lang="de-DE" sz="1600"/>
                <a:t> x KW</a:t>
              </a:r>
              <a:r>
                <a:rPr lang="de-DE" sz="1600" baseline="-25000"/>
                <a:t>1</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a:t>
              </a:r>
              <a:r>
                <a:rPr lang="de-DE" sz="1600" b="0" i="0">
                  <a:solidFill>
                    <a:schemeClr val="dk1"/>
                  </a:solidFill>
                  <a:effectLst/>
                  <a:latin typeface="Cambria Math" panose="02040503050406030204" pitchFamily="18" charset="0"/>
                  <a:ea typeface="+mn-ea"/>
                  <a:cs typeface="+mn-cs"/>
                </a:rPr>
                <a:t>0,10−</a:t>
              </a:r>
              <a:r>
                <a:rPr lang="de-DE" sz="1600" b="0" i="0" baseline="-25000">
                  <a:solidFill>
                    <a:schemeClr val="dk1"/>
                  </a:solidFill>
                  <a:effectLst/>
                  <a:latin typeface="Cambria Math" panose="02040503050406030204" pitchFamily="18" charset="0"/>
                  <a:ea typeface="+mn-ea"/>
                  <a:cs typeface="+mn-cs"/>
                </a:rPr>
                <a:t> </a:t>
              </a:r>
              <a:r>
                <a:rPr lang="de-DE" sz="1600" b="0" i="0">
                  <a:solidFill>
                    <a:schemeClr val="dk1"/>
                  </a:solidFill>
                  <a:effectLst/>
                  <a:latin typeface="Cambria Math" panose="02040503050406030204" pitchFamily="18" charset="0"/>
                  <a:ea typeface="+mn-ea"/>
                  <a:cs typeface="+mn-cs"/>
                </a:rPr>
                <a:t> (0,10 −0,15)/(647.933,88 −(−441.587,90) )</a:t>
              </a:r>
              <a:r>
                <a:rPr lang="de-DE" sz="1600"/>
                <a:t>  x 647.933,88= 0,12973 </a:t>
              </a:r>
            </a:p>
            <a:p>
              <a:endParaRPr lang="de-DE" sz="1600"/>
            </a:p>
            <a:p>
              <a:r>
                <a:rPr lang="de-DE" sz="1600">
                  <a:solidFill>
                    <a:schemeClr val="dk1"/>
                  </a:solidFill>
                  <a:effectLst/>
                  <a:latin typeface="+mn-lt"/>
                  <a:ea typeface="+mn-ea"/>
                  <a:cs typeface="+mn-cs"/>
                </a:rPr>
                <a:t>i´</a:t>
              </a:r>
              <a:r>
                <a:rPr lang="de-DE" sz="1600" baseline="-25000">
                  <a:solidFill>
                    <a:schemeClr val="dk1"/>
                  </a:solidFill>
                  <a:effectLst/>
                  <a:latin typeface="+mn-lt"/>
                  <a:ea typeface="+mn-ea"/>
                  <a:cs typeface="+mn-cs"/>
                </a:rPr>
                <a:t>IZF </a:t>
              </a:r>
              <a:r>
                <a:rPr lang="de-DE" sz="1600">
                  <a:solidFill>
                    <a:schemeClr val="dk1"/>
                  </a:solidFill>
                  <a:effectLst/>
                  <a:latin typeface="+mn-lt"/>
                  <a:ea typeface="+mn-ea"/>
                  <a:cs typeface="+mn-cs"/>
                </a:rPr>
                <a:t>=  12,97</a:t>
              </a:r>
              <a:r>
                <a:rPr lang="de-DE" sz="1600" baseline="0">
                  <a:solidFill>
                    <a:schemeClr val="dk1"/>
                  </a:solidFill>
                  <a:effectLst/>
                  <a:latin typeface="+mn-lt"/>
                  <a:ea typeface="+mn-ea"/>
                  <a:cs typeface="+mn-cs"/>
                </a:rPr>
                <a:t> %</a:t>
              </a:r>
              <a:endParaRPr lang="de-DE" sz="1600"/>
            </a:p>
          </xdr:txBody>
        </xdr:sp>
      </mc:Fallback>
    </mc:AlternateContent>
    <xdr:clientData/>
  </xdr:twoCellAnchor>
  <xdr:oneCellAnchor>
    <xdr:from>
      <xdr:col>7</xdr:col>
      <xdr:colOff>257175</xdr:colOff>
      <xdr:row>2</xdr:row>
      <xdr:rowOff>161925</xdr:rowOff>
    </xdr:from>
    <xdr:ext cx="4600000" cy="1552381"/>
    <xdr:pic>
      <xdr:nvPicPr>
        <xdr:cNvPr id="3" name="Grafik 2">
          <a:extLst>
            <a:ext uri="{FF2B5EF4-FFF2-40B4-BE49-F238E27FC236}">
              <a16:creationId xmlns:a16="http://schemas.microsoft.com/office/drawing/2014/main" id="{15F22698-06AD-484C-8C82-C58DC0F1802C}"/>
            </a:ext>
          </a:extLst>
        </xdr:cNvPr>
        <xdr:cNvPicPr>
          <a:picLocks noChangeAspect="1"/>
        </xdr:cNvPicPr>
      </xdr:nvPicPr>
      <xdr:blipFill>
        <a:blip xmlns:r="http://schemas.openxmlformats.org/officeDocument/2006/relationships" r:embed="rId1"/>
        <a:stretch>
          <a:fillRect/>
        </a:stretch>
      </xdr:blipFill>
      <xdr:spPr>
        <a:xfrm>
          <a:off x="5591175" y="542925"/>
          <a:ext cx="4600000" cy="1552381"/>
        </a:xfrm>
        <a:prstGeom prst="rect">
          <a:avLst/>
        </a:prstGeom>
      </xdr:spPr>
    </xdr:pic>
    <xdr:clientData/>
  </xdr:oneCellAnchor>
  <xdr:twoCellAnchor>
    <xdr:from>
      <xdr:col>0</xdr:col>
      <xdr:colOff>619125</xdr:colOff>
      <xdr:row>19</xdr:row>
      <xdr:rowOff>123825</xdr:rowOff>
    </xdr:from>
    <xdr:to>
      <xdr:col>5</xdr:col>
      <xdr:colOff>400050</xdr:colOff>
      <xdr:row>28</xdr:row>
      <xdr:rowOff>66675</xdr:rowOff>
    </xdr:to>
    <xdr:sp macro="" textlink="">
      <xdr:nvSpPr>
        <xdr:cNvPr id="4" name="Textfeld 3">
          <a:extLst>
            <a:ext uri="{FF2B5EF4-FFF2-40B4-BE49-F238E27FC236}">
              <a16:creationId xmlns:a16="http://schemas.microsoft.com/office/drawing/2014/main" id="{41F87B92-110C-4EB1-9A93-4BB63C318767}"/>
            </a:ext>
          </a:extLst>
        </xdr:cNvPr>
        <xdr:cNvSpPr txBox="1"/>
      </xdr:nvSpPr>
      <xdr:spPr>
        <a:xfrm>
          <a:off x="619125" y="3743325"/>
          <a:ext cx="3590925" cy="165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600"/>
            <a:t>c) Da der</a:t>
          </a:r>
          <a:r>
            <a:rPr lang="de-DE" sz="1600" baseline="0"/>
            <a:t> Kapitalmarktzins mit 5,7% deutlich unter dem internen Zinsfuß von 12,9% liegt, sollte die Fluggesellschaft die Investition durchführen.</a:t>
          </a:r>
          <a:endParaRPr lang="de-DE" sz="16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12</xdr:col>
      <xdr:colOff>409574</xdr:colOff>
      <xdr:row>17</xdr:row>
      <xdr:rowOff>9524</xdr:rowOff>
    </xdr:from>
    <xdr:to>
      <xdr:col>18</xdr:col>
      <xdr:colOff>133350</xdr:colOff>
      <xdr:row>34</xdr:row>
      <xdr:rowOff>28575</xdr:rowOff>
    </xdr:to>
    <xdr:sp macro="" textlink="">
      <xdr:nvSpPr>
        <xdr:cNvPr id="2" name="Textfeld 1">
          <a:extLst>
            <a:ext uri="{FF2B5EF4-FFF2-40B4-BE49-F238E27FC236}">
              <a16:creationId xmlns:a16="http://schemas.microsoft.com/office/drawing/2014/main" id="{16790471-1C9D-40C6-90E1-1A82AAD1AD78}"/>
            </a:ext>
          </a:extLst>
        </xdr:cNvPr>
        <xdr:cNvSpPr txBox="1"/>
      </xdr:nvSpPr>
      <xdr:spPr>
        <a:xfrm>
          <a:off x="9553574" y="3248024"/>
          <a:ext cx="4295776" cy="3257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 Teilaufgabe c):</a:t>
          </a:r>
        </a:p>
        <a:p>
          <a:endParaRPr lang="de-DE" sz="1100"/>
        </a:p>
        <a:p>
          <a:r>
            <a:rPr lang="de-DE" sz="1100"/>
            <a:t>Teilaufgabe</a:t>
          </a:r>
          <a:r>
            <a:rPr lang="de-DE" sz="1100" baseline="0"/>
            <a:t> a) hat nur einen einzigen internen Zinsfuß, da nur ein Vorzeichenwechsel stattfindet. Teilaufgabe b) hat zwei interne Zinsfüße, da zwei Vorzeichenwechsel stattfinden.</a:t>
          </a:r>
        </a:p>
        <a:p>
          <a:endParaRPr lang="de-DE" sz="1100" baseline="0"/>
        </a:p>
        <a:p>
          <a:pPr marL="0" marR="0" lvl="0" indent="0" defTabSz="914400" rtl="0" eaLnBrk="1" fontAlgn="auto" latinLnBrk="0" hangingPunct="1">
            <a:lnSpc>
              <a:spcPct val="100000"/>
            </a:lnSpc>
            <a:spcBef>
              <a:spcPts val="0"/>
            </a:spcBef>
            <a:spcAft>
              <a:spcPts val="0"/>
            </a:spcAft>
            <a:buClrTx/>
            <a:buSzTx/>
            <a:buFontTx/>
            <a:buNone/>
            <a:tabLst/>
            <a:defRPr/>
          </a:pPr>
          <a:r>
            <a:rPr lang="de-DE" sz="1100" baseline="0"/>
            <a:t>Der interne Zinsfuß für Teilaufgabe a) gibt die falsche Antwort: nach ihm sollte das Buchprojekt durchgeführt werden, allerdings ist der Kapitalwert (a) negativ. Es handelt sich nicht um eine Normalinvestition, da die Zahlungsreihe mit einer Einzahlung beginnt, der Auszahlungen folgen. Der interne Zinsfuß muss also anders interpretiert werden: Clinton sollte das Buchprojekt nur durchführen, wenn </a:t>
          </a:r>
          <a:r>
            <a:rPr lang="de-DE" sz="1100">
              <a:solidFill>
                <a:schemeClr val="dk1"/>
              </a:solidFill>
              <a:effectLst/>
              <a:latin typeface="+mn-lt"/>
              <a:ea typeface="+mn-ea"/>
              <a:cs typeface="+mn-cs"/>
            </a:rPr>
            <a:t>die Opportunitätskosten </a:t>
          </a:r>
          <a:r>
            <a:rPr lang="de-DE" sz="1100" i="1">
              <a:solidFill>
                <a:schemeClr val="dk1"/>
              </a:solidFill>
              <a:effectLst/>
              <a:latin typeface="+mn-lt"/>
              <a:ea typeface="+mn-ea"/>
              <a:cs typeface="+mn-cs"/>
            </a:rPr>
            <a:t>höher</a:t>
          </a:r>
          <a:r>
            <a:rPr lang="de-DE" sz="1100">
              <a:solidFill>
                <a:schemeClr val="dk1"/>
              </a:solidFill>
              <a:effectLst/>
              <a:latin typeface="+mn-lt"/>
              <a:ea typeface="+mn-ea"/>
              <a:cs typeface="+mn-cs"/>
            </a:rPr>
            <a:t> wären als der IZF (60,73%).</a:t>
          </a:r>
        </a:p>
        <a:p>
          <a:pPr marL="0" marR="0" lvl="0" indent="0" defTabSz="914400" rtl="0" eaLnBrk="1" fontAlgn="auto" latinLnBrk="0" hangingPunct="1">
            <a:lnSpc>
              <a:spcPct val="100000"/>
            </a:lnSpc>
            <a:spcBef>
              <a:spcPts val="0"/>
            </a:spcBef>
            <a:spcAft>
              <a:spcPts val="0"/>
            </a:spcAft>
            <a:buClrTx/>
            <a:buSzTx/>
            <a:buFontTx/>
            <a:buNone/>
            <a:tabLst/>
            <a:defRPr/>
          </a:pPr>
          <a:endParaRPr lang="de-DE" sz="11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Bei</a:t>
          </a:r>
          <a:r>
            <a:rPr lang="de-DE" sz="1100" baseline="0">
              <a:solidFill>
                <a:schemeClr val="dk1"/>
              </a:solidFill>
              <a:effectLst/>
              <a:latin typeface="+mn-lt"/>
              <a:ea typeface="+mn-ea"/>
              <a:cs typeface="+mn-cs"/>
            </a:rPr>
            <a:t> Teilaufgabe b) gibt es mehr als einen internen Zinsfuß. In  diesem Fall gibt der IZF keine eindeutige Antwort, sodass die IZF-Regel hier nicht anwendbar ist. Der Kapitalwert ist in a) und b) negativ, sodass das Projektunter diesen Bedingungen nicht durchgeführt werden sollte </a:t>
          </a:r>
          <a:endParaRPr lang="de-DE">
            <a:effectLst/>
          </a:endParaRPr>
        </a:p>
        <a:p>
          <a:endParaRPr lang="de-DE" sz="1100" baseline="0"/>
        </a:p>
        <a:p>
          <a:endParaRPr lang="de-DE" sz="1100" baseline="0"/>
        </a:p>
        <a:p>
          <a:endParaRPr lang="de-DE" sz="1100"/>
        </a:p>
      </xdr:txBody>
    </xdr:sp>
    <xdr:clientData/>
  </xdr:twoCellAnchor>
  <xdr:twoCellAnchor>
    <xdr:from>
      <xdr:col>5</xdr:col>
      <xdr:colOff>914400</xdr:colOff>
      <xdr:row>18</xdr:row>
      <xdr:rowOff>14287</xdr:rowOff>
    </xdr:from>
    <xdr:to>
      <xdr:col>10</xdr:col>
      <xdr:colOff>733425</xdr:colOff>
      <xdr:row>32</xdr:row>
      <xdr:rowOff>90487</xdr:rowOff>
    </xdr:to>
    <xdr:graphicFrame macro="">
      <xdr:nvGraphicFramePr>
        <xdr:cNvPr id="3" name="Diagramm 2">
          <a:extLst>
            <a:ext uri="{FF2B5EF4-FFF2-40B4-BE49-F238E27FC236}">
              <a16:creationId xmlns:a16="http://schemas.microsoft.com/office/drawing/2014/main" id="{E236838E-B672-4F1D-8703-5B4D1C4DC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33</xdr:row>
      <xdr:rowOff>23812</xdr:rowOff>
    </xdr:from>
    <xdr:to>
      <xdr:col>10</xdr:col>
      <xdr:colOff>742950</xdr:colOff>
      <xdr:row>47</xdr:row>
      <xdr:rowOff>100012</xdr:rowOff>
    </xdr:to>
    <xdr:graphicFrame macro="">
      <xdr:nvGraphicFramePr>
        <xdr:cNvPr id="4" name="Diagramm 3">
          <a:extLst>
            <a:ext uri="{FF2B5EF4-FFF2-40B4-BE49-F238E27FC236}">
              <a16:creationId xmlns:a16="http://schemas.microsoft.com/office/drawing/2014/main" id="{5E0A48E0-4EEA-41D6-8173-1D577499F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94</xdr:row>
      <xdr:rowOff>14287</xdr:rowOff>
    </xdr:from>
    <xdr:to>
      <xdr:col>8</xdr:col>
      <xdr:colOff>762000</xdr:colOff>
      <xdr:row>108</xdr:row>
      <xdr:rowOff>90487</xdr:rowOff>
    </xdr:to>
    <xdr:graphicFrame macro="">
      <xdr:nvGraphicFramePr>
        <xdr:cNvPr id="5" name="Diagramm 4">
          <a:extLst>
            <a:ext uri="{FF2B5EF4-FFF2-40B4-BE49-F238E27FC236}">
              <a16:creationId xmlns:a16="http://schemas.microsoft.com/office/drawing/2014/main" id="{0D7685C9-D83F-4C2C-BDDE-BDED35661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466725</xdr:colOff>
      <xdr:row>86</xdr:row>
      <xdr:rowOff>76200</xdr:rowOff>
    </xdr:from>
    <xdr:to>
      <xdr:col>18</xdr:col>
      <xdr:colOff>104775</xdr:colOff>
      <xdr:row>97</xdr:row>
      <xdr:rowOff>114300</xdr:rowOff>
    </xdr:to>
    <xdr:sp macro="" textlink="">
      <xdr:nvSpPr>
        <xdr:cNvPr id="6" name="Textfeld 5">
          <a:extLst>
            <a:ext uri="{FF2B5EF4-FFF2-40B4-BE49-F238E27FC236}">
              <a16:creationId xmlns:a16="http://schemas.microsoft.com/office/drawing/2014/main" id="{F369DDBD-BCA3-4D87-B8F2-39A64DF7B6B5}"/>
            </a:ext>
          </a:extLst>
        </xdr:cNvPr>
        <xdr:cNvSpPr txBox="1"/>
      </xdr:nvSpPr>
      <xdr:spPr>
        <a:xfrm>
          <a:off x="8086725" y="16459200"/>
          <a:ext cx="5734050" cy="213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Antwort</a:t>
          </a:r>
          <a:r>
            <a:rPr lang="de-DE" sz="1100" baseline="0"/>
            <a:t> </a:t>
          </a:r>
          <a:r>
            <a:rPr lang="de-DE" sz="1100"/>
            <a:t>Teilaufgabe d):</a:t>
          </a:r>
        </a:p>
        <a:p>
          <a:endParaRPr lang="de-DE" sz="1100"/>
        </a:p>
        <a:p>
          <a:r>
            <a:rPr lang="de-DE" sz="1100"/>
            <a:t>Unter diesen Bedingungen existiert kein interner Zinsfuß, sodass die IZF-Regel</a:t>
          </a:r>
          <a:r>
            <a:rPr lang="de-DE" sz="1100" baseline="0"/>
            <a:t> hier nicht angewendet werden kann. Das Projekt hat nun allerdings einen positiven Kapitalwert. Es sollte durchgeführt werden. </a:t>
          </a:r>
          <a:endParaRPr lang="de-DE" sz="1100"/>
        </a:p>
        <a:p>
          <a:endParaRPr lang="de-DE" sz="1100"/>
        </a:p>
        <a:p>
          <a:endParaRPr lang="de-DE" sz="11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14</xdr:row>
      <xdr:rowOff>95250</xdr:rowOff>
    </xdr:from>
    <xdr:to>
      <xdr:col>10</xdr:col>
      <xdr:colOff>38100</xdr:colOff>
      <xdr:row>28</xdr:row>
      <xdr:rowOff>123825</xdr:rowOff>
    </xdr:to>
    <xdr:sp macro="" textlink="">
      <xdr:nvSpPr>
        <xdr:cNvPr id="2" name="Textfeld 1">
          <a:extLst>
            <a:ext uri="{FF2B5EF4-FFF2-40B4-BE49-F238E27FC236}">
              <a16:creationId xmlns:a16="http://schemas.microsoft.com/office/drawing/2014/main" id="{49F913B0-53EE-456D-B66F-EF13D94664A6}"/>
            </a:ext>
          </a:extLst>
        </xdr:cNvPr>
        <xdr:cNvSpPr txBox="1"/>
      </xdr:nvSpPr>
      <xdr:spPr>
        <a:xfrm>
          <a:off x="0" y="2762250"/>
          <a:ext cx="7658100" cy="2695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b) Nach der Kapitalwertmethode wäre in Maschine A zu investieren,</a:t>
          </a:r>
          <a:r>
            <a:rPr lang="de-DE" sz="1100" baseline="0"/>
            <a:t> da Sie den höheren Kapitalwert ausweist. Nach der dynamischen Amortisationsrechnung wäre in Maschine B zu investieren, da sie die kürzere Amortisationszeit aufweist. </a:t>
          </a:r>
        </a:p>
        <a:p>
          <a:endParaRPr lang="de-DE" sz="1100" baseline="0"/>
        </a:p>
        <a:p>
          <a:r>
            <a:rPr lang="de-DE" sz="1100" baseline="0"/>
            <a:t>ABER:</a:t>
          </a:r>
        </a:p>
        <a:p>
          <a:pPr marL="0" marR="0" lvl="0" indent="0" defTabSz="914400" rtl="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Die dynamische Amortisationsrechnung berücksichtigt ausschließlich Risikogesichtspunkte. Sie benachteiligt Investitionsprojekte mit anfänglich niedrigen/niedrigeren Einzahlungsüberschüssen, da solche Investitionsprojekte i.d.R abgelehnt werden. Rückflüsse</a:t>
          </a:r>
          <a:r>
            <a:rPr lang="de-DE" sz="1100" baseline="0">
              <a:solidFill>
                <a:schemeClr val="dk1"/>
              </a:solidFill>
              <a:effectLst/>
              <a:latin typeface="+mn-lt"/>
              <a:ea typeface="+mn-ea"/>
              <a:cs typeface="+mn-cs"/>
            </a:rPr>
            <a:t> nach Ablauf der Amortisationszeit und damit die absolute Vorteilhaftigkeit werden nicht berücksichtigt </a:t>
          </a:r>
          <a:r>
            <a:rPr lang="de-DE" sz="1100">
              <a:solidFill>
                <a:schemeClr val="dk1"/>
              </a:solidFill>
              <a:effectLst/>
              <a:latin typeface="+mn-lt"/>
              <a:ea typeface="+mn-ea"/>
              <a:cs typeface="+mn-cs"/>
            </a:rPr>
            <a:t> (obwohl unter Umständen ein hoher Kapitalwert vorliegt). </a:t>
          </a:r>
          <a:endParaRPr lang="de-DE" sz="1100">
            <a:effectLst/>
          </a:endParaRPr>
        </a:p>
        <a:p>
          <a:endParaRPr lang="de-DE" sz="1100"/>
        </a:p>
        <a:p>
          <a:pPr marL="0" marR="0" lvl="0" indent="0" defTabSz="914400" rtl="0" eaLnBrk="1" fontAlgn="auto" latinLnBrk="0" hangingPunct="1">
            <a:lnSpc>
              <a:spcPct val="100000"/>
            </a:lnSpc>
            <a:spcBef>
              <a:spcPts val="0"/>
            </a:spcBef>
            <a:spcAft>
              <a:spcPts val="0"/>
            </a:spcAft>
            <a:buClrTx/>
            <a:buSzTx/>
            <a:buFontTx/>
            <a:buNone/>
            <a:tabLst/>
            <a:defRPr/>
          </a:pPr>
          <a:r>
            <a:rPr lang="de-DE" sz="1100" b="1">
              <a:solidFill>
                <a:schemeClr val="dk1"/>
              </a:solidFill>
              <a:effectLst/>
              <a:latin typeface="+mn-lt"/>
              <a:ea typeface="+mn-ea"/>
              <a:cs typeface="+mn-cs"/>
            </a:rPr>
            <a:t>Die dynamische Amortisationsrechnung sollte nicht als alleinige Methode der Investitionsrechnung eingesetzt werden, sondern vielmehr </a:t>
          </a:r>
          <a:r>
            <a:rPr lang="de-DE" sz="1100" b="1" u="sng">
              <a:solidFill>
                <a:schemeClr val="dk1"/>
              </a:solidFill>
              <a:effectLst/>
              <a:latin typeface="+mn-lt"/>
              <a:ea typeface="+mn-ea"/>
              <a:cs typeface="+mn-cs"/>
            </a:rPr>
            <a:t>als Ergänzung einer anderen Methode </a:t>
          </a:r>
          <a:r>
            <a:rPr lang="de-DE" sz="1100" b="1">
              <a:solidFill>
                <a:schemeClr val="dk1"/>
              </a:solidFill>
              <a:effectLst/>
              <a:latin typeface="+mn-lt"/>
              <a:ea typeface="+mn-ea"/>
              <a:cs typeface="+mn-cs"/>
            </a:rPr>
            <a:t>herangezogen werden.</a:t>
          </a:r>
          <a:endParaRPr lang="de-DE">
            <a:effectLst/>
          </a:endParaRPr>
        </a:p>
        <a:p>
          <a:endParaRPr lang="de-DE" sz="1100"/>
        </a:p>
      </xdr:txBody>
    </xdr:sp>
    <xdr:clientData/>
  </xdr:twoCellAnchor>
  <xdr:twoCellAnchor>
    <xdr:from>
      <xdr:col>11</xdr:col>
      <xdr:colOff>152400</xdr:colOff>
      <xdr:row>12</xdr:row>
      <xdr:rowOff>95250</xdr:rowOff>
    </xdr:from>
    <xdr:to>
      <xdr:col>17</xdr:col>
      <xdr:colOff>133350</xdr:colOff>
      <xdr:row>39</xdr:row>
      <xdr:rowOff>152400</xdr:rowOff>
    </xdr:to>
    <xdr:sp macro="" textlink="">
      <xdr:nvSpPr>
        <xdr:cNvPr id="3" name="Textfeld 2">
          <a:extLst>
            <a:ext uri="{FF2B5EF4-FFF2-40B4-BE49-F238E27FC236}">
              <a16:creationId xmlns:a16="http://schemas.microsoft.com/office/drawing/2014/main" id="{3535A0C8-5505-40E6-B49D-892CA6A3E1E0}"/>
            </a:ext>
          </a:extLst>
        </xdr:cNvPr>
        <xdr:cNvSpPr txBox="1"/>
      </xdr:nvSpPr>
      <xdr:spPr>
        <a:xfrm>
          <a:off x="8534400" y="2381250"/>
          <a:ext cx="4552950" cy="520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auf dem Papier (Beispiel):</a:t>
          </a:r>
        </a:p>
        <a:p>
          <a:r>
            <a:rPr lang="de-DE" sz="1100"/>
            <a:t>a)</a:t>
          </a:r>
        </a:p>
        <a:p>
          <a:r>
            <a:rPr lang="de-DE" sz="1100" b="1"/>
            <a:t>Maschine</a:t>
          </a:r>
          <a:r>
            <a:rPr lang="de-DE" sz="1100" b="1" baseline="0"/>
            <a:t> A:  </a:t>
          </a:r>
          <a:r>
            <a:rPr lang="de-DE" sz="1100" baseline="0"/>
            <a:t>Rückflüsse:       Barwert Rückflüsse     kumulierter Barwert</a:t>
          </a:r>
        </a:p>
        <a:p>
          <a:endParaRPr lang="de-DE" sz="1100" baseline="0"/>
        </a:p>
        <a:p>
          <a:r>
            <a:rPr lang="de-DE" sz="1100" baseline="0"/>
            <a:t>    Jahr 1:	85,00€	77,27€		  77,27€</a:t>
          </a:r>
        </a:p>
        <a:p>
          <a:r>
            <a:rPr lang="de-DE" sz="1100" baseline="0"/>
            <a:t>    Jahr 2:	90,00€	74,38€		151,65€ </a:t>
          </a:r>
        </a:p>
        <a:p>
          <a:r>
            <a:rPr lang="de-DE" sz="1100" baseline="0"/>
            <a:t>    Jahr 3:	80,00€	60,11€		211,76€</a:t>
          </a:r>
        </a:p>
        <a:p>
          <a:r>
            <a:rPr lang="de-DE" sz="1100" baseline="0"/>
            <a:t>    Jahr 4:	80,00€	54,64€		266,40€</a:t>
          </a:r>
        </a:p>
        <a:p>
          <a:r>
            <a:rPr lang="de-DE" sz="1100" baseline="0"/>
            <a:t>    Jahr 5:	70,00€	43,46€		</a:t>
          </a:r>
          <a:r>
            <a:rPr lang="de-DE" sz="1100" b="1" baseline="0"/>
            <a:t>309,86€</a:t>
          </a:r>
        </a:p>
        <a:p>
          <a:endParaRPr lang="de-DE" sz="1100" b="1" baseline="0"/>
        </a:p>
        <a:p>
          <a:r>
            <a:rPr lang="de-DE" sz="1100" b="1" baseline="0"/>
            <a:t>Die Maschine A amortisiert sich nach 5 Jahren</a:t>
          </a:r>
        </a:p>
        <a:p>
          <a:endParaRPr lang="de-DE" sz="1100" b="1" baseline="0"/>
        </a:p>
        <a:p>
          <a:r>
            <a:rPr lang="de-DE" sz="1100" b="1">
              <a:solidFill>
                <a:schemeClr val="dk1"/>
              </a:solidFill>
              <a:effectLst/>
              <a:latin typeface="+mn-lt"/>
              <a:ea typeface="+mn-ea"/>
              <a:cs typeface="+mn-cs"/>
            </a:rPr>
            <a:t>Maschine</a:t>
          </a:r>
          <a:r>
            <a:rPr lang="de-DE" sz="1100" b="1" baseline="0">
              <a:solidFill>
                <a:schemeClr val="dk1"/>
              </a:solidFill>
              <a:effectLst/>
              <a:latin typeface="+mn-lt"/>
              <a:ea typeface="+mn-ea"/>
              <a:cs typeface="+mn-cs"/>
            </a:rPr>
            <a:t> B:  </a:t>
          </a:r>
          <a:r>
            <a:rPr lang="de-DE" sz="1100" baseline="0">
              <a:solidFill>
                <a:schemeClr val="dk1"/>
              </a:solidFill>
              <a:effectLst/>
              <a:latin typeface="+mn-lt"/>
              <a:ea typeface="+mn-ea"/>
              <a:cs typeface="+mn-cs"/>
            </a:rPr>
            <a:t>Rückflüsse:       Barwert Rückflüsse     kumulierter Barwert</a:t>
          </a:r>
          <a:endParaRPr lang="de-DE">
            <a:effectLst/>
          </a:endParaRPr>
        </a:p>
        <a:p>
          <a:r>
            <a:rPr lang="de-DE" sz="1100" baseline="0">
              <a:solidFill>
                <a:schemeClr val="dk1"/>
              </a:solidFill>
              <a:effectLst/>
              <a:latin typeface="+mn-lt"/>
              <a:ea typeface="+mn-ea"/>
              <a:cs typeface="+mn-cs"/>
            </a:rPr>
            <a:t>    Jahr 1:	95,00€	86,36€		  86,36€</a:t>
          </a:r>
          <a:endParaRPr lang="de-DE">
            <a:effectLst/>
          </a:endParaRPr>
        </a:p>
        <a:p>
          <a:r>
            <a:rPr lang="de-DE" sz="1100" baseline="0">
              <a:solidFill>
                <a:schemeClr val="dk1"/>
              </a:solidFill>
              <a:effectLst/>
              <a:latin typeface="+mn-lt"/>
              <a:ea typeface="+mn-ea"/>
              <a:cs typeface="+mn-cs"/>
            </a:rPr>
            <a:t>    Jahr 2:	95,00€	78,51€		164,88€ </a:t>
          </a:r>
          <a:endParaRPr lang="de-DE">
            <a:effectLst/>
          </a:endParaRPr>
        </a:p>
        <a:p>
          <a:r>
            <a:rPr lang="de-DE" sz="1100" baseline="0">
              <a:solidFill>
                <a:schemeClr val="dk1"/>
              </a:solidFill>
              <a:effectLst/>
              <a:latin typeface="+mn-lt"/>
              <a:ea typeface="+mn-ea"/>
              <a:cs typeface="+mn-cs"/>
            </a:rPr>
            <a:t>    Jahr 3:	95,00€	71,37€		</a:t>
          </a:r>
          <a:r>
            <a:rPr lang="de-DE" sz="1100" b="1" baseline="0">
              <a:solidFill>
                <a:schemeClr val="dk1"/>
              </a:solidFill>
              <a:effectLst/>
              <a:latin typeface="+mn-lt"/>
              <a:ea typeface="+mn-ea"/>
              <a:cs typeface="+mn-cs"/>
            </a:rPr>
            <a:t>236,25€</a:t>
          </a:r>
        </a:p>
        <a:p>
          <a:endParaRPr lang="de-DE"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1" baseline="0">
              <a:solidFill>
                <a:schemeClr val="dk1"/>
              </a:solidFill>
              <a:effectLst/>
              <a:latin typeface="+mn-lt"/>
              <a:ea typeface="+mn-ea"/>
              <a:cs typeface="+mn-cs"/>
            </a:rPr>
            <a:t>Die Maschine B amortisiert sich nach 5 Jahren</a:t>
          </a:r>
        </a:p>
        <a:p>
          <a:pPr marL="0" marR="0" lvl="0" indent="0" defTabSz="914400" eaLnBrk="1" fontAlgn="auto" latinLnBrk="0" hangingPunct="1">
            <a:lnSpc>
              <a:spcPct val="100000"/>
            </a:lnSpc>
            <a:spcBef>
              <a:spcPts val="0"/>
            </a:spcBef>
            <a:spcAft>
              <a:spcPts val="0"/>
            </a:spcAft>
            <a:buClrTx/>
            <a:buSzTx/>
            <a:buFontTx/>
            <a:buNone/>
            <a:tabLst/>
            <a:defRPr/>
          </a:pPr>
          <a:endParaRPr lang="de-DE"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baseline="0">
              <a:solidFill>
                <a:schemeClr val="dk1"/>
              </a:solidFill>
              <a:effectLst/>
              <a:latin typeface="+mn-lt"/>
              <a:ea typeface="+mn-ea"/>
              <a:cs typeface="+mn-cs"/>
            </a:rPr>
            <a:t>Lösung: Nach der Entscheidungsregel der dynamischen Amortisationsrechnung wäre Machine B anzuschaffen, da sie die kürzere Amortisationszeit hat.</a:t>
          </a:r>
          <a:endParaRPr lang="de-DE" b="0">
            <a:effectLst/>
          </a:endParaRPr>
        </a:p>
        <a:p>
          <a:endParaRPr lang="de-DE" b="1">
            <a:effectLst/>
          </a:endParaRPr>
        </a:p>
        <a:p>
          <a:endParaRPr lang="de-DE" sz="1100" b="1"/>
        </a:p>
        <a:p>
          <a:endParaRPr lang="de-DE" sz="1100" b="1"/>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3</xdr:col>
      <xdr:colOff>314325</xdr:colOff>
      <xdr:row>15</xdr:row>
      <xdr:rowOff>171450</xdr:rowOff>
    </xdr:from>
    <xdr:to>
      <xdr:col>4</xdr:col>
      <xdr:colOff>1123950</xdr:colOff>
      <xdr:row>17</xdr:row>
      <xdr:rowOff>47625</xdr:rowOff>
    </xdr:to>
    <xdr:sp macro="" textlink="">
      <xdr:nvSpPr>
        <xdr:cNvPr id="2" name="Textfeld 1">
          <a:extLst>
            <a:ext uri="{FF2B5EF4-FFF2-40B4-BE49-F238E27FC236}">
              <a16:creationId xmlns:a16="http://schemas.microsoft.com/office/drawing/2014/main" id="{EDB1FFFD-D12D-4ED5-A550-DD80B0A47525}"/>
            </a:ext>
          </a:extLst>
        </xdr:cNvPr>
        <xdr:cNvSpPr txBox="1"/>
      </xdr:nvSpPr>
      <xdr:spPr>
        <a:xfrm>
          <a:off x="2600325" y="3028950"/>
          <a:ext cx="12096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=RMZ(A2;B7;-90000)</a:t>
          </a:r>
        </a:p>
      </xdr:txBody>
    </xdr:sp>
    <xdr:clientData/>
  </xdr:twoCellAnchor>
  <xdr:twoCellAnchor>
    <xdr:from>
      <xdr:col>5</xdr:col>
      <xdr:colOff>47625</xdr:colOff>
      <xdr:row>15</xdr:row>
      <xdr:rowOff>123825</xdr:rowOff>
    </xdr:from>
    <xdr:to>
      <xdr:col>8</xdr:col>
      <xdr:colOff>381000</xdr:colOff>
      <xdr:row>25</xdr:row>
      <xdr:rowOff>38100</xdr:rowOff>
    </xdr:to>
    <mc:AlternateContent xmlns:mc="http://schemas.openxmlformats.org/markup-compatibility/2006">
      <mc:Choice xmlns:a14="http://schemas.microsoft.com/office/drawing/2010/main" Requires="a14">
        <xdr:sp macro="" textlink="">
          <xdr:nvSpPr>
            <xdr:cNvPr id="3" name="Textfeld 2">
              <a:extLst>
                <a:ext uri="{FF2B5EF4-FFF2-40B4-BE49-F238E27FC236}">
                  <a16:creationId xmlns:a16="http://schemas.microsoft.com/office/drawing/2014/main" id="{EFAA5A06-5217-4036-9169-7B57580D582B}"/>
                </a:ext>
              </a:extLst>
            </xdr:cNvPr>
            <xdr:cNvSpPr txBox="1"/>
          </xdr:nvSpPr>
          <xdr:spPr>
            <a:xfrm>
              <a:off x="3857625" y="2981325"/>
              <a:ext cx="2619375"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Multiplikation </a:t>
              </a:r>
              <a:r>
                <a:rPr lang="de-DE" sz="2000" baseline="0"/>
                <a:t>mit dem Wiedergewinnungsfaktor (5 Jahre, 5%):</a:t>
              </a:r>
            </a:p>
            <a:p>
              <a:endParaRPr lang="de-DE" sz="2000"/>
            </a:p>
            <a:p>
              <a:r>
                <a:rPr lang="de-DE" sz="2000"/>
                <a:t>90.000€ * </a:t>
              </a:r>
              <a14:m>
                <m:oMath xmlns:m="http://schemas.openxmlformats.org/officeDocument/2006/math">
                  <m:f>
                    <m:fPr>
                      <m:ctrlPr>
                        <a:rPr lang="de-DE" sz="2000" i="1">
                          <a:latin typeface="Cambria Math" panose="02040503050406030204" pitchFamily="18" charset="0"/>
                        </a:rPr>
                      </m:ctrlPr>
                    </m:fPr>
                    <m:num>
                      <m:sSup>
                        <m:sSupPr>
                          <m:ctrlPr>
                            <a:rPr lang="de-DE" sz="2000" i="1">
                              <a:latin typeface="Cambria Math" panose="02040503050406030204" pitchFamily="18" charset="0"/>
                            </a:rPr>
                          </m:ctrlPr>
                        </m:sSupPr>
                        <m:e>
                          <m:r>
                            <a:rPr lang="de-DE" sz="2000" b="0" i="1">
                              <a:latin typeface="Cambria Math" panose="02040503050406030204" pitchFamily="18" charset="0"/>
                            </a:rPr>
                            <m:t>1,05</m:t>
                          </m:r>
                        </m:e>
                        <m:sup>
                          <m:r>
                            <a:rPr lang="de-DE" sz="2000" b="0" i="1">
                              <a:latin typeface="Cambria Math" panose="02040503050406030204" pitchFamily="18" charset="0"/>
                            </a:rPr>
                            <m:t>5</m:t>
                          </m:r>
                        </m:sup>
                      </m:sSup>
                      <m:r>
                        <a:rPr lang="de-DE" sz="2000" b="0" i="1">
                          <a:latin typeface="Cambria Math" panose="02040503050406030204" pitchFamily="18" charset="0"/>
                        </a:rPr>
                        <m:t>∗0,05</m:t>
                      </m:r>
                    </m:num>
                    <m:den>
                      <m:sSup>
                        <m:sSupPr>
                          <m:ctrlPr>
                            <a:rPr lang="de-DE" sz="2000" i="1">
                              <a:latin typeface="Cambria Math" panose="02040503050406030204" pitchFamily="18" charset="0"/>
                            </a:rPr>
                          </m:ctrlPr>
                        </m:sSupPr>
                        <m:e>
                          <m:r>
                            <a:rPr lang="de-DE" sz="2000" b="0" i="1">
                              <a:latin typeface="Cambria Math" panose="02040503050406030204" pitchFamily="18" charset="0"/>
                            </a:rPr>
                            <m:t>1,05</m:t>
                          </m:r>
                        </m:e>
                        <m:sup>
                          <m:r>
                            <a:rPr lang="de-DE" sz="2000" b="0" i="1">
                              <a:latin typeface="Cambria Math" panose="02040503050406030204" pitchFamily="18" charset="0"/>
                            </a:rPr>
                            <m:t>5</m:t>
                          </m:r>
                        </m:sup>
                      </m:sSup>
                      <m:r>
                        <a:rPr lang="de-DE" sz="2000" b="0" i="1">
                          <a:latin typeface="Cambria Math" panose="02040503050406030204" pitchFamily="18" charset="0"/>
                        </a:rPr>
                        <m:t>−1</m:t>
                      </m:r>
                    </m:den>
                  </m:f>
                  <m:r>
                    <a:rPr lang="de-DE" sz="2000" b="0" i="1">
                      <a:latin typeface="Cambria Math" panose="02040503050406030204" pitchFamily="18" charset="0"/>
                    </a:rPr>
                    <m:t>=</m:t>
                  </m:r>
                </m:oMath>
              </a14:m>
              <a:r>
                <a:rPr lang="de-DE" sz="2000"/>
                <a:t> 20.787,73 €</a:t>
              </a:r>
            </a:p>
          </xdr:txBody>
        </xdr:sp>
      </mc:Choice>
      <mc:Fallback>
        <xdr:sp macro="" textlink="">
          <xdr:nvSpPr>
            <xdr:cNvPr id="3" name="Textfeld 2">
              <a:extLst>
                <a:ext uri="{FF2B5EF4-FFF2-40B4-BE49-F238E27FC236}">
                  <a16:creationId xmlns:a16="http://schemas.microsoft.com/office/drawing/2014/main" id="{EFAA5A06-5217-4036-9169-7B57580D582B}"/>
                </a:ext>
              </a:extLst>
            </xdr:cNvPr>
            <xdr:cNvSpPr txBox="1"/>
          </xdr:nvSpPr>
          <xdr:spPr>
            <a:xfrm>
              <a:off x="3857625" y="2981325"/>
              <a:ext cx="2619375"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000"/>
                <a:t>Multiplikation </a:t>
              </a:r>
              <a:r>
                <a:rPr lang="de-DE" sz="2000" baseline="0"/>
                <a:t>mit dem Wiedergewinnungsfaktor (5 Jahre, 5%):</a:t>
              </a:r>
            </a:p>
            <a:p>
              <a:endParaRPr lang="de-DE" sz="2000"/>
            </a:p>
            <a:p>
              <a:r>
                <a:rPr lang="de-DE" sz="2000"/>
                <a:t>90.000€ * </a:t>
              </a:r>
              <a:r>
                <a:rPr lang="de-DE" sz="2000" i="0">
                  <a:latin typeface="Cambria Math" panose="02040503050406030204" pitchFamily="18" charset="0"/>
                </a:rPr>
                <a:t>(〖</a:t>
              </a:r>
              <a:r>
                <a:rPr lang="de-DE" sz="2000" b="0" i="0">
                  <a:latin typeface="Cambria Math" panose="02040503050406030204" pitchFamily="18" charset="0"/>
                </a:rPr>
                <a:t>1,05〗^5∗0,05)/(〖1,05〗^5−1)=</a:t>
              </a:r>
              <a:r>
                <a:rPr lang="de-DE" sz="2000"/>
                <a:t> 20.787,73 €</a:t>
              </a:r>
            </a:p>
          </xdr:txBody>
        </xdr:sp>
      </mc:Fallback>
    </mc:AlternateContent>
    <xdr:clientData/>
  </xdr:twoCellAnchor>
  <xdr:twoCellAnchor>
    <xdr:from>
      <xdr:col>6</xdr:col>
      <xdr:colOff>447676</xdr:colOff>
      <xdr:row>1</xdr:row>
      <xdr:rowOff>19050</xdr:rowOff>
    </xdr:from>
    <xdr:to>
      <xdr:col>12</xdr:col>
      <xdr:colOff>428626</xdr:colOff>
      <xdr:row>15</xdr:row>
      <xdr:rowOff>28575</xdr:rowOff>
    </xdr:to>
    <xdr:sp macro="" textlink="">
      <xdr:nvSpPr>
        <xdr:cNvPr id="4" name="Textfeld 3">
          <a:extLst>
            <a:ext uri="{FF2B5EF4-FFF2-40B4-BE49-F238E27FC236}">
              <a16:creationId xmlns:a16="http://schemas.microsoft.com/office/drawing/2014/main" id="{BC002B0C-146B-4B99-A989-EB03FDE61F6F}"/>
            </a:ext>
          </a:extLst>
        </xdr:cNvPr>
        <xdr:cNvSpPr txBox="1"/>
      </xdr:nvSpPr>
      <xdr:spPr>
        <a:xfrm>
          <a:off x="5019676" y="209550"/>
          <a:ext cx="4552950" cy="267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auf dem Papier:		</a:t>
          </a:r>
        </a:p>
        <a:p>
          <a:r>
            <a:rPr lang="de-DE" sz="1100"/>
            <a:t>			kumierte Barwerte:	</a:t>
          </a:r>
        </a:p>
        <a:p>
          <a:r>
            <a:rPr lang="de-DE" sz="1100"/>
            <a:t>1. Jahr: 15.000 * 1,05 </a:t>
          </a:r>
          <a:r>
            <a:rPr lang="de-DE" sz="1100" baseline="30000"/>
            <a:t>-1 </a:t>
          </a:r>
          <a:r>
            <a:rPr lang="de-DE" sz="1100"/>
            <a:t>= 14.825,71	14.825,71 €</a:t>
          </a: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2. Jahr: 15.000 * 1,05 </a:t>
          </a:r>
          <a:r>
            <a:rPr lang="de-DE" sz="1100" baseline="30000">
              <a:solidFill>
                <a:schemeClr val="dk1"/>
              </a:solidFill>
              <a:effectLst/>
              <a:latin typeface="+mn-lt"/>
              <a:ea typeface="+mn-ea"/>
              <a:cs typeface="+mn-cs"/>
            </a:rPr>
            <a:t>-2 </a:t>
          </a:r>
          <a:r>
            <a:rPr lang="de-DE" sz="1100">
              <a:solidFill>
                <a:schemeClr val="dk1"/>
              </a:solidFill>
              <a:effectLst/>
              <a:latin typeface="+mn-lt"/>
              <a:ea typeface="+mn-ea"/>
              <a:cs typeface="+mn-cs"/>
            </a:rPr>
            <a:t>= 13.605,44	27.891,16 €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3. Jahr: 15.000 * 1,05 </a:t>
          </a:r>
          <a:r>
            <a:rPr lang="de-DE" sz="1100" baseline="30000">
              <a:solidFill>
                <a:schemeClr val="dk1"/>
              </a:solidFill>
              <a:effectLst/>
              <a:latin typeface="+mn-lt"/>
              <a:ea typeface="+mn-ea"/>
              <a:cs typeface="+mn-cs"/>
            </a:rPr>
            <a:t>-3 </a:t>
          </a:r>
          <a:r>
            <a:rPr lang="de-DE" sz="1100">
              <a:solidFill>
                <a:schemeClr val="dk1"/>
              </a:solidFill>
              <a:effectLst/>
              <a:latin typeface="+mn-lt"/>
              <a:ea typeface="+mn-ea"/>
              <a:cs typeface="+mn-cs"/>
            </a:rPr>
            <a:t>= 12.957,56	40.848,72 €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4. Jahr: 15.000 * 1,05 </a:t>
          </a:r>
          <a:r>
            <a:rPr lang="de-DE" sz="1100" baseline="30000">
              <a:solidFill>
                <a:schemeClr val="dk1"/>
              </a:solidFill>
              <a:effectLst/>
              <a:latin typeface="+mn-lt"/>
              <a:ea typeface="+mn-ea"/>
              <a:cs typeface="+mn-cs"/>
            </a:rPr>
            <a:t>-4 </a:t>
          </a:r>
          <a:r>
            <a:rPr lang="de-DE" sz="1100">
              <a:solidFill>
                <a:schemeClr val="dk1"/>
              </a:solidFill>
              <a:effectLst/>
              <a:latin typeface="+mn-lt"/>
              <a:ea typeface="+mn-ea"/>
              <a:cs typeface="+mn-cs"/>
            </a:rPr>
            <a:t>= 12.340,54	53.189,26 €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5. Jahr: 15.000 * 1,05 </a:t>
          </a:r>
          <a:r>
            <a:rPr lang="de-DE" sz="1100" baseline="30000">
              <a:solidFill>
                <a:schemeClr val="dk1"/>
              </a:solidFill>
              <a:effectLst/>
              <a:latin typeface="+mn-lt"/>
              <a:ea typeface="+mn-ea"/>
              <a:cs typeface="+mn-cs"/>
            </a:rPr>
            <a:t>-5 </a:t>
          </a:r>
          <a:r>
            <a:rPr lang="de-DE" sz="1100">
              <a:solidFill>
                <a:schemeClr val="dk1"/>
              </a:solidFill>
              <a:effectLst/>
              <a:latin typeface="+mn-lt"/>
              <a:ea typeface="+mn-ea"/>
              <a:cs typeface="+mn-cs"/>
            </a:rPr>
            <a:t>= 11.752,89	64.942,15 €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6. Jahr: 15.000 * 1,05 </a:t>
          </a:r>
          <a:r>
            <a:rPr lang="de-DE" sz="1100" baseline="30000">
              <a:solidFill>
                <a:schemeClr val="dk1"/>
              </a:solidFill>
              <a:effectLst/>
              <a:latin typeface="+mn-lt"/>
              <a:ea typeface="+mn-ea"/>
              <a:cs typeface="+mn-cs"/>
            </a:rPr>
            <a:t>-6 </a:t>
          </a:r>
          <a:r>
            <a:rPr lang="de-DE" sz="1100">
              <a:solidFill>
                <a:schemeClr val="dk1"/>
              </a:solidFill>
              <a:effectLst/>
              <a:latin typeface="+mn-lt"/>
              <a:ea typeface="+mn-ea"/>
              <a:cs typeface="+mn-cs"/>
            </a:rPr>
            <a:t>= 11.193,23	76.135,38 €</a:t>
          </a:r>
          <a:endParaRPr lang="de-D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7. Jahr: 15.000 * 1,05 </a:t>
          </a:r>
          <a:r>
            <a:rPr lang="de-DE" sz="1100" baseline="30000">
              <a:solidFill>
                <a:schemeClr val="dk1"/>
              </a:solidFill>
              <a:effectLst/>
              <a:latin typeface="+mn-lt"/>
              <a:ea typeface="+mn-ea"/>
              <a:cs typeface="+mn-cs"/>
            </a:rPr>
            <a:t>-7 </a:t>
          </a:r>
          <a:r>
            <a:rPr lang="de-DE" sz="1100">
              <a:solidFill>
                <a:schemeClr val="dk1"/>
              </a:solidFill>
              <a:effectLst/>
              <a:latin typeface="+mn-lt"/>
              <a:ea typeface="+mn-ea"/>
              <a:cs typeface="+mn-cs"/>
            </a:rPr>
            <a:t>= 10.660,22	86.795,60 €</a:t>
          </a: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8. Jahr: 15.000 * 1,05 </a:t>
          </a:r>
          <a:r>
            <a:rPr lang="de-DE" sz="1100" baseline="30000">
              <a:solidFill>
                <a:schemeClr val="dk1"/>
              </a:solidFill>
              <a:effectLst/>
              <a:latin typeface="+mn-lt"/>
              <a:ea typeface="+mn-ea"/>
              <a:cs typeface="+mn-cs"/>
            </a:rPr>
            <a:t>-8 </a:t>
          </a:r>
          <a:r>
            <a:rPr lang="de-DE" sz="1100">
              <a:solidFill>
                <a:schemeClr val="dk1"/>
              </a:solidFill>
              <a:effectLst/>
              <a:latin typeface="+mn-lt"/>
              <a:ea typeface="+mn-ea"/>
              <a:cs typeface="+mn-cs"/>
            </a:rPr>
            <a:t>= 10.152,59	</a:t>
          </a:r>
          <a:r>
            <a:rPr lang="de-DE" sz="1100" b="1">
              <a:solidFill>
                <a:schemeClr val="dk1"/>
              </a:solidFill>
              <a:effectLst/>
              <a:latin typeface="+mn-lt"/>
              <a:ea typeface="+mn-ea"/>
              <a:cs typeface="+mn-cs"/>
            </a:rPr>
            <a:t>96.948,19 €</a:t>
          </a:r>
          <a:endParaRPr lang="de-DE" b="1">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de-DE">
            <a:effectLst/>
          </a:endParaRPr>
        </a:p>
        <a:p>
          <a:r>
            <a:rPr lang="de-DE" sz="1100"/>
            <a:t>Die Amortisation erfolgt im achten Jahr</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142875</xdr:colOff>
      <xdr:row>21</xdr:row>
      <xdr:rowOff>180975</xdr:rowOff>
    </xdr:from>
    <xdr:to>
      <xdr:col>7</xdr:col>
      <xdr:colOff>9525</xdr:colOff>
      <xdr:row>23</xdr:row>
      <xdr:rowOff>76200</xdr:rowOff>
    </xdr:to>
    <xdr:sp macro="" textlink="">
      <xdr:nvSpPr>
        <xdr:cNvPr id="2" name="Textfeld 1">
          <a:extLst>
            <a:ext uri="{FF2B5EF4-FFF2-40B4-BE49-F238E27FC236}">
              <a16:creationId xmlns:a16="http://schemas.microsoft.com/office/drawing/2014/main" id="{8BD6464A-D4A1-4898-A422-514F92CC0F38}"/>
            </a:ext>
          </a:extLst>
        </xdr:cNvPr>
        <xdr:cNvSpPr txBox="1"/>
      </xdr:nvSpPr>
      <xdr:spPr>
        <a:xfrm>
          <a:off x="142875" y="4181475"/>
          <a:ext cx="52006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Der Kapitalwert der Anlage ist positiv. Die</a:t>
          </a:r>
          <a:r>
            <a:rPr lang="de-DE" sz="1100" baseline="0"/>
            <a:t> Anlage sollte angeschafft werden</a:t>
          </a:r>
          <a:endParaRPr lang="de-DE" sz="1100"/>
        </a:p>
      </xdr:txBody>
    </xdr:sp>
    <xdr:clientData/>
  </xdr:twoCellAnchor>
</xdr:wsDr>
</file>

<file path=xl/drawings/drawing50.xml><?xml version="1.0" encoding="utf-8"?>
<xdr:wsDr xmlns:xdr="http://schemas.openxmlformats.org/drawingml/2006/spreadsheetDrawing" xmlns:a="http://schemas.openxmlformats.org/drawingml/2006/main">
  <xdr:oneCellAnchor>
    <xdr:from>
      <xdr:col>2</xdr:col>
      <xdr:colOff>142875</xdr:colOff>
      <xdr:row>4</xdr:row>
      <xdr:rowOff>142875</xdr:rowOff>
    </xdr:from>
    <xdr:ext cx="184731" cy="264560"/>
    <xdr:sp macro="" textlink="">
      <xdr:nvSpPr>
        <xdr:cNvPr id="2" name="Textfeld 1">
          <a:extLst>
            <a:ext uri="{FF2B5EF4-FFF2-40B4-BE49-F238E27FC236}">
              <a16:creationId xmlns:a16="http://schemas.microsoft.com/office/drawing/2014/main" id="{8A27D543-1459-4B54-8D48-2B1A2279B782}"/>
            </a:ext>
          </a:extLst>
        </xdr:cNvPr>
        <xdr:cNvSpPr txBox="1"/>
      </xdr:nvSpPr>
      <xdr:spPr>
        <a:xfrm>
          <a:off x="1666875" y="904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2</xdr:col>
      <xdr:colOff>962025</xdr:colOff>
      <xdr:row>22</xdr:row>
      <xdr:rowOff>190499</xdr:rowOff>
    </xdr:from>
    <xdr:to>
      <xdr:col>8</xdr:col>
      <xdr:colOff>533400</xdr:colOff>
      <xdr:row>27</xdr:row>
      <xdr:rowOff>209550</xdr:rowOff>
    </xdr:to>
    <xdr:sp macro="" textlink="">
      <xdr:nvSpPr>
        <xdr:cNvPr id="3" name="Textfeld 2">
          <a:extLst>
            <a:ext uri="{FF2B5EF4-FFF2-40B4-BE49-F238E27FC236}">
              <a16:creationId xmlns:a16="http://schemas.microsoft.com/office/drawing/2014/main" id="{82E66CE8-FB39-4227-8A81-7EC049C6E889}"/>
            </a:ext>
          </a:extLst>
        </xdr:cNvPr>
        <xdr:cNvSpPr txBox="1"/>
      </xdr:nvSpPr>
      <xdr:spPr>
        <a:xfrm>
          <a:off x="2286000" y="4381499"/>
          <a:ext cx="4343400" cy="952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a) Zug B hat einen höheren Kapitalwert, daher sollte in Zug B investiert werden.</a:t>
          </a:r>
        </a:p>
        <a:p>
          <a:endParaRPr lang="de-DE" sz="1100"/>
        </a:p>
        <a:p>
          <a:pPr rtl="0" eaLnBrk="1" fontAlgn="auto" latinLnBrk="0" hangingPunct="1"/>
          <a:r>
            <a:rPr lang="de-DE" sz="1100" b="0">
              <a:solidFill>
                <a:schemeClr val="dk1"/>
              </a:solidFill>
              <a:effectLst/>
              <a:latin typeface="+mn-lt"/>
              <a:ea typeface="+mn-ea"/>
              <a:cs typeface="+mn-cs"/>
            </a:rPr>
            <a:t>Lösung</a:t>
          </a:r>
          <a:r>
            <a:rPr lang="de-DE" sz="1100" b="0" baseline="0">
              <a:solidFill>
                <a:schemeClr val="dk1"/>
              </a:solidFill>
              <a:effectLst/>
              <a:latin typeface="+mn-lt"/>
              <a:ea typeface="+mn-ea"/>
              <a:cs typeface="+mn-cs"/>
            </a:rPr>
            <a:t> b) Auch unter Berücksichtigung der gewichteten Gesamtkapitalkostenansätze ist Zug B auszuwählen. </a:t>
          </a:r>
          <a:endParaRPr lang="de-DE" b="0">
            <a:effectLst/>
          </a:endParaRPr>
        </a:p>
        <a:p>
          <a:endParaRPr lang="de-DE" sz="1100" baseline="0">
            <a:solidFill>
              <a:schemeClr val="dk1"/>
            </a:solidFill>
            <a:effectLst/>
            <a:latin typeface="+mn-lt"/>
            <a:ea typeface="+mn-ea"/>
            <a:cs typeface="+mn-cs"/>
          </a:endParaRPr>
        </a:p>
        <a:p>
          <a:endParaRPr lang="de-DE" sz="1100"/>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3</xdr:col>
      <xdr:colOff>9525</xdr:colOff>
      <xdr:row>5</xdr:row>
      <xdr:rowOff>180975</xdr:rowOff>
    </xdr:from>
    <xdr:to>
      <xdr:col>5</xdr:col>
      <xdr:colOff>9525</xdr:colOff>
      <xdr:row>7</xdr:row>
      <xdr:rowOff>38100</xdr:rowOff>
    </xdr:to>
    <xdr:sp macro="" textlink="">
      <xdr:nvSpPr>
        <xdr:cNvPr id="2" name="Textfeld 1">
          <a:extLst>
            <a:ext uri="{FF2B5EF4-FFF2-40B4-BE49-F238E27FC236}">
              <a16:creationId xmlns:a16="http://schemas.microsoft.com/office/drawing/2014/main" id="{89D34E84-8FB0-4EF5-BECA-B0FE249B5003}"/>
            </a:ext>
          </a:extLst>
        </xdr:cNvPr>
        <xdr:cNvSpPr txBox="1"/>
      </xdr:nvSpPr>
      <xdr:spPr>
        <a:xfrm>
          <a:off x="2295525" y="1133475"/>
          <a:ext cx="15240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5% + 1,3 * (11% - 5%) = 12,8%</a:t>
          </a:r>
        </a:p>
      </xdr:txBody>
    </xdr:sp>
    <xdr:clientData/>
  </xdr:twoCellAnchor>
  <xdr:twoCellAnchor>
    <xdr:from>
      <xdr:col>3</xdr:col>
      <xdr:colOff>9525</xdr:colOff>
      <xdr:row>11</xdr:row>
      <xdr:rowOff>171450</xdr:rowOff>
    </xdr:from>
    <xdr:to>
      <xdr:col>5</xdr:col>
      <xdr:colOff>733425</xdr:colOff>
      <xdr:row>13</xdr:row>
      <xdr:rowOff>28575</xdr:rowOff>
    </xdr:to>
    <xdr:sp macro="" textlink="">
      <xdr:nvSpPr>
        <xdr:cNvPr id="3" name="Textfeld 2">
          <a:extLst>
            <a:ext uri="{FF2B5EF4-FFF2-40B4-BE49-F238E27FC236}">
              <a16:creationId xmlns:a16="http://schemas.microsoft.com/office/drawing/2014/main" id="{57C37AAC-EDFD-43EC-9571-2688F625CED0}"/>
            </a:ext>
          </a:extLst>
        </xdr:cNvPr>
        <xdr:cNvSpPr txBox="1"/>
      </xdr:nvSpPr>
      <xdr:spPr>
        <a:xfrm>
          <a:off x="2295525" y="2266950"/>
          <a:ext cx="22479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12,8%</a:t>
          </a:r>
          <a:r>
            <a:rPr lang="de-DE" sz="1100" baseline="0"/>
            <a:t> * </a:t>
          </a:r>
          <a:r>
            <a:rPr lang="de-DE" sz="1100"/>
            <a:t>45% + 8%  * (1 - 30%) * 55% = 8,84%</a:t>
          </a:r>
        </a:p>
      </xdr:txBody>
    </xdr:sp>
    <xdr:clientData/>
  </xdr:twoCellAnchor>
  <xdr:twoCellAnchor>
    <xdr:from>
      <xdr:col>3</xdr:col>
      <xdr:colOff>400050</xdr:colOff>
      <xdr:row>33</xdr:row>
      <xdr:rowOff>161925</xdr:rowOff>
    </xdr:from>
    <xdr:to>
      <xdr:col>8</xdr:col>
      <xdr:colOff>666750</xdr:colOff>
      <xdr:row>35</xdr:row>
      <xdr:rowOff>95250</xdr:rowOff>
    </xdr:to>
    <xdr:sp macro="" textlink="">
      <xdr:nvSpPr>
        <xdr:cNvPr id="4" name="Textfeld 3">
          <a:extLst>
            <a:ext uri="{FF2B5EF4-FFF2-40B4-BE49-F238E27FC236}">
              <a16:creationId xmlns:a16="http://schemas.microsoft.com/office/drawing/2014/main" id="{83749DB2-54E1-444A-9840-F4676CEEDE72}"/>
            </a:ext>
          </a:extLst>
        </xdr:cNvPr>
        <xdr:cNvSpPr txBox="1"/>
      </xdr:nvSpPr>
      <xdr:spPr>
        <a:xfrm>
          <a:off x="2686050" y="6448425"/>
          <a:ext cx="407670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Lösung: Der Kapitalwert der Anlage ist positiv. Die Anlage sollte angeschafft werden</a:t>
          </a:r>
        </a:p>
      </xdr:txBody>
    </xdr:sp>
    <xdr:clientData/>
  </xdr:twoCellAnchor>
  <xdr:twoCellAnchor>
    <xdr:from>
      <xdr:col>3</xdr:col>
      <xdr:colOff>19050</xdr:colOff>
      <xdr:row>14</xdr:row>
      <xdr:rowOff>19050</xdr:rowOff>
    </xdr:from>
    <xdr:to>
      <xdr:col>5</xdr:col>
      <xdr:colOff>781050</xdr:colOff>
      <xdr:row>15</xdr:row>
      <xdr:rowOff>28575</xdr:rowOff>
    </xdr:to>
    <xdr:sp macro="" textlink="">
      <xdr:nvSpPr>
        <xdr:cNvPr id="5" name="Textfeld 4">
          <a:extLst>
            <a:ext uri="{FF2B5EF4-FFF2-40B4-BE49-F238E27FC236}">
              <a16:creationId xmlns:a16="http://schemas.microsoft.com/office/drawing/2014/main" id="{EF4D8979-D82B-4BAB-9969-E03801C8C0EC}"/>
            </a:ext>
          </a:extLst>
        </xdr:cNvPr>
        <xdr:cNvSpPr txBox="1"/>
      </xdr:nvSpPr>
      <xdr:spPr>
        <a:xfrm>
          <a:off x="2305050" y="2686050"/>
          <a:ext cx="226695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i</a:t>
          </a:r>
          <a:r>
            <a:rPr lang="de-DE" sz="1100" baseline="-25000"/>
            <a:t>s</a:t>
          </a:r>
          <a:r>
            <a:rPr lang="de-DE" sz="1100"/>
            <a:t> = (1-s) * i = (1 -30%)</a:t>
          </a:r>
          <a:r>
            <a:rPr lang="de-DE" sz="1100" baseline="0"/>
            <a:t> * 8,84%</a:t>
          </a:r>
          <a:endParaRPr lang="de-DE"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1.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5.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7.bin"/></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8.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8DD6-4F3D-4236-B1D8-B5EF4F5A7D40}">
  <dimension ref="A36:P54"/>
  <sheetViews>
    <sheetView workbookViewId="0">
      <selection activeCell="C56" sqref="C56"/>
    </sheetView>
  </sheetViews>
  <sheetFormatPr baseColWidth="10" defaultRowHeight="15" x14ac:dyDescent="0.25"/>
  <cols>
    <col min="3" max="8" width="13" bestFit="1" customWidth="1"/>
    <col min="11" max="16" width="13" bestFit="1" customWidth="1"/>
  </cols>
  <sheetData>
    <row r="36" spans="1:16" x14ac:dyDescent="0.25">
      <c r="A36" t="s">
        <v>1</v>
      </c>
    </row>
    <row r="37" spans="1:16" x14ac:dyDescent="0.25">
      <c r="A37" t="s">
        <v>3</v>
      </c>
      <c r="I37" t="s">
        <v>2</v>
      </c>
    </row>
    <row r="38" spans="1:16" x14ac:dyDescent="0.25">
      <c r="B38" s="1" t="s">
        <v>0</v>
      </c>
      <c r="C38">
        <v>0</v>
      </c>
      <c r="D38">
        <v>1</v>
      </c>
      <c r="E38">
        <v>2</v>
      </c>
      <c r="F38">
        <v>3</v>
      </c>
      <c r="G38">
        <v>4</v>
      </c>
      <c r="J38" s="1" t="s">
        <v>0</v>
      </c>
      <c r="K38">
        <v>0</v>
      </c>
      <c r="L38">
        <v>1</v>
      </c>
      <c r="M38">
        <v>2</v>
      </c>
      <c r="N38">
        <v>3</v>
      </c>
      <c r="O38">
        <v>4</v>
      </c>
      <c r="P38">
        <v>5</v>
      </c>
    </row>
    <row r="39" spans="1:16" x14ac:dyDescent="0.25">
      <c r="B39" s="1"/>
      <c r="C39" s="1"/>
      <c r="D39" s="1">
        <v>140000</v>
      </c>
      <c r="E39" s="1">
        <v>145000</v>
      </c>
      <c r="F39" s="1">
        <v>160000</v>
      </c>
      <c r="G39" s="1">
        <v>155000</v>
      </c>
      <c r="J39" s="1"/>
      <c r="K39" s="1"/>
      <c r="L39" s="1">
        <v>210000</v>
      </c>
      <c r="M39" s="1">
        <v>215000</v>
      </c>
      <c r="N39" s="1">
        <v>220000</v>
      </c>
      <c r="O39" s="1">
        <v>225000</v>
      </c>
      <c r="P39" s="1">
        <v>200000</v>
      </c>
    </row>
    <row r="40" spans="1:16" x14ac:dyDescent="0.25">
      <c r="B40" s="1"/>
      <c r="C40" s="1">
        <v>-250000</v>
      </c>
      <c r="D40" s="1">
        <v>-70000</v>
      </c>
      <c r="E40" s="1">
        <v>-71000</v>
      </c>
      <c r="F40" s="1">
        <v>-75000</v>
      </c>
      <c r="G40" s="1">
        <v>-85000</v>
      </c>
      <c r="J40" s="1"/>
      <c r="P40" s="1">
        <v>-80000</v>
      </c>
    </row>
    <row r="41" spans="1:16" x14ac:dyDescent="0.25">
      <c r="K41" s="1">
        <v>-450000</v>
      </c>
      <c r="L41" s="1">
        <v>-110000</v>
      </c>
      <c r="M41" s="1">
        <v>-105000</v>
      </c>
      <c r="N41" s="1">
        <v>-115000</v>
      </c>
      <c r="O41" s="1">
        <v>-107000</v>
      </c>
      <c r="P41" s="1">
        <v>-114000</v>
      </c>
    </row>
    <row r="42" spans="1:16" x14ac:dyDescent="0.25">
      <c r="C42" s="1">
        <v>-250000</v>
      </c>
      <c r="D42" s="1">
        <f>SUM(D39:D40)</f>
        <v>70000</v>
      </c>
      <c r="E42" s="1">
        <f>SUM(E39:E40)</f>
        <v>74000</v>
      </c>
      <c r="F42" s="1">
        <f>SUM(F39:F40)</f>
        <v>85000</v>
      </c>
      <c r="G42" s="1">
        <f>SUM(G39:G40)</f>
        <v>70000</v>
      </c>
      <c r="K42" s="1">
        <v>-450000</v>
      </c>
      <c r="L42" s="1">
        <f>SUM(L39:L41)</f>
        <v>100000</v>
      </c>
      <c r="M42" s="1">
        <f>SUM(M39:M41)</f>
        <v>110000</v>
      </c>
      <c r="N42" s="1">
        <f>SUM(N39:N41)</f>
        <v>105000</v>
      </c>
      <c r="O42" s="1">
        <f>SUM(O39:O41)</f>
        <v>118000</v>
      </c>
      <c r="P42" s="1">
        <f>SUM(P39:P41)</f>
        <v>6000</v>
      </c>
    </row>
    <row r="47" spans="1:16" x14ac:dyDescent="0.25">
      <c r="C47" t="s">
        <v>4</v>
      </c>
      <c r="D47" s="2">
        <f>3%+0.6*(12*-3%)</f>
        <v>-0.186</v>
      </c>
    </row>
    <row r="48" spans="1:16" x14ac:dyDescent="0.25">
      <c r="C48" t="s">
        <v>5</v>
      </c>
      <c r="D48" s="2">
        <f>3%+1.3*(12%-3%)</f>
        <v>0.14699999999999999</v>
      </c>
    </row>
    <row r="50" spans="1:8" x14ac:dyDescent="0.25">
      <c r="C50" t="s">
        <v>6</v>
      </c>
      <c r="D50" s="2">
        <f>D47*45%+6%*(1-30%)*55%</f>
        <v>-6.0600000000000001E-2</v>
      </c>
      <c r="G50" t="s">
        <v>8</v>
      </c>
      <c r="H50" s="3">
        <f>NPV(D50,D42:G42)+C42</f>
        <v>100791.59296478686</v>
      </c>
    </row>
    <row r="51" spans="1:8" x14ac:dyDescent="0.25">
      <c r="C51" t="s">
        <v>7</v>
      </c>
      <c r="D51" s="2">
        <f>D48*45%+6%*(1-30%)*55%</f>
        <v>8.9249999999999996E-2</v>
      </c>
      <c r="G51" t="s">
        <v>9</v>
      </c>
      <c r="H51" s="1">
        <f>NPV(D51,L42:P42)+K42</f>
        <v>-96496.829662195989</v>
      </c>
    </row>
    <row r="54" spans="1:8" x14ac:dyDescent="0.25">
      <c r="A54" t="s">
        <v>10</v>
      </c>
      <c r="C54" s="4" t="s">
        <v>11</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EBCF-9760-45D6-A24B-D4D1676A82A9}">
  <dimension ref="A25:H45"/>
  <sheetViews>
    <sheetView workbookViewId="0">
      <selection activeCell="H45" sqref="H45"/>
    </sheetView>
  </sheetViews>
  <sheetFormatPr baseColWidth="10" defaultRowHeight="15" x14ac:dyDescent="0.25"/>
  <cols>
    <col min="3" max="6" width="13" bestFit="1" customWidth="1"/>
  </cols>
  <sheetData>
    <row r="25" spans="1:8" x14ac:dyDescent="0.25">
      <c r="A25" t="s">
        <v>1</v>
      </c>
    </row>
    <row r="26" spans="1:8" x14ac:dyDescent="0.25">
      <c r="B26" t="s">
        <v>0</v>
      </c>
      <c r="C26">
        <v>0</v>
      </c>
      <c r="D26">
        <v>1</v>
      </c>
      <c r="E26">
        <v>2</v>
      </c>
      <c r="F26">
        <v>3</v>
      </c>
    </row>
    <row r="27" spans="1:8" x14ac:dyDescent="0.25">
      <c r="B27" t="s">
        <v>14</v>
      </c>
      <c r="C27">
        <v>-500000</v>
      </c>
      <c r="D27">
        <v>280000</v>
      </c>
      <c r="E27">
        <v>320000</v>
      </c>
      <c r="F27">
        <v>300000</v>
      </c>
      <c r="H27" s="5">
        <v>0.09</v>
      </c>
    </row>
    <row r="28" spans="1:8" x14ac:dyDescent="0.25">
      <c r="B28" t="s">
        <v>15</v>
      </c>
      <c r="C28">
        <v>-700000</v>
      </c>
      <c r="D28">
        <v>300000</v>
      </c>
      <c r="E28">
        <v>300000</v>
      </c>
      <c r="F28">
        <v>300000</v>
      </c>
    </row>
    <row r="31" spans="1:8" x14ac:dyDescent="0.25">
      <c r="C31" t="s">
        <v>12</v>
      </c>
      <c r="D31" s="5">
        <f>IRR(C27:F27)</f>
        <v>0.35725112908372014</v>
      </c>
      <c r="F31" t="s">
        <v>16</v>
      </c>
    </row>
    <row r="32" spans="1:8" x14ac:dyDescent="0.25">
      <c r="C32" t="s">
        <v>13</v>
      </c>
      <c r="D32" s="5">
        <f>IRR(C28:F28)</f>
        <v>0.13700914959526922</v>
      </c>
    </row>
    <row r="35" spans="1:8" x14ac:dyDescent="0.25">
      <c r="A35" t="s">
        <v>10</v>
      </c>
      <c r="B35" t="s">
        <v>0</v>
      </c>
      <c r="C35">
        <v>0</v>
      </c>
      <c r="D35">
        <v>1</v>
      </c>
      <c r="E35" s="7">
        <v>2</v>
      </c>
      <c r="F35">
        <v>3</v>
      </c>
    </row>
    <row r="36" spans="1:8" x14ac:dyDescent="0.25">
      <c r="B36" s="1" t="s">
        <v>14</v>
      </c>
      <c r="C36" s="1">
        <v>-500000</v>
      </c>
      <c r="D36" s="1">
        <v>280000</v>
      </c>
      <c r="E36" s="1">
        <v>320000</v>
      </c>
      <c r="F36" s="1">
        <v>300000</v>
      </c>
      <c r="G36" s="1"/>
    </row>
    <row r="37" spans="1:8" x14ac:dyDescent="0.25">
      <c r="B37" s="1" t="s">
        <v>17</v>
      </c>
      <c r="C37" s="1">
        <v>-500000</v>
      </c>
      <c r="D37" s="1">
        <f>D36/(1+9%)^D35</f>
        <v>256880.73394495412</v>
      </c>
      <c r="E37" s="1">
        <f>E36/(1+9%)^E35</f>
        <v>269337.59784529917</v>
      </c>
      <c r="F37" s="1">
        <f>F36/(1+9%)^F35</f>
        <v>231655.04401831925</v>
      </c>
      <c r="G37" s="1"/>
    </row>
    <row r="38" spans="1:8" x14ac:dyDescent="0.25">
      <c r="B38" s="1"/>
      <c r="C38" s="1"/>
      <c r="D38" s="1">
        <f>C37+D37</f>
        <v>-243119.26605504588</v>
      </c>
      <c r="E38" s="3">
        <f>D38+E37</f>
        <v>26218.331790253287</v>
      </c>
      <c r="F38" s="3"/>
      <c r="G38" s="1"/>
      <c r="H38" t="s">
        <v>18</v>
      </c>
    </row>
    <row r="39" spans="1:8" x14ac:dyDescent="0.25">
      <c r="B39" s="1"/>
      <c r="C39" s="1"/>
      <c r="D39" s="1"/>
      <c r="E39" s="1"/>
      <c r="F39" s="1"/>
      <c r="G39" s="1"/>
    </row>
    <row r="40" spans="1:8" x14ac:dyDescent="0.25">
      <c r="B40" s="1"/>
      <c r="C40" s="1"/>
      <c r="D40" s="1"/>
      <c r="E40" s="1"/>
      <c r="F40" s="1"/>
      <c r="G40" s="1"/>
    </row>
    <row r="41" spans="1:8" x14ac:dyDescent="0.25">
      <c r="B41" s="1"/>
      <c r="C41" s="1"/>
      <c r="D41" s="1"/>
      <c r="E41" s="1"/>
      <c r="F41" s="1"/>
      <c r="G41" s="1"/>
    </row>
    <row r="42" spans="1:8" x14ac:dyDescent="0.25">
      <c r="B42" s="1" t="s">
        <v>15</v>
      </c>
      <c r="C42" s="1">
        <v>-700000</v>
      </c>
      <c r="D42" s="1">
        <v>300000</v>
      </c>
      <c r="E42" s="1">
        <v>300000</v>
      </c>
      <c r="F42" s="1">
        <v>300000</v>
      </c>
      <c r="G42" s="1"/>
    </row>
    <row r="43" spans="1:8" x14ac:dyDescent="0.25">
      <c r="B43" s="1" t="s">
        <v>17</v>
      </c>
      <c r="C43" s="1">
        <v>-700000</v>
      </c>
      <c r="D43" s="1">
        <f>D42/(1+9%)^D35</f>
        <v>275229.35779816512</v>
      </c>
      <c r="E43" s="1">
        <f>E42/(1+9%)^E35</f>
        <v>252503.99797996797</v>
      </c>
      <c r="F43" s="1">
        <f>F42/(1+9%)^F35</f>
        <v>231655.04401831925</v>
      </c>
      <c r="G43" s="1"/>
    </row>
    <row r="44" spans="1:8" x14ac:dyDescent="0.25">
      <c r="B44" s="1"/>
      <c r="C44" s="1"/>
      <c r="D44" s="1">
        <f>SUM(C43,D43)</f>
        <v>-424770.64220183488</v>
      </c>
      <c r="E44" s="1">
        <f>SUM(D44,E43)</f>
        <v>-172266.64422186691</v>
      </c>
      <c r="F44" s="3">
        <f>SUM(E44,F43)</f>
        <v>59388.399796452344</v>
      </c>
      <c r="G44" s="1"/>
      <c r="H44" t="s">
        <v>19</v>
      </c>
    </row>
    <row r="45" spans="1:8" x14ac:dyDescent="0.25">
      <c r="B45" s="1"/>
      <c r="C45" s="1"/>
      <c r="D45" s="1"/>
      <c r="E45" s="1"/>
      <c r="F45" s="1"/>
      <c r="G45" s="1"/>
    </row>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6AB0-DE12-4A2A-AAAB-0C5EFBEB2BCB}">
  <dimension ref="B24:J46"/>
  <sheetViews>
    <sheetView topLeftCell="A7" workbookViewId="0">
      <selection activeCell="B44" sqref="B44"/>
    </sheetView>
  </sheetViews>
  <sheetFormatPr baseColWidth="10" defaultRowHeight="15" x14ac:dyDescent="0.25"/>
  <sheetData>
    <row r="24" spans="2:10" x14ac:dyDescent="0.25">
      <c r="B24" s="8" t="s">
        <v>1</v>
      </c>
      <c r="C24" s="8">
        <v>0</v>
      </c>
      <c r="D24" s="8">
        <v>1</v>
      </c>
      <c r="E24" s="8">
        <v>2</v>
      </c>
      <c r="F24" s="8">
        <v>3</v>
      </c>
      <c r="G24" s="8">
        <v>4</v>
      </c>
      <c r="H24" s="8">
        <v>5</v>
      </c>
      <c r="I24" s="8"/>
      <c r="J24" s="5">
        <v>0.1</v>
      </c>
    </row>
    <row r="25" spans="2:10" x14ac:dyDescent="0.25">
      <c r="B25" s="8"/>
      <c r="C25" s="8">
        <v>-100000</v>
      </c>
      <c r="D25">
        <f>C39*D39</f>
        <v>17500</v>
      </c>
      <c r="E25" s="8">
        <f>C40*D40</f>
        <v>22000</v>
      </c>
      <c r="F25" s="8">
        <f>C41*D41</f>
        <v>27225</v>
      </c>
      <c r="G25" s="8">
        <f>C42*D42</f>
        <v>33275</v>
      </c>
      <c r="H25" s="8">
        <v>25000</v>
      </c>
      <c r="I25" s="8"/>
    </row>
    <row r="26" spans="2:10" x14ac:dyDescent="0.25">
      <c r="B26" s="8"/>
      <c r="C26" s="8"/>
      <c r="D26" s="8"/>
      <c r="E26" s="8"/>
      <c r="F26" s="8"/>
      <c r="G26" s="8"/>
      <c r="H26" s="8">
        <f>C43*D43</f>
        <v>40262.75</v>
      </c>
      <c r="I26" s="8"/>
    </row>
    <row r="27" spans="2:10" x14ac:dyDescent="0.25">
      <c r="B27" s="8"/>
      <c r="C27" s="8"/>
      <c r="D27" s="8">
        <v>-2000</v>
      </c>
      <c r="E27" s="8">
        <v>-2000</v>
      </c>
      <c r="F27" s="8">
        <v>-2500</v>
      </c>
      <c r="G27" s="8">
        <v>-2500</v>
      </c>
      <c r="H27" s="8">
        <v>-2500</v>
      </c>
      <c r="I27" s="8"/>
    </row>
    <row r="28" spans="2:10" x14ac:dyDescent="0.25">
      <c r="B28" s="8"/>
      <c r="C28" s="8"/>
      <c r="D28" s="8">
        <f>(C39*G39)*-1</f>
        <v>-3000</v>
      </c>
      <c r="E28" s="8">
        <f>(C40*G40)*-1</f>
        <v>-3520</v>
      </c>
      <c r="F28" s="8">
        <f>(C41*G41)*-1</f>
        <v>-4114</v>
      </c>
      <c r="G28" s="8">
        <f>(C42*G42)*-1</f>
        <v>-4791.5999999999995</v>
      </c>
      <c r="H28" s="8">
        <f>(C43*G43)*-1</f>
        <v>-5563.58</v>
      </c>
      <c r="I28" s="8"/>
    </row>
    <row r="29" spans="2:10" x14ac:dyDescent="0.25">
      <c r="B29" s="8"/>
      <c r="C29" s="8"/>
      <c r="D29" s="8"/>
      <c r="E29" s="8"/>
      <c r="F29" s="8"/>
      <c r="G29" s="8"/>
      <c r="H29" s="8"/>
      <c r="I29" s="8"/>
    </row>
    <row r="30" spans="2:10" x14ac:dyDescent="0.25">
      <c r="B30" s="8"/>
      <c r="C30" s="8">
        <v>-100000</v>
      </c>
      <c r="D30" s="8">
        <f>SUM(D25,D27,D28)</f>
        <v>12500</v>
      </c>
      <c r="E30" s="8">
        <f>SUM(E25,E27,E28)</f>
        <v>16480</v>
      </c>
      <c r="F30" s="8">
        <f>SUM(F25,F27,F28)</f>
        <v>20611</v>
      </c>
      <c r="G30" s="8">
        <f>SUM(G25,G27,G28)</f>
        <v>25983.4</v>
      </c>
      <c r="H30" s="8">
        <f>SUM(H25,H26,H27,H28)</f>
        <v>57199.17</v>
      </c>
      <c r="I30" s="8"/>
    </row>
    <row r="31" spans="2:10" x14ac:dyDescent="0.25">
      <c r="B31" s="8"/>
      <c r="C31" s="8"/>
      <c r="D31" s="8"/>
      <c r="E31" s="8"/>
      <c r="F31" s="8"/>
      <c r="G31" s="8"/>
      <c r="H31" s="8"/>
      <c r="I31" s="8"/>
    </row>
    <row r="32" spans="2:10" x14ac:dyDescent="0.25">
      <c r="B32" s="8"/>
      <c r="C32" s="8"/>
      <c r="D32" s="8"/>
      <c r="E32" s="8"/>
      <c r="F32" s="8"/>
      <c r="G32" s="8"/>
      <c r="H32" s="8"/>
      <c r="I32" s="8"/>
    </row>
    <row r="33" spans="2:9" x14ac:dyDescent="0.25">
      <c r="B33" s="8"/>
      <c r="C33" s="9"/>
      <c r="D33" s="8"/>
      <c r="E33" s="9">
        <f>NPV(J24,D30,E30,F30,G30,H30)+C30</f>
        <v>-6267.9834338191431</v>
      </c>
      <c r="F33" t="s">
        <v>20</v>
      </c>
      <c r="G33" s="8"/>
      <c r="H33" s="8"/>
      <c r="I33" s="8"/>
    </row>
    <row r="34" spans="2:9" x14ac:dyDescent="0.25">
      <c r="B34" s="8"/>
      <c r="C34" s="8"/>
      <c r="D34" s="8"/>
      <c r="E34" s="8"/>
      <c r="F34" s="8"/>
      <c r="G34" s="8"/>
      <c r="H34" s="8"/>
      <c r="I34" s="8"/>
    </row>
    <row r="35" spans="2:9" x14ac:dyDescent="0.25">
      <c r="B35" s="8"/>
      <c r="C35" s="8"/>
      <c r="D35" s="8"/>
      <c r="E35" t="s">
        <v>21</v>
      </c>
      <c r="F35" s="8"/>
      <c r="G35" s="8"/>
      <c r="H35" s="8"/>
      <c r="I35" s="8"/>
    </row>
    <row r="39" spans="2:9" x14ac:dyDescent="0.25">
      <c r="C39">
        <v>5000</v>
      </c>
      <c r="D39">
        <v>3.5</v>
      </c>
      <c r="E39">
        <f>C39*D39</f>
        <v>17500</v>
      </c>
      <c r="G39">
        <v>0.6</v>
      </c>
    </row>
    <row r="40" spans="2:9" x14ac:dyDescent="0.25">
      <c r="C40">
        <f>(C39*0.1)+C39</f>
        <v>5500</v>
      </c>
      <c r="D40">
        <v>4</v>
      </c>
      <c r="E40">
        <f>C40*D40</f>
        <v>22000</v>
      </c>
      <c r="G40">
        <v>0.64</v>
      </c>
    </row>
    <row r="41" spans="2:9" x14ac:dyDescent="0.25">
      <c r="C41">
        <f>(C40*0.1)+C40</f>
        <v>6050</v>
      </c>
      <c r="D41">
        <v>4.5</v>
      </c>
      <c r="E41">
        <f>C41*D41</f>
        <v>27225</v>
      </c>
      <c r="G41">
        <v>0.68</v>
      </c>
    </row>
    <row r="42" spans="2:9" x14ac:dyDescent="0.25">
      <c r="C42">
        <f>(C41*0.1)+C41</f>
        <v>6655</v>
      </c>
      <c r="D42">
        <v>5</v>
      </c>
      <c r="E42">
        <f>C42*D42</f>
        <v>33275</v>
      </c>
      <c r="G42">
        <v>0.72</v>
      </c>
    </row>
    <row r="43" spans="2:9" x14ac:dyDescent="0.25">
      <c r="C43">
        <f>(C42*0.1)+C42</f>
        <v>7320.5</v>
      </c>
      <c r="D43">
        <v>5.5</v>
      </c>
      <c r="E43">
        <f>C43*D43</f>
        <v>40262.75</v>
      </c>
      <c r="G43">
        <v>0.76</v>
      </c>
    </row>
    <row r="46" spans="2:9" x14ac:dyDescent="0.25">
      <c r="B46" t="s">
        <v>10</v>
      </c>
      <c r="D46" s="6">
        <f>FV(J24,5,,E33)</f>
        <v>10094.650000000072</v>
      </c>
      <c r="E46" t="s">
        <v>22</v>
      </c>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4473-084E-420C-855B-6E27B853E95C}">
  <dimension ref="A27:J40"/>
  <sheetViews>
    <sheetView workbookViewId="0"/>
  </sheetViews>
  <sheetFormatPr baseColWidth="10" defaultRowHeight="15" x14ac:dyDescent="0.25"/>
  <cols>
    <col min="2" max="3" width="13" bestFit="1" customWidth="1"/>
    <col min="4" max="6" width="12" bestFit="1" customWidth="1"/>
  </cols>
  <sheetData>
    <row r="27" spans="1:10" x14ac:dyDescent="0.25">
      <c r="B27">
        <v>0</v>
      </c>
      <c r="C27">
        <v>1</v>
      </c>
      <c r="D27">
        <v>2</v>
      </c>
      <c r="E27">
        <v>3</v>
      </c>
      <c r="F27">
        <v>4</v>
      </c>
    </row>
    <row r="28" spans="1:10" x14ac:dyDescent="0.25">
      <c r="A28" t="s">
        <v>14</v>
      </c>
      <c r="B28" s="11">
        <v>-150000</v>
      </c>
      <c r="C28" s="11">
        <v>40000</v>
      </c>
      <c r="D28" s="11">
        <v>50000</v>
      </c>
      <c r="E28" s="11">
        <v>50000</v>
      </c>
      <c r="F28" s="11">
        <v>40000</v>
      </c>
      <c r="H28" s="2">
        <v>0.11899999999999999</v>
      </c>
    </row>
    <row r="29" spans="1:10" x14ac:dyDescent="0.25">
      <c r="B29" s="11"/>
      <c r="C29" s="11"/>
      <c r="D29" s="11"/>
      <c r="E29" s="11"/>
      <c r="F29" s="11">
        <v>20000</v>
      </c>
    </row>
    <row r="30" spans="1:10" x14ac:dyDescent="0.25">
      <c r="B30" s="11"/>
      <c r="C30" s="11"/>
      <c r="D30" s="11"/>
      <c r="E30" s="11"/>
      <c r="F30" s="11">
        <f>SUM(F28:F29)</f>
        <v>60000</v>
      </c>
      <c r="I30" t="s">
        <v>10</v>
      </c>
      <c r="J30" s="6">
        <f>FV(H28,3,,E32)</f>
        <v>54138.783849999985</v>
      </c>
    </row>
    <row r="31" spans="1:10" x14ac:dyDescent="0.25">
      <c r="B31" s="11">
        <v>-150000</v>
      </c>
      <c r="C31" s="11">
        <f>C28*(1+$H$28)^-C27</f>
        <v>35746.20196604111</v>
      </c>
      <c r="D31" s="11">
        <f>D28*(1+$H$28)^-D27</f>
        <v>39930.967343656281</v>
      </c>
      <c r="E31" s="11">
        <f>E28*(1+$H$28)^-E27</f>
        <v>35684.510584143245</v>
      </c>
      <c r="F31" s="11">
        <f>F30*(1+H28)^-F27</f>
        <v>38267.571672003469</v>
      </c>
    </row>
    <row r="32" spans="1:10" x14ac:dyDescent="0.25">
      <c r="B32" s="11"/>
      <c r="C32" s="11">
        <f>SUM(B31:C31)</f>
        <v>-114253.79803395888</v>
      </c>
      <c r="D32" s="11">
        <f>SUM(B31:D31)</f>
        <v>-74322.830690302595</v>
      </c>
      <c r="E32" s="11">
        <f>SUM(B31:E31)</f>
        <v>-38638.32010615935</v>
      </c>
      <c r="F32" s="11">
        <f>SUM(B31:F31)</f>
        <v>-370.74843415588111</v>
      </c>
      <c r="G32" t="s">
        <v>30</v>
      </c>
    </row>
    <row r="33" spans="1:10" x14ac:dyDescent="0.25">
      <c r="B33" s="11"/>
      <c r="C33" s="11"/>
      <c r="D33" s="11"/>
      <c r="E33" s="11"/>
      <c r="F33" s="11"/>
    </row>
    <row r="34" spans="1:10" x14ac:dyDescent="0.25">
      <c r="B34" s="11"/>
      <c r="C34" s="11"/>
      <c r="D34" s="11"/>
      <c r="E34" s="11"/>
      <c r="F34" s="11"/>
    </row>
    <row r="35" spans="1:10" x14ac:dyDescent="0.25">
      <c r="B35" s="11"/>
      <c r="C35" s="11"/>
      <c r="D35" s="11"/>
      <c r="E35" s="11"/>
      <c r="F35" s="11"/>
    </row>
    <row r="36" spans="1:10" x14ac:dyDescent="0.25">
      <c r="A36" t="s">
        <v>15</v>
      </c>
      <c r="B36" s="11">
        <v>-150000</v>
      </c>
      <c r="C36" s="11">
        <v>64700</v>
      </c>
      <c r="D36" s="11">
        <v>30000</v>
      </c>
      <c r="E36" s="11">
        <v>60000</v>
      </c>
      <c r="F36" s="11">
        <v>10000</v>
      </c>
    </row>
    <row r="37" spans="1:10" x14ac:dyDescent="0.25">
      <c r="B37" s="11"/>
      <c r="C37" s="11"/>
      <c r="D37" s="11"/>
      <c r="E37" s="11"/>
      <c r="F37" s="11">
        <v>30000</v>
      </c>
    </row>
    <row r="38" spans="1:10" x14ac:dyDescent="0.25">
      <c r="B38" s="11"/>
      <c r="C38" s="11"/>
      <c r="D38" s="11"/>
      <c r="E38" s="11"/>
      <c r="F38" s="11">
        <v>40000</v>
      </c>
      <c r="I38" t="s">
        <v>10</v>
      </c>
      <c r="J38" s="6">
        <f>FV(H28,3,,E40)</f>
        <v>35590.407150000014</v>
      </c>
    </row>
    <row r="39" spans="1:10" x14ac:dyDescent="0.25">
      <c r="B39" s="11">
        <v>-150000</v>
      </c>
      <c r="C39" s="11">
        <f>C36*(1+$H$28)^-C27</f>
        <v>57819.481680071491</v>
      </c>
      <c r="D39" s="11">
        <f>D36*(1+$H$28)^-D27</f>
        <v>23958.580406193771</v>
      </c>
      <c r="E39" s="11">
        <f>E36*(1+$H$28)^-E27</f>
        <v>42821.412700971887</v>
      </c>
      <c r="F39" s="11">
        <f>F38*(1+$H$28)^-F27</f>
        <v>25511.714448002313</v>
      </c>
    </row>
    <row r="40" spans="1:10" x14ac:dyDescent="0.25">
      <c r="B40" s="11"/>
      <c r="C40" s="11">
        <f>SUM(B39:C39)</f>
        <v>-92180.518319928509</v>
      </c>
      <c r="D40" s="11">
        <f>SUM(B39:D39)</f>
        <v>-68221.937913734742</v>
      </c>
      <c r="E40" s="11">
        <f>SUM(B39:E39)</f>
        <v>-25400.525212762856</v>
      </c>
      <c r="F40" s="11">
        <f>SUM(B39:F39)</f>
        <v>111.18923523945705</v>
      </c>
      <c r="G40" t="s">
        <v>29</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A237-5940-40F9-920E-09B9FD93EAEE}">
  <dimension ref="A28:J42"/>
  <sheetViews>
    <sheetView workbookViewId="0">
      <selection activeCell="B31" sqref="B31"/>
    </sheetView>
  </sheetViews>
  <sheetFormatPr baseColWidth="10" defaultRowHeight="15" x14ac:dyDescent="0.25"/>
  <cols>
    <col min="2" max="2" width="14.5703125" bestFit="1" customWidth="1"/>
    <col min="3" max="3" width="18.140625" customWidth="1"/>
    <col min="4" max="7" width="14.5703125" bestFit="1" customWidth="1"/>
    <col min="8" max="8" width="14.28515625" customWidth="1"/>
    <col min="10" max="10" width="14.140625" bestFit="1" customWidth="1"/>
  </cols>
  <sheetData>
    <row r="28" spans="1:7" x14ac:dyDescent="0.25">
      <c r="A28" t="s">
        <v>28</v>
      </c>
      <c r="B28">
        <v>0</v>
      </c>
      <c r="C28">
        <v>1</v>
      </c>
      <c r="D28">
        <v>2</v>
      </c>
      <c r="E28">
        <v>3</v>
      </c>
      <c r="F28">
        <v>4</v>
      </c>
      <c r="G28">
        <v>5</v>
      </c>
    </row>
    <row r="29" spans="1:7" x14ac:dyDescent="0.25">
      <c r="B29" s="11"/>
      <c r="C29" s="11">
        <v>2550000</v>
      </c>
      <c r="D29" s="11">
        <v>2670000</v>
      </c>
      <c r="E29" s="11">
        <v>3278000</v>
      </c>
      <c r="F29" s="11">
        <v>3050000</v>
      </c>
      <c r="G29" s="11">
        <v>2680000</v>
      </c>
    </row>
    <row r="30" spans="1:7" x14ac:dyDescent="0.25">
      <c r="B30" s="11">
        <v>-7000000</v>
      </c>
      <c r="C30" s="11">
        <v>-950000</v>
      </c>
      <c r="D30" s="11">
        <v>-975000</v>
      </c>
      <c r="E30" s="11">
        <v>-1075000</v>
      </c>
      <c r="F30" s="11">
        <v>-1175000</v>
      </c>
      <c r="G30" s="11">
        <v>-1528000</v>
      </c>
    </row>
    <row r="31" spans="1:7" x14ac:dyDescent="0.25">
      <c r="B31" s="11">
        <v>-7000000</v>
      </c>
      <c r="C31" s="11">
        <f>SUM(C29:C30)</f>
        <v>1600000</v>
      </c>
      <c r="D31" s="11">
        <f>SUM(D29:D30)</f>
        <v>1695000</v>
      </c>
      <c r="E31" s="11">
        <f>SUM(E29:E30)</f>
        <v>2203000</v>
      </c>
      <c r="F31" s="11">
        <f>SUM(F29:F30)</f>
        <v>1875000</v>
      </c>
      <c r="G31" s="11">
        <f>SUM(G29:G30)</f>
        <v>1152000</v>
      </c>
    </row>
    <row r="34" spans="1:10" x14ac:dyDescent="0.25">
      <c r="A34" t="s">
        <v>27</v>
      </c>
      <c r="B34">
        <v>0</v>
      </c>
      <c r="C34">
        <v>1</v>
      </c>
      <c r="D34">
        <v>2</v>
      </c>
      <c r="E34">
        <v>3</v>
      </c>
      <c r="F34">
        <v>4</v>
      </c>
      <c r="G34">
        <v>5</v>
      </c>
      <c r="H34">
        <v>6</v>
      </c>
    </row>
    <row r="35" spans="1:10" x14ac:dyDescent="0.25">
      <c r="B35" s="11"/>
      <c r="C35" s="11">
        <v>3620000</v>
      </c>
      <c r="D35" s="11">
        <v>3780000</v>
      </c>
      <c r="E35" s="11">
        <v>3975000</v>
      </c>
      <c r="F35" s="11">
        <v>4125000</v>
      </c>
      <c r="G35" s="11">
        <v>3920000</v>
      </c>
      <c r="H35" s="11">
        <v>4300000</v>
      </c>
    </row>
    <row r="36" spans="1:10" x14ac:dyDescent="0.25">
      <c r="B36" s="11">
        <v>-9000000</v>
      </c>
      <c r="C36" s="11">
        <v>-1820000</v>
      </c>
      <c r="D36" s="11">
        <v>-2120000</v>
      </c>
      <c r="E36" s="11">
        <v>-2350000</v>
      </c>
      <c r="F36" s="11">
        <v>-2550000</v>
      </c>
      <c r="G36" s="11">
        <v>-1275000</v>
      </c>
      <c r="H36" s="11">
        <v>-1500000</v>
      </c>
    </row>
    <row r="37" spans="1:10" x14ac:dyDescent="0.25">
      <c r="B37" s="11">
        <v>-9000000</v>
      </c>
      <c r="C37" s="11">
        <f>SUM(C35:C36)</f>
        <v>1800000</v>
      </c>
      <c r="D37" s="11">
        <f>SUM(D35:D36)</f>
        <v>1660000</v>
      </c>
      <c r="E37" s="11">
        <f>SUM(E35:E36)</f>
        <v>1625000</v>
      </c>
      <c r="F37" s="11">
        <f>SUM(F35:F36)</f>
        <v>1575000</v>
      </c>
      <c r="G37" s="11">
        <f>SUM(G35:G36)</f>
        <v>2645000</v>
      </c>
      <c r="H37" s="11">
        <f>SUM(H35:H36)</f>
        <v>2800000</v>
      </c>
    </row>
    <row r="40" spans="1:10" x14ac:dyDescent="0.25">
      <c r="B40" t="s">
        <v>26</v>
      </c>
      <c r="C40" s="10">
        <f>0.5%+0.95*(7%-0.5%)</f>
        <v>6.6750000000000004E-2</v>
      </c>
      <c r="E40" t="s">
        <v>24</v>
      </c>
      <c r="F40" s="2">
        <f>C40*30%+5%*(1-30%)*70%</f>
        <v>4.4524999999999995E-2</v>
      </c>
      <c r="I40" t="s">
        <v>8</v>
      </c>
      <c r="J40" s="6">
        <f>NPV(F40,C31,D31,E31,F31,G31)+B31</f>
        <v>520179.26361236908</v>
      </c>
    </row>
    <row r="41" spans="1:10" x14ac:dyDescent="0.25">
      <c r="B41" t="s">
        <v>25</v>
      </c>
      <c r="C41" s="10">
        <f>0.5%+1.25*(7%-0.5%)</f>
        <v>8.6250000000000007E-2</v>
      </c>
      <c r="E41" t="s">
        <v>24</v>
      </c>
      <c r="F41" s="2">
        <f>C41*30%+5%*(1-30%)*70%</f>
        <v>5.0375000000000003E-2</v>
      </c>
      <c r="I41" t="s">
        <v>9</v>
      </c>
      <c r="J41" s="6">
        <f>NPV(F41,C37,D37,E37,F37,G37,H37)+B37</f>
        <v>1068069.1769926343</v>
      </c>
    </row>
    <row r="42" spans="1:10" x14ac:dyDescent="0.25">
      <c r="I42" t="s">
        <v>23</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593F-25D7-4AD0-8B3E-774F0FBFDBD7}">
  <dimension ref="A29:J53"/>
  <sheetViews>
    <sheetView workbookViewId="0"/>
  </sheetViews>
  <sheetFormatPr baseColWidth="10" defaultRowHeight="15" x14ac:dyDescent="0.25"/>
  <cols>
    <col min="10" max="10" width="13.140625" bestFit="1" customWidth="1"/>
  </cols>
  <sheetData>
    <row r="29" spans="2:10" x14ac:dyDescent="0.25">
      <c r="B29">
        <v>0</v>
      </c>
      <c r="C29">
        <v>1</v>
      </c>
      <c r="D29">
        <v>2</v>
      </c>
      <c r="E29">
        <v>3</v>
      </c>
      <c r="F29">
        <v>4</v>
      </c>
      <c r="G29">
        <v>5</v>
      </c>
      <c r="I29" s="5">
        <v>0.1</v>
      </c>
    </row>
    <row r="30" spans="2:10" x14ac:dyDescent="0.25">
      <c r="B30">
        <v>-1000000</v>
      </c>
      <c r="G30">
        <v>100000</v>
      </c>
      <c r="I30" t="s">
        <v>38</v>
      </c>
      <c r="J30" s="6">
        <f>NPV(I29,C33,D33,E33,F33,G33)+B30</f>
        <v>7718.9058124450967</v>
      </c>
    </row>
    <row r="31" spans="2:10" x14ac:dyDescent="0.25">
      <c r="C31">
        <f>C43*C50</f>
        <v>1050000</v>
      </c>
      <c r="D31">
        <f>D43*D50</f>
        <v>1155000.0000000002</v>
      </c>
      <c r="E31">
        <f>E43*E50</f>
        <v>1270500.0000000002</v>
      </c>
      <c r="F31">
        <f>F43*F50</f>
        <v>1397550.0000000005</v>
      </c>
      <c r="G31">
        <f>G43*G50</f>
        <v>1537305.0000000007</v>
      </c>
    </row>
    <row r="32" spans="2:10" x14ac:dyDescent="0.25">
      <c r="C32">
        <f>(C46+C48+C52+C53)*-1</f>
        <v>-1165500</v>
      </c>
      <c r="D32">
        <f>(D46+D48+D52+D53)*-1</f>
        <v>-1078012.5</v>
      </c>
      <c r="E32">
        <f>(E46+E48+E52+E53)*-1</f>
        <v>-991872.5</v>
      </c>
      <c r="F32">
        <f>(F46+F48+F52+F53)*-1</f>
        <v>-907224.375</v>
      </c>
      <c r="G32">
        <f>(G46+G48+G52+G53)*-1</f>
        <v>-824227.90000000014</v>
      </c>
    </row>
    <row r="33" spans="1:10" x14ac:dyDescent="0.25">
      <c r="B33">
        <v>-1000000</v>
      </c>
      <c r="C33">
        <f>SUM(C31:C32)</f>
        <v>-115500</v>
      </c>
      <c r="D33">
        <f>SUM(D31:D32)</f>
        <v>76987.500000000233</v>
      </c>
      <c r="E33">
        <f>SUM(E31:E32)</f>
        <v>278627.50000000023</v>
      </c>
      <c r="F33">
        <f>SUM(F31:F32)</f>
        <v>490325.62500000047</v>
      </c>
      <c r="G33">
        <f>SUM(G30:G32)</f>
        <v>813077.10000000056</v>
      </c>
      <c r="I33" t="s">
        <v>37</v>
      </c>
      <c r="J33" s="2">
        <f>IRR(B33:G33)</f>
        <v>0.10188971871275365</v>
      </c>
    </row>
    <row r="35" spans="1:10" x14ac:dyDescent="0.25">
      <c r="B35" t="s">
        <v>36</v>
      </c>
    </row>
    <row r="42" spans="1:10" x14ac:dyDescent="0.25">
      <c r="C42">
        <v>1</v>
      </c>
      <c r="D42">
        <v>2</v>
      </c>
      <c r="E42">
        <v>3</v>
      </c>
      <c r="F42">
        <v>4</v>
      </c>
      <c r="G42">
        <v>5</v>
      </c>
    </row>
    <row r="43" spans="1:10" x14ac:dyDescent="0.25">
      <c r="A43" t="s">
        <v>35</v>
      </c>
      <c r="C43">
        <v>3500</v>
      </c>
      <c r="D43">
        <f>C43*1.1</f>
        <v>3850.0000000000005</v>
      </c>
      <c r="E43">
        <f>D43*1.1</f>
        <v>4235.0000000000009</v>
      </c>
      <c r="F43">
        <f>E43*1.1</f>
        <v>4658.5000000000018</v>
      </c>
      <c r="G43">
        <f>F43*1.1</f>
        <v>5124.3500000000022</v>
      </c>
    </row>
    <row r="44" spans="1:10" x14ac:dyDescent="0.25">
      <c r="A44" t="s">
        <v>34</v>
      </c>
      <c r="C44">
        <v>3</v>
      </c>
      <c r="D44">
        <v>3.25</v>
      </c>
      <c r="E44">
        <v>3.5</v>
      </c>
      <c r="F44">
        <v>3.75</v>
      </c>
      <c r="G44">
        <v>4</v>
      </c>
    </row>
    <row r="45" spans="1:10" ht="20.25" x14ac:dyDescent="0.35">
      <c r="C45" s="12">
        <v>30</v>
      </c>
      <c r="D45">
        <v>30</v>
      </c>
      <c r="E45">
        <v>30</v>
      </c>
      <c r="F45">
        <v>30</v>
      </c>
      <c r="G45">
        <v>30</v>
      </c>
    </row>
    <row r="46" spans="1:10" x14ac:dyDescent="0.25">
      <c r="C46">
        <v>50000</v>
      </c>
      <c r="D46">
        <v>50000</v>
      </c>
      <c r="E46">
        <v>50000</v>
      </c>
      <c r="F46">
        <v>50000</v>
      </c>
      <c r="G46">
        <v>50000</v>
      </c>
    </row>
    <row r="47" spans="1:10" x14ac:dyDescent="0.25">
      <c r="C47">
        <v>20</v>
      </c>
      <c r="D47">
        <v>18</v>
      </c>
      <c r="E47">
        <v>16</v>
      </c>
      <c r="F47">
        <v>14</v>
      </c>
      <c r="G47">
        <v>12</v>
      </c>
    </row>
    <row r="48" spans="1:10" x14ac:dyDescent="0.25">
      <c r="C48">
        <f>C47*50000</f>
        <v>1000000</v>
      </c>
      <c r="D48">
        <f>D47*50000</f>
        <v>900000</v>
      </c>
      <c r="E48">
        <f>E47*50000</f>
        <v>800000</v>
      </c>
      <c r="F48">
        <f>F47*50000</f>
        <v>700000</v>
      </c>
      <c r="G48">
        <f>G47*50000</f>
        <v>600000</v>
      </c>
    </row>
    <row r="50" spans="1:7" x14ac:dyDescent="0.25">
      <c r="A50" t="s">
        <v>33</v>
      </c>
      <c r="C50">
        <v>300</v>
      </c>
      <c r="D50">
        <v>300</v>
      </c>
      <c r="E50">
        <v>300</v>
      </c>
      <c r="F50">
        <v>300</v>
      </c>
      <c r="G50">
        <v>300</v>
      </c>
    </row>
    <row r="52" spans="1:7" x14ac:dyDescent="0.25">
      <c r="A52" t="s">
        <v>32</v>
      </c>
      <c r="C52">
        <f>C44*C43</f>
        <v>10500</v>
      </c>
      <c r="D52">
        <f>D44*D43</f>
        <v>12512.500000000002</v>
      </c>
      <c r="E52">
        <f>E44*E43</f>
        <v>14822.500000000004</v>
      </c>
      <c r="F52">
        <f>F44*F43</f>
        <v>17469.375000000007</v>
      </c>
      <c r="G52">
        <f>G44*G43</f>
        <v>20497.400000000009</v>
      </c>
    </row>
    <row r="53" spans="1:7" x14ac:dyDescent="0.25">
      <c r="A53" t="s">
        <v>31</v>
      </c>
      <c r="C53">
        <f>C45*C43</f>
        <v>105000</v>
      </c>
      <c r="D53">
        <f>D45*D43</f>
        <v>115500.00000000001</v>
      </c>
      <c r="E53">
        <f>E45*E43</f>
        <v>127050.00000000003</v>
      </c>
      <c r="F53">
        <f>F45*F43</f>
        <v>139755.00000000006</v>
      </c>
      <c r="G53">
        <f>G45*G43</f>
        <v>153730.50000000006</v>
      </c>
    </row>
  </sheetData>
  <pageMargins left="0.7" right="0.7" top="0.78740157499999996" bottom="0.78740157499999996" header="0.3" footer="0.3"/>
  <pageSetup paperSize="9" orientation="portrait" horizontalDpi="30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5887D-DAAE-455D-85F8-48063188EEBD}">
  <dimension ref="A5:D32"/>
  <sheetViews>
    <sheetView workbookViewId="0">
      <selection activeCell="B8" sqref="B8"/>
    </sheetView>
  </sheetViews>
  <sheetFormatPr baseColWidth="10" defaultRowHeight="15" x14ac:dyDescent="0.25"/>
  <cols>
    <col min="2" max="3" width="15.28515625" bestFit="1" customWidth="1"/>
    <col min="4" max="4" width="14.5703125" bestFit="1" customWidth="1"/>
  </cols>
  <sheetData>
    <row r="5" spans="1:4" x14ac:dyDescent="0.25">
      <c r="B5" s="11">
        <v>1100000</v>
      </c>
    </row>
    <row r="6" spans="1:4" x14ac:dyDescent="0.25">
      <c r="B6" s="16" t="s">
        <v>43</v>
      </c>
      <c r="C6" s="5">
        <v>0.06</v>
      </c>
    </row>
    <row r="7" spans="1:4" x14ac:dyDescent="0.25">
      <c r="A7" t="s">
        <v>0</v>
      </c>
      <c r="B7" s="15" t="s">
        <v>42</v>
      </c>
      <c r="C7" s="15" t="s">
        <v>17</v>
      </c>
    </row>
    <row r="8" spans="1:4" x14ac:dyDescent="0.25">
      <c r="A8">
        <v>1</v>
      </c>
      <c r="B8" s="11">
        <v>120000</v>
      </c>
      <c r="C8" s="11">
        <f>B8*(1+$C$6)^-A8</f>
        <v>113207.54716981131</v>
      </c>
      <c r="D8" s="1">
        <f>C8</f>
        <v>113207.54716981131</v>
      </c>
    </row>
    <row r="9" spans="1:4" x14ac:dyDescent="0.25">
      <c r="A9">
        <v>2</v>
      </c>
      <c r="B9" s="11">
        <v>120000</v>
      </c>
      <c r="C9" s="11">
        <f>B9*(1+$C$6)^-A9</f>
        <v>106799.57280170878</v>
      </c>
      <c r="D9" s="1">
        <f>D8+C9</f>
        <v>220007.11997152009</v>
      </c>
    </row>
    <row r="10" spans="1:4" x14ac:dyDescent="0.25">
      <c r="A10">
        <v>3</v>
      </c>
      <c r="B10" s="11">
        <v>120000</v>
      </c>
      <c r="C10" s="11">
        <f>B10*(1+$C$6)^-A10</f>
        <v>100754.31396387619</v>
      </c>
      <c r="D10" s="1">
        <f>D9+C10</f>
        <v>320761.43393539626</v>
      </c>
    </row>
    <row r="11" spans="1:4" x14ac:dyDescent="0.25">
      <c r="A11">
        <v>4</v>
      </c>
      <c r="B11" s="11">
        <v>120000</v>
      </c>
      <c r="C11" s="11">
        <f>B11*(1+$C$6)^-A11</f>
        <v>95051.239588562457</v>
      </c>
      <c r="D11" s="1">
        <f>D10+C11</f>
        <v>415812.67352395871</v>
      </c>
    </row>
    <row r="12" spans="1:4" x14ac:dyDescent="0.25">
      <c r="A12">
        <v>5</v>
      </c>
      <c r="B12" s="11">
        <v>120000</v>
      </c>
      <c r="C12" s="11">
        <f>B12*(1+$C$6)^-A12</f>
        <v>89670.980743926833</v>
      </c>
      <c r="D12" s="1">
        <f>D11+C12</f>
        <v>505483.65426788555</v>
      </c>
    </row>
    <row r="13" spans="1:4" x14ac:dyDescent="0.25">
      <c r="A13">
        <v>6</v>
      </c>
      <c r="B13" s="11">
        <v>120000</v>
      </c>
      <c r="C13" s="11">
        <f>B13*(1+$C$6)^-A13</f>
        <v>84595.264852761145</v>
      </c>
      <c r="D13" s="1">
        <f>D12+C13</f>
        <v>590078.91912064666</v>
      </c>
    </row>
    <row r="14" spans="1:4" x14ac:dyDescent="0.25">
      <c r="A14">
        <v>7</v>
      </c>
      <c r="B14" s="11">
        <v>120000</v>
      </c>
      <c r="C14" s="11">
        <f>B14*(1+$C$6)^-A14</f>
        <v>79806.853634680316</v>
      </c>
      <c r="D14" s="1">
        <f>D13+C14</f>
        <v>669885.77275532694</v>
      </c>
    </row>
    <row r="15" spans="1:4" x14ac:dyDescent="0.25">
      <c r="A15">
        <v>8</v>
      </c>
      <c r="B15" s="11">
        <v>120000</v>
      </c>
      <c r="C15" s="11">
        <f>B15*(1+$C$6)^-A15</f>
        <v>75289.484561019184</v>
      </c>
      <c r="D15" s="1">
        <f>D14+C15</f>
        <v>745175.25731634616</v>
      </c>
    </row>
    <row r="16" spans="1:4" x14ac:dyDescent="0.25">
      <c r="A16">
        <v>9</v>
      </c>
      <c r="B16" s="11">
        <v>120000</v>
      </c>
      <c r="C16" s="11">
        <f>B16*(1+$C$6)^-A16</f>
        <v>71027.81562360299</v>
      </c>
      <c r="D16" s="1">
        <f>D15+C16</f>
        <v>816203.07293994911</v>
      </c>
    </row>
    <row r="17" spans="1:4" x14ac:dyDescent="0.25">
      <c r="A17">
        <v>10</v>
      </c>
      <c r="B17" s="11">
        <v>120000</v>
      </c>
      <c r="C17" s="11">
        <f>B17*(1+$C$6)^-A17</f>
        <v>67007.37322981414</v>
      </c>
      <c r="D17" s="1">
        <f>D16+C17</f>
        <v>883210.44616976322</v>
      </c>
    </row>
    <row r="18" spans="1:4" x14ac:dyDescent="0.25">
      <c r="A18">
        <v>11</v>
      </c>
      <c r="B18" s="11">
        <v>120000</v>
      </c>
      <c r="C18" s="11">
        <f>B18*(1+$C$6)^-A18</f>
        <v>63214.503046994469</v>
      </c>
      <c r="D18" s="1">
        <f>D17+C18</f>
        <v>946424.94921675767</v>
      </c>
    </row>
    <row r="19" spans="1:4" x14ac:dyDescent="0.25">
      <c r="A19">
        <v>12</v>
      </c>
      <c r="B19" s="11">
        <v>120000</v>
      </c>
      <c r="C19" s="11">
        <f>B19*(1+$C$6)^-A19</f>
        <v>59636.323629240062</v>
      </c>
      <c r="D19" s="1">
        <f>D18+C19</f>
        <v>1006061.2728459977</v>
      </c>
    </row>
    <row r="20" spans="1:4" x14ac:dyDescent="0.25">
      <c r="A20">
        <v>13</v>
      </c>
      <c r="B20" s="11">
        <v>120000</v>
      </c>
      <c r="C20" s="11">
        <f>B20*(1+$C$6)^-A20</f>
        <v>56260.682669094393</v>
      </c>
      <c r="D20" s="1">
        <f>D19+C20</f>
        <v>1062321.955515092</v>
      </c>
    </row>
    <row r="21" spans="1:4" x14ac:dyDescent="0.25">
      <c r="A21" s="15">
        <v>14</v>
      </c>
      <c r="B21" s="14">
        <v>120000</v>
      </c>
      <c r="C21" s="14">
        <f>B21*(1+$C$6)^-A21</f>
        <v>53076.115725560754</v>
      </c>
      <c r="D21" s="13">
        <f>D20+C21</f>
        <v>1115398.0712406528</v>
      </c>
    </row>
    <row r="22" spans="1:4" x14ac:dyDescent="0.25">
      <c r="A22">
        <v>15</v>
      </c>
      <c r="B22" s="11">
        <v>120000</v>
      </c>
      <c r="C22" s="11">
        <f>B22*(1+$C$6)^-A22</f>
        <v>50071.807288264841</v>
      </c>
      <c r="D22" s="1">
        <f>D21+C22</f>
        <v>1165469.8785289177</v>
      </c>
    </row>
    <row r="23" spans="1:4" x14ac:dyDescent="0.25">
      <c r="A23">
        <v>16</v>
      </c>
      <c r="B23" s="11">
        <v>120000</v>
      </c>
      <c r="C23" s="11">
        <f>B23*(1+$C$6)^-A23</f>
        <v>47237.554045532888</v>
      </c>
      <c r="D23" s="1">
        <f>D22+C23</f>
        <v>1212707.4325744505</v>
      </c>
    </row>
    <row r="24" spans="1:4" x14ac:dyDescent="0.25">
      <c r="A24">
        <v>17</v>
      </c>
      <c r="B24" s="11">
        <v>120000</v>
      </c>
      <c r="C24" s="11">
        <f>B24*(1+$C$6)^-A24</f>
        <v>44563.730231634785</v>
      </c>
      <c r="D24" s="1">
        <f>D23+C24</f>
        <v>1257271.1628060853</v>
      </c>
    </row>
    <row r="25" spans="1:4" x14ac:dyDescent="0.25">
      <c r="A25">
        <v>18</v>
      </c>
      <c r="B25" s="11">
        <v>120000</v>
      </c>
      <c r="C25" s="11">
        <f>B25*(1+$C$6)^-A25</f>
        <v>42041.254935504519</v>
      </c>
      <c r="D25" s="1">
        <f>D24+C25</f>
        <v>1299312.4177415897</v>
      </c>
    </row>
    <row r="27" spans="1:4" x14ac:dyDescent="0.25">
      <c r="B27" t="s">
        <v>41</v>
      </c>
    </row>
    <row r="30" spans="1:4" x14ac:dyDescent="0.25">
      <c r="B30" t="s">
        <v>40</v>
      </c>
      <c r="C30" s="6">
        <f>PMT(C6,A17,-B5)</f>
        <v>149454.75404242222</v>
      </c>
    </row>
    <row r="32" spans="1:4" x14ac:dyDescent="0.25">
      <c r="B32" t="s">
        <v>39</v>
      </c>
    </row>
  </sheetData>
  <pageMargins left="0.7" right="0.7" top="0.78740157499999996" bottom="0.78740157499999996"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15C7-1AFB-4C64-8109-53843817B1E2}">
  <dimension ref="B2:J27"/>
  <sheetViews>
    <sheetView workbookViewId="0">
      <selection activeCell="B8" sqref="B8"/>
    </sheetView>
  </sheetViews>
  <sheetFormatPr baseColWidth="10" defaultRowHeight="15" x14ac:dyDescent="0.25"/>
  <cols>
    <col min="2" max="2" width="24.85546875" bestFit="1" customWidth="1"/>
    <col min="3" max="7" width="14.5703125" bestFit="1" customWidth="1"/>
    <col min="8" max="8" width="11.7109375" customWidth="1"/>
    <col min="9" max="9" width="21.7109375" customWidth="1"/>
  </cols>
  <sheetData>
    <row r="2" spans="2:10" ht="16.5" x14ac:dyDescent="0.25">
      <c r="B2" t="s">
        <v>68</v>
      </c>
      <c r="C2" s="11">
        <v>7000000</v>
      </c>
      <c r="I2" s="24" t="s">
        <v>67</v>
      </c>
      <c r="J2" s="27">
        <v>5.0000000000000001E-3</v>
      </c>
    </row>
    <row r="3" spans="2:10" ht="16.5" x14ac:dyDescent="0.25">
      <c r="B3" t="s">
        <v>66</v>
      </c>
      <c r="C3">
        <v>5</v>
      </c>
      <c r="D3" t="s">
        <v>65</v>
      </c>
      <c r="I3" s="24" t="s">
        <v>64</v>
      </c>
      <c r="J3" s="26">
        <v>7.0000000000000007E-2</v>
      </c>
    </row>
    <row r="4" spans="2:10" ht="33" x14ac:dyDescent="0.25">
      <c r="D4" t="s">
        <v>63</v>
      </c>
      <c r="E4">
        <f>J2+J4*(J3-J2)</f>
        <v>8.6250000000000007E-2</v>
      </c>
      <c r="I4" s="24" t="s">
        <v>62</v>
      </c>
      <c r="J4" s="24">
        <v>1.25</v>
      </c>
    </row>
    <row r="5" spans="2:10" ht="16.5" x14ac:dyDescent="0.25">
      <c r="I5" s="24" t="s">
        <v>61</v>
      </c>
      <c r="J5" s="26">
        <v>0.05</v>
      </c>
    </row>
    <row r="6" spans="2:10" ht="33" x14ac:dyDescent="0.25">
      <c r="D6" t="s">
        <v>60</v>
      </c>
      <c r="E6" s="5">
        <f>E4*J7+J5*(1-J6)*J8</f>
        <v>5.0375000000000003E-2</v>
      </c>
      <c r="I6" s="24" t="s">
        <v>59</v>
      </c>
      <c r="J6" s="26">
        <v>0.3</v>
      </c>
    </row>
    <row r="7" spans="2:10" ht="16.5" x14ac:dyDescent="0.25">
      <c r="B7" t="s">
        <v>58</v>
      </c>
      <c r="C7">
        <f>(1-J6)*E6</f>
        <v>3.5262500000000002E-2</v>
      </c>
      <c r="I7" s="24" t="s">
        <v>57</v>
      </c>
      <c r="J7" s="26">
        <v>0.3</v>
      </c>
    </row>
    <row r="8" spans="2:10" ht="16.5" x14ac:dyDescent="0.25">
      <c r="I8" s="24" t="s">
        <v>56</v>
      </c>
      <c r="J8" s="26">
        <v>0.7</v>
      </c>
    </row>
    <row r="11" spans="2:10" x14ac:dyDescent="0.25">
      <c r="B11" s="25" t="s">
        <v>55</v>
      </c>
      <c r="C11" s="25">
        <v>1</v>
      </c>
      <c r="D11" s="25">
        <v>2</v>
      </c>
      <c r="E11" s="25">
        <v>3</v>
      </c>
      <c r="F11" s="25">
        <v>4</v>
      </c>
      <c r="G11" s="25">
        <v>5</v>
      </c>
    </row>
    <row r="12" spans="2:10" ht="16.5" x14ac:dyDescent="0.25">
      <c r="B12" s="24" t="s">
        <v>54</v>
      </c>
      <c r="C12" s="23">
        <v>2550000</v>
      </c>
      <c r="D12" s="23">
        <v>2670000</v>
      </c>
      <c r="E12" s="23">
        <v>3278000</v>
      </c>
      <c r="F12" s="23">
        <v>3050000</v>
      </c>
      <c r="G12" s="23">
        <v>2680000</v>
      </c>
    </row>
    <row r="13" spans="2:10" ht="16.5" x14ac:dyDescent="0.25">
      <c r="B13" s="24" t="s">
        <v>53</v>
      </c>
      <c r="C13" s="23">
        <v>950000</v>
      </c>
      <c r="D13" s="23">
        <v>975000</v>
      </c>
      <c r="E13" s="23">
        <v>1075000</v>
      </c>
      <c r="F13" s="23">
        <v>1175000</v>
      </c>
      <c r="G13" s="23">
        <v>1080000</v>
      </c>
    </row>
    <row r="14" spans="2:10" x14ac:dyDescent="0.25">
      <c r="B14" s="18" t="s">
        <v>42</v>
      </c>
      <c r="C14" s="22">
        <f>C12-C13</f>
        <v>1600000</v>
      </c>
      <c r="D14" s="22">
        <f>D12-D13</f>
        <v>1695000</v>
      </c>
      <c r="E14" s="22">
        <f>E12-E13</f>
        <v>2203000</v>
      </c>
      <c r="F14" s="22">
        <f>F12-F13</f>
        <v>1875000</v>
      </c>
      <c r="G14" s="22">
        <f>G12-G13</f>
        <v>1600000</v>
      </c>
    </row>
    <row r="15" spans="2:10" x14ac:dyDescent="0.25">
      <c r="B15" s="17" t="s">
        <v>52</v>
      </c>
      <c r="C15" s="21">
        <v>1400000</v>
      </c>
      <c r="D15" s="21">
        <v>1400000</v>
      </c>
      <c r="E15" s="21">
        <v>1400000</v>
      </c>
      <c r="F15" s="21">
        <v>1400000</v>
      </c>
      <c r="G15" s="21">
        <v>1400000</v>
      </c>
    </row>
    <row r="16" spans="2:10" x14ac:dyDescent="0.25">
      <c r="B16" s="17" t="s">
        <v>51</v>
      </c>
      <c r="C16" s="20">
        <f>C14-C15</f>
        <v>200000</v>
      </c>
      <c r="D16" s="20">
        <f>D14-D15</f>
        <v>295000</v>
      </c>
      <c r="E16" s="20">
        <f>E14-E15</f>
        <v>803000</v>
      </c>
      <c r="F16" s="20">
        <f>F14-F15</f>
        <v>475000</v>
      </c>
      <c r="G16" s="20">
        <f>G14-G15</f>
        <v>200000</v>
      </c>
    </row>
    <row r="17" spans="2:7" x14ac:dyDescent="0.25">
      <c r="B17" s="17" t="s">
        <v>50</v>
      </c>
      <c r="C17" s="20">
        <f>C16*30%</f>
        <v>60000</v>
      </c>
      <c r="D17" s="20">
        <f>D16*30%</f>
        <v>88500</v>
      </c>
      <c r="E17" s="20">
        <f>E16*30%</f>
        <v>240900</v>
      </c>
      <c r="F17" s="20">
        <f>F16*30%</f>
        <v>142500</v>
      </c>
      <c r="G17" s="20">
        <f>G16*30%</f>
        <v>60000</v>
      </c>
    </row>
    <row r="18" spans="2:7" x14ac:dyDescent="0.25">
      <c r="B18" s="17"/>
      <c r="C18" s="20"/>
      <c r="D18" s="20"/>
      <c r="E18" s="20"/>
      <c r="F18" s="20"/>
      <c r="G18" s="20"/>
    </row>
    <row r="19" spans="2:7" x14ac:dyDescent="0.25">
      <c r="B19" s="17" t="s">
        <v>49</v>
      </c>
      <c r="C19" s="19">
        <f>C14-C17</f>
        <v>1540000</v>
      </c>
      <c r="D19" s="19">
        <f>D14-D17</f>
        <v>1606500</v>
      </c>
      <c r="E19" s="19">
        <f>E14-E17</f>
        <v>1962100</v>
      </c>
      <c r="F19" s="19">
        <f>F14-F17</f>
        <v>1732500</v>
      </c>
      <c r="G19" s="19">
        <f>G14-G17</f>
        <v>1540000</v>
      </c>
    </row>
    <row r="20" spans="2:7" x14ac:dyDescent="0.25">
      <c r="B20" s="17" t="s">
        <v>48</v>
      </c>
      <c r="C20" s="11">
        <f>C19*(1+$C$7)^-C11</f>
        <v>1487545.4292993324</v>
      </c>
      <c r="D20" s="11">
        <f>D19*(1+$C$7)^-D11</f>
        <v>1498924.5196889974</v>
      </c>
      <c r="E20" s="11">
        <f>E19*(1+$C$7)^-E11</f>
        <v>1768355.9532900339</v>
      </c>
      <c r="F20" s="11">
        <f>F19*(1+$C$7)^-F11</f>
        <v>1508242.9757159217</v>
      </c>
      <c r="G20" s="11">
        <f>G19*(1+$C$7)^-G11</f>
        <v>1294995.6391336466</v>
      </c>
    </row>
    <row r="21" spans="2:7" x14ac:dyDescent="0.25">
      <c r="B21" s="18"/>
    </row>
    <row r="22" spans="2:7" x14ac:dyDescent="0.25">
      <c r="B22" s="17" t="s">
        <v>47</v>
      </c>
      <c r="C22" s="1">
        <f>SUM(C20:G20)</f>
        <v>7558064.517127933</v>
      </c>
    </row>
    <row r="23" spans="2:7" x14ac:dyDescent="0.25">
      <c r="B23" s="17" t="s">
        <v>46</v>
      </c>
      <c r="C23" s="11">
        <v>-7000000</v>
      </c>
    </row>
    <row r="24" spans="2:7" x14ac:dyDescent="0.25">
      <c r="B24" s="18"/>
    </row>
    <row r="25" spans="2:7" x14ac:dyDescent="0.25">
      <c r="B25" s="17" t="s">
        <v>45</v>
      </c>
      <c r="C25" s="13">
        <f>SUM(C22:C24)</f>
        <v>558064.51712793298</v>
      </c>
    </row>
    <row r="27" spans="2:7" x14ac:dyDescent="0.25">
      <c r="B27" s="15" t="s">
        <v>44</v>
      </c>
    </row>
  </sheetData>
  <pageMargins left="0.7" right="0.7" top="0.78740157499999996" bottom="0.78740157499999996"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B7C9-F437-4875-A8E2-0CDF75C5325E}">
  <dimension ref="A2:K37"/>
  <sheetViews>
    <sheetView workbookViewId="0">
      <selection activeCell="E28" sqref="E28"/>
    </sheetView>
  </sheetViews>
  <sheetFormatPr baseColWidth="10" defaultRowHeight="15" x14ac:dyDescent="0.25"/>
  <cols>
    <col min="3" max="4" width="12" bestFit="1" customWidth="1"/>
    <col min="5" max="5" width="13" bestFit="1" customWidth="1"/>
    <col min="6" max="6" width="12" bestFit="1" customWidth="1"/>
    <col min="7" max="7" width="16.5703125" bestFit="1" customWidth="1"/>
    <col min="9" max="9" width="12" bestFit="1" customWidth="1"/>
    <col min="10" max="10" width="13" customWidth="1"/>
    <col min="11" max="11" width="12" bestFit="1" customWidth="1"/>
  </cols>
  <sheetData>
    <row r="2" spans="1:11" x14ac:dyDescent="0.25">
      <c r="C2" t="s">
        <v>88</v>
      </c>
      <c r="G2" t="s">
        <v>87</v>
      </c>
    </row>
    <row r="3" spans="1:11" x14ac:dyDescent="0.25">
      <c r="D3" s="29">
        <v>1</v>
      </c>
      <c r="E3" s="29">
        <v>2</v>
      </c>
      <c r="F3" s="29">
        <v>3</v>
      </c>
    </row>
    <row r="4" spans="1:11" x14ac:dyDescent="0.25">
      <c r="B4" t="s">
        <v>86</v>
      </c>
      <c r="C4" s="11">
        <v>-55000</v>
      </c>
      <c r="D4" s="11">
        <v>23300</v>
      </c>
      <c r="E4" s="11">
        <v>28900</v>
      </c>
      <c r="F4" s="11">
        <v>58600</v>
      </c>
      <c r="G4" s="11">
        <v>41000</v>
      </c>
    </row>
    <row r="5" spans="1:11" x14ac:dyDescent="0.25">
      <c r="C5" s="11"/>
    </row>
    <row r="6" spans="1:11" x14ac:dyDescent="0.25">
      <c r="B6" t="s">
        <v>85</v>
      </c>
      <c r="C6" s="11">
        <v>-60000</v>
      </c>
      <c r="D6" s="11">
        <v>21750</v>
      </c>
      <c r="E6" s="11">
        <v>27250</v>
      </c>
      <c r="F6" s="11">
        <v>61750</v>
      </c>
      <c r="G6" s="11">
        <v>49000</v>
      </c>
    </row>
    <row r="7" spans="1:11" x14ac:dyDescent="0.25">
      <c r="F7" t="s">
        <v>84</v>
      </c>
    </row>
    <row r="11" spans="1:11" x14ac:dyDescent="0.25">
      <c r="A11" t="s">
        <v>83</v>
      </c>
      <c r="C11" t="s">
        <v>81</v>
      </c>
      <c r="D11" t="s">
        <v>80</v>
      </c>
      <c r="E11" t="s">
        <v>79</v>
      </c>
      <c r="G11" t="s">
        <v>82</v>
      </c>
      <c r="I11" t="s">
        <v>81</v>
      </c>
      <c r="J11" t="s">
        <v>80</v>
      </c>
      <c r="K11" t="s">
        <v>79</v>
      </c>
    </row>
    <row r="13" spans="1:11" x14ac:dyDescent="0.25">
      <c r="C13" s="11">
        <v>65000</v>
      </c>
      <c r="D13" s="11">
        <v>70000</v>
      </c>
      <c r="E13" s="11">
        <v>80000</v>
      </c>
      <c r="I13" s="11"/>
      <c r="J13" s="11"/>
      <c r="K13" s="11"/>
    </row>
    <row r="14" spans="1:11" x14ac:dyDescent="0.25">
      <c r="A14" t="s">
        <v>78</v>
      </c>
      <c r="C14" s="11">
        <v>4000</v>
      </c>
      <c r="D14" s="11">
        <v>4000</v>
      </c>
      <c r="E14" s="11">
        <v>4000</v>
      </c>
      <c r="G14" t="s">
        <v>78</v>
      </c>
      <c r="I14" s="11">
        <v>4250</v>
      </c>
      <c r="J14" s="11">
        <v>4250</v>
      </c>
      <c r="K14" s="11">
        <v>4250</v>
      </c>
    </row>
    <row r="15" spans="1:11" x14ac:dyDescent="0.25">
      <c r="A15" t="s">
        <v>77</v>
      </c>
      <c r="B15">
        <v>0.18</v>
      </c>
      <c r="C15" s="11">
        <f>C13*$B$15</f>
        <v>11700</v>
      </c>
      <c r="D15" s="11">
        <f>D13*$B$15</f>
        <v>12600</v>
      </c>
      <c r="E15" s="11">
        <f>E13*$B$15</f>
        <v>14400</v>
      </c>
      <c r="G15" t="s">
        <v>77</v>
      </c>
      <c r="I15" s="11">
        <f>C13*$B$15</f>
        <v>11700</v>
      </c>
      <c r="J15" s="11">
        <f>D13*$B$15</f>
        <v>12600</v>
      </c>
      <c r="K15" s="11">
        <f>E13*$B$15</f>
        <v>14400</v>
      </c>
    </row>
    <row r="16" spans="1:11" x14ac:dyDescent="0.25">
      <c r="A16" t="s">
        <v>76</v>
      </c>
      <c r="B16">
        <v>0.1</v>
      </c>
      <c r="C16" s="1">
        <f>C13*$B$16</f>
        <v>6500</v>
      </c>
      <c r="D16" s="1">
        <f>D13*$B$16</f>
        <v>7000</v>
      </c>
      <c r="E16" s="1">
        <f>E13*$B$16</f>
        <v>8000</v>
      </c>
      <c r="G16" t="s">
        <v>76</v>
      </c>
      <c r="I16" s="1">
        <f>$B$16*C13</f>
        <v>6500</v>
      </c>
      <c r="J16" s="1">
        <f>$B$16*D13</f>
        <v>7000</v>
      </c>
      <c r="K16" s="1">
        <f>$B$16*E13</f>
        <v>8000</v>
      </c>
    </row>
    <row r="17" spans="1:11" x14ac:dyDescent="0.25">
      <c r="A17" t="s">
        <v>75</v>
      </c>
      <c r="C17" s="11">
        <v>26000</v>
      </c>
      <c r="D17" s="11">
        <v>28000</v>
      </c>
      <c r="E17" s="11">
        <v>30000</v>
      </c>
      <c r="I17" s="11">
        <v>26000</v>
      </c>
      <c r="J17" s="11">
        <v>28000</v>
      </c>
      <c r="K17" s="11">
        <v>30000</v>
      </c>
    </row>
    <row r="18" spans="1:11" x14ac:dyDescent="0.25">
      <c r="A18" t="s">
        <v>74</v>
      </c>
      <c r="C18" s="1">
        <f>SUM(C14:C17)</f>
        <v>48200</v>
      </c>
      <c r="D18" s="1">
        <f>SUM(D14:D17)</f>
        <v>51600</v>
      </c>
      <c r="E18" s="1">
        <f>SUM(E14:E17)</f>
        <v>56400</v>
      </c>
      <c r="G18" t="s">
        <v>74</v>
      </c>
      <c r="I18" s="11">
        <f>SUM(I13:I17)</f>
        <v>48450</v>
      </c>
      <c r="J18" s="11">
        <f>SUM(J13:J17)</f>
        <v>51850</v>
      </c>
      <c r="K18" s="11">
        <f>SUM(K13:K17)</f>
        <v>56650</v>
      </c>
    </row>
    <row r="19" spans="1:11" x14ac:dyDescent="0.25">
      <c r="A19" t="s">
        <v>73</v>
      </c>
      <c r="C19" s="11">
        <f>C13*0.85</f>
        <v>55250</v>
      </c>
      <c r="D19" s="11">
        <f>D13*0.9</f>
        <v>63000</v>
      </c>
      <c r="E19" s="11">
        <f>E13*0.95</f>
        <v>76000</v>
      </c>
      <c r="G19" t="s">
        <v>73</v>
      </c>
      <c r="I19" s="11">
        <f>C13*0.85</f>
        <v>55250</v>
      </c>
      <c r="J19" s="11">
        <f>D13*0.9</f>
        <v>63000</v>
      </c>
      <c r="K19" s="11">
        <f>E13*0.95</f>
        <v>76000</v>
      </c>
    </row>
    <row r="20" spans="1:11" x14ac:dyDescent="0.25">
      <c r="I20" s="11"/>
      <c r="J20" s="11"/>
      <c r="K20" s="11"/>
    </row>
    <row r="21" spans="1:11" x14ac:dyDescent="0.25">
      <c r="A21" t="s">
        <v>72</v>
      </c>
      <c r="C21" s="1">
        <f>C19-C18</f>
        <v>7050</v>
      </c>
      <c r="D21" s="1">
        <f>D19-D18</f>
        <v>11400</v>
      </c>
      <c r="E21" s="1">
        <f>E19-E18</f>
        <v>19600</v>
      </c>
      <c r="G21" t="s">
        <v>72</v>
      </c>
      <c r="I21" s="11">
        <f>I19-I18</f>
        <v>6800</v>
      </c>
      <c r="J21" s="11">
        <f>J19-J18</f>
        <v>11150</v>
      </c>
      <c r="K21" s="11">
        <f>K19-K18</f>
        <v>19350</v>
      </c>
    </row>
    <row r="25" spans="1:11" x14ac:dyDescent="0.25">
      <c r="A25" t="s">
        <v>71</v>
      </c>
      <c r="C25" s="6">
        <f>NPV(9%,C21,D21,E21+G4)+C4</f>
        <v>7857.3607231961505</v>
      </c>
      <c r="G25" t="s">
        <v>70</v>
      </c>
      <c r="I25" s="6">
        <f>NPV(9%,I21,J21,K21+G6)+C6</f>
        <v>8402.004897187624</v>
      </c>
    </row>
    <row r="28" spans="1:11" ht="180" x14ac:dyDescent="0.25">
      <c r="B28" s="8" t="s">
        <v>69</v>
      </c>
    </row>
    <row r="35" spans="4:4" x14ac:dyDescent="0.25">
      <c r="D35" s="28"/>
    </row>
    <row r="37" spans="4:4" x14ac:dyDescent="0.25">
      <c r="D37" s="28"/>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383A-8012-42A0-B331-84AFB9DF48B1}">
  <dimension ref="A1"/>
  <sheetViews>
    <sheetView workbookViewId="0">
      <selection activeCell="N41" sqref="N41"/>
    </sheetView>
  </sheetViews>
  <sheetFormatPr baseColWidth="10" defaultRowHeight="15" x14ac:dyDescent="0.25"/>
  <sheetData/>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B904-552C-4210-A31C-8A91679FA87A}">
  <dimension ref="A2:E32"/>
  <sheetViews>
    <sheetView workbookViewId="0">
      <selection activeCell="N41" sqref="N41"/>
    </sheetView>
  </sheetViews>
  <sheetFormatPr baseColWidth="10" defaultRowHeight="15" x14ac:dyDescent="0.25"/>
  <cols>
    <col min="2" max="2" width="32" bestFit="1" customWidth="1"/>
    <col min="3" max="5" width="12" bestFit="1" customWidth="1"/>
  </cols>
  <sheetData>
    <row r="2" spans="1:5" x14ac:dyDescent="0.25">
      <c r="A2" s="15"/>
    </row>
    <row r="3" spans="1:5" x14ac:dyDescent="0.25">
      <c r="B3" s="15" t="s">
        <v>104</v>
      </c>
      <c r="C3" s="15" t="s">
        <v>14</v>
      </c>
      <c r="D3" s="15" t="s">
        <v>15</v>
      </c>
      <c r="E3" s="15" t="s">
        <v>103</v>
      </c>
    </row>
    <row r="4" spans="1:5" x14ac:dyDescent="0.25">
      <c r="B4" t="s">
        <v>88</v>
      </c>
      <c r="C4" s="20">
        <v>23000</v>
      </c>
      <c r="D4" s="20">
        <v>24500</v>
      </c>
      <c r="E4" s="20">
        <v>29000</v>
      </c>
    </row>
    <row r="5" spans="1:5" x14ac:dyDescent="0.25">
      <c r="B5" t="s">
        <v>91</v>
      </c>
      <c r="C5" s="20">
        <v>400</v>
      </c>
      <c r="D5" s="20">
        <v>400</v>
      </c>
      <c r="E5" s="20">
        <v>600</v>
      </c>
    </row>
    <row r="6" spans="1:5" x14ac:dyDescent="0.25">
      <c r="B6" t="s">
        <v>102</v>
      </c>
      <c r="C6">
        <v>80000</v>
      </c>
      <c r="D6">
        <v>120000</v>
      </c>
      <c r="E6">
        <v>150000</v>
      </c>
    </row>
    <row r="7" spans="1:5" x14ac:dyDescent="0.25">
      <c r="B7" t="s">
        <v>101</v>
      </c>
      <c r="C7">
        <v>30000</v>
      </c>
      <c r="D7">
        <f>C7</f>
        <v>30000</v>
      </c>
      <c r="E7">
        <f>C7</f>
        <v>30000</v>
      </c>
    </row>
    <row r="8" spans="1:5" x14ac:dyDescent="0.25">
      <c r="B8" t="s">
        <v>100</v>
      </c>
      <c r="C8" s="11">
        <v>6</v>
      </c>
      <c r="D8" s="11">
        <v>8</v>
      </c>
      <c r="E8" s="11">
        <v>10</v>
      </c>
    </row>
    <row r="9" spans="1:5" x14ac:dyDescent="0.25">
      <c r="B9" t="s">
        <v>99</v>
      </c>
      <c r="C9" s="20">
        <v>1.5</v>
      </c>
      <c r="D9" s="20">
        <f>C9</f>
        <v>1.5</v>
      </c>
      <c r="E9" s="20">
        <f>C9</f>
        <v>1.5</v>
      </c>
    </row>
    <row r="10" spans="1:5" x14ac:dyDescent="0.25">
      <c r="B10" t="s">
        <v>98</v>
      </c>
      <c r="C10" s="2">
        <v>5.5E-2</v>
      </c>
      <c r="D10" s="2">
        <f>C10</f>
        <v>5.5E-2</v>
      </c>
      <c r="E10" s="2">
        <f xml:space="preserve"> C10</f>
        <v>5.5E-2</v>
      </c>
    </row>
    <row r="12" spans="1:5" x14ac:dyDescent="0.25">
      <c r="B12" t="s">
        <v>97</v>
      </c>
      <c r="C12" s="32">
        <f>C6/C7</f>
        <v>2.6666666666666665</v>
      </c>
      <c r="D12" s="32">
        <f>D6/D7</f>
        <v>4</v>
      </c>
      <c r="E12" s="32">
        <f>E6/E7</f>
        <v>5</v>
      </c>
    </row>
    <row r="13" spans="1:5" x14ac:dyDescent="0.25">
      <c r="C13" s="32"/>
      <c r="D13" s="32"/>
      <c r="E13" s="32"/>
    </row>
    <row r="15" spans="1:5" x14ac:dyDescent="0.25">
      <c r="B15" s="15" t="s">
        <v>96</v>
      </c>
    </row>
    <row r="16" spans="1:5" x14ac:dyDescent="0.25">
      <c r="B16" s="15"/>
    </row>
    <row r="17" spans="1:5" x14ac:dyDescent="0.25">
      <c r="B17" s="31" t="s">
        <v>95</v>
      </c>
    </row>
    <row r="18" spans="1:5" x14ac:dyDescent="0.25">
      <c r="B18" t="s">
        <v>94</v>
      </c>
      <c r="C18" s="20">
        <f>C4/C12</f>
        <v>8625</v>
      </c>
      <c r="D18" s="20">
        <f>D4/D12</f>
        <v>6125</v>
      </c>
      <c r="E18" s="20">
        <f>E4/E12</f>
        <v>5800</v>
      </c>
    </row>
    <row r="19" spans="1:5" x14ac:dyDescent="0.25">
      <c r="B19" t="s">
        <v>93</v>
      </c>
      <c r="C19" s="20">
        <f>C4/2*C10</f>
        <v>632.5</v>
      </c>
      <c r="D19" s="20">
        <f>D4/2*D10</f>
        <v>673.75</v>
      </c>
      <c r="E19" s="20">
        <f>E4/2*E10</f>
        <v>797.5</v>
      </c>
    </row>
    <row r="21" spans="1:5" x14ac:dyDescent="0.25">
      <c r="B21" s="31" t="s">
        <v>92</v>
      </c>
    </row>
    <row r="22" spans="1:5" x14ac:dyDescent="0.25">
      <c r="B22" t="s">
        <v>91</v>
      </c>
      <c r="C22" s="20">
        <f>C5</f>
        <v>400</v>
      </c>
      <c r="D22" s="20">
        <f>D5</f>
        <v>400</v>
      </c>
      <c r="E22" s="20">
        <f>E5</f>
        <v>600</v>
      </c>
    </row>
    <row r="23" spans="1:5" x14ac:dyDescent="0.25">
      <c r="B23" t="s">
        <v>90</v>
      </c>
      <c r="C23" s="20">
        <f>C7/100*C8*C9</f>
        <v>2700</v>
      </c>
      <c r="D23" s="20">
        <f>D7/100*D8*D9</f>
        <v>3600</v>
      </c>
      <c r="E23" s="20">
        <f>E7/100*E8*E9</f>
        <v>4500</v>
      </c>
    </row>
    <row r="25" spans="1:5" x14ac:dyDescent="0.25">
      <c r="B25" s="15" t="s">
        <v>89</v>
      </c>
      <c r="C25" s="19">
        <f>SUM(C18:C24)</f>
        <v>12357.5</v>
      </c>
      <c r="D25" s="30">
        <f>SUM(D18:D24)</f>
        <v>10798.75</v>
      </c>
      <c r="E25" s="19">
        <f>SUM(E18:E24)</f>
        <v>11697.5</v>
      </c>
    </row>
    <row r="28" spans="1:5" x14ac:dyDescent="0.25">
      <c r="A28" s="15"/>
    </row>
    <row r="29" spans="1:5" x14ac:dyDescent="0.25">
      <c r="B29" s="15"/>
    </row>
    <row r="31" spans="1:5" x14ac:dyDescent="0.25">
      <c r="C31" s="20"/>
    </row>
    <row r="32" spans="1:5" x14ac:dyDescent="0.25">
      <c r="C32" s="20"/>
    </row>
  </sheetData>
  <pageMargins left="0.7" right="0.7" top="0.78740157499999996" bottom="0.78740157499999996" header="0.3" footer="0.3"/>
  <pageSetup paperSize="9"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30930-A3C1-4D0D-9AF6-CB99532827A7}">
  <dimension ref="A1"/>
  <sheetViews>
    <sheetView topLeftCell="A13" workbookViewId="0">
      <selection activeCell="N41" sqref="N41"/>
    </sheetView>
  </sheetViews>
  <sheetFormatPr baseColWidth="10" defaultRowHeight="15" x14ac:dyDescent="0.25"/>
  <sheetData/>
  <pageMargins left="0.7" right="0.7" top="0.78740157499999996" bottom="0.78740157499999996"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D1833-BD52-451F-B663-81D1D2551A13}">
  <dimension ref="B4:C29"/>
  <sheetViews>
    <sheetView workbookViewId="0">
      <selection activeCell="N41" sqref="N41"/>
    </sheetView>
  </sheetViews>
  <sheetFormatPr baseColWidth="10" defaultRowHeight="15" x14ac:dyDescent="0.25"/>
  <cols>
    <col min="2" max="2" width="21.28515625" bestFit="1" customWidth="1"/>
    <col min="3" max="3" width="13" bestFit="1" customWidth="1"/>
  </cols>
  <sheetData>
    <row r="4" spans="2:3" x14ac:dyDescent="0.25">
      <c r="B4" t="s">
        <v>120</v>
      </c>
      <c r="C4" s="11">
        <v>100000</v>
      </c>
    </row>
    <row r="5" spans="2:3" x14ac:dyDescent="0.25">
      <c r="B5" t="s">
        <v>97</v>
      </c>
      <c r="C5">
        <v>8</v>
      </c>
    </row>
    <row r="6" spans="2:3" x14ac:dyDescent="0.25">
      <c r="B6" t="s">
        <v>119</v>
      </c>
      <c r="C6" s="11">
        <v>5000</v>
      </c>
    </row>
    <row r="7" spans="2:3" x14ac:dyDescent="0.25">
      <c r="B7" t="s">
        <v>118</v>
      </c>
      <c r="C7">
        <v>15000</v>
      </c>
    </row>
    <row r="8" spans="2:3" x14ac:dyDescent="0.25">
      <c r="B8" t="s">
        <v>117</v>
      </c>
      <c r="C8" s="11">
        <v>19000</v>
      </c>
    </row>
    <row r="9" spans="2:3" x14ac:dyDescent="0.25">
      <c r="B9" t="s">
        <v>116</v>
      </c>
      <c r="C9" s="11">
        <v>90000</v>
      </c>
    </row>
    <row r="10" spans="2:3" x14ac:dyDescent="0.25">
      <c r="B10" t="s">
        <v>115</v>
      </c>
      <c r="C10" s="11">
        <v>9</v>
      </c>
    </row>
    <row r="11" spans="2:3" x14ac:dyDescent="0.25">
      <c r="B11" t="s">
        <v>43</v>
      </c>
      <c r="C11" s="5">
        <v>0.08</v>
      </c>
    </row>
    <row r="13" spans="2:3" x14ac:dyDescent="0.25">
      <c r="B13" s="15" t="s">
        <v>114</v>
      </c>
    </row>
    <row r="15" spans="2:3" x14ac:dyDescent="0.25">
      <c r="B15" t="s">
        <v>113</v>
      </c>
      <c r="C15" s="1">
        <f>C7*C10</f>
        <v>135000</v>
      </c>
    </row>
    <row r="17" spans="2:3" x14ac:dyDescent="0.25">
      <c r="B17" t="s">
        <v>112</v>
      </c>
      <c r="C17" s="1">
        <f>(C4-C6)/C5</f>
        <v>11875</v>
      </c>
    </row>
    <row r="18" spans="2:3" x14ac:dyDescent="0.25">
      <c r="B18" t="s">
        <v>111</v>
      </c>
      <c r="C18" s="1">
        <f>(C4+C6)/2*C11</f>
        <v>4200</v>
      </c>
    </row>
    <row r="21" spans="2:3" x14ac:dyDescent="0.25">
      <c r="B21" s="15" t="s">
        <v>105</v>
      </c>
    </row>
    <row r="23" spans="2:3" x14ac:dyDescent="0.25">
      <c r="B23" t="s">
        <v>110</v>
      </c>
      <c r="C23" s="1">
        <f>C15</f>
        <v>135000</v>
      </c>
    </row>
    <row r="24" spans="2:3" x14ac:dyDescent="0.25">
      <c r="B24" t="s">
        <v>109</v>
      </c>
      <c r="C24" s="11">
        <v>-19000</v>
      </c>
    </row>
    <row r="25" spans="2:3" x14ac:dyDescent="0.25">
      <c r="B25" t="s">
        <v>108</v>
      </c>
      <c r="C25" s="11">
        <v>-90000</v>
      </c>
    </row>
    <row r="26" spans="2:3" x14ac:dyDescent="0.25">
      <c r="B26" t="s">
        <v>107</v>
      </c>
      <c r="C26" s="1">
        <f>-C17</f>
        <v>-11875</v>
      </c>
    </row>
    <row r="27" spans="2:3" x14ac:dyDescent="0.25">
      <c r="B27" t="s">
        <v>106</v>
      </c>
      <c r="C27" s="1">
        <f>-C18</f>
        <v>-4200</v>
      </c>
    </row>
    <row r="29" spans="2:3" x14ac:dyDescent="0.25">
      <c r="B29" s="15" t="s">
        <v>105</v>
      </c>
      <c r="C29" s="13">
        <f>SUM(C23:C28)</f>
        <v>9925</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18C94-E33D-4CE9-A6C0-EEC69DE0C0E8}">
  <dimension ref="A1"/>
  <sheetViews>
    <sheetView topLeftCell="A28" workbookViewId="0">
      <selection activeCell="N41" sqref="N41"/>
    </sheetView>
  </sheetViews>
  <sheetFormatPr baseColWidth="10" defaultRowHeight="15" x14ac:dyDescent="0.25"/>
  <sheetData/>
  <pageMargins left="0.7" right="0.7" top="0.78740157499999996" bottom="0.78740157499999996"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F109E-9FF8-4433-B61A-501FA074673B}">
  <dimension ref="B4:C12"/>
  <sheetViews>
    <sheetView workbookViewId="0">
      <selection activeCell="N41" sqref="N41"/>
    </sheetView>
  </sheetViews>
  <sheetFormatPr baseColWidth="10" defaultRowHeight="15" x14ac:dyDescent="0.25"/>
  <cols>
    <col min="2" max="2" width="46.140625" bestFit="1" customWidth="1"/>
    <col min="3" max="3" width="13" bestFit="1" customWidth="1"/>
  </cols>
  <sheetData>
    <row r="4" spans="2:3" x14ac:dyDescent="0.25">
      <c r="B4" t="s">
        <v>125</v>
      </c>
      <c r="C4" s="11">
        <v>9925</v>
      </c>
    </row>
    <row r="6" spans="2:3" x14ac:dyDescent="0.25">
      <c r="B6" t="s">
        <v>124</v>
      </c>
      <c r="C6" s="11">
        <v>100000</v>
      </c>
    </row>
    <row r="7" spans="2:3" x14ac:dyDescent="0.25">
      <c r="B7" t="s">
        <v>123</v>
      </c>
      <c r="C7" s="11">
        <v>5000</v>
      </c>
    </row>
    <row r="10" spans="2:3" x14ac:dyDescent="0.25">
      <c r="B10" t="s">
        <v>122</v>
      </c>
      <c r="C10" s="1">
        <f>(C6+C7)/2</f>
        <v>52500</v>
      </c>
    </row>
    <row r="12" spans="2:3" x14ac:dyDescent="0.25">
      <c r="B12" s="15" t="s">
        <v>121</v>
      </c>
      <c r="C12" s="33">
        <f>C4/C10</f>
        <v>0.18904761904761905</v>
      </c>
    </row>
  </sheetData>
  <pageMargins left="0.7" right="0.7" top="0.78740157499999996" bottom="0.78740157499999996"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BA5B-5174-40DA-80E9-FFF87D9775A8}">
  <dimension ref="A1"/>
  <sheetViews>
    <sheetView workbookViewId="0">
      <selection activeCell="N41" sqref="N41"/>
    </sheetView>
  </sheetViews>
  <sheetFormatPr baseColWidth="10" defaultRowHeight="15" x14ac:dyDescent="0.25"/>
  <sheetData/>
  <pageMargins left="0.7" right="0.7" top="0.78740157499999996" bottom="0.78740157499999996"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999F5-B0E9-4FCB-82E7-180810343A17}">
  <dimension ref="B5:I24"/>
  <sheetViews>
    <sheetView workbookViewId="0">
      <selection activeCell="N41" sqref="N41"/>
    </sheetView>
  </sheetViews>
  <sheetFormatPr baseColWidth="10" defaultRowHeight="15" x14ac:dyDescent="0.25"/>
  <cols>
    <col min="2" max="2" width="19.7109375" bestFit="1" customWidth="1"/>
    <col min="3" max="3" width="13" bestFit="1" customWidth="1"/>
    <col min="6" max="6" width="19.7109375" bestFit="1" customWidth="1"/>
    <col min="7" max="7" width="13" bestFit="1" customWidth="1"/>
  </cols>
  <sheetData>
    <row r="5" spans="2:9" x14ac:dyDescent="0.25">
      <c r="B5" s="15" t="s">
        <v>137</v>
      </c>
      <c r="F5" s="15" t="s">
        <v>136</v>
      </c>
    </row>
    <row r="7" spans="2:9" x14ac:dyDescent="0.25">
      <c r="B7" t="s">
        <v>135</v>
      </c>
      <c r="C7" s="11">
        <v>100000</v>
      </c>
      <c r="F7" t="s">
        <v>135</v>
      </c>
      <c r="G7" s="11">
        <v>100000</v>
      </c>
      <c r="I7" s="11"/>
    </row>
    <row r="8" spans="2:9" x14ac:dyDescent="0.25">
      <c r="B8" t="s">
        <v>134</v>
      </c>
      <c r="C8" s="11">
        <v>30000</v>
      </c>
      <c r="F8" t="s">
        <v>134</v>
      </c>
      <c r="G8" s="11">
        <v>20000</v>
      </c>
      <c r="I8" s="11"/>
    </row>
    <row r="9" spans="2:9" x14ac:dyDescent="0.25">
      <c r="B9" t="s">
        <v>133</v>
      </c>
      <c r="C9" s="11">
        <v>40000</v>
      </c>
      <c r="F9" t="s">
        <v>133</v>
      </c>
      <c r="G9" s="11">
        <v>20000</v>
      </c>
      <c r="I9" s="11"/>
    </row>
    <row r="10" spans="2:9" x14ac:dyDescent="0.25">
      <c r="B10" t="s">
        <v>132</v>
      </c>
      <c r="C10" s="11">
        <v>30000</v>
      </c>
      <c r="F10" t="s">
        <v>132</v>
      </c>
      <c r="G10" s="11">
        <v>30000</v>
      </c>
      <c r="I10" s="11"/>
    </row>
    <row r="11" spans="2:9" x14ac:dyDescent="0.25">
      <c r="B11" t="s">
        <v>131</v>
      </c>
      <c r="C11" s="11">
        <v>20000</v>
      </c>
      <c r="F11" t="s">
        <v>131</v>
      </c>
      <c r="G11" s="11">
        <v>40000</v>
      </c>
      <c r="I11" s="11"/>
    </row>
    <row r="12" spans="2:9" x14ac:dyDescent="0.25">
      <c r="B12" t="s">
        <v>130</v>
      </c>
      <c r="C12" s="11">
        <v>20000</v>
      </c>
      <c r="F12" t="s">
        <v>130</v>
      </c>
      <c r="G12" s="11">
        <v>40000</v>
      </c>
      <c r="I12" s="11"/>
    </row>
    <row r="15" spans="2:9" x14ac:dyDescent="0.25">
      <c r="B15" s="15" t="s">
        <v>129</v>
      </c>
    </row>
    <row r="17" spans="2:4" x14ac:dyDescent="0.25">
      <c r="B17" t="s">
        <v>127</v>
      </c>
      <c r="C17" s="1">
        <f>(C8+C9+C10+C11+C12)/5</f>
        <v>28000</v>
      </c>
    </row>
    <row r="18" spans="2:4" x14ac:dyDescent="0.25">
      <c r="B18" t="s">
        <v>126</v>
      </c>
      <c r="C18" s="1">
        <f>(G8+G9+G10+G11+G12)/5</f>
        <v>30000</v>
      </c>
    </row>
    <row r="21" spans="2:4" x14ac:dyDescent="0.25">
      <c r="B21" s="15" t="s">
        <v>128</v>
      </c>
    </row>
    <row r="23" spans="2:4" x14ac:dyDescent="0.25">
      <c r="B23" t="s">
        <v>127</v>
      </c>
      <c r="C23" s="32">
        <f>C7/C17</f>
        <v>3.5714285714285716</v>
      </c>
      <c r="D23" t="s">
        <v>65</v>
      </c>
    </row>
    <row r="24" spans="2:4" x14ac:dyDescent="0.25">
      <c r="B24" t="s">
        <v>126</v>
      </c>
      <c r="C24" s="32">
        <f>G7/C18</f>
        <v>3.3333333333333335</v>
      </c>
      <c r="D24" t="s">
        <v>65</v>
      </c>
    </row>
  </sheetData>
  <pageMargins left="0.7" right="0.7" top="0.78740157499999996" bottom="0.78740157499999996"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2EE9-C27C-4AF6-B4D3-E527C7DAA6A7}">
  <dimension ref="A1:L151"/>
  <sheetViews>
    <sheetView workbookViewId="0">
      <selection activeCell="H32" sqref="H32"/>
    </sheetView>
  </sheetViews>
  <sheetFormatPr baseColWidth="10" defaultRowHeight="15" x14ac:dyDescent="0.25"/>
  <cols>
    <col min="3" max="6" width="12" bestFit="1" customWidth="1"/>
    <col min="10" max="10" width="12" bestFit="1" customWidth="1"/>
  </cols>
  <sheetData>
    <row r="1" spans="1:10" x14ac:dyDescent="0.25">
      <c r="A1" s="15" t="s">
        <v>144</v>
      </c>
    </row>
    <row r="2" spans="1:10" x14ac:dyDescent="0.25">
      <c r="A2" t="s">
        <v>1</v>
      </c>
      <c r="C2" s="15" t="s">
        <v>143</v>
      </c>
    </row>
    <row r="3" spans="1:10" x14ac:dyDescent="0.25">
      <c r="B3" t="s">
        <v>142</v>
      </c>
      <c r="C3" s="37">
        <v>5.0000000000000001E-3</v>
      </c>
      <c r="D3" s="37">
        <v>1.4999999999999999E-2</v>
      </c>
      <c r="E3" s="36">
        <v>0.03</v>
      </c>
      <c r="F3" s="36">
        <v>0.06</v>
      </c>
    </row>
    <row r="4" spans="1:10" x14ac:dyDescent="0.25">
      <c r="B4">
        <v>0</v>
      </c>
      <c r="C4" s="35">
        <v>10000</v>
      </c>
      <c r="D4" s="19">
        <v>10000</v>
      </c>
      <c r="E4" s="19">
        <v>10000</v>
      </c>
      <c r="F4" s="19">
        <v>10000</v>
      </c>
    </row>
    <row r="5" spans="1:10" x14ac:dyDescent="0.25">
      <c r="B5">
        <v>1</v>
      </c>
      <c r="C5" s="11">
        <f>C4*(1+$C$3)</f>
        <v>10049.999999999998</v>
      </c>
      <c r="D5" s="11">
        <f>D4*(1+$D$3)</f>
        <v>10149.999999999998</v>
      </c>
      <c r="E5" s="11">
        <f>E4*(1+$E$3)</f>
        <v>10300</v>
      </c>
      <c r="F5" s="11">
        <f>F4*(1+$F$3)</f>
        <v>10600</v>
      </c>
    </row>
    <row r="6" spans="1:10" x14ac:dyDescent="0.25">
      <c r="B6">
        <v>2</v>
      </c>
      <c r="C6" s="11">
        <f>C5*(1+$C$3)</f>
        <v>10100.249999999996</v>
      </c>
      <c r="D6" s="11">
        <f>D5*(1+$D$3)</f>
        <v>10302.249999999996</v>
      </c>
      <c r="E6" s="11">
        <f>E5*(1+$E$3)</f>
        <v>10609</v>
      </c>
      <c r="F6" s="11">
        <f>F5*(1+$F$3)</f>
        <v>11236</v>
      </c>
    </row>
    <row r="7" spans="1:10" x14ac:dyDescent="0.25">
      <c r="B7">
        <v>3</v>
      </c>
      <c r="C7" s="11">
        <f>C6*(1+$C$3)</f>
        <v>10150.751249999996</v>
      </c>
      <c r="D7" s="11">
        <f>D6*(1+$D$3)</f>
        <v>10456.783749999995</v>
      </c>
      <c r="E7" s="11">
        <f>E6*(1+$E$3)</f>
        <v>10927.27</v>
      </c>
      <c r="F7" s="11">
        <f>F6*(1+$F$3)</f>
        <v>11910.16</v>
      </c>
    </row>
    <row r="8" spans="1:10" x14ac:dyDescent="0.25">
      <c r="B8">
        <v>4</v>
      </c>
      <c r="C8" s="11">
        <f>C7*(1+$C$3)</f>
        <v>10201.505006249994</v>
      </c>
      <c r="D8" s="11">
        <f>D7*(1+$D$3)</f>
        <v>10613.635506249993</v>
      </c>
      <c r="E8" s="11">
        <f>E7*(1+$E$3)</f>
        <v>11255.088100000001</v>
      </c>
      <c r="F8" s="11">
        <f>F7*(1+$F$3)</f>
        <v>12624.7696</v>
      </c>
    </row>
    <row r="9" spans="1:10" x14ac:dyDescent="0.25">
      <c r="B9">
        <v>5</v>
      </c>
      <c r="C9" s="11">
        <f>C8*(1+$C$3)</f>
        <v>10252.512531281243</v>
      </c>
      <c r="D9" s="11">
        <f>D8*(1+$D$3)</f>
        <v>10772.840038843742</v>
      </c>
      <c r="E9" s="11">
        <f>E8*(1+$E$3)</f>
        <v>11592.740743</v>
      </c>
      <c r="F9" s="11">
        <f>F8*(1+$F$3)</f>
        <v>13382.255776</v>
      </c>
    </row>
    <row r="10" spans="1:10" x14ac:dyDescent="0.25">
      <c r="B10">
        <v>6</v>
      </c>
      <c r="C10" s="11">
        <f>C9*(1+$C$3)</f>
        <v>10303.775093937649</v>
      </c>
      <c r="D10" s="11">
        <f>D9*(1+$D$3)</f>
        <v>10934.432639426397</v>
      </c>
      <c r="E10" s="11">
        <f>E9*(1+$E$3)</f>
        <v>11940.52296529</v>
      </c>
      <c r="F10" s="11">
        <f>F9*(1+$F$3)</f>
        <v>14185.191122560002</v>
      </c>
    </row>
    <row r="11" spans="1:10" x14ac:dyDescent="0.25">
      <c r="B11">
        <v>7</v>
      </c>
      <c r="C11" s="11">
        <f>C10*(1+$C$3)</f>
        <v>10355.293969407336</v>
      </c>
      <c r="D11" s="11">
        <f>D10*(1+$D$3)</f>
        <v>11098.449129017792</v>
      </c>
      <c r="E11" s="11">
        <f>E10*(1+$E$3)</f>
        <v>12298.7386542487</v>
      </c>
      <c r="F11" s="11">
        <f>F10*(1+$F$3)</f>
        <v>15036.302589913603</v>
      </c>
    </row>
    <row r="12" spans="1:10" x14ac:dyDescent="0.25">
      <c r="B12">
        <v>8</v>
      </c>
      <c r="C12" s="11">
        <f>C11*(1+$C$3)</f>
        <v>10407.070439254372</v>
      </c>
      <c r="D12" s="11">
        <f>D11*(1+$D$3)</f>
        <v>11264.925865953059</v>
      </c>
      <c r="E12" s="11">
        <f>E11*(1+$E$3)</f>
        <v>12667.700813876161</v>
      </c>
      <c r="F12" s="11">
        <f>F11*(1+$F$3)</f>
        <v>15938.48074530842</v>
      </c>
    </row>
    <row r="13" spans="1:10" x14ac:dyDescent="0.25">
      <c r="B13">
        <v>9</v>
      </c>
      <c r="C13" s="11">
        <f>C12*(1+$C$3)</f>
        <v>10459.105791450644</v>
      </c>
      <c r="D13" s="11">
        <f>D12*(1+$D$3)</f>
        <v>11433.899753942354</v>
      </c>
      <c r="E13" s="11">
        <f>E12*(1+$E$3)</f>
        <v>13047.731838292446</v>
      </c>
      <c r="F13" s="11">
        <f>F12*(1+$F$3)</f>
        <v>16894.789590026925</v>
      </c>
    </row>
    <row r="14" spans="1:10" x14ac:dyDescent="0.25">
      <c r="B14">
        <v>10</v>
      </c>
      <c r="C14" s="11">
        <f>C13*(1+$C$3)</f>
        <v>10511.401320407896</v>
      </c>
      <c r="D14" s="11">
        <f>D13*(1+$D$3)</f>
        <v>11605.408250251488</v>
      </c>
      <c r="E14" s="11">
        <f>E13*(1+$E$3)</f>
        <v>13439.163793441219</v>
      </c>
      <c r="F14" s="11">
        <f>F13*(1+$F$3)</f>
        <v>17908.476965428541</v>
      </c>
      <c r="H14" s="2">
        <v>5.0000000000000001E-3</v>
      </c>
      <c r="J14" s="11">
        <f>10000*(1+H14)^20</f>
        <v>11048.955771867275</v>
      </c>
    </row>
    <row r="15" spans="1:10" x14ac:dyDescent="0.25">
      <c r="B15">
        <v>11</v>
      </c>
      <c r="C15" s="11">
        <f>C14*(1+$C$3)</f>
        <v>10563.958327009936</v>
      </c>
      <c r="D15" s="11">
        <f>D14*(1+$D$3)</f>
        <v>11779.489374005259</v>
      </c>
      <c r="E15" s="11">
        <f>E14*(1+$E$3)</f>
        <v>13842.338707244457</v>
      </c>
      <c r="F15" s="11">
        <f>F14*(1+$F$3)</f>
        <v>18982.985583354253</v>
      </c>
      <c r="H15" s="2">
        <v>1.4999999999999999E-2</v>
      </c>
      <c r="J15" s="11">
        <f>10000*(1+H15)^20</f>
        <v>13468.550065500522</v>
      </c>
    </row>
    <row r="16" spans="1:10" x14ac:dyDescent="0.25">
      <c r="B16">
        <v>12</v>
      </c>
      <c r="C16" s="11">
        <f>C15*(1+$C$3)</f>
        <v>10616.778118644985</v>
      </c>
      <c r="D16" s="11">
        <f>D15*(1+$D$3)</f>
        <v>11956.181714615337</v>
      </c>
      <c r="E16" s="11">
        <f>E15*(1+$E$3)</f>
        <v>14257.60886846179</v>
      </c>
      <c r="F16" s="14">
        <f>F15*(1+$F$3)</f>
        <v>20121.96471835551</v>
      </c>
      <c r="H16" s="5">
        <v>0.03</v>
      </c>
      <c r="J16" s="11">
        <f>10000*(1+H16)^20</f>
        <v>18061.112346694132</v>
      </c>
    </row>
    <row r="17" spans="2:12" x14ac:dyDescent="0.25">
      <c r="B17">
        <v>13</v>
      </c>
      <c r="C17" s="11">
        <f>C16*(1+$C$3)</f>
        <v>10669.862009238208</v>
      </c>
      <c r="D17" s="11">
        <f>D16*(1+$D$3)</f>
        <v>12135.524440334566</v>
      </c>
      <c r="E17" s="11">
        <f>E16*(1+$E$3)</f>
        <v>14685.337134515645</v>
      </c>
      <c r="F17" s="11">
        <f>F16*(1+$F$3)</f>
        <v>21329.282601456842</v>
      </c>
      <c r="H17" s="5">
        <v>0.06</v>
      </c>
      <c r="J17" s="11">
        <f>10000*(1+H17)^20</f>
        <v>32071.354722128479</v>
      </c>
    </row>
    <row r="18" spans="2:12" x14ac:dyDescent="0.25">
      <c r="B18">
        <v>14</v>
      </c>
      <c r="C18" s="11">
        <f>C17*(1+$C$3)</f>
        <v>10723.211319284397</v>
      </c>
      <c r="D18" s="11">
        <f>D17*(1+$D$3)</f>
        <v>12317.557306939583</v>
      </c>
      <c r="E18" s="11">
        <f>E17*(1+$E$3)</f>
        <v>15125.897248551115</v>
      </c>
      <c r="F18" s="11">
        <f>F17*(1+$F$3)</f>
        <v>22609.039557544253</v>
      </c>
    </row>
    <row r="19" spans="2:12" x14ac:dyDescent="0.25">
      <c r="B19">
        <v>15</v>
      </c>
      <c r="C19" s="11">
        <f>C18*(1+$C$3)</f>
        <v>10776.827375880817</v>
      </c>
      <c r="D19" s="11">
        <f>D18*(1+$D$3)</f>
        <v>12502.320666543676</v>
      </c>
      <c r="E19" s="11">
        <f>E18*(1+$E$3)</f>
        <v>15579.67416600765</v>
      </c>
      <c r="F19" s="11">
        <f>F18*(1+$F$3)</f>
        <v>23965.581930996908</v>
      </c>
      <c r="H19" t="s">
        <v>141</v>
      </c>
    </row>
    <row r="20" spans="2:12" x14ac:dyDescent="0.25">
      <c r="B20">
        <v>16</v>
      </c>
      <c r="C20" s="11">
        <f>C19*(1+$C$3)</f>
        <v>10830.711512760221</v>
      </c>
      <c r="D20" s="11">
        <f>D19*(1+$D$3)</f>
        <v>12689.85547654183</v>
      </c>
      <c r="E20" s="11">
        <f>E19*(1+$E$3)</f>
        <v>16047.06439098788</v>
      </c>
      <c r="F20" s="11">
        <f>F19*(1+$F$3)</f>
        <v>25403.516846856724</v>
      </c>
      <c r="H20" s="2">
        <v>5.0000000000000001E-3</v>
      </c>
      <c r="J20" s="6">
        <f>FV(H20,20,0,-10000,0)</f>
        <v>11048.955771867275</v>
      </c>
      <c r="L20" s="6" t="s">
        <v>140</v>
      </c>
    </row>
    <row r="21" spans="2:12" x14ac:dyDescent="0.25">
      <c r="B21">
        <v>17</v>
      </c>
      <c r="C21" s="11">
        <f>C20*(1+$C$3)</f>
        <v>10884.865070324022</v>
      </c>
      <c r="D21" s="11">
        <f>D20*(1+$D$3)</f>
        <v>12880.203308689957</v>
      </c>
      <c r="E21" s="11">
        <f>E20*(1+$E$3)</f>
        <v>16528.476322717517</v>
      </c>
      <c r="F21" s="11">
        <f>F20*(1+$F$3)</f>
        <v>26927.727857668131</v>
      </c>
      <c r="H21" s="2">
        <v>1.4999999999999999E-2</v>
      </c>
      <c r="J21" s="6">
        <f>FV(H21,20,0,-10000,0)</f>
        <v>13468.550065500522</v>
      </c>
      <c r="L21" t="s">
        <v>139</v>
      </c>
    </row>
    <row r="22" spans="2:12" x14ac:dyDescent="0.25">
      <c r="B22">
        <v>18</v>
      </c>
      <c r="C22" s="11">
        <f>C21*(1+$C$3)</f>
        <v>10939.289395675642</v>
      </c>
      <c r="D22" s="11">
        <f>D21*(1+$D$3)</f>
        <v>13073.406358320306</v>
      </c>
      <c r="E22" s="11">
        <f>E21*(1+$E$3)</f>
        <v>17024.330612399044</v>
      </c>
      <c r="F22" s="11">
        <f>F21*(1+$F$3)</f>
        <v>28543.391529128221</v>
      </c>
      <c r="H22" s="5">
        <v>0.03</v>
      </c>
      <c r="J22" s="6">
        <f>FV(H22,20,0,-10000,0)</f>
        <v>18061.112346694132</v>
      </c>
      <c r="L22" t="s">
        <v>138</v>
      </c>
    </row>
    <row r="23" spans="2:12" x14ac:dyDescent="0.25">
      <c r="B23">
        <v>19</v>
      </c>
      <c r="C23" s="11">
        <f>C22*(1+$C$3)</f>
        <v>10993.98584265402</v>
      </c>
      <c r="D23" s="11">
        <f>D22*(1+$D$3)</f>
        <v>13269.507453695109</v>
      </c>
      <c r="E23" s="11">
        <f>E22*(1+$E$3)</f>
        <v>17535.060530771018</v>
      </c>
      <c r="F23" s="11">
        <f>F22*(1+$F$3)</f>
        <v>30255.995020875915</v>
      </c>
      <c r="H23" s="5">
        <v>0.06</v>
      </c>
      <c r="J23" s="6">
        <f>FV(H23,20,0,-10000,0)</f>
        <v>32071.354722128479</v>
      </c>
    </row>
    <row r="24" spans="2:12" x14ac:dyDescent="0.25">
      <c r="B24" s="15">
        <v>20</v>
      </c>
      <c r="C24" s="11">
        <f>C23*(1+$C$3)</f>
        <v>11048.955771867288</v>
      </c>
      <c r="D24" s="14">
        <f>D23*(1+$D$3)</f>
        <v>13468.550065500534</v>
      </c>
      <c r="E24" s="14">
        <f>E23*(1+$E$3)</f>
        <v>18061.11234669415</v>
      </c>
      <c r="F24" s="14">
        <f>F23*(1+$F$3)</f>
        <v>32071.354722128472</v>
      </c>
    </row>
    <row r="25" spans="2:12" x14ac:dyDescent="0.25">
      <c r="C25" s="11"/>
      <c r="D25" s="14"/>
      <c r="E25" s="11"/>
    </row>
    <row r="26" spans="2:12" x14ac:dyDescent="0.25">
      <c r="C26" s="11"/>
      <c r="D26" s="14"/>
      <c r="E26" s="11"/>
    </row>
    <row r="27" spans="2:12" x14ac:dyDescent="0.25">
      <c r="C27" s="11"/>
      <c r="D27" s="14"/>
      <c r="E27" s="11"/>
    </row>
    <row r="28" spans="2:12" x14ac:dyDescent="0.25">
      <c r="C28" s="11"/>
      <c r="D28" s="14"/>
      <c r="E28" s="11"/>
    </row>
    <row r="29" spans="2:12" x14ac:dyDescent="0.25">
      <c r="C29" s="11"/>
      <c r="D29" s="14"/>
      <c r="E29" s="11"/>
    </row>
    <row r="30" spans="2:12" x14ac:dyDescent="0.25">
      <c r="C30" s="11"/>
      <c r="D30" s="14"/>
    </row>
    <row r="31" spans="2:12" x14ac:dyDescent="0.25">
      <c r="C31" s="11"/>
      <c r="D31" s="14"/>
    </row>
    <row r="32" spans="2:12" x14ac:dyDescent="0.25">
      <c r="C32" s="11"/>
      <c r="D32" s="14"/>
      <c r="H32" s="6"/>
    </row>
    <row r="33" spans="3:9" x14ac:dyDescent="0.25">
      <c r="C33" s="11"/>
      <c r="D33" s="14"/>
      <c r="H33" s="2"/>
    </row>
    <row r="34" spans="3:9" x14ac:dyDescent="0.25">
      <c r="C34" s="11"/>
      <c r="D34" s="14"/>
      <c r="H34" s="5"/>
    </row>
    <row r="35" spans="3:9" x14ac:dyDescent="0.25">
      <c r="C35" s="11"/>
      <c r="D35" s="14"/>
      <c r="H35" s="5"/>
    </row>
    <row r="36" spans="3:9" x14ac:dyDescent="0.25">
      <c r="C36" s="11"/>
      <c r="D36" s="14"/>
    </row>
    <row r="37" spans="3:9" x14ac:dyDescent="0.25">
      <c r="C37" s="11"/>
      <c r="D37" s="11"/>
    </row>
    <row r="38" spans="3:9" x14ac:dyDescent="0.25">
      <c r="C38" s="11"/>
      <c r="D38" s="11"/>
      <c r="H38" s="2"/>
      <c r="I38" s="34"/>
    </row>
    <row r="39" spans="3:9" x14ac:dyDescent="0.25">
      <c r="C39" s="11"/>
      <c r="D39" s="11"/>
      <c r="H39" s="2"/>
      <c r="I39" s="34"/>
    </row>
    <row r="40" spans="3:9" x14ac:dyDescent="0.25">
      <c r="C40" s="11"/>
      <c r="D40" s="11"/>
      <c r="H40" s="5"/>
      <c r="I40" s="34"/>
    </row>
    <row r="41" spans="3:9" x14ac:dyDescent="0.25">
      <c r="C41" s="11"/>
      <c r="D41" s="11"/>
      <c r="H41" s="5"/>
      <c r="I41" s="34"/>
    </row>
    <row r="42" spans="3:9" x14ac:dyDescent="0.25">
      <c r="C42" s="11"/>
      <c r="D42" s="11"/>
    </row>
    <row r="43" spans="3:9" x14ac:dyDescent="0.25">
      <c r="C43" s="11"/>
      <c r="D43" s="11"/>
    </row>
    <row r="44" spans="3:9" x14ac:dyDescent="0.25">
      <c r="C44" s="11"/>
      <c r="D44" s="11"/>
    </row>
    <row r="45" spans="3:9" x14ac:dyDescent="0.25">
      <c r="C45" s="11"/>
      <c r="D45" s="11"/>
    </row>
    <row r="46" spans="3:9" x14ac:dyDescent="0.25">
      <c r="C46" s="11"/>
      <c r="D46" s="11"/>
    </row>
    <row r="47" spans="3:9" x14ac:dyDescent="0.25">
      <c r="C47" s="11"/>
      <c r="D47" s="11"/>
    </row>
    <row r="48" spans="3:9" x14ac:dyDescent="0.25">
      <c r="C48" s="11"/>
      <c r="D48" s="11"/>
    </row>
    <row r="49" spans="3:4" x14ac:dyDescent="0.25">
      <c r="C49" s="11"/>
      <c r="D49" s="11"/>
    </row>
    <row r="50" spans="3:4" x14ac:dyDescent="0.25">
      <c r="C50" s="11"/>
      <c r="D50" s="11"/>
    </row>
    <row r="51" spans="3:4" x14ac:dyDescent="0.25">
      <c r="C51" s="11"/>
      <c r="D51" s="14"/>
    </row>
    <row r="52" spans="3:4" x14ac:dyDescent="0.25">
      <c r="C52" s="11"/>
    </row>
    <row r="53" spans="3:4" x14ac:dyDescent="0.25">
      <c r="C53" s="11"/>
    </row>
    <row r="54" spans="3:4" x14ac:dyDescent="0.25">
      <c r="C54" s="11"/>
    </row>
    <row r="55" spans="3:4" x14ac:dyDescent="0.25">
      <c r="C55" s="11"/>
    </row>
    <row r="56" spans="3:4" x14ac:dyDescent="0.25">
      <c r="C56" s="11"/>
    </row>
    <row r="57" spans="3:4" x14ac:dyDescent="0.25">
      <c r="C57" s="11"/>
    </row>
    <row r="58" spans="3:4" x14ac:dyDescent="0.25">
      <c r="C58" s="11"/>
    </row>
    <row r="59" spans="3:4" x14ac:dyDescent="0.25">
      <c r="C59" s="11"/>
    </row>
    <row r="60" spans="3:4" x14ac:dyDescent="0.25">
      <c r="C60" s="11"/>
    </row>
    <row r="61" spans="3:4" x14ac:dyDescent="0.25">
      <c r="C61" s="11"/>
    </row>
    <row r="62" spans="3:4" x14ac:dyDescent="0.25">
      <c r="C62" s="11"/>
    </row>
    <row r="63" spans="3:4" x14ac:dyDescent="0.25">
      <c r="C63" s="11"/>
    </row>
    <row r="64" spans="3:4" x14ac:dyDescent="0.25">
      <c r="C64" s="11"/>
    </row>
    <row r="65" spans="3:3" x14ac:dyDescent="0.25">
      <c r="C65" s="11"/>
    </row>
    <row r="66" spans="3:3" x14ac:dyDescent="0.25">
      <c r="C66" s="11"/>
    </row>
    <row r="67" spans="3:3" x14ac:dyDescent="0.25">
      <c r="C67" s="11"/>
    </row>
    <row r="68" spans="3:3" x14ac:dyDescent="0.25">
      <c r="C68" s="11"/>
    </row>
    <row r="69" spans="3:3" x14ac:dyDescent="0.25">
      <c r="C69" s="11"/>
    </row>
    <row r="70" spans="3:3" x14ac:dyDescent="0.25">
      <c r="C70" s="11"/>
    </row>
    <row r="71" spans="3:3" x14ac:dyDescent="0.25">
      <c r="C71" s="11"/>
    </row>
    <row r="72" spans="3:3" x14ac:dyDescent="0.25">
      <c r="C72" s="11"/>
    </row>
    <row r="73" spans="3:3" x14ac:dyDescent="0.25">
      <c r="C73" s="11"/>
    </row>
    <row r="74" spans="3:3" x14ac:dyDescent="0.25">
      <c r="C74" s="11"/>
    </row>
    <row r="75" spans="3:3" x14ac:dyDescent="0.25">
      <c r="C75" s="11"/>
    </row>
    <row r="76" spans="3:3" x14ac:dyDescent="0.25">
      <c r="C76" s="11"/>
    </row>
    <row r="77" spans="3:3" x14ac:dyDescent="0.25">
      <c r="C77" s="11"/>
    </row>
    <row r="78" spans="3:3" x14ac:dyDescent="0.25">
      <c r="C78" s="11"/>
    </row>
    <row r="79" spans="3:3" x14ac:dyDescent="0.25">
      <c r="C79" s="11"/>
    </row>
    <row r="80" spans="3:3" x14ac:dyDescent="0.25">
      <c r="C80" s="11"/>
    </row>
    <row r="81" spans="3:3" x14ac:dyDescent="0.25">
      <c r="C81" s="11"/>
    </row>
    <row r="82" spans="3:3" x14ac:dyDescent="0.25">
      <c r="C82" s="11"/>
    </row>
    <row r="83" spans="3:3" x14ac:dyDescent="0.25">
      <c r="C83" s="11"/>
    </row>
    <row r="84" spans="3:3" x14ac:dyDescent="0.25">
      <c r="C84" s="11"/>
    </row>
    <row r="85" spans="3:3" x14ac:dyDescent="0.25">
      <c r="C85" s="11"/>
    </row>
    <row r="86" spans="3:3" x14ac:dyDescent="0.25">
      <c r="C86" s="11"/>
    </row>
    <row r="87" spans="3:3" x14ac:dyDescent="0.25">
      <c r="C87" s="11"/>
    </row>
    <row r="88" spans="3:3" x14ac:dyDescent="0.25">
      <c r="C88" s="11"/>
    </row>
    <row r="89" spans="3:3" x14ac:dyDescent="0.25">
      <c r="C89" s="11"/>
    </row>
    <row r="90" spans="3:3" x14ac:dyDescent="0.25">
      <c r="C90" s="11"/>
    </row>
    <row r="91" spans="3:3" x14ac:dyDescent="0.25">
      <c r="C91" s="11"/>
    </row>
    <row r="92" spans="3:3" x14ac:dyDescent="0.25">
      <c r="C92" s="11"/>
    </row>
    <row r="93" spans="3:3" x14ac:dyDescent="0.25">
      <c r="C93" s="11"/>
    </row>
    <row r="94" spans="3:3" x14ac:dyDescent="0.25">
      <c r="C94" s="11"/>
    </row>
    <row r="95" spans="3:3" x14ac:dyDescent="0.25">
      <c r="C95" s="11"/>
    </row>
    <row r="96" spans="3:3" x14ac:dyDescent="0.25">
      <c r="C96" s="11"/>
    </row>
    <row r="97" spans="3:3" x14ac:dyDescent="0.25">
      <c r="C97" s="11"/>
    </row>
    <row r="98" spans="3:3" x14ac:dyDescent="0.25">
      <c r="C98" s="11"/>
    </row>
    <row r="99" spans="3:3" x14ac:dyDescent="0.25">
      <c r="C99" s="11"/>
    </row>
    <row r="100" spans="3:3" x14ac:dyDescent="0.25">
      <c r="C100" s="11"/>
    </row>
    <row r="101" spans="3:3" x14ac:dyDescent="0.25">
      <c r="C101" s="11"/>
    </row>
    <row r="102" spans="3:3" x14ac:dyDescent="0.25">
      <c r="C102" s="11"/>
    </row>
    <row r="103" spans="3:3" x14ac:dyDescent="0.25">
      <c r="C103" s="11"/>
    </row>
    <row r="104" spans="3:3" x14ac:dyDescent="0.25">
      <c r="C104" s="11"/>
    </row>
    <row r="105" spans="3:3" x14ac:dyDescent="0.25">
      <c r="C105" s="11"/>
    </row>
    <row r="106" spans="3:3" x14ac:dyDescent="0.25">
      <c r="C106" s="11"/>
    </row>
    <row r="107" spans="3:3" x14ac:dyDescent="0.25">
      <c r="C107" s="11"/>
    </row>
    <row r="108" spans="3:3" x14ac:dyDescent="0.25">
      <c r="C108" s="11"/>
    </row>
    <row r="109" spans="3:3" x14ac:dyDescent="0.25">
      <c r="C109" s="11"/>
    </row>
    <row r="110" spans="3:3" x14ac:dyDescent="0.25">
      <c r="C110" s="11"/>
    </row>
    <row r="111" spans="3:3" x14ac:dyDescent="0.25">
      <c r="C111" s="11"/>
    </row>
    <row r="112" spans="3:3" x14ac:dyDescent="0.25">
      <c r="C112" s="11"/>
    </row>
    <row r="113" spans="3:3" x14ac:dyDescent="0.25">
      <c r="C113" s="11"/>
    </row>
    <row r="114" spans="3:3" x14ac:dyDescent="0.25">
      <c r="C114" s="11"/>
    </row>
    <row r="115" spans="3:3" x14ac:dyDescent="0.25">
      <c r="C115" s="11"/>
    </row>
    <row r="116" spans="3:3" x14ac:dyDescent="0.25">
      <c r="C116" s="11"/>
    </row>
    <row r="117" spans="3:3" x14ac:dyDescent="0.25">
      <c r="C117" s="11"/>
    </row>
    <row r="118" spans="3:3" x14ac:dyDescent="0.25">
      <c r="C118" s="11"/>
    </row>
    <row r="119" spans="3:3" x14ac:dyDescent="0.25">
      <c r="C119" s="11"/>
    </row>
    <row r="120" spans="3:3" x14ac:dyDescent="0.25">
      <c r="C120" s="11"/>
    </row>
    <row r="121" spans="3:3" x14ac:dyDescent="0.25">
      <c r="C121" s="11"/>
    </row>
    <row r="122" spans="3:3" x14ac:dyDescent="0.25">
      <c r="C122" s="11"/>
    </row>
    <row r="123" spans="3:3" x14ac:dyDescent="0.25">
      <c r="C123" s="11"/>
    </row>
    <row r="124" spans="3:3" x14ac:dyDescent="0.25">
      <c r="C124" s="11"/>
    </row>
    <row r="125" spans="3:3" x14ac:dyDescent="0.25">
      <c r="C125" s="11"/>
    </row>
    <row r="126" spans="3:3" x14ac:dyDescent="0.25">
      <c r="C126" s="11"/>
    </row>
    <row r="127" spans="3:3" x14ac:dyDescent="0.25">
      <c r="C127" s="11"/>
    </row>
    <row r="128" spans="3:3" x14ac:dyDescent="0.25">
      <c r="C128" s="11"/>
    </row>
    <row r="129" spans="2:3" x14ac:dyDescent="0.25">
      <c r="C129" s="11"/>
    </row>
    <row r="130" spans="2:3" x14ac:dyDescent="0.25">
      <c r="C130" s="11"/>
    </row>
    <row r="131" spans="2:3" x14ac:dyDescent="0.25">
      <c r="C131" s="11"/>
    </row>
    <row r="132" spans="2:3" x14ac:dyDescent="0.25">
      <c r="C132" s="11"/>
    </row>
    <row r="133" spans="2:3" x14ac:dyDescent="0.25">
      <c r="C133" s="11"/>
    </row>
    <row r="134" spans="2:3" x14ac:dyDescent="0.25">
      <c r="C134" s="11"/>
    </row>
    <row r="135" spans="2:3" x14ac:dyDescent="0.25">
      <c r="C135" s="11"/>
    </row>
    <row r="136" spans="2:3" x14ac:dyDescent="0.25">
      <c r="C136" s="11"/>
    </row>
    <row r="137" spans="2:3" x14ac:dyDescent="0.25">
      <c r="C137" s="11"/>
    </row>
    <row r="138" spans="2:3" x14ac:dyDescent="0.25">
      <c r="C138" s="11"/>
    </row>
    <row r="139" spans="2:3" x14ac:dyDescent="0.25">
      <c r="C139" s="11"/>
    </row>
    <row r="140" spans="2:3" x14ac:dyDescent="0.25">
      <c r="C140" s="11"/>
    </row>
    <row r="141" spans="2:3" x14ac:dyDescent="0.25">
      <c r="C141" s="11"/>
    </row>
    <row r="142" spans="2:3" x14ac:dyDescent="0.25">
      <c r="C142" s="11"/>
    </row>
    <row r="143" spans="2:3" x14ac:dyDescent="0.25">
      <c r="B143" s="15"/>
      <c r="C143" s="14"/>
    </row>
    <row r="144" spans="2:3" x14ac:dyDescent="0.25">
      <c r="C144" s="11"/>
    </row>
    <row r="145" spans="3:3" x14ac:dyDescent="0.25">
      <c r="C145" s="11"/>
    </row>
    <row r="146" spans="3:3" x14ac:dyDescent="0.25">
      <c r="C146" s="11"/>
    </row>
    <row r="147" spans="3:3" x14ac:dyDescent="0.25">
      <c r="C147" s="11"/>
    </row>
    <row r="148" spans="3:3" x14ac:dyDescent="0.25">
      <c r="C148" s="11"/>
    </row>
    <row r="149" spans="3:3" x14ac:dyDescent="0.25">
      <c r="C149" s="11"/>
    </row>
    <row r="150" spans="3:3" x14ac:dyDescent="0.25">
      <c r="C150" s="11"/>
    </row>
    <row r="151" spans="3:3" x14ac:dyDescent="0.25">
      <c r="C151" s="11"/>
    </row>
  </sheetData>
  <pageMargins left="0.7" right="0.7" top="0.78740157499999996" bottom="0.78740157499999996" header="0.3" footer="0.3"/>
  <pageSetup paperSize="9"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8236-FA7D-448B-97DC-68860FC09DC8}">
  <dimension ref="A1:G19"/>
  <sheetViews>
    <sheetView workbookViewId="0">
      <selection activeCell="H32" sqref="H32"/>
    </sheetView>
  </sheetViews>
  <sheetFormatPr baseColWidth="10" defaultRowHeight="15" x14ac:dyDescent="0.25"/>
  <cols>
    <col min="3" max="3" width="12" bestFit="1" customWidth="1"/>
  </cols>
  <sheetData>
    <row r="1" spans="1:5" x14ac:dyDescent="0.25">
      <c r="A1" t="s">
        <v>1</v>
      </c>
    </row>
    <row r="2" spans="1:5" x14ac:dyDescent="0.25">
      <c r="A2" s="5">
        <v>0.03</v>
      </c>
      <c r="B2" t="s">
        <v>0</v>
      </c>
    </row>
    <row r="3" spans="1:5" x14ac:dyDescent="0.25">
      <c r="B3">
        <v>5</v>
      </c>
      <c r="C3" s="11">
        <v>30000</v>
      </c>
    </row>
    <row r="4" spans="1:5" x14ac:dyDescent="0.25">
      <c r="B4">
        <v>4</v>
      </c>
      <c r="C4" s="11">
        <f>C3*(1+$A$2)^-1</f>
        <v>29126.213592233009</v>
      </c>
    </row>
    <row r="5" spans="1:5" x14ac:dyDescent="0.25">
      <c r="B5">
        <v>3</v>
      </c>
      <c r="C5" s="11">
        <f>C4*(1+$A$2)^-1</f>
        <v>28277.87727401263</v>
      </c>
    </row>
    <row r="6" spans="1:5" x14ac:dyDescent="0.25">
      <c r="B6">
        <v>2</v>
      </c>
      <c r="C6" s="11">
        <f>C5*(1+$A$2)^-1</f>
        <v>27454.249780594786</v>
      </c>
    </row>
    <row r="7" spans="1:5" x14ac:dyDescent="0.25">
      <c r="B7">
        <v>1</v>
      </c>
      <c r="C7" s="11">
        <f>C6*(1+$A$2)^-1</f>
        <v>26654.611437470667</v>
      </c>
    </row>
    <row r="8" spans="1:5" x14ac:dyDescent="0.25">
      <c r="B8">
        <v>0</v>
      </c>
      <c r="C8" s="11">
        <f>C7*(1+$A$2)^-1</f>
        <v>25878.263531524921</v>
      </c>
    </row>
    <row r="12" spans="1:5" x14ac:dyDescent="0.25">
      <c r="E12" t="s">
        <v>141</v>
      </c>
    </row>
    <row r="13" spans="1:5" x14ac:dyDescent="0.25">
      <c r="E13" s="6">
        <f>PV(A2,B3,0,C3,0)</f>
        <v>-25878.263531524924</v>
      </c>
    </row>
    <row r="14" spans="1:5" x14ac:dyDescent="0.25">
      <c r="E14" t="s">
        <v>146</v>
      </c>
    </row>
    <row r="15" spans="1:5" x14ac:dyDescent="0.25">
      <c r="E15" s="6" t="s">
        <v>145</v>
      </c>
    </row>
    <row r="19" spans="7:7" x14ac:dyDescent="0.25">
      <c r="G19" s="6"/>
    </row>
  </sheetData>
  <pageMargins left="0.7" right="0.7" top="0.78740157499999996" bottom="0.78740157499999996"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FE8D3-FCFE-432D-8C5F-865A2859A4EE}">
  <dimension ref="A1:N40"/>
  <sheetViews>
    <sheetView topLeftCell="A10" workbookViewId="0">
      <selection activeCell="H32" sqref="H32"/>
    </sheetView>
  </sheetViews>
  <sheetFormatPr baseColWidth="10" defaultRowHeight="15" x14ac:dyDescent="0.25"/>
  <sheetData>
    <row r="1" spans="1:2" x14ac:dyDescent="0.25">
      <c r="A1" t="s">
        <v>1</v>
      </c>
      <c r="B1" s="39">
        <f>FV(5%,3,,-1)</f>
        <v>1.1576250000000001</v>
      </c>
    </row>
    <row r="19" spans="1:14" x14ac:dyDescent="0.25">
      <c r="M19" t="s">
        <v>147</v>
      </c>
      <c r="N19" s="38">
        <f>FV(7.5%,2,,-1)</f>
        <v>1.1556249999999999</v>
      </c>
    </row>
    <row r="20" spans="1:14" x14ac:dyDescent="0.25">
      <c r="A20" t="s">
        <v>10</v>
      </c>
      <c r="B20" s="38">
        <f>FV(2.5%,6,,-1)</f>
        <v>1.1596934182128902</v>
      </c>
    </row>
    <row r="25" spans="1:14" x14ac:dyDescent="0.25">
      <c r="C25" s="6">
        <f>FV(5.5%,6,,-1)</f>
        <v>1.3788428067618903</v>
      </c>
    </row>
    <row r="36" spans="1:14" x14ac:dyDescent="0.25">
      <c r="M36" t="s">
        <v>148</v>
      </c>
      <c r="N36" s="38">
        <f>FV(0.5%,36,,-1)</f>
        <v>1.1966805248234127</v>
      </c>
    </row>
    <row r="40" spans="1:14" x14ac:dyDescent="0.25">
      <c r="A40" t="s">
        <v>147</v>
      </c>
    </row>
  </sheetData>
  <pageMargins left="0.7" right="0.7" top="0.78740157499999996" bottom="0.78740157499999996"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CB8E3-6D50-4FF1-BFB5-C48F47681781}">
  <dimension ref="A1:B7"/>
  <sheetViews>
    <sheetView workbookViewId="0">
      <selection activeCell="H32" sqref="H32"/>
    </sheetView>
  </sheetViews>
  <sheetFormatPr baseColWidth="10" defaultRowHeight="15" x14ac:dyDescent="0.25"/>
  <sheetData>
    <row r="1" spans="1:2" x14ac:dyDescent="0.25">
      <c r="A1" t="s">
        <v>154</v>
      </c>
      <c r="B1" s="41">
        <v>43739</v>
      </c>
    </row>
    <row r="2" spans="1:2" x14ac:dyDescent="0.25">
      <c r="A2" t="s">
        <v>151</v>
      </c>
      <c r="B2" s="41">
        <v>45566</v>
      </c>
    </row>
    <row r="3" spans="1:2" x14ac:dyDescent="0.25">
      <c r="A3" t="s">
        <v>153</v>
      </c>
      <c r="B3" s="10">
        <v>0.02</v>
      </c>
    </row>
    <row r="4" spans="1:2" x14ac:dyDescent="0.25">
      <c r="A4" t="s">
        <v>152</v>
      </c>
      <c r="B4">
        <v>99.25</v>
      </c>
    </row>
    <row r="5" spans="1:2" x14ac:dyDescent="0.25">
      <c r="A5" t="s">
        <v>151</v>
      </c>
      <c r="B5" s="20">
        <v>100</v>
      </c>
    </row>
    <row r="6" spans="1:2" x14ac:dyDescent="0.25">
      <c r="A6" t="s">
        <v>150</v>
      </c>
      <c r="B6">
        <v>1</v>
      </c>
    </row>
    <row r="7" spans="1:2" x14ac:dyDescent="0.25">
      <c r="A7" t="s">
        <v>149</v>
      </c>
      <c r="B7" s="40">
        <f>YIELD(B1,B2,B3,B4,B5,B6)</f>
        <v>2.1598577923062825E-2</v>
      </c>
    </row>
  </sheetData>
  <pageMargins left="0.7" right="0.7" top="0.78740157499999996" bottom="0.78740157499999996"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6413-E8F7-4FCE-BD3A-C7DCA54E1C03}">
  <dimension ref="A1:J48"/>
  <sheetViews>
    <sheetView zoomScaleNormal="100" workbookViewId="0">
      <selection activeCell="C10" sqref="C10"/>
    </sheetView>
  </sheetViews>
  <sheetFormatPr baseColWidth="10" defaultRowHeight="15" x14ac:dyDescent="0.25"/>
  <cols>
    <col min="2" max="2" width="14.5703125" bestFit="1" customWidth="1"/>
    <col min="3" max="3" width="13" bestFit="1" customWidth="1"/>
    <col min="4" max="4" width="14.5703125" bestFit="1" customWidth="1"/>
    <col min="5" max="5" width="13" bestFit="1" customWidth="1"/>
    <col min="6" max="6" width="13.140625" bestFit="1" customWidth="1"/>
    <col min="8" max="8" width="12.28515625" bestFit="1" customWidth="1"/>
    <col min="10" max="10" width="13.85546875" bestFit="1" customWidth="1"/>
  </cols>
  <sheetData>
    <row r="1" spans="1:10" x14ac:dyDescent="0.25">
      <c r="A1" t="s">
        <v>1</v>
      </c>
      <c r="C1" t="s">
        <v>17</v>
      </c>
      <c r="D1" t="s">
        <v>163</v>
      </c>
      <c r="E1" t="s">
        <v>17</v>
      </c>
    </row>
    <row r="2" spans="1:10" x14ac:dyDescent="0.25">
      <c r="B2" s="5"/>
      <c r="C2" s="5">
        <v>0.06</v>
      </c>
      <c r="D2" s="5">
        <v>0.06</v>
      </c>
      <c r="E2" s="10"/>
      <c r="F2" s="5"/>
    </row>
    <row r="3" spans="1:10" x14ac:dyDescent="0.25">
      <c r="A3" t="s">
        <v>0</v>
      </c>
      <c r="B3" s="42" t="s">
        <v>162</v>
      </c>
      <c r="C3" s="20"/>
      <c r="E3" s="10"/>
      <c r="F3" s="5"/>
    </row>
    <row r="4" spans="1:10" x14ac:dyDescent="0.25">
      <c r="A4">
        <v>1</v>
      </c>
      <c r="B4" s="1">
        <v>15000</v>
      </c>
      <c r="C4" s="42">
        <f>B4*(1+$C$2)^-A4</f>
        <v>14150.943396226414</v>
      </c>
      <c r="D4" s="20">
        <f>B4*(1+$D$2)^($A$33-A4)</f>
        <v>81275.818484621588</v>
      </c>
      <c r="E4" s="20"/>
      <c r="F4" s="20"/>
      <c r="H4" s="6"/>
      <c r="J4" s="6"/>
    </row>
    <row r="5" spans="1:10" x14ac:dyDescent="0.25">
      <c r="A5">
        <v>2</v>
      </c>
      <c r="B5" s="1">
        <v>15000</v>
      </c>
      <c r="C5" s="42">
        <f>B5*(1+$C$2)^-A5</f>
        <v>13349.946600213598</v>
      </c>
      <c r="D5" s="20">
        <f>B5*(1+$D$2)^($A$33-A5)</f>
        <v>76675.300457190169</v>
      </c>
      <c r="E5" s="20"/>
      <c r="F5" s="11"/>
    </row>
    <row r="6" spans="1:10" x14ac:dyDescent="0.25">
      <c r="A6">
        <v>3</v>
      </c>
      <c r="B6" s="1">
        <v>15000</v>
      </c>
      <c r="C6" s="42">
        <f>B6*(1+$C$2)^-A6</f>
        <v>12594.289245484524</v>
      </c>
      <c r="D6" s="20">
        <f>B6*(1+$D$2)^($A$33-A6)</f>
        <v>72335.189110556763</v>
      </c>
      <c r="E6" s="20"/>
      <c r="F6" s="11"/>
    </row>
    <row r="7" spans="1:10" x14ac:dyDescent="0.25">
      <c r="A7">
        <v>4</v>
      </c>
      <c r="B7" s="1">
        <v>15000</v>
      </c>
      <c r="C7" s="42">
        <f>B7*(1+$C$2)^-A7</f>
        <v>11881.404948570307</v>
      </c>
      <c r="D7" s="20">
        <f>B7*(1+$D$2)^($A$33-A7)</f>
        <v>68240.74444392146</v>
      </c>
      <c r="E7" s="20"/>
      <c r="F7" s="11"/>
    </row>
    <row r="8" spans="1:10" x14ac:dyDescent="0.25">
      <c r="A8">
        <v>5</v>
      </c>
      <c r="B8" s="1">
        <v>15000</v>
      </c>
      <c r="C8" s="42">
        <f>B8*(1+$C$2)^-A8</f>
        <v>11208.872592990854</v>
      </c>
      <c r="D8" s="20">
        <f>B8*(1+$D$2)^($A$33-A8)</f>
        <v>64378.06079615232</v>
      </c>
      <c r="E8" s="20"/>
    </row>
    <row r="9" spans="1:10" x14ac:dyDescent="0.25">
      <c r="A9">
        <v>6</v>
      </c>
      <c r="B9" s="1">
        <v>15000</v>
      </c>
      <c r="C9" s="42">
        <f>B9*(1+$C$2)^-A9</f>
        <v>10574.408106595143</v>
      </c>
      <c r="D9" s="20">
        <f>B9*(1+$D$2)^($A$33-A9)</f>
        <v>60734.019619011626</v>
      </c>
      <c r="E9" s="20"/>
    </row>
    <row r="10" spans="1:10" x14ac:dyDescent="0.25">
      <c r="A10">
        <v>7</v>
      </c>
      <c r="B10" s="1">
        <v>15000</v>
      </c>
      <c r="C10" s="42">
        <f>B10*(1+$C$2)^-A10</f>
        <v>9975.8567043350395</v>
      </c>
      <c r="D10" s="20">
        <f>B10*(1+$D$2)^($A$33-A10)</f>
        <v>57296.244923595885</v>
      </c>
      <c r="E10" s="20"/>
    </row>
    <row r="11" spans="1:10" x14ac:dyDescent="0.25">
      <c r="A11">
        <v>8</v>
      </c>
      <c r="B11" s="1">
        <v>15000</v>
      </c>
      <c r="C11" s="42">
        <f>B11*(1+$C$2)^-A11</f>
        <v>9411.185570127398</v>
      </c>
      <c r="D11" s="20">
        <f>B11*(1+$D$2)^($A$33-A11)</f>
        <v>54053.061248675353</v>
      </c>
      <c r="E11" s="20"/>
    </row>
    <row r="12" spans="1:10" x14ac:dyDescent="0.25">
      <c r="A12">
        <v>9</v>
      </c>
      <c r="B12" s="1">
        <v>15000</v>
      </c>
      <c r="C12" s="42">
        <f>B12*(1+$C$2)^-A12</f>
        <v>8878.4769529503737</v>
      </c>
      <c r="D12" s="20">
        <f>B12*(1+$D$2)^($A$33-A12)</f>
        <v>50993.454008184293</v>
      </c>
      <c r="E12" s="20"/>
    </row>
    <row r="13" spans="1:10" x14ac:dyDescent="0.25">
      <c r="A13">
        <v>10</v>
      </c>
      <c r="B13" s="1">
        <v>15000</v>
      </c>
      <c r="C13" s="42">
        <f>B13*(1+$C$2)^-A13</f>
        <v>8375.9216537267675</v>
      </c>
      <c r="D13" s="20">
        <f>B13*(1+$D$2)^($A$33-A13)</f>
        <v>48107.032083192717</v>
      </c>
      <c r="E13" s="20"/>
    </row>
    <row r="14" spans="1:10" x14ac:dyDescent="0.25">
      <c r="A14">
        <v>11</v>
      </c>
      <c r="B14" s="1">
        <v>15000</v>
      </c>
      <c r="C14" s="42">
        <f>B14*(1+$C$2)^-A14</f>
        <v>7901.8128808743086</v>
      </c>
      <c r="D14" s="20">
        <f>B14*(1+$D$2)^($A$33-A14)</f>
        <v>45383.992531313888</v>
      </c>
      <c r="E14" s="20"/>
    </row>
    <row r="15" spans="1:10" x14ac:dyDescent="0.25">
      <c r="A15">
        <v>12</v>
      </c>
      <c r="B15" s="1">
        <v>15000</v>
      </c>
      <c r="C15" s="42">
        <f>B15*(1+$C$2)^-A15</f>
        <v>7454.5404536550077</v>
      </c>
      <c r="D15" s="20">
        <f>B15*(1+$D$2)^($A$33-A15)</f>
        <v>42815.087293692341</v>
      </c>
      <c r="E15" s="20"/>
    </row>
    <row r="16" spans="1:10" x14ac:dyDescent="0.25">
      <c r="A16">
        <v>13</v>
      </c>
      <c r="B16" s="1">
        <v>15000</v>
      </c>
      <c r="C16" s="42">
        <f>B16*(1+$C$2)^-A16</f>
        <v>7032.5853336367991</v>
      </c>
      <c r="D16" s="20">
        <f>B16*(1+$D$2)^($A$33-A16)</f>
        <v>40391.591786502213</v>
      </c>
      <c r="E16" s="20"/>
    </row>
    <row r="17" spans="1:7" x14ac:dyDescent="0.25">
      <c r="A17">
        <v>14</v>
      </c>
      <c r="B17" s="1">
        <v>15000</v>
      </c>
      <c r="C17" s="42">
        <f>B17*(1+$C$2)^-A17</f>
        <v>6634.5144656950943</v>
      </c>
      <c r="D17" s="20">
        <f>B17*(1+$D$2)^($A$33-A17)</f>
        <v>38105.275270285099</v>
      </c>
      <c r="E17" s="20"/>
    </row>
    <row r="18" spans="1:7" x14ac:dyDescent="0.25">
      <c r="A18">
        <v>15</v>
      </c>
      <c r="B18" s="1">
        <v>15000</v>
      </c>
      <c r="C18" s="42">
        <f>B18*(1+$C$2)^-A18</f>
        <v>6258.9759110331051</v>
      </c>
      <c r="D18" s="20">
        <f>B18*(1+$D$2)^($A$33-A18)</f>
        <v>35948.372896495384</v>
      </c>
      <c r="E18" s="20"/>
    </row>
    <row r="19" spans="1:7" x14ac:dyDescent="0.25">
      <c r="A19">
        <v>16</v>
      </c>
      <c r="B19" s="1">
        <v>15000</v>
      </c>
      <c r="C19" s="42">
        <f>B19*(1+$C$2)^-A19</f>
        <v>5904.694255691611</v>
      </c>
      <c r="D19" s="20">
        <f>B19*(1+$D$2)^($A$33-A19)</f>
        <v>33913.559336316393</v>
      </c>
      <c r="E19" s="20"/>
    </row>
    <row r="20" spans="1:7" x14ac:dyDescent="0.25">
      <c r="A20">
        <v>17</v>
      </c>
      <c r="B20" s="1">
        <v>15000</v>
      </c>
      <c r="C20" s="42">
        <f>B20*(1+$C$2)^-A20</f>
        <v>5570.4662789543481</v>
      </c>
      <c r="D20" s="20">
        <f>B20*(1+$D$2)^($A$33-A20)</f>
        <v>31993.923902185277</v>
      </c>
      <c r="E20" s="20"/>
    </row>
    <row r="21" spans="1:7" x14ac:dyDescent="0.25">
      <c r="A21">
        <v>18</v>
      </c>
      <c r="B21" s="1">
        <v>15000</v>
      </c>
      <c r="C21" s="42">
        <f>B21*(1+$C$2)^-A21</f>
        <v>5255.1568669380649</v>
      </c>
      <c r="D21" s="20">
        <f>B21*(1+$D$2)^($A$33-A21)</f>
        <v>30182.947077533277</v>
      </c>
      <c r="E21" s="20"/>
    </row>
    <row r="22" spans="1:7" x14ac:dyDescent="0.25">
      <c r="A22">
        <v>19</v>
      </c>
      <c r="B22" s="1">
        <v>15000</v>
      </c>
      <c r="C22" s="42">
        <f>B22*(1+$C$2)^-A22</f>
        <v>4957.6951574887398</v>
      </c>
      <c r="D22" s="20">
        <f>B22*(1+$D$2)^($A$33-A22)</f>
        <v>28474.478375031391</v>
      </c>
      <c r="E22" s="20"/>
    </row>
    <row r="23" spans="1:7" x14ac:dyDescent="0.25">
      <c r="A23">
        <v>20</v>
      </c>
      <c r="B23" s="1">
        <v>15000</v>
      </c>
      <c r="C23" s="42">
        <f>B23*(1+$C$2)^-A23</f>
        <v>4677.0709032912646</v>
      </c>
      <c r="D23" s="20">
        <f>B23*(1+$D$2)^($A$33-A23)</f>
        <v>26862.715448142819</v>
      </c>
      <c r="E23" s="20"/>
    </row>
    <row r="24" spans="1:7" x14ac:dyDescent="0.25">
      <c r="A24">
        <v>21</v>
      </c>
      <c r="B24" s="1">
        <v>15000</v>
      </c>
      <c r="C24" s="42">
        <f>B24*(1+$C$2)^-A24</f>
        <v>4412.3310408408142</v>
      </c>
      <c r="D24" s="20">
        <f>B24*(1+$D$2)^($A$33-A24)</f>
        <v>25342.184385040393</v>
      </c>
      <c r="E24" s="20"/>
    </row>
    <row r="25" spans="1:7" x14ac:dyDescent="0.25">
      <c r="A25">
        <v>22</v>
      </c>
      <c r="B25" s="1">
        <v>15000</v>
      </c>
      <c r="C25" s="42">
        <f>B25*(1+$C$2)^-A25</f>
        <v>4162.5764536234092</v>
      </c>
      <c r="D25" s="20">
        <f>B25*(1+$D$2)^($A$33-A25)</f>
        <v>23907.721117962636</v>
      </c>
      <c r="E25" s="20"/>
    </row>
    <row r="26" spans="1:7" x14ac:dyDescent="0.25">
      <c r="A26">
        <v>23</v>
      </c>
      <c r="B26" s="1">
        <v>15000</v>
      </c>
      <c r="C26" s="42">
        <f>B26*(1+$C$2)^-A26</f>
        <v>3926.9589185126501</v>
      </c>
      <c r="D26" s="20">
        <f>B26*(1+$D$2)^($A$33-A26)</f>
        <v>22554.453884870411</v>
      </c>
      <c r="E26" s="20"/>
    </row>
    <row r="27" spans="1:7" x14ac:dyDescent="0.25">
      <c r="A27">
        <v>24</v>
      </c>
      <c r="B27" s="1">
        <v>15000</v>
      </c>
      <c r="C27" s="42">
        <f>B27*(1+$C$2)^-A27</f>
        <v>3704.6782250119345</v>
      </c>
      <c r="D27" s="20">
        <f>B27*(1+$D$2)^($A$33-A27)</f>
        <v>21277.786683840008</v>
      </c>
      <c r="E27" s="20"/>
      <c r="F27" t="s">
        <v>161</v>
      </c>
    </row>
    <row r="28" spans="1:7" x14ac:dyDescent="0.25">
      <c r="A28">
        <v>25</v>
      </c>
      <c r="B28" s="1">
        <v>15000</v>
      </c>
      <c r="C28" s="42">
        <f>B28*(1+$C$2)^-A28</f>
        <v>3494.9794575584287</v>
      </c>
      <c r="D28" s="20">
        <f>B28*(1+$D$2)^($A$33-A28)</f>
        <v>20073.383664000008</v>
      </c>
      <c r="E28" s="20"/>
      <c r="F28" s="15" t="s">
        <v>159</v>
      </c>
    </row>
    <row r="29" spans="1:7" x14ac:dyDescent="0.25">
      <c r="A29">
        <v>26</v>
      </c>
      <c r="B29" s="1">
        <v>15000</v>
      </c>
      <c r="C29" s="42">
        <f>B29*(1+$C$2)^-A29</f>
        <v>3297.1504316588948</v>
      </c>
      <c r="D29" s="20">
        <f>B29*(1+$D$2)^($A$33-A29)</f>
        <v>18937.154400000003</v>
      </c>
      <c r="E29" s="20"/>
      <c r="F29" s="6">
        <f>PV(C2,A33,-B4,0,0)</f>
        <v>206472.46727234146</v>
      </c>
      <c r="G29" t="s">
        <v>160</v>
      </c>
    </row>
    <row r="30" spans="1:7" x14ac:dyDescent="0.25">
      <c r="A30">
        <v>27</v>
      </c>
      <c r="B30" s="1">
        <v>15000</v>
      </c>
      <c r="C30" s="42">
        <f>B30*(1+$C$2)^-A30</f>
        <v>3110.5192751499003</v>
      </c>
      <c r="D30" s="20">
        <f>B30*(1+$D$2)^($A$33-A30)</f>
        <v>17865.240000000005</v>
      </c>
      <c r="E30" s="20"/>
    </row>
    <row r="31" spans="1:7" x14ac:dyDescent="0.25">
      <c r="A31">
        <v>28</v>
      </c>
      <c r="B31" s="1">
        <v>15000</v>
      </c>
      <c r="C31" s="42">
        <f>B31*(1+$C$2)^-A31</f>
        <v>2934.4521463678307</v>
      </c>
      <c r="D31" s="20">
        <f>B31*(1+$D$2)^($A$33-A31)</f>
        <v>16854.000000000004</v>
      </c>
      <c r="E31" s="20"/>
      <c r="F31" s="6"/>
    </row>
    <row r="32" spans="1:7" x14ac:dyDescent="0.25">
      <c r="A32">
        <v>29</v>
      </c>
      <c r="B32" s="1">
        <v>15000</v>
      </c>
      <c r="C32" s="42">
        <f>B32*(1+$C$2)^-A32</f>
        <v>2768.3510814790852</v>
      </c>
      <c r="D32" s="20">
        <f>B32*(1+$D$2)^($A$33-A32)</f>
        <v>15900</v>
      </c>
      <c r="E32" s="20"/>
    </row>
    <row r="33" spans="1:7" x14ac:dyDescent="0.25">
      <c r="A33">
        <v>30</v>
      </c>
      <c r="B33" s="1">
        <v>15000</v>
      </c>
      <c r="C33" s="42">
        <f>B33*(1+$C$2)^-A33</f>
        <v>2611.651963659514</v>
      </c>
      <c r="D33" s="20">
        <f>B33*(1+$D$2)^($A$33-A33)</f>
        <v>15000</v>
      </c>
      <c r="E33" s="20"/>
    </row>
    <row r="34" spans="1:7" x14ac:dyDescent="0.25">
      <c r="C34" s="15" t="s">
        <v>159</v>
      </c>
      <c r="D34" s="15" t="s">
        <v>156</v>
      </c>
    </row>
    <row r="35" spans="1:7" x14ac:dyDescent="0.25">
      <c r="B35" s="15" t="s">
        <v>158</v>
      </c>
      <c r="C35" s="19">
        <f>SUM(C4:C34)</f>
        <v>206472.46727234119</v>
      </c>
      <c r="D35" s="19">
        <f>SUM(D4:D34)</f>
        <v>1185872.7932283138</v>
      </c>
    </row>
    <row r="36" spans="1:7" x14ac:dyDescent="0.25">
      <c r="E36" s="20"/>
    </row>
    <row r="46" spans="1:7" x14ac:dyDescent="0.25">
      <c r="F46" t="s">
        <v>157</v>
      </c>
    </row>
    <row r="47" spans="1:7" x14ac:dyDescent="0.25">
      <c r="F47" s="15" t="s">
        <v>156</v>
      </c>
    </row>
    <row r="48" spans="1:7" x14ac:dyDescent="0.25">
      <c r="F48" s="6">
        <f>FV(C2,A33, -B4,0,0)</f>
        <v>1185872.793228315</v>
      </c>
      <c r="G48" t="s">
        <v>155</v>
      </c>
    </row>
  </sheetData>
  <pageMargins left="0.7" right="0.7" top="0.78740157499999996" bottom="0.78740157499999996" header="0.3" footer="0.3"/>
  <pageSetup paperSize="9" orientation="portrait" horizontalDpi="0" verticalDpi="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6EB2-3A57-4C04-9248-19E775CB56F1}">
  <dimension ref="A1:H17"/>
  <sheetViews>
    <sheetView workbookViewId="0">
      <selection activeCell="C10" sqref="C10"/>
    </sheetView>
  </sheetViews>
  <sheetFormatPr baseColWidth="10" defaultRowHeight="15" x14ac:dyDescent="0.25"/>
  <cols>
    <col min="2" max="2" width="12" bestFit="1" customWidth="1"/>
    <col min="3" max="3" width="13" bestFit="1" customWidth="1"/>
  </cols>
  <sheetData>
    <row r="1" spans="1:3" x14ac:dyDescent="0.25">
      <c r="A1" s="5">
        <v>0.06</v>
      </c>
    </row>
    <row r="2" spans="1:3" x14ac:dyDescent="0.25">
      <c r="A2" s="15" t="s">
        <v>165</v>
      </c>
      <c r="B2" s="15" t="s">
        <v>164</v>
      </c>
      <c r="C2" s="15" t="s">
        <v>17</v>
      </c>
    </row>
    <row r="3" spans="1:3" x14ac:dyDescent="0.25">
      <c r="A3">
        <v>0</v>
      </c>
      <c r="B3" s="20">
        <v>0</v>
      </c>
      <c r="C3" s="20">
        <f>B3*(1+$A$1)^-A3</f>
        <v>0</v>
      </c>
    </row>
    <row r="4" spans="1:3" x14ac:dyDescent="0.25">
      <c r="A4">
        <v>1</v>
      </c>
      <c r="B4" s="20">
        <v>50000</v>
      </c>
      <c r="C4" s="20">
        <f>B4*(1+$A$1)^-A4</f>
        <v>47169.811320754714</v>
      </c>
    </row>
    <row r="5" spans="1:3" x14ac:dyDescent="0.25">
      <c r="A5">
        <v>2</v>
      </c>
      <c r="B5" s="20">
        <v>0</v>
      </c>
      <c r="C5" s="20">
        <f>B5*(1+$A$1)^-A5</f>
        <v>0</v>
      </c>
    </row>
    <row r="6" spans="1:3" x14ac:dyDescent="0.25">
      <c r="A6">
        <v>3</v>
      </c>
      <c r="B6" s="20">
        <v>70000</v>
      </c>
      <c r="C6" s="20">
        <f>B6*(1+$A$1)^-A6</f>
        <v>58773.349812261113</v>
      </c>
    </row>
    <row r="7" spans="1:3" x14ac:dyDescent="0.25">
      <c r="A7">
        <v>4</v>
      </c>
      <c r="B7" s="20">
        <v>0</v>
      </c>
      <c r="C7" s="20">
        <f>B7*(1+$A$1)^-A7</f>
        <v>0</v>
      </c>
    </row>
    <row r="8" spans="1:3" x14ac:dyDescent="0.25">
      <c r="A8">
        <v>5</v>
      </c>
      <c r="B8" s="20">
        <v>90000</v>
      </c>
      <c r="C8" s="20">
        <f>B8*(1+$A$1)^-A8</f>
        <v>67253.235557945125</v>
      </c>
    </row>
    <row r="11" spans="1:3" x14ac:dyDescent="0.25">
      <c r="B11" s="15" t="s">
        <v>158</v>
      </c>
      <c r="C11" s="19">
        <f>SUM(C4:C10)</f>
        <v>173196.39669096094</v>
      </c>
    </row>
    <row r="17" spans="8:8" x14ac:dyDescent="0.25">
      <c r="H17" s="6"/>
    </row>
  </sheetData>
  <pageMargins left="0.7" right="0.7" top="0.78740157499999996" bottom="0.78740157499999996"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1D54-9C92-4473-83E0-9FADE9AD6EAA}">
  <dimension ref="A2:E9"/>
  <sheetViews>
    <sheetView workbookViewId="0">
      <selection activeCell="C10" sqref="C10"/>
    </sheetView>
  </sheetViews>
  <sheetFormatPr baseColWidth="10" defaultRowHeight="15" x14ac:dyDescent="0.25"/>
  <sheetData>
    <row r="2" spans="1:5" x14ac:dyDescent="0.25">
      <c r="A2" t="s">
        <v>168</v>
      </c>
      <c r="E2" s="6">
        <f>PV(3%,3,-100)</f>
        <v>282.8611354894681</v>
      </c>
    </row>
    <row r="5" spans="1:5" x14ac:dyDescent="0.25">
      <c r="A5" t="s">
        <v>167</v>
      </c>
      <c r="E5" s="6">
        <f>PV(3%,3,0,-5000)</f>
        <v>4575.708296765798</v>
      </c>
    </row>
    <row r="7" spans="1:5" x14ac:dyDescent="0.25">
      <c r="E7" s="44">
        <f>SUM(E2:E6)</f>
        <v>4858.5694322552663</v>
      </c>
    </row>
    <row r="9" spans="1:5" x14ac:dyDescent="0.25">
      <c r="A9" t="s">
        <v>166</v>
      </c>
      <c r="E9" s="43">
        <f>E7/5000</f>
        <v>0.97171388645105328</v>
      </c>
    </row>
  </sheetData>
  <pageMargins left="0.7" right="0.7" top="0.78740157499999996" bottom="0.78740157499999996"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0EC33-0FF6-4934-A6AC-E86CC3A48C2C}">
  <dimension ref="A1:B25"/>
  <sheetViews>
    <sheetView workbookViewId="0">
      <selection activeCell="C10" sqref="C10"/>
    </sheetView>
  </sheetViews>
  <sheetFormatPr baseColWidth="10" defaultRowHeight="15" x14ac:dyDescent="0.25"/>
  <cols>
    <col min="1" max="1" width="14.5703125" bestFit="1" customWidth="1"/>
  </cols>
  <sheetData>
    <row r="1" spans="1:2" x14ac:dyDescent="0.25">
      <c r="A1" t="s">
        <v>173</v>
      </c>
    </row>
    <row r="3" spans="1:2" x14ac:dyDescent="0.25">
      <c r="A3" t="s">
        <v>172</v>
      </c>
    </row>
    <row r="5" spans="1:2" x14ac:dyDescent="0.25">
      <c r="A5" s="45">
        <f>2500000*(1.05)^-5</f>
        <v>1958815.4161711475</v>
      </c>
      <c r="B5" t="s">
        <v>171</v>
      </c>
    </row>
    <row r="6" spans="1:2" x14ac:dyDescent="0.25">
      <c r="A6" s="44">
        <f>PV(5%,5,0,-2500000,0)</f>
        <v>1958815.4161711475</v>
      </c>
      <c r="B6" t="s">
        <v>169</v>
      </c>
    </row>
    <row r="8" spans="1:2" x14ac:dyDescent="0.25">
      <c r="A8" t="s">
        <v>170</v>
      </c>
    </row>
    <row r="17" spans="1:2" x14ac:dyDescent="0.25">
      <c r="A17" s="44">
        <f>PV(0.05,10,-250000,0,0)</f>
        <v>1930433.7322962033</v>
      </c>
      <c r="B17" t="s">
        <v>169</v>
      </c>
    </row>
    <row r="21" spans="1:2" x14ac:dyDescent="0.25">
      <c r="A21" s="19"/>
    </row>
    <row r="25" spans="1:2" x14ac:dyDescent="0.25">
      <c r="A25" s="14"/>
    </row>
  </sheetData>
  <pageMargins left="0.7" right="0.7" top="0.78740157499999996" bottom="0.78740157499999996"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74FC6-1B4C-4712-89C8-E5E66976197C}">
  <dimension ref="A7:E7"/>
  <sheetViews>
    <sheetView workbookViewId="0">
      <selection activeCell="C10" sqref="C10"/>
    </sheetView>
  </sheetViews>
  <sheetFormatPr baseColWidth="10" defaultRowHeight="15" x14ac:dyDescent="0.25"/>
  <sheetData>
    <row r="7" spans="1:5" x14ac:dyDescent="0.25">
      <c r="A7" s="6">
        <f>PMT(0.06,5,-300000)</f>
        <v>71218.920129356891</v>
      </c>
      <c r="B7" t="s">
        <v>169</v>
      </c>
      <c r="E7" s="6"/>
    </row>
  </sheetData>
  <pageMargins left="0.7" right="0.7" top="0.78740157499999996" bottom="0.78740157499999996"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93FF-DF36-4214-A91B-86D64D4B02F1}">
  <dimension ref="A2:D20"/>
  <sheetViews>
    <sheetView workbookViewId="0">
      <selection activeCell="B17" sqref="B17"/>
    </sheetView>
  </sheetViews>
  <sheetFormatPr baseColWidth="10" defaultRowHeight="15" x14ac:dyDescent="0.25"/>
  <cols>
    <col min="2" max="3" width="13" bestFit="1" customWidth="1"/>
  </cols>
  <sheetData>
    <row r="2" spans="1:4" x14ac:dyDescent="0.25">
      <c r="B2" s="5">
        <v>0.1</v>
      </c>
    </row>
    <row r="4" spans="1:4" x14ac:dyDescent="0.25">
      <c r="A4" t="s">
        <v>55</v>
      </c>
      <c r="B4" t="s">
        <v>42</v>
      </c>
      <c r="C4" t="s">
        <v>178</v>
      </c>
    </row>
    <row r="5" spans="1:4" x14ac:dyDescent="0.25">
      <c r="A5">
        <v>0</v>
      </c>
      <c r="B5" s="20">
        <v>-150000</v>
      </c>
      <c r="C5" s="42">
        <f>B5*(1+$B$2)^-A5</f>
        <v>-150000</v>
      </c>
    </row>
    <row r="6" spans="1:4" x14ac:dyDescent="0.25">
      <c r="A6">
        <v>1</v>
      </c>
      <c r="B6" s="20">
        <v>30000</v>
      </c>
      <c r="C6" s="42">
        <f>B6*(1+$B$2)^-A6</f>
        <v>27272.727272727272</v>
      </c>
    </row>
    <row r="7" spans="1:4" x14ac:dyDescent="0.25">
      <c r="A7">
        <v>2</v>
      </c>
      <c r="B7" s="20">
        <v>40000</v>
      </c>
      <c r="C7" s="42">
        <f>B7*(1+$B$2)^-A7</f>
        <v>33057.85123966942</v>
      </c>
    </row>
    <row r="8" spans="1:4" x14ac:dyDescent="0.25">
      <c r="A8">
        <v>3</v>
      </c>
      <c r="B8" s="20">
        <v>50000</v>
      </c>
      <c r="C8" s="42">
        <f>B8*(1+$B$2)^-A8</f>
        <v>37565.740045078877</v>
      </c>
    </row>
    <row r="9" spans="1:4" x14ac:dyDescent="0.25">
      <c r="A9">
        <v>4</v>
      </c>
      <c r="B9" s="20">
        <v>45000</v>
      </c>
      <c r="C9" s="42">
        <f>B9*(1+$B$2)^-A9</f>
        <v>30735.605491428174</v>
      </c>
    </row>
    <row r="10" spans="1:4" x14ac:dyDescent="0.25">
      <c r="A10">
        <v>5</v>
      </c>
      <c r="B10" s="20">
        <v>35000</v>
      </c>
      <c r="C10" s="42">
        <f>B10*(1+$B$2)^-A10</f>
        <v>21732.246307070422</v>
      </c>
    </row>
    <row r="11" spans="1:4" x14ac:dyDescent="0.25">
      <c r="A11">
        <v>5</v>
      </c>
      <c r="B11" s="20">
        <v>25000</v>
      </c>
      <c r="C11" s="42">
        <f>B11*(1+$B$2)^-A11</f>
        <v>15523.033076478872</v>
      </c>
    </row>
    <row r="12" spans="1:4" x14ac:dyDescent="0.25">
      <c r="A12" t="s">
        <v>177</v>
      </c>
      <c r="B12" s="20">
        <v>60000</v>
      </c>
    </row>
    <row r="13" spans="1:4" x14ac:dyDescent="0.25">
      <c r="B13" s="15" t="s">
        <v>176</v>
      </c>
      <c r="C13" s="19">
        <f>SUM(C5:C12)</f>
        <v>15887.203432453038</v>
      </c>
    </row>
    <row r="16" spans="1:4" x14ac:dyDescent="0.25">
      <c r="C16" s="6">
        <f>NPV(B2,B6,B7,B8,B9,B12)+C5</f>
        <v>15887.20343245304</v>
      </c>
      <c r="D16" t="s">
        <v>175</v>
      </c>
    </row>
    <row r="19" spans="1:3" x14ac:dyDescent="0.25">
      <c r="C19" s="6"/>
    </row>
    <row r="20" spans="1:3" x14ac:dyDescent="0.25">
      <c r="A20" s="15" t="s">
        <v>174</v>
      </c>
    </row>
  </sheetData>
  <pageMargins left="0.7" right="0.7" top="0.78740157499999996" bottom="0.78740157499999996" header="0.3" footer="0.3"/>
  <pageSetup paperSize="9" orientation="portrait" horizontalDpi="0" verticalDpi="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5EF86-21E8-4883-8D3D-7983BFB317AC}">
  <dimension ref="A1:K26"/>
  <sheetViews>
    <sheetView workbookViewId="0">
      <selection activeCell="B17" sqref="B17"/>
    </sheetView>
  </sheetViews>
  <sheetFormatPr baseColWidth="10" defaultRowHeight="15" x14ac:dyDescent="0.25"/>
  <sheetData>
    <row r="1" spans="1:11" x14ac:dyDescent="0.25">
      <c r="A1" s="5" t="s">
        <v>1</v>
      </c>
    </row>
    <row r="2" spans="1:11" x14ac:dyDescent="0.25">
      <c r="A2" t="s">
        <v>0</v>
      </c>
      <c r="B2">
        <v>0</v>
      </c>
      <c r="C2">
        <v>1</v>
      </c>
      <c r="D2">
        <v>2</v>
      </c>
      <c r="E2">
        <v>3</v>
      </c>
      <c r="F2">
        <v>4</v>
      </c>
      <c r="G2">
        <v>5</v>
      </c>
      <c r="H2">
        <v>6</v>
      </c>
      <c r="I2">
        <v>7</v>
      </c>
      <c r="J2">
        <v>8</v>
      </c>
    </row>
    <row r="3" spans="1:11" x14ac:dyDescent="0.25">
      <c r="B3" s="20">
        <v>-7000</v>
      </c>
      <c r="C3" s="20">
        <v>1400</v>
      </c>
      <c r="D3" s="20">
        <v>1400</v>
      </c>
      <c r="E3" s="20">
        <v>1400</v>
      </c>
      <c r="F3" s="20">
        <v>1400</v>
      </c>
      <c r="G3" s="20">
        <v>1400</v>
      </c>
      <c r="H3" s="20">
        <v>1050</v>
      </c>
      <c r="I3" s="20">
        <v>1050</v>
      </c>
      <c r="J3" s="20">
        <v>1050</v>
      </c>
    </row>
    <row r="4" spans="1:11" x14ac:dyDescent="0.25">
      <c r="B4" s="20"/>
      <c r="C4" s="20">
        <f>C3*1.1^-C2</f>
        <v>1272.7272727272727</v>
      </c>
      <c r="D4" s="20">
        <f>D3*1.1^-D2</f>
        <v>1157.0247933884295</v>
      </c>
      <c r="E4" s="20">
        <f>E3*1.1^-E2</f>
        <v>1051.8407212622085</v>
      </c>
      <c r="F4" s="20">
        <f>F3*1.1^-F2</f>
        <v>956.21883751109874</v>
      </c>
      <c r="G4" s="20">
        <f>G3*1.1^-G2</f>
        <v>869.28985228281692</v>
      </c>
      <c r="H4" s="20">
        <f>H3*1.1^-H2</f>
        <v>592.69762655646605</v>
      </c>
      <c r="I4" s="20">
        <f>I3*1.1^-I2</f>
        <v>538.81602414224176</v>
      </c>
      <c r="J4" s="20">
        <f>J3*1.1^-J2</f>
        <v>489.8327492202198</v>
      </c>
      <c r="K4" s="19">
        <f>SUM(C4:J4)+B3</f>
        <v>-71.552122909244645</v>
      </c>
    </row>
    <row r="6" spans="1:11" x14ac:dyDescent="0.25">
      <c r="A6" t="s">
        <v>183</v>
      </c>
    </row>
    <row r="8" spans="1:11" x14ac:dyDescent="0.25">
      <c r="A8" t="s">
        <v>10</v>
      </c>
    </row>
    <row r="9" spans="1:11" x14ac:dyDescent="0.25">
      <c r="A9" t="s">
        <v>0</v>
      </c>
      <c r="B9">
        <v>0</v>
      </c>
      <c r="C9">
        <v>1</v>
      </c>
      <c r="D9">
        <v>2</v>
      </c>
      <c r="E9">
        <v>3</v>
      </c>
      <c r="F9">
        <v>4</v>
      </c>
      <c r="G9">
        <v>5</v>
      </c>
      <c r="H9">
        <v>6</v>
      </c>
      <c r="I9">
        <v>7</v>
      </c>
      <c r="J9">
        <v>8</v>
      </c>
    </row>
    <row r="10" spans="1:11" x14ac:dyDescent="0.25">
      <c r="B10" s="20">
        <v>-7000</v>
      </c>
      <c r="C10" s="20">
        <v>1400</v>
      </c>
      <c r="D10" s="20">
        <v>1400</v>
      </c>
      <c r="E10" s="20">
        <v>1400</v>
      </c>
      <c r="F10" s="20">
        <v>1400</v>
      </c>
      <c r="G10" s="20">
        <v>1400</v>
      </c>
      <c r="H10" s="20">
        <v>1050</v>
      </c>
      <c r="I10" s="20">
        <v>1050</v>
      </c>
      <c r="J10" s="20">
        <v>1750</v>
      </c>
    </row>
    <row r="11" spans="1:11" x14ac:dyDescent="0.25">
      <c r="B11" s="20"/>
      <c r="C11" s="20">
        <f>C10*1.1^-C9</f>
        <v>1272.7272727272727</v>
      </c>
      <c r="D11" s="20">
        <f>D10*1.1^-D9</f>
        <v>1157.0247933884295</v>
      </c>
      <c r="E11" s="20">
        <f>E10*1.1^-E9</f>
        <v>1051.8407212622085</v>
      </c>
      <c r="F11" s="20">
        <f>F10*1.1^-F9</f>
        <v>956.21883751109874</v>
      </c>
      <c r="G11" s="20">
        <f>G10*1.1^-G9</f>
        <v>869.28985228281692</v>
      </c>
      <c r="H11" s="20">
        <f>H10*1.1^-H9</f>
        <v>592.69762655646605</v>
      </c>
      <c r="I11" s="20">
        <f>I10*1.1^-I9</f>
        <v>538.81602414224176</v>
      </c>
      <c r="J11" s="20">
        <f>J10*1.1^-J9</f>
        <v>816.38791536703297</v>
      </c>
      <c r="K11" s="19">
        <f>SUM(C11:J11)+B10</f>
        <v>255.00304323756882</v>
      </c>
    </row>
    <row r="13" spans="1:11" x14ac:dyDescent="0.25">
      <c r="A13" t="s">
        <v>182</v>
      </c>
    </row>
    <row r="17" spans="1:11" x14ac:dyDescent="0.25">
      <c r="A17" t="s">
        <v>147</v>
      </c>
      <c r="B17" s="20">
        <f>FV(10%,8,,-71.55)</f>
        <v>153.37377935550006</v>
      </c>
      <c r="C17" s="20" t="s">
        <v>181</v>
      </c>
      <c r="D17" s="20"/>
      <c r="E17" s="20"/>
      <c r="F17" s="20"/>
      <c r="G17" s="20"/>
      <c r="H17" s="20"/>
      <c r="I17" s="20"/>
      <c r="J17" s="20"/>
    </row>
    <row r="18" spans="1:11" x14ac:dyDescent="0.25">
      <c r="B18" s="20"/>
      <c r="C18" s="20"/>
      <c r="D18" s="20"/>
      <c r="E18" s="20"/>
      <c r="F18" s="20"/>
      <c r="G18" s="20"/>
      <c r="H18" s="20"/>
      <c r="I18" s="20"/>
      <c r="J18" s="20"/>
      <c r="K18" s="46"/>
    </row>
    <row r="19" spans="1:11" x14ac:dyDescent="0.25">
      <c r="B19" t="s">
        <v>180</v>
      </c>
    </row>
    <row r="22" spans="1:11" x14ac:dyDescent="0.25">
      <c r="B22" t="s">
        <v>179</v>
      </c>
    </row>
    <row r="24" spans="1:11" x14ac:dyDescent="0.25">
      <c r="A24" t="s">
        <v>0</v>
      </c>
      <c r="B24">
        <v>0</v>
      </c>
      <c r="C24">
        <v>1</v>
      </c>
      <c r="D24">
        <v>2</v>
      </c>
      <c r="E24">
        <v>3</v>
      </c>
      <c r="F24">
        <v>4</v>
      </c>
      <c r="G24">
        <v>5</v>
      </c>
      <c r="H24">
        <v>6</v>
      </c>
      <c r="I24">
        <v>7</v>
      </c>
      <c r="J24">
        <v>8</v>
      </c>
    </row>
    <row r="25" spans="1:11" x14ac:dyDescent="0.25">
      <c r="B25" s="20">
        <v>-7000</v>
      </c>
      <c r="C25" s="20">
        <v>1400</v>
      </c>
      <c r="D25" s="20">
        <v>1400</v>
      </c>
      <c r="E25" s="20">
        <v>1400</v>
      </c>
      <c r="F25" s="20">
        <v>1400</v>
      </c>
      <c r="G25" s="20">
        <v>1400</v>
      </c>
      <c r="H25" s="20">
        <v>1050</v>
      </c>
      <c r="I25" s="20">
        <v>1050</v>
      </c>
      <c r="J25" s="20">
        <v>1203.3699999999999</v>
      </c>
    </row>
    <row r="26" spans="1:11" x14ac:dyDescent="0.25">
      <c r="B26" s="20"/>
      <c r="C26" s="20">
        <f>C25*1.1^-C24</f>
        <v>1272.7272727272727</v>
      </c>
      <c r="D26" s="20">
        <f>D25*1.1^-D24</f>
        <v>1157.0247933884295</v>
      </c>
      <c r="E26" s="20">
        <f>E25*1.1^-E24</f>
        <v>1051.8407212622085</v>
      </c>
      <c r="F26" s="20">
        <f>F25*1.1^-F24</f>
        <v>956.21883751109874</v>
      </c>
      <c r="G26" s="20">
        <f>G25*1.1^-G24</f>
        <v>869.28985228281692</v>
      </c>
      <c r="H26" s="20">
        <f>H25*1.1^-H24</f>
        <v>592.69762655646605</v>
      </c>
      <c r="I26" s="20">
        <f>I25*1.1^-I24</f>
        <v>538.81602414224176</v>
      </c>
      <c r="J26" s="20">
        <f>J25*1.1^-J24</f>
        <v>561.38098612298654</v>
      </c>
      <c r="K26" s="19">
        <f>SUM(C26:J26)+B25</f>
        <v>-3.8860064778418746E-3</v>
      </c>
    </row>
  </sheetData>
  <pageMargins left="0.7" right="0.7" top="0.78740157499999996" bottom="0.78740157499999996"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06389-934B-4502-AD8B-7A196EC9EF68}">
  <dimension ref="A2:J27"/>
  <sheetViews>
    <sheetView workbookViewId="0">
      <selection activeCell="B17" sqref="B17"/>
    </sheetView>
  </sheetViews>
  <sheetFormatPr baseColWidth="10" defaultRowHeight="15" x14ac:dyDescent="0.25"/>
  <cols>
    <col min="2" max="4" width="12" bestFit="1" customWidth="1"/>
    <col min="5" max="6" width="12" customWidth="1"/>
    <col min="7" max="10" width="12" bestFit="1" customWidth="1"/>
  </cols>
  <sheetData>
    <row r="2" spans="1:10" x14ac:dyDescent="0.25">
      <c r="B2" s="5">
        <v>7.0000000000000007E-2</v>
      </c>
    </row>
    <row r="3" spans="1:10" x14ac:dyDescent="0.25">
      <c r="A3" s="15" t="s">
        <v>194</v>
      </c>
      <c r="B3" s="15" t="s">
        <v>193</v>
      </c>
      <c r="C3" s="15" t="s">
        <v>192</v>
      </c>
      <c r="D3" s="15" t="s">
        <v>189</v>
      </c>
      <c r="E3" s="15" t="s">
        <v>17</v>
      </c>
      <c r="F3" s="15"/>
      <c r="G3" s="15" t="s">
        <v>191</v>
      </c>
      <c r="H3" s="15" t="s">
        <v>190</v>
      </c>
      <c r="I3" s="15" t="s">
        <v>189</v>
      </c>
      <c r="J3" s="15" t="s">
        <v>17</v>
      </c>
    </row>
    <row r="4" spans="1:10" x14ac:dyDescent="0.25">
      <c r="A4" s="15">
        <v>0</v>
      </c>
      <c r="B4" s="20">
        <v>0</v>
      </c>
      <c r="C4" s="20">
        <v>15000</v>
      </c>
      <c r="D4" s="20">
        <f>B4-C4</f>
        <v>-15000</v>
      </c>
      <c r="E4" s="20">
        <f>D4*(1+$B$2)^-A4</f>
        <v>-15000</v>
      </c>
      <c r="F4" s="20"/>
      <c r="G4" s="20">
        <v>0</v>
      </c>
      <c r="H4" s="20">
        <v>17000</v>
      </c>
      <c r="I4" s="20">
        <f>G4-H4</f>
        <v>-17000</v>
      </c>
      <c r="J4" s="20">
        <f>I4*(1+$B$2)^-A4</f>
        <v>-17000</v>
      </c>
    </row>
    <row r="5" spans="1:10" x14ac:dyDescent="0.25">
      <c r="A5" s="15">
        <v>1</v>
      </c>
      <c r="B5" s="20">
        <v>14000</v>
      </c>
      <c r="C5" s="20">
        <v>8000</v>
      </c>
      <c r="D5" s="20">
        <f>B5-C5</f>
        <v>6000</v>
      </c>
      <c r="E5" s="20">
        <f>D5*(1+$B$2)^-A5</f>
        <v>5607.4766355140182</v>
      </c>
      <c r="F5" s="20"/>
      <c r="G5" s="20">
        <v>17234</v>
      </c>
      <c r="H5" s="20">
        <v>10756</v>
      </c>
      <c r="I5" s="20">
        <f>G5-H5</f>
        <v>6478</v>
      </c>
      <c r="J5" s="20">
        <f>I5*(1+$B$2)^-A5</f>
        <v>6054.2056074766351</v>
      </c>
    </row>
    <row r="6" spans="1:10" x14ac:dyDescent="0.25">
      <c r="A6" s="15">
        <v>2</v>
      </c>
      <c r="B6" s="20">
        <v>10000</v>
      </c>
      <c r="C6" s="20">
        <v>4000</v>
      </c>
      <c r="D6" s="20">
        <f>B6-C6</f>
        <v>6000</v>
      </c>
      <c r="E6" s="20">
        <f>D6*(1+$B$2)^-A6</f>
        <v>5240.6323696392692</v>
      </c>
      <c r="F6" s="20"/>
      <c r="G6" s="20">
        <v>15230</v>
      </c>
      <c r="H6" s="20">
        <v>8752</v>
      </c>
      <c r="I6" s="20">
        <f>G6-H6</f>
        <v>6478</v>
      </c>
      <c r="J6" s="20">
        <f>I6*(1+$B$2)^-A6</f>
        <v>5658.1360817538643</v>
      </c>
    </row>
    <row r="7" spans="1:10" x14ac:dyDescent="0.25">
      <c r="A7" s="15">
        <v>3</v>
      </c>
      <c r="B7" s="20">
        <v>9000</v>
      </c>
      <c r="C7" s="20">
        <v>3000</v>
      </c>
      <c r="D7" s="20">
        <f>B7-C7</f>
        <v>6000</v>
      </c>
      <c r="E7" s="20">
        <f>D7*(1+$B$2)^-A7</f>
        <v>4897.7872613451109</v>
      </c>
      <c r="F7" s="20"/>
      <c r="G7" s="20">
        <v>12790</v>
      </c>
      <c r="H7" s="20">
        <v>6312</v>
      </c>
      <c r="I7" s="20">
        <f>G7-H7</f>
        <v>6478</v>
      </c>
      <c r="J7" s="20">
        <f>I7*(1+$B$2)^-A7</f>
        <v>5287.9776464989382</v>
      </c>
    </row>
    <row r="9" spans="1:10" x14ac:dyDescent="0.25">
      <c r="D9" s="15" t="s">
        <v>45</v>
      </c>
      <c r="E9" s="19">
        <f>SUM(E4:E8)</f>
        <v>745.89626649839829</v>
      </c>
      <c r="F9" s="20"/>
      <c r="I9" s="15" t="s">
        <v>45</v>
      </c>
      <c r="J9" s="19">
        <f>SUM(J4:J8)</f>
        <v>0.31933572943762556</v>
      </c>
    </row>
    <row r="10" spans="1:10" x14ac:dyDescent="0.25">
      <c r="D10" s="15"/>
      <c r="E10" s="19"/>
      <c r="F10" s="20"/>
      <c r="I10" s="15"/>
      <c r="J10" s="19"/>
    </row>
    <row r="12" spans="1:10" x14ac:dyDescent="0.25">
      <c r="B12" s="15" t="s">
        <v>188</v>
      </c>
      <c r="H12" s="44">
        <f>NPV(B2,D5,D6,D7)+D4</f>
        <v>745.8962664983992</v>
      </c>
    </row>
    <row r="14" spans="1:10" x14ac:dyDescent="0.25">
      <c r="B14" s="15" t="s">
        <v>187</v>
      </c>
      <c r="H14" s="44">
        <f>NPV(B2,I5,I6,I7)+I4</f>
        <v>0.31933572943671606</v>
      </c>
    </row>
    <row r="17" spans="1:8" x14ac:dyDescent="0.25">
      <c r="B17" s="15" t="s">
        <v>186</v>
      </c>
      <c r="H17" s="44">
        <f>PV(B2,A7,-D5,0,0)+D4</f>
        <v>745.89626649840284</v>
      </c>
    </row>
    <row r="19" spans="1:8" x14ac:dyDescent="0.25">
      <c r="B19" s="15" t="s">
        <v>185</v>
      </c>
      <c r="H19" s="44">
        <f>PV(B2,A7,-I5,0,0)+J4</f>
        <v>0.31933572944399202</v>
      </c>
    </row>
    <row r="27" spans="1:8" x14ac:dyDescent="0.25">
      <c r="A27" s="15" t="s">
        <v>184</v>
      </c>
    </row>
  </sheetData>
  <pageMargins left="0.7" right="0.7" top="0.78740157499999996" bottom="0.78740157499999996"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839DE-E196-41B7-844D-9D822B5AABEF}">
  <dimension ref="A1:F27"/>
  <sheetViews>
    <sheetView workbookViewId="0">
      <selection activeCell="B17" sqref="B17"/>
    </sheetView>
  </sheetViews>
  <sheetFormatPr baseColWidth="10" defaultRowHeight="15" x14ac:dyDescent="0.25"/>
  <cols>
    <col min="1" max="1" width="24.7109375" bestFit="1" customWidth="1"/>
    <col min="2" max="4" width="14.5703125" bestFit="1" customWidth="1"/>
    <col min="6" max="6" width="13" bestFit="1" customWidth="1"/>
  </cols>
  <sheetData>
    <row r="1" spans="1:4" x14ac:dyDescent="0.25">
      <c r="B1" s="15" t="s">
        <v>211</v>
      </c>
    </row>
    <row r="2" spans="1:4" ht="18" x14ac:dyDescent="0.35">
      <c r="A2" s="15" t="s">
        <v>210</v>
      </c>
      <c r="B2" s="15" t="s">
        <v>209</v>
      </c>
      <c r="C2" s="15" t="s">
        <v>208</v>
      </c>
      <c r="D2" s="15" t="s">
        <v>207</v>
      </c>
    </row>
    <row r="3" spans="1:4" x14ac:dyDescent="0.25">
      <c r="B3" s="20"/>
      <c r="C3" s="20"/>
      <c r="D3" s="20"/>
    </row>
    <row r="4" spans="1:4" x14ac:dyDescent="0.25">
      <c r="A4" t="s">
        <v>206</v>
      </c>
      <c r="B4" s="20"/>
      <c r="C4" s="20">
        <f>3000000*0.57</f>
        <v>1709999.9999999998</v>
      </c>
      <c r="D4" s="20">
        <f>3000000*0.57</f>
        <v>1709999.9999999998</v>
      </c>
    </row>
    <row r="5" spans="1:4" x14ac:dyDescent="0.25">
      <c r="A5" t="s">
        <v>205</v>
      </c>
      <c r="B5" s="20"/>
      <c r="C5" s="20"/>
      <c r="D5" s="20">
        <v>1300000</v>
      </c>
    </row>
    <row r="6" spans="1:4" x14ac:dyDescent="0.25">
      <c r="B6" s="20"/>
      <c r="C6" s="20"/>
      <c r="D6" s="20"/>
    </row>
    <row r="7" spans="1:4" x14ac:dyDescent="0.25">
      <c r="A7" s="52" t="s">
        <v>204</v>
      </c>
      <c r="B7" s="51"/>
      <c r="C7" s="51">
        <f>SUM(C4:C6)</f>
        <v>1709999.9999999998</v>
      </c>
      <c r="D7" s="51">
        <f>SUM(D4:D6)</f>
        <v>3010000</v>
      </c>
    </row>
    <row r="8" spans="1:4" x14ac:dyDescent="0.25">
      <c r="B8" s="20"/>
      <c r="C8" s="20"/>
      <c r="D8" s="20"/>
    </row>
    <row r="9" spans="1:4" x14ac:dyDescent="0.25">
      <c r="B9" s="20"/>
      <c r="C9" s="20"/>
      <c r="D9" s="20"/>
    </row>
    <row r="10" spans="1:4" x14ac:dyDescent="0.25">
      <c r="A10" s="15" t="s">
        <v>53</v>
      </c>
      <c r="B10" s="20"/>
      <c r="C10" s="20"/>
      <c r="D10" s="20"/>
    </row>
    <row r="11" spans="1:4" x14ac:dyDescent="0.25">
      <c r="B11" s="20"/>
      <c r="C11" s="20"/>
      <c r="D11" s="20"/>
    </row>
    <row r="12" spans="1:4" x14ac:dyDescent="0.25">
      <c r="A12" t="s">
        <v>203</v>
      </c>
      <c r="B12" s="42">
        <v>-2000000</v>
      </c>
      <c r="C12" s="20"/>
      <c r="D12" s="20"/>
    </row>
    <row r="13" spans="1:4" x14ac:dyDescent="0.25">
      <c r="A13" t="s">
        <v>202</v>
      </c>
      <c r="B13" s="20"/>
      <c r="C13" s="20">
        <v>-550000</v>
      </c>
      <c r="D13" s="20">
        <f>C13+ (C13*10%)</f>
        <v>-605000</v>
      </c>
    </row>
    <row r="14" spans="1:4" x14ac:dyDescent="0.25">
      <c r="A14" t="s">
        <v>201</v>
      </c>
      <c r="B14" s="20"/>
      <c r="C14" s="20">
        <v>-200000</v>
      </c>
      <c r="D14" s="20">
        <v>-220000</v>
      </c>
    </row>
    <row r="15" spans="1:4" x14ac:dyDescent="0.25">
      <c r="A15" t="s">
        <v>200</v>
      </c>
      <c r="B15" s="20"/>
      <c r="C15" s="20">
        <f>-150000*60%</f>
        <v>-90000</v>
      </c>
      <c r="D15" s="20">
        <f>C15+(C15*30%)</f>
        <v>-117000</v>
      </c>
    </row>
    <row r="16" spans="1:4" x14ac:dyDescent="0.25">
      <c r="B16" s="20"/>
      <c r="C16" s="20"/>
      <c r="D16" s="20"/>
    </row>
    <row r="17" spans="1:6" x14ac:dyDescent="0.25">
      <c r="A17" s="50" t="s">
        <v>199</v>
      </c>
      <c r="B17" s="49">
        <f>SUM(B12:B16)</f>
        <v>-2000000</v>
      </c>
      <c r="C17" s="49">
        <f>SUM(C12:C16)</f>
        <v>-840000</v>
      </c>
      <c r="D17" s="49">
        <f>SUM(D12:D16)</f>
        <v>-942000</v>
      </c>
    </row>
    <row r="18" spans="1:6" x14ac:dyDescent="0.25">
      <c r="B18" s="20"/>
      <c r="C18" s="20"/>
      <c r="D18" s="20"/>
    </row>
    <row r="19" spans="1:6" x14ac:dyDescent="0.25">
      <c r="A19" s="48" t="s">
        <v>198</v>
      </c>
      <c r="B19" s="47">
        <f>B7+B17</f>
        <v>-2000000</v>
      </c>
      <c r="C19" s="47">
        <f>C7+C17</f>
        <v>869999.99999999977</v>
      </c>
      <c r="D19" s="47">
        <f>D7+D17</f>
        <v>2068000</v>
      </c>
    </row>
    <row r="20" spans="1:6" x14ac:dyDescent="0.25">
      <c r="B20" s="20"/>
      <c r="C20" s="20"/>
      <c r="D20" s="20"/>
    </row>
    <row r="21" spans="1:6" x14ac:dyDescent="0.25">
      <c r="A21" t="s">
        <v>197</v>
      </c>
      <c r="B21" s="20">
        <f>B19</f>
        <v>-2000000</v>
      </c>
      <c r="C21" s="20">
        <f>C19*1.1^-1</f>
        <v>790909.09090909071</v>
      </c>
      <c r="D21" s="20">
        <f>D19*1.1^-2</f>
        <v>1709090.9090909089</v>
      </c>
      <c r="E21" t="s">
        <v>158</v>
      </c>
      <c r="F21" s="19">
        <f>SUM(B21:E21)</f>
        <v>499999.99999999977</v>
      </c>
    </row>
    <row r="24" spans="1:6" x14ac:dyDescent="0.25">
      <c r="A24" s="15" t="s">
        <v>196</v>
      </c>
      <c r="B24" s="44">
        <f>NPV(10%,C19,D19)+B21</f>
        <v>499999.99999999953</v>
      </c>
    </row>
    <row r="27" spans="1:6" x14ac:dyDescent="0.25">
      <c r="A27" s="15" t="s">
        <v>195</v>
      </c>
    </row>
  </sheetData>
  <pageMargins left="0.7" right="0.7" top="0.78740157499999996" bottom="0.78740157499999996" header="0.3" footer="0.3"/>
  <pageSetup paperSize="9" orientation="portrait" horizontalDpi="0"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F265-1079-4999-88CF-498DF25387CF}">
  <dimension ref="A1:E20"/>
  <sheetViews>
    <sheetView workbookViewId="0">
      <selection activeCell="B17" sqref="B17"/>
    </sheetView>
  </sheetViews>
  <sheetFormatPr baseColWidth="10" defaultRowHeight="15" x14ac:dyDescent="0.25"/>
  <sheetData>
    <row r="1" spans="1:5" x14ac:dyDescent="0.25">
      <c r="A1" t="s">
        <v>214</v>
      </c>
    </row>
    <row r="3" spans="1:5" x14ac:dyDescent="0.25">
      <c r="B3" s="5">
        <v>0.08</v>
      </c>
    </row>
    <row r="4" spans="1:5" x14ac:dyDescent="0.25">
      <c r="A4" t="s">
        <v>55</v>
      </c>
      <c r="B4" t="s">
        <v>42</v>
      </c>
      <c r="C4" t="s">
        <v>17</v>
      </c>
    </row>
    <row r="5" spans="1:5" x14ac:dyDescent="0.25">
      <c r="A5">
        <v>0</v>
      </c>
      <c r="B5" s="20">
        <v>-5000</v>
      </c>
      <c r="C5" s="20">
        <f>B5*(1+$B$3)^-A5</f>
        <v>-5000</v>
      </c>
    </row>
    <row r="6" spans="1:5" x14ac:dyDescent="0.25">
      <c r="A6">
        <v>1</v>
      </c>
      <c r="B6" s="20">
        <v>2700</v>
      </c>
      <c r="C6" s="20">
        <f>B6*(1+$B$3)^-A6</f>
        <v>2499.9999999999995</v>
      </c>
    </row>
    <row r="7" spans="1:5" x14ac:dyDescent="0.25">
      <c r="A7">
        <v>2</v>
      </c>
      <c r="B7" s="20">
        <v>2200</v>
      </c>
      <c r="C7" s="20">
        <f>B7*(1+$B$3)^-A7</f>
        <v>1886.145404663923</v>
      </c>
    </row>
    <row r="8" spans="1:5" x14ac:dyDescent="0.25">
      <c r="A8">
        <v>3</v>
      </c>
      <c r="B8" s="20">
        <v>1500</v>
      </c>
      <c r="C8" s="20">
        <f>B8*(1+$B$3)^-A8</f>
        <v>1190.7483615302544</v>
      </c>
    </row>
    <row r="11" spans="1:5" x14ac:dyDescent="0.25">
      <c r="B11" t="s">
        <v>45</v>
      </c>
      <c r="C11" s="20">
        <f>SUM(C5:C10)</f>
        <v>576.89376619417703</v>
      </c>
    </row>
    <row r="14" spans="1:5" x14ac:dyDescent="0.25">
      <c r="B14" t="s">
        <v>213</v>
      </c>
      <c r="E14" s="44">
        <f>PMT(B3,A8,-C11,0,0)</f>
        <v>223.85411532774739</v>
      </c>
    </row>
    <row r="16" spans="1:5" x14ac:dyDescent="0.25">
      <c r="E16" s="6"/>
    </row>
    <row r="20" spans="1:1" x14ac:dyDescent="0.25">
      <c r="A20" s="15" t="s">
        <v>212</v>
      </c>
    </row>
  </sheetData>
  <pageMargins left="0.7" right="0.7" top="0.78740157499999996" bottom="0.78740157499999996"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25EED-9B0C-4608-BD0B-987D3214D204}">
  <dimension ref="A1:R49"/>
  <sheetViews>
    <sheetView workbookViewId="0">
      <selection activeCell="O49" sqref="O49"/>
    </sheetView>
  </sheetViews>
  <sheetFormatPr baseColWidth="10" defaultRowHeight="15" x14ac:dyDescent="0.25"/>
  <cols>
    <col min="2" max="2" width="46" bestFit="1" customWidth="1"/>
  </cols>
  <sheetData>
    <row r="1" spans="1:18" x14ac:dyDescent="0.25">
      <c r="A1" t="s">
        <v>1</v>
      </c>
      <c r="B1" t="s">
        <v>244</v>
      </c>
      <c r="C1" s="5">
        <v>0.1</v>
      </c>
      <c r="Q1" t="s">
        <v>243</v>
      </c>
    </row>
    <row r="2" spans="1:18" x14ac:dyDescent="0.25">
      <c r="Q2" t="s">
        <v>242</v>
      </c>
      <c r="R2" t="s">
        <v>241</v>
      </c>
    </row>
    <row r="3" spans="1:18" x14ac:dyDescent="0.25">
      <c r="C3" t="s">
        <v>240</v>
      </c>
      <c r="D3" t="s">
        <v>239</v>
      </c>
      <c r="E3" t="s">
        <v>237</v>
      </c>
      <c r="F3" t="s">
        <v>238</v>
      </c>
      <c r="G3" t="s">
        <v>237</v>
      </c>
      <c r="H3" t="s">
        <v>236</v>
      </c>
      <c r="P3" s="5">
        <v>0.01</v>
      </c>
      <c r="Q3" s="6">
        <f>NPV(P3,$D$4,$E$4,$F$4,$G$4,$H$4)+$C$4</f>
        <v>93.513297813516317</v>
      </c>
      <c r="R3" s="6">
        <f>NPV(P3,$D$5,$E$5,$F$5)+$C$5</f>
        <v>49.393594687377743</v>
      </c>
    </row>
    <row r="4" spans="1:18" x14ac:dyDescent="0.25">
      <c r="B4" t="s">
        <v>235</v>
      </c>
      <c r="C4">
        <v>-300</v>
      </c>
      <c r="D4">
        <v>85</v>
      </c>
      <c r="E4">
        <v>90</v>
      </c>
      <c r="F4">
        <v>80</v>
      </c>
      <c r="G4">
        <v>80</v>
      </c>
      <c r="H4">
        <v>70</v>
      </c>
      <c r="P4" s="5">
        <v>0.02</v>
      </c>
      <c r="Q4" s="6">
        <f>NPV(P4,$D$4,$E$4,$F$4,$G$4,$H$4)+$C$4</f>
        <v>82.533101178730874</v>
      </c>
      <c r="R4" s="6">
        <f>NPV(P4,$D$5,$E$5,$F$5)+$C$5</f>
        <v>43.968910901538607</v>
      </c>
    </row>
    <row r="5" spans="1:18" x14ac:dyDescent="0.25">
      <c r="B5" t="s">
        <v>234</v>
      </c>
      <c r="C5">
        <v>-230</v>
      </c>
      <c r="D5">
        <v>95</v>
      </c>
      <c r="E5">
        <v>95</v>
      </c>
      <c r="F5">
        <v>95</v>
      </c>
      <c r="P5" s="5">
        <v>0.03</v>
      </c>
      <c r="Q5" s="6">
        <f>NPV(P5,$D$4,$E$4,$F$4,$G$4,$H$4)+$C$4</f>
        <v>72.0308151550974</v>
      </c>
      <c r="R5" s="6">
        <f>NPV(P5,$D$5,$E$5,$F$5)+$C$5</f>
        <v>38.718078714994704</v>
      </c>
    </row>
    <row r="6" spans="1:18" x14ac:dyDescent="0.25">
      <c r="P6" s="5">
        <v>0.04</v>
      </c>
      <c r="Q6" s="6">
        <f>NPV(P6,$D$4,$E$4,$F$4,$G$4,$H$4)+$C$4</f>
        <v>61.979769851572712</v>
      </c>
      <c r="R6" s="6">
        <f>NPV(P6,$D$5,$E$5,$F$5)+$C$5</f>
        <v>33.633648156577124</v>
      </c>
    </row>
    <row r="7" spans="1:18" x14ac:dyDescent="0.25">
      <c r="P7" s="5">
        <v>0.05</v>
      </c>
      <c r="Q7" s="6">
        <f>NPV(P7,$D$4,$E$4,$F$4,$G$4,$H$4)+$C$4</f>
        <v>52.355071532266209</v>
      </c>
      <c r="R7" s="6">
        <f>NPV(P7,$D$5,$E$5,$F$5)+$C$5</f>
        <v>28.708562790195401</v>
      </c>
    </row>
    <row r="8" spans="1:18" x14ac:dyDescent="0.25">
      <c r="B8" t="s">
        <v>233</v>
      </c>
      <c r="C8" s="57">
        <f>NPV(C1,D4,E4,F4,G4,H4)+C4</f>
        <v>9.8636456774561339</v>
      </c>
      <c r="P8" s="5">
        <v>0.06</v>
      </c>
      <c r="Q8" s="6">
        <f>NPV(P8,$D$4,$E$4,$F$4,$G$4,$H$4)+$C$4</f>
        <v>43.133466648814306</v>
      </c>
      <c r="R8" s="6">
        <f>NPV(P8,$D$5,$E$5,$F$5)+$C$5</f>
        <v>23.936135198855396</v>
      </c>
    </row>
    <row r="9" spans="1:18" x14ac:dyDescent="0.25">
      <c r="B9" t="s">
        <v>232</v>
      </c>
      <c r="C9" s="57">
        <f>PV(C1,3,-D5)+C5</f>
        <v>6.2509391435013413</v>
      </c>
      <c r="P9" s="5">
        <v>7.0000000000000007E-2</v>
      </c>
      <c r="Q9" s="6">
        <f>NPV(P9,$D$4,$E$4,$F$4,$G$4,$H$4)+$C$4</f>
        <v>34.293217559964546</v>
      </c>
      <c r="R9" s="6">
        <f>NPV(P9,$D$5,$E$5,$F$5)+$C$5</f>
        <v>19.310024219557988</v>
      </c>
    </row>
    <row r="10" spans="1:18" x14ac:dyDescent="0.25">
      <c r="C10" s="6"/>
      <c r="P10" s="5">
        <v>0.08</v>
      </c>
      <c r="Q10" s="6">
        <f>NPV(P10,$D$4,$E$4,$F$4,$G$4,$H$4)+$C$4</f>
        <v>25.813988828556717</v>
      </c>
      <c r="R10" s="6">
        <f>NPV(P10,$D$5,$E$5,$F$5)+$C$5</f>
        <v>14.824213788548491</v>
      </c>
    </row>
    <row r="11" spans="1:18" x14ac:dyDescent="0.25">
      <c r="P11" s="5">
        <v>0.09</v>
      </c>
      <c r="Q11" s="6">
        <f>NPV(P11,$D$4,$E$4,$F$4,$G$4,$H$4)+$C$4</f>
        <v>17.676743101122213</v>
      </c>
      <c r="R11" s="6">
        <f>NPV(P11,$D$5,$E$5,$F$5)+$C$5</f>
        <v>10.472993268876564</v>
      </c>
    </row>
    <row r="12" spans="1:18" x14ac:dyDescent="0.25">
      <c r="P12" s="5">
        <v>0.1</v>
      </c>
      <c r="Q12" s="6">
        <f>NPV(P12,$D$4,$E$4,$F$4,$G$4,$H$4)+$C$4</f>
        <v>9.8636456774561339</v>
      </c>
      <c r="R12" s="6">
        <f>NPV(P12,$D$5,$E$5,$F$5)+$C$5</f>
        <v>6.2509391435011139</v>
      </c>
    </row>
    <row r="13" spans="1:18" x14ac:dyDescent="0.25">
      <c r="A13" t="s">
        <v>10</v>
      </c>
      <c r="P13" s="5">
        <v>0.11</v>
      </c>
      <c r="Q13" s="6">
        <f>NPV(P13,$D$4,$E$4,$F$4,$G$4,$H$4)+$C$4</f>
        <v>2.3579769683166205</v>
      </c>
      <c r="R13" s="6">
        <f>NPV(P13,$D$5,$E$5,$F$5)+$C$5</f>
        <v>2.1528979673610138</v>
      </c>
    </row>
    <row r="14" spans="1:18" x14ac:dyDescent="0.25">
      <c r="B14" s="56" t="s">
        <v>231</v>
      </c>
      <c r="P14" s="5">
        <v>0.12</v>
      </c>
      <c r="Q14" s="6">
        <f>NPV(P14,$D$4,$E$4,$F$4,$G$4,$H$4)+$C$4</f>
        <v>-4.8559478797897668</v>
      </c>
      <c r="R14" s="6">
        <f>NPV(P14,$D$5,$E$5,$F$5)+$C$5</f>
        <v>-1.8260295189504916</v>
      </c>
    </row>
    <row r="15" spans="1:18" x14ac:dyDescent="0.25">
      <c r="B15" t="s">
        <v>230</v>
      </c>
      <c r="C15">
        <v>300</v>
      </c>
    </row>
    <row r="16" spans="1:18" x14ac:dyDescent="0.25">
      <c r="B16" t="s">
        <v>229</v>
      </c>
      <c r="C16">
        <v>-300</v>
      </c>
      <c r="D16">
        <v>85</v>
      </c>
      <c r="E16">
        <v>90</v>
      </c>
      <c r="F16">
        <v>80</v>
      </c>
      <c r="G16">
        <v>80</v>
      </c>
      <c r="H16">
        <v>70</v>
      </c>
    </row>
    <row r="17" spans="2:8" x14ac:dyDescent="0.25">
      <c r="B17" t="s">
        <v>221</v>
      </c>
      <c r="D17">
        <v>85</v>
      </c>
      <c r="E17" s="32">
        <f>D17*1.1+E16</f>
        <v>183.5</v>
      </c>
      <c r="F17" s="32">
        <f>E17*1.1+F16</f>
        <v>281.85000000000002</v>
      </c>
      <c r="G17" s="32">
        <f>F17*1.1+G16</f>
        <v>390.03500000000003</v>
      </c>
      <c r="H17" s="32">
        <f>G17*1.1+H16</f>
        <v>499.03850000000006</v>
      </c>
    </row>
    <row r="18" spans="2:8" x14ac:dyDescent="0.25">
      <c r="E18" s="32"/>
      <c r="F18" s="32"/>
      <c r="G18" s="32"/>
      <c r="H18" s="32"/>
    </row>
    <row r="19" spans="2:8" x14ac:dyDescent="0.25">
      <c r="B19" t="s">
        <v>228</v>
      </c>
      <c r="C19" s="32">
        <f>H17*1.1^-5</f>
        <v>309.86364567745613</v>
      </c>
      <c r="E19" s="32"/>
      <c r="F19" s="32"/>
      <c r="G19" s="32"/>
      <c r="H19" s="32"/>
    </row>
    <row r="20" spans="2:8" x14ac:dyDescent="0.25">
      <c r="B20" t="s">
        <v>227</v>
      </c>
      <c r="C20">
        <v>-300</v>
      </c>
      <c r="E20" s="32"/>
      <c r="F20" s="32"/>
      <c r="G20" s="32"/>
      <c r="H20" s="32"/>
    </row>
    <row r="21" spans="2:8" x14ac:dyDescent="0.25">
      <c r="B21" s="15" t="s">
        <v>226</v>
      </c>
      <c r="C21" s="55">
        <f>SUM(C19:C20)</f>
        <v>9.8636456774561339</v>
      </c>
      <c r="E21" s="32"/>
      <c r="F21" s="32"/>
      <c r="G21" s="32"/>
      <c r="H21" s="32"/>
    </row>
    <row r="24" spans="2:8" x14ac:dyDescent="0.25">
      <c r="B24" s="56" t="s">
        <v>225</v>
      </c>
    </row>
    <row r="25" spans="2:8" x14ac:dyDescent="0.25">
      <c r="B25" t="s">
        <v>224</v>
      </c>
      <c r="C25">
        <v>300</v>
      </c>
    </row>
    <row r="26" spans="2:8" x14ac:dyDescent="0.25">
      <c r="B26" t="s">
        <v>223</v>
      </c>
      <c r="C26">
        <v>-230</v>
      </c>
      <c r="D26">
        <v>95</v>
      </c>
      <c r="E26">
        <v>95</v>
      </c>
      <c r="F26">
        <v>95</v>
      </c>
      <c r="G26">
        <v>0</v>
      </c>
      <c r="H26">
        <v>0</v>
      </c>
    </row>
    <row r="27" spans="2:8" x14ac:dyDescent="0.25">
      <c r="B27" t="s">
        <v>222</v>
      </c>
      <c r="C27">
        <v>-70</v>
      </c>
      <c r="D27">
        <v>7</v>
      </c>
      <c r="E27">
        <v>7</v>
      </c>
      <c r="F27">
        <v>7</v>
      </c>
      <c r="G27">
        <v>7</v>
      </c>
      <c r="H27">
        <v>77</v>
      </c>
    </row>
    <row r="28" spans="2:8" x14ac:dyDescent="0.25">
      <c r="B28" t="s">
        <v>221</v>
      </c>
      <c r="C28" s="6"/>
      <c r="D28">
        <f>SUM(D26:D27)</f>
        <v>102</v>
      </c>
      <c r="E28">
        <f>D28*1.1+E26+E27</f>
        <v>214.2</v>
      </c>
      <c r="F28">
        <f>E28*1.1+F26+F27</f>
        <v>337.62</v>
      </c>
      <c r="G28">
        <f>F28*1.1+G26+G27</f>
        <v>378.38200000000006</v>
      </c>
      <c r="H28" s="32">
        <f>G28*1.1+H26+H27</f>
        <v>493.22020000000009</v>
      </c>
    </row>
    <row r="30" spans="2:8" x14ac:dyDescent="0.25">
      <c r="B30" t="s">
        <v>220</v>
      </c>
      <c r="C30" s="32">
        <f>H28*1.1^-5</f>
        <v>306.25093914350106</v>
      </c>
    </row>
    <row r="31" spans="2:8" x14ac:dyDescent="0.25">
      <c r="B31" t="s">
        <v>219</v>
      </c>
      <c r="C31">
        <v>-300</v>
      </c>
    </row>
    <row r="32" spans="2:8" x14ac:dyDescent="0.25">
      <c r="B32" s="15" t="s">
        <v>218</v>
      </c>
      <c r="C32" s="55">
        <f>SUM(C30:C31)</f>
        <v>6.2509391435010571</v>
      </c>
    </row>
    <row r="33" spans="1:5" x14ac:dyDescent="0.25">
      <c r="E33" s="54"/>
    </row>
    <row r="35" spans="1:5" x14ac:dyDescent="0.25">
      <c r="C35" s="53"/>
    </row>
    <row r="36" spans="1:5" x14ac:dyDescent="0.25">
      <c r="A36" t="s">
        <v>147</v>
      </c>
      <c r="B36" t="s">
        <v>217</v>
      </c>
      <c r="C36" s="53">
        <f>IRR(C4:H4)</f>
        <v>0.11322547074354539</v>
      </c>
    </row>
    <row r="37" spans="1:5" x14ac:dyDescent="0.25">
      <c r="B37" t="s">
        <v>216</v>
      </c>
      <c r="C37" s="53">
        <f>IRR(C5:H5)</f>
        <v>0.11537429859486958</v>
      </c>
    </row>
    <row r="49" spans="15:15" x14ac:dyDescent="0.25">
      <c r="O49" t="s">
        <v>215</v>
      </c>
    </row>
  </sheetData>
  <pageMargins left="0.7" right="0.7" top="0.78740157499999996" bottom="0.78740157499999996" header="0.3" footer="0.3"/>
  <pageSetup paperSize="9" orientation="portrait" horizontalDpi="0" verticalDpi="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864F-6C4C-47BD-9C87-6B47802546C0}">
  <dimension ref="A1"/>
  <sheetViews>
    <sheetView workbookViewId="0">
      <selection activeCell="O49" sqref="O49"/>
    </sheetView>
  </sheetViews>
  <sheetFormatPr baseColWidth="10" defaultRowHeight="15" x14ac:dyDescent="0.25"/>
  <sheetData/>
  <pageMargins left="0.7" right="0.7" top="0.78740157499999996" bottom="0.78740157499999996"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93698-0F9C-4754-9686-94A085096D95}">
  <dimension ref="A1:I19"/>
  <sheetViews>
    <sheetView workbookViewId="0">
      <selection activeCell="O49" sqref="O49"/>
    </sheetView>
  </sheetViews>
  <sheetFormatPr baseColWidth="10" defaultRowHeight="15" x14ac:dyDescent="0.25"/>
  <cols>
    <col min="1" max="1" width="21.5703125" bestFit="1" customWidth="1"/>
    <col min="2" max="2" width="15.5703125" bestFit="1" customWidth="1"/>
    <col min="3" max="3" width="14.5703125" bestFit="1" customWidth="1"/>
    <col min="4" max="4" width="15.5703125" bestFit="1" customWidth="1"/>
    <col min="5" max="5" width="14.140625" bestFit="1" customWidth="1"/>
    <col min="9" max="9" width="12" bestFit="1" customWidth="1"/>
  </cols>
  <sheetData>
    <row r="1" spans="1:9" x14ac:dyDescent="0.25">
      <c r="A1" t="s">
        <v>10</v>
      </c>
    </row>
    <row r="2" spans="1:9" x14ac:dyDescent="0.25">
      <c r="A2" t="s">
        <v>244</v>
      </c>
      <c r="B2" s="58">
        <v>5.7000000000000002E-2</v>
      </c>
    </row>
    <row r="4" spans="1:9" x14ac:dyDescent="0.25">
      <c r="B4" t="s">
        <v>240</v>
      </c>
      <c r="C4" t="s">
        <v>239</v>
      </c>
      <c r="D4" t="s">
        <v>237</v>
      </c>
    </row>
    <row r="5" spans="1:9" x14ac:dyDescent="0.25">
      <c r="B5" s="20">
        <v>-10000000</v>
      </c>
      <c r="C5" s="20">
        <v>8750000</v>
      </c>
      <c r="D5" s="20">
        <v>8750000</v>
      </c>
      <c r="E5" s="20"/>
      <c r="F5" s="20"/>
      <c r="G5" s="20"/>
      <c r="H5" s="20"/>
      <c r="I5" s="20"/>
    </row>
    <row r="6" spans="1:9" x14ac:dyDescent="0.25">
      <c r="B6" s="20">
        <v>-6000000</v>
      </c>
      <c r="C6" s="20">
        <v>-110000</v>
      </c>
      <c r="D6" s="20">
        <v>-110000</v>
      </c>
    </row>
    <row r="7" spans="1:9" x14ac:dyDescent="0.25">
      <c r="D7" s="20">
        <v>2000000</v>
      </c>
    </row>
    <row r="8" spans="1:9" x14ac:dyDescent="0.25">
      <c r="A8" t="s">
        <v>198</v>
      </c>
      <c r="B8" s="20">
        <f>SUM(B5:B7)</f>
        <v>-16000000</v>
      </c>
      <c r="C8" s="20">
        <f>SUM(C5:C7)</f>
        <v>8640000</v>
      </c>
      <c r="D8" s="20">
        <f>SUM(D5:D7)</f>
        <v>10640000</v>
      </c>
      <c r="E8" s="6"/>
    </row>
    <row r="9" spans="1:9" x14ac:dyDescent="0.25">
      <c r="B9" s="20"/>
      <c r="C9" s="20"/>
      <c r="D9" s="20"/>
      <c r="E9" s="20"/>
      <c r="F9" s="20"/>
      <c r="G9" s="20"/>
      <c r="H9" s="20"/>
      <c r="I9" s="20"/>
    </row>
    <row r="10" spans="1:9" x14ac:dyDescent="0.25">
      <c r="A10" t="s">
        <v>245</v>
      </c>
      <c r="B10" s="28">
        <f>IRR(B8:D8)</f>
        <v>0.12901105930016965</v>
      </c>
    </row>
    <row r="12" spans="1:9" x14ac:dyDescent="0.25">
      <c r="A12" s="15"/>
      <c r="B12" s="44"/>
    </row>
    <row r="14" spans="1:9" x14ac:dyDescent="0.25">
      <c r="A14" s="36"/>
      <c r="B14" s="44"/>
    </row>
    <row r="15" spans="1:9" x14ac:dyDescent="0.25">
      <c r="A15" s="5"/>
      <c r="B15" s="6"/>
    </row>
    <row r="17" spans="1:2" x14ac:dyDescent="0.25">
      <c r="A17" s="15"/>
      <c r="B17" s="37"/>
    </row>
    <row r="19" spans="1:2" x14ac:dyDescent="0.25">
      <c r="A19" s="15"/>
      <c r="B19" s="37"/>
    </row>
  </sheetData>
  <pageMargins left="0.7" right="0.7" top="0.78740157499999996" bottom="0.78740157499999996" header="0.3" footer="0.3"/>
  <pageSetup paperSize="9" orientation="portrait" horizontalDpi="0" verticalDpi="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2A46-1853-4369-B4B0-6A701AA1EEAC}">
  <dimension ref="A1:J194"/>
  <sheetViews>
    <sheetView topLeftCell="A28" workbookViewId="0">
      <selection activeCell="O49" sqref="O49"/>
    </sheetView>
  </sheetViews>
  <sheetFormatPr baseColWidth="10" defaultRowHeight="15" x14ac:dyDescent="0.25"/>
  <cols>
    <col min="2" max="3" width="14.85546875" bestFit="1" customWidth="1"/>
    <col min="4" max="5" width="14.5703125" bestFit="1" customWidth="1"/>
    <col min="6" max="7" width="13.85546875" bestFit="1" customWidth="1"/>
    <col min="8" max="8" width="14.85546875" bestFit="1" customWidth="1"/>
    <col min="9" max="9" width="14.85546875" customWidth="1"/>
    <col min="10" max="10" width="13.85546875" bestFit="1" customWidth="1"/>
    <col min="11" max="11" width="14.85546875" bestFit="1" customWidth="1"/>
    <col min="13" max="13" width="14.85546875" bestFit="1" customWidth="1"/>
  </cols>
  <sheetData>
    <row r="1" spans="1:9" x14ac:dyDescent="0.25">
      <c r="A1" t="s">
        <v>1</v>
      </c>
    </row>
    <row r="2" spans="1:9" x14ac:dyDescent="0.25">
      <c r="A2" t="s">
        <v>244</v>
      </c>
      <c r="B2" s="5"/>
      <c r="C2" s="5">
        <v>0.1</v>
      </c>
    </row>
    <row r="3" spans="1:9" x14ac:dyDescent="0.25">
      <c r="B3" s="5"/>
    </row>
    <row r="4" spans="1:9" x14ac:dyDescent="0.25">
      <c r="B4" t="s">
        <v>240</v>
      </c>
      <c r="C4" t="s">
        <v>239</v>
      </c>
      <c r="D4" t="s">
        <v>237</v>
      </c>
      <c r="E4" t="s">
        <v>238</v>
      </c>
    </row>
    <row r="5" spans="1:9" x14ac:dyDescent="0.25">
      <c r="B5" s="59">
        <v>10000000</v>
      </c>
      <c r="C5" s="59">
        <v>-8000000</v>
      </c>
      <c r="D5" s="59">
        <v>-8000000</v>
      </c>
      <c r="E5" s="59">
        <v>-8000000</v>
      </c>
    </row>
    <row r="6" spans="1:9" x14ac:dyDescent="0.25">
      <c r="B6" s="59"/>
      <c r="C6" s="59"/>
      <c r="D6" s="59"/>
      <c r="E6" s="59"/>
    </row>
    <row r="7" spans="1:9" x14ac:dyDescent="0.25">
      <c r="B7" s="61" t="s">
        <v>251</v>
      </c>
      <c r="C7" s="61">
        <f>PV(C2,3,-D5)+B5</f>
        <v>-9894815.9278737977</v>
      </c>
      <c r="D7" s="59"/>
      <c r="E7" s="59"/>
    </row>
    <row r="9" spans="1:9" x14ac:dyDescent="0.25">
      <c r="A9" t="s">
        <v>10</v>
      </c>
    </row>
    <row r="10" spans="1:9" x14ac:dyDescent="0.25">
      <c r="B10">
        <v>0</v>
      </c>
      <c r="C10">
        <v>1</v>
      </c>
      <c r="D10">
        <v>2</v>
      </c>
      <c r="E10">
        <v>3</v>
      </c>
      <c r="F10">
        <v>4</v>
      </c>
      <c r="G10">
        <v>5</v>
      </c>
      <c r="H10">
        <v>6</v>
      </c>
    </row>
    <row r="11" spans="1:9" x14ac:dyDescent="0.25">
      <c r="B11" s="59">
        <v>10000000</v>
      </c>
      <c r="C11" s="59">
        <v>-8000000</v>
      </c>
      <c r="D11" s="59">
        <v>-8000000</v>
      </c>
      <c r="E11" s="59">
        <v>-8000000</v>
      </c>
      <c r="F11" s="59">
        <v>5000000</v>
      </c>
      <c r="G11" s="59">
        <v>5000000</v>
      </c>
      <c r="H11" s="59">
        <v>5000000</v>
      </c>
      <c r="I11" s="59"/>
    </row>
    <row r="13" spans="1:9" x14ac:dyDescent="0.25">
      <c r="B13" s="15" t="s">
        <v>251</v>
      </c>
      <c r="C13" s="61">
        <f>NPV(C2,C11,D11,E11,F11,G11,H11,)+B11</f>
        <v>-552772.38548376597</v>
      </c>
    </row>
    <row r="16" spans="1:9" x14ac:dyDescent="0.25">
      <c r="A16" t="s">
        <v>147</v>
      </c>
      <c r="C16" t="s">
        <v>250</v>
      </c>
    </row>
    <row r="17" spans="2:5" x14ac:dyDescent="0.25">
      <c r="C17" t="s">
        <v>249</v>
      </c>
      <c r="E17" t="s">
        <v>248</v>
      </c>
    </row>
    <row r="18" spans="2:5" x14ac:dyDescent="0.25">
      <c r="B18" s="59"/>
      <c r="C18" s="59" t="s">
        <v>243</v>
      </c>
      <c r="E18" t="s">
        <v>243</v>
      </c>
    </row>
    <row r="19" spans="2:5" x14ac:dyDescent="0.25">
      <c r="B19" s="5">
        <v>0.01</v>
      </c>
      <c r="C19" s="6">
        <f>NPV(B19,$C$5,$D$5,$E$5)+$B$5</f>
        <v>-13527881.657884441</v>
      </c>
      <c r="D19" s="5">
        <v>0.01</v>
      </c>
      <c r="E19" s="6">
        <f>NPV(D19,$C$11,$D$11,$E$11,$F$11,$G$11,$H$11,$I$11)+$B$11</f>
        <v>744574.67883441411</v>
      </c>
    </row>
    <row r="20" spans="2:5" x14ac:dyDescent="0.25">
      <c r="B20" s="5">
        <v>0.02</v>
      </c>
      <c r="C20" s="6">
        <f>NPV(B20,$C$5,$D$5,$E$5)+$B$5</f>
        <v>-13071066.181182198</v>
      </c>
      <c r="D20" s="5">
        <v>0.02</v>
      </c>
      <c r="E20" s="6">
        <f>NPV(D20,$C$11,$D$11,$E$11,$F$11,$G$11,$H$11,$I$11)+$B$11</f>
        <v>516671.90903091058</v>
      </c>
    </row>
    <row r="21" spans="2:5" x14ac:dyDescent="0.25">
      <c r="B21" s="5">
        <v>0.03</v>
      </c>
      <c r="C21" s="6">
        <f>NPV(B21,$C$5,$D$5,$E$5)+$B$5</f>
        <v>-12628890.839157447</v>
      </c>
      <c r="D21" s="5">
        <v>0.03</v>
      </c>
      <c r="E21" s="6">
        <f>NPV(D21,$C$11,$D$11,$E$11,$F$11,$G$11,$H$11,$I$11)+$B$11</f>
        <v>314009.60576008819</v>
      </c>
    </row>
    <row r="22" spans="2:5" x14ac:dyDescent="0.25">
      <c r="B22" s="5">
        <v>0.04</v>
      </c>
      <c r="C22" s="6">
        <f>NPV(B22,$C$5,$D$5,$E$5)+$B$5</f>
        <v>-12200728.265817024</v>
      </c>
      <c r="D22" s="36">
        <v>0.04</v>
      </c>
      <c r="E22" s="6">
        <f>NPV(D22,$C$11,$D$11,$E$11,$F$11,$G$11,$H$11,$I$11)+$B$11</f>
        <v>134500.85177909397</v>
      </c>
    </row>
    <row r="23" spans="2:5" x14ac:dyDescent="0.25">
      <c r="B23" s="5">
        <v>0.05</v>
      </c>
      <c r="C23" s="6">
        <f>NPV(B23,$C$5,$D$5,$E$5)+$B$5</f>
        <v>-11785984.234963823</v>
      </c>
      <c r="D23" s="36">
        <v>0.05</v>
      </c>
      <c r="E23" s="6">
        <f>NPV(D23,$C$11,$D$11,$E$11,$F$11,$G$11,$H$11,$I$11)+$B$11</f>
        <v>-23764.045478984714</v>
      </c>
    </row>
    <row r="24" spans="2:5" x14ac:dyDescent="0.25">
      <c r="B24" s="5">
        <v>0.06</v>
      </c>
      <c r="C24" s="6">
        <f>NPV(B24,$C$5,$D$5,$E$5)+$B$5</f>
        <v>-11384095.595693089</v>
      </c>
      <c r="D24" s="5">
        <v>0.06</v>
      </c>
      <c r="E24" s="6">
        <f>NPV(D24,$C$11,$D$11,$E$11,$F$11,$G$11,$H$11,$I$11)+$B$11</f>
        <v>-162533.7129743211</v>
      </c>
    </row>
    <row r="25" spans="2:5" x14ac:dyDescent="0.25">
      <c r="B25" s="5">
        <v>7.0000000000000007E-2</v>
      </c>
      <c r="C25" s="6">
        <f>NPV(B25,$C$5,$D$5,$E$5)+$B$5</f>
        <v>-10994528.355331197</v>
      </c>
      <c r="D25" s="5">
        <v>7.0000000000000007E-2</v>
      </c>
      <c r="E25" s="6">
        <f>NPV(D25,$C$11,$D$11,$E$11,$F$11,$G$11,$H$11,$I$11)+$B$11</f>
        <v>-283410.27859266847</v>
      </c>
    </row>
    <row r="26" spans="2:5" x14ac:dyDescent="0.25">
      <c r="B26" s="5">
        <v>0.08</v>
      </c>
      <c r="C26" s="6">
        <f>NPV(B26,$C$5,$D$5,$E$5)+$B$5</f>
        <v>-10616775.897983029</v>
      </c>
      <c r="D26" s="5">
        <v>0.08</v>
      </c>
      <c r="E26" s="6">
        <f>NPV(D26,$C$11,$D$11,$E$11,$F$11,$G$11,$H$11,$I$11)+$B$11</f>
        <v>-387862.51441647485</v>
      </c>
    </row>
    <row r="27" spans="2:5" x14ac:dyDescent="0.25">
      <c r="B27" s="5">
        <v>0.09</v>
      </c>
      <c r="C27" s="6">
        <f>NPV(B27,$C$5,$D$5,$E$5)+$B$5</f>
        <v>-10250357.327905394</v>
      </c>
      <c r="D27" s="5">
        <v>0.09</v>
      </c>
      <c r="E27" s="6">
        <f>NPV(D27,$C$11,$D$11,$E$11,$F$11,$G$11,$H$11,$I$11)+$B$11</f>
        <v>-477237.70669160783</v>
      </c>
    </row>
    <row r="28" spans="2:5" x14ac:dyDescent="0.25">
      <c r="B28" s="5">
        <v>0.1</v>
      </c>
      <c r="C28" s="6">
        <f>NPV(B28,$C$5,$D$5,$E$5)+$B$5</f>
        <v>-9894815.9278737754</v>
      </c>
      <c r="D28" s="5">
        <v>0.1</v>
      </c>
      <c r="E28" s="6">
        <f>NPV(D28,$C$11,$D$11,$E$11,$F$11,$G$11,$H$11,$I$11)+$B$11</f>
        <v>-552772.38548376597</v>
      </c>
    </row>
    <row r="29" spans="2:5" x14ac:dyDescent="0.25">
      <c r="B29" s="5">
        <v>0.11</v>
      </c>
      <c r="C29" s="6">
        <f>NPV(B29,$C$5,$D$5,$E$5)+$B$5</f>
        <v>-9549717.7235672437</v>
      </c>
      <c r="D29" s="5">
        <v>0.11</v>
      </c>
      <c r="E29" s="6">
        <f>NPV(D29,$C$11,$D$11,$E$11,$F$11,$G$11,$H$11,$I$11)+$B$11</f>
        <v>-615602.03210549429</v>
      </c>
    </row>
    <row r="30" spans="2:5" x14ac:dyDescent="0.25">
      <c r="B30" s="5">
        <v>0.12</v>
      </c>
      <c r="C30" s="6">
        <f>NPV(B30,$C$5,$D$5,$E$5)+$B$5</f>
        <v>-9214650.1457725912</v>
      </c>
      <c r="D30" s="5">
        <v>0.12</v>
      </c>
      <c r="E30" s="6">
        <f>NPV(D30,$C$11,$D$11,$E$11,$F$11,$G$11,$H$11,$I$11)+$B$11</f>
        <v>-666769.86926883459</v>
      </c>
    </row>
    <row r="31" spans="2:5" x14ac:dyDescent="0.25">
      <c r="B31" s="5">
        <v>0.13</v>
      </c>
      <c r="C31" s="6">
        <f>NPV(B31,$C$5,$D$5,$E$5)+$B$5</f>
        <v>-8889220.7829110473</v>
      </c>
      <c r="D31" s="5">
        <v>0.13</v>
      </c>
      <c r="E31" s="6">
        <f>NPV(D31,$C$11,$D$11,$E$11,$F$11,$G$11,$H$11,$I$11)+$B$11</f>
        <v>-707234.82735121809</v>
      </c>
    </row>
    <row r="32" spans="2:5" x14ac:dyDescent="0.25">
      <c r="B32" s="5">
        <v>0.14000000000000001</v>
      </c>
      <c r="C32" s="6">
        <f>NPV(B32,$C$5,$D$5,$E$5)+$B$5</f>
        <v>-8573056.2170276381</v>
      </c>
      <c r="D32" s="5">
        <v>0.14000000000000001</v>
      </c>
      <c r="E32" s="6">
        <f>NPV(D32,$C$11,$D$11,$E$11,$F$11,$G$11,$H$11,$I$11)+$B$11</f>
        <v>-737878.76995736919</v>
      </c>
    </row>
    <row r="33" spans="2:5" x14ac:dyDescent="0.25">
      <c r="B33" s="5">
        <v>0.15</v>
      </c>
      <c r="C33" s="6">
        <f>NPV(B33,$C$5,$D$5,$E$5)+$B$5</f>
        <v>-8265800.9369606338</v>
      </c>
      <c r="D33" s="5">
        <v>0.15</v>
      </c>
      <c r="E33" s="6">
        <f>NPV(D33,$C$11,$D$11,$E$11,$F$11,$G$11,$H$11,$I$11)+$B$11</f>
        <v>-759513.05294623598</v>
      </c>
    </row>
    <row r="34" spans="2:5" x14ac:dyDescent="0.25">
      <c r="B34" s="5">
        <v>0.16</v>
      </c>
      <c r="C34" s="6">
        <f>NPV(B34,$C$5,$D$5,$E$5)+$B$5</f>
        <v>-7967116.3229324706</v>
      </c>
      <c r="D34" s="5">
        <v>0.16</v>
      </c>
      <c r="E34" s="6">
        <f>NPV(D34,$C$11,$D$11,$E$11,$F$11,$G$11,$H$11,$I$11)+$B$11</f>
        <v>-772884.4831220042</v>
      </c>
    </row>
    <row r="35" spans="2:5" x14ac:dyDescent="0.25">
      <c r="B35" s="5">
        <v>0.17</v>
      </c>
      <c r="C35" s="6">
        <f>NPV(B35,$C$5,$D$5,$E$5)+$B$5</f>
        <v>-7676679.6972801797</v>
      </c>
      <c r="D35" s="5">
        <v>0.17</v>
      </c>
      <c r="E35" s="6">
        <f>NPV(D35,$C$11,$D$11,$E$11,$F$11,$G$11,$H$11,$I$11)+$B$11</f>
        <v>-778680.73573321663</v>
      </c>
    </row>
    <row r="36" spans="2:5" x14ac:dyDescent="0.25">
      <c r="B36" s="5">
        <v>0.18</v>
      </c>
      <c r="C36" s="6">
        <f>NPV(B36,$C$5,$D$5,$E$5)+$B$5</f>
        <v>-7394183.436475981</v>
      </c>
      <c r="D36" s="5">
        <v>0.18</v>
      </c>
      <c r="E36" s="6">
        <f>NPV(D36,$C$11,$D$11,$E$11,$F$11,$G$11,$H$11,$I$11)+$B$11</f>
        <v>-777535.28367220797</v>
      </c>
    </row>
    <row r="37" spans="2:5" x14ac:dyDescent="0.25">
      <c r="B37" s="5">
        <v>0.19</v>
      </c>
      <c r="C37" s="6">
        <f>NPV(B37,$C$5,$D$5,$E$5)+$B$5</f>
        <v>-7119334.1399832331</v>
      </c>
      <c r="D37" s="5">
        <v>0.19</v>
      </c>
      <c r="E37" s="6">
        <f>NPV(D37,$C$11,$D$11,$E$11,$F$11,$G$11,$H$11,$I$11)+$B$11</f>
        <v>-770031.8857214544</v>
      </c>
    </row>
    <row r="38" spans="2:5" x14ac:dyDescent="0.25">
      <c r="B38" s="5">
        <v>0.2</v>
      </c>
      <c r="C38" s="6">
        <f>NPV(B38,$C$5,$D$5,$E$5)+$B$5</f>
        <v>-6851851.8518518545</v>
      </c>
      <c r="D38" s="5">
        <v>0.2</v>
      </c>
      <c r="E38" s="6">
        <f>NPV(D38,$C$11,$D$11,$E$11,$F$11,$G$11,$H$11,$I$11)+$B$11</f>
        <v>-756708.67626886442</v>
      </c>
    </row>
    <row r="39" spans="2:5" x14ac:dyDescent="0.25">
      <c r="B39" s="5">
        <v>0.21</v>
      </c>
      <c r="C39" s="6">
        <f>NPV(B39,$C$5,$D$5,$E$5)+$B$5</f>
        <v>-6591469.3312846683</v>
      </c>
      <c r="D39" s="5">
        <v>0.21</v>
      </c>
      <c r="E39" s="6">
        <f>NPV(D39,$C$11,$D$11,$E$11,$F$11,$G$11,$H$11,$I$11)+$B$11</f>
        <v>-738061.89453655668</v>
      </c>
    </row>
    <row r="40" spans="2:5" x14ac:dyDescent="0.25">
      <c r="B40" s="5">
        <v>0.22</v>
      </c>
      <c r="C40" s="6">
        <f>NPV(B40,$C$5,$D$5,$E$5)+$B$5</f>
        <v>-6337931.3687048703</v>
      </c>
      <c r="D40" s="5">
        <v>0.22</v>
      </c>
      <c r="E40" s="6">
        <f>NPV(D40,$C$11,$D$11,$E$11,$F$11,$G$11,$H$11,$I$11)+$B$11</f>
        <v>-714549.28747310303</v>
      </c>
    </row>
    <row r="41" spans="2:5" x14ac:dyDescent="0.25">
      <c r="B41" s="5">
        <v>0.23</v>
      </c>
      <c r="C41" s="6">
        <f>NPV(B41,$C$5,$D$5,$E$5)+$B$5</f>
        <v>-6090994.1441274416</v>
      </c>
      <c r="D41" s="5">
        <v>0.23</v>
      </c>
      <c r="E41" s="6">
        <f>NPV(D41,$C$11,$D$11,$E$11,$F$11,$G$11,$H$11,$I$11)+$B$11</f>
        <v>-686593.21698990464</v>
      </c>
    </row>
    <row r="42" spans="2:5" x14ac:dyDescent="0.25">
      <c r="B42" s="5">
        <v>0.24</v>
      </c>
      <c r="C42" s="6">
        <f>NPV(B42,$C$5,$D$5,$E$5)+$B$5</f>
        <v>-5850424.6248867102</v>
      </c>
      <c r="D42" s="5">
        <v>0.24</v>
      </c>
      <c r="E42" s="6">
        <f>NPV(D42,$C$11,$D$11,$E$11,$F$11,$G$11,$H$11,$I$11)+$B$11</f>
        <v>-654583.49913029745</v>
      </c>
    </row>
    <row r="43" spans="2:5" x14ac:dyDescent="0.25">
      <c r="B43" s="5">
        <v>0.25</v>
      </c>
      <c r="C43" s="6">
        <f>NPV(B43,$C$5,$D$5,$E$5)+$B$5</f>
        <v>-5616000</v>
      </c>
      <c r="D43" s="5">
        <v>0.25</v>
      </c>
      <c r="E43" s="6">
        <f>NPV(D43,$C$11,$D$11,$E$11,$F$11,$G$11,$H$11,$I$11)+$B$11</f>
        <v>-618880</v>
      </c>
    </row>
    <row r="44" spans="2:5" x14ac:dyDescent="0.25">
      <c r="B44" s="5">
        <v>0.26</v>
      </c>
      <c r="C44" s="6">
        <f>NPV(B44,$C$5,$D$5,$E$5)+$B$5</f>
        <v>-5387507.1486560535</v>
      </c>
      <c r="D44" s="5">
        <v>0.26</v>
      </c>
      <c r="E44" s="6">
        <f>NPV(D44,$C$11,$D$11,$E$11,$F$11,$G$11,$H$11,$I$11)+$B$11</f>
        <v>-579815.01082295179</v>
      </c>
    </row>
    <row r="45" spans="2:5" x14ac:dyDescent="0.25">
      <c r="B45" s="5">
        <v>0.27</v>
      </c>
      <c r="C45" s="6">
        <f>NPV(B45,$C$5,$D$5,$E$5)+$B$5</f>
        <v>-5164742.140507903</v>
      </c>
      <c r="D45" s="5">
        <v>0.27</v>
      </c>
      <c r="E45" s="6">
        <f>NPV(D45,$C$11,$D$11,$E$11,$F$11,$G$11,$H$11,$I$11)+$B$11</f>
        <v>-537695.42228311673</v>
      </c>
    </row>
    <row r="46" spans="2:5" x14ac:dyDescent="0.25">
      <c r="B46" s="5">
        <v>0.28000000000000003</v>
      </c>
      <c r="C46" s="6">
        <f>NPV(B46,$C$5,$D$5,$E$5)+$B$5</f>
        <v>-4947509.765625</v>
      </c>
      <c r="D46" s="5">
        <v>0.28000000000000003</v>
      </c>
      <c r="E46" s="6">
        <f>NPV(D46,$C$11,$D$11,$E$11,$F$11,$G$11,$H$11,$I$11)+$B$11</f>
        <v>-492804.71634119749</v>
      </c>
    </row>
    <row r="47" spans="2:5" x14ac:dyDescent="0.25">
      <c r="B47" s="5">
        <v>0.28999999999999998</v>
      </c>
      <c r="C47" s="6">
        <f>NPV(B47,$C$5,$D$5,$E$5)+$B$5</f>
        <v>-4735623.0921200011</v>
      </c>
      <c r="D47" s="5">
        <v>0.28999999999999998</v>
      </c>
      <c r="E47" s="6">
        <f>NPV(D47,$C$11,$D$11,$E$11,$F$11,$G$11,$H$11,$I$11)+$B$11</f>
        <v>-445404.79194936529</v>
      </c>
    </row>
    <row r="48" spans="2:5" x14ac:dyDescent="0.25">
      <c r="B48" s="5">
        <v>0.3</v>
      </c>
      <c r="C48" s="6">
        <f>NPV(B48,$C$5,$D$5,$E$5)+$B$5</f>
        <v>-4528903.0496131089</v>
      </c>
      <c r="D48" s="5">
        <v>0.3</v>
      </c>
      <c r="E48" s="6">
        <f>NPV(D48,$C$11,$D$11,$E$11,$F$11,$G$11,$H$11,$I$11)+$B$11</f>
        <v>-395737.63950469159</v>
      </c>
    </row>
    <row r="49" spans="2:5" x14ac:dyDescent="0.25">
      <c r="B49" s="5">
        <v>0.31</v>
      </c>
      <c r="C49" s="6">
        <f>NPV(B49,$C$5,$D$5,$E$5)+$B$5</f>
        <v>-4327178.036832137</v>
      </c>
      <c r="D49" s="5">
        <v>0.31</v>
      </c>
      <c r="E49" s="6">
        <f>NPV(D49,$C$11,$D$11,$E$11,$F$11,$G$11,$H$11,$I$11)+$B$11</f>
        <v>-344026.87746177241</v>
      </c>
    </row>
    <row r="50" spans="2:5" x14ac:dyDescent="0.25">
      <c r="B50" s="5">
        <v>0.32</v>
      </c>
      <c r="C50" s="6">
        <f>NPV(B50,$C$5,$D$5,$E$5)+$B$5</f>
        <v>-4130283.5517711528</v>
      </c>
      <c r="D50" s="5">
        <v>0.32</v>
      </c>
      <c r="E50" s="6">
        <f>NPV(D50,$C$11,$D$11,$E$11,$F$11,$G$11,$H$11,$I$11)+$B$11</f>
        <v>-290479.16325054318</v>
      </c>
    </row>
    <row r="51" spans="2:5" x14ac:dyDescent="0.25">
      <c r="B51" s="5">
        <v>0.33</v>
      </c>
      <c r="C51" s="6">
        <f>NPV(B51,$C$5,$D$5,$E$5)+$B$5</f>
        <v>-3938061.8429447431</v>
      </c>
      <c r="D51" s="5">
        <v>0.33</v>
      </c>
      <c r="E51" s="6">
        <f>NPV(D51,$C$11,$D$11,$E$11,$F$11,$G$11,$H$11,$I$11)+$B$11</f>
        <v>-235285.48949945532</v>
      </c>
    </row>
    <row r="52" spans="2:5" x14ac:dyDescent="0.25">
      <c r="B52" s="5">
        <v>0.34</v>
      </c>
      <c r="C52" s="6">
        <f>NPV(B52,$C$5,$D$5,$E$5)+$B$5</f>
        <v>-3750361.5803805627</v>
      </c>
      <c r="D52" s="5">
        <v>0.34</v>
      </c>
      <c r="E52" s="6">
        <f>NPV(D52,$C$11,$D$11,$E$11,$F$11,$G$11,$H$11,$I$11)+$B$11</f>
        <v>-178622.37553411908</v>
      </c>
    </row>
    <row r="53" spans="2:5" x14ac:dyDescent="0.25">
      <c r="B53" s="5">
        <v>0.35</v>
      </c>
      <c r="C53" s="6">
        <f>NPV(B53,$C$5,$D$5,$E$5)+$B$5</f>
        <v>-3567037.5450896714</v>
      </c>
      <c r="D53" s="5">
        <v>0.35</v>
      </c>
      <c r="E53" s="6">
        <f>NPV(D53,$C$11,$D$11,$E$11,$F$11,$G$11,$H$11,$I$11)+$B$11</f>
        <v>-120652.96319421008</v>
      </c>
    </row>
    <row r="54" spans="2:5" x14ac:dyDescent="0.25">
      <c r="B54" s="5">
        <v>0.36</v>
      </c>
      <c r="C54" s="6">
        <f>NPV(B54,$C$5,$D$5,$E$5)+$B$5</f>
        <v>-3387950.3358436823</v>
      </c>
      <c r="D54" s="5">
        <v>0.36</v>
      </c>
      <c r="E54" s="6">
        <f>NPV(D54,$C$11,$D$11,$E$11,$F$11,$G$11,$H$11,$I$11)+$B$11</f>
        <v>-61528.025176232681</v>
      </c>
    </row>
    <row r="55" spans="2:5" x14ac:dyDescent="0.25">
      <c r="B55" s="5">
        <v>0.37</v>
      </c>
      <c r="C55" s="6">
        <f>NPV(B55,$C$5,$D$5,$E$5)+$B$5</f>
        <v>-3212966.092170151</v>
      </c>
      <c r="D55" s="36">
        <v>0.37</v>
      </c>
      <c r="E55" s="6">
        <f>NPV(D55,$C$11,$D$11,$E$11,$F$11,$G$11,$H$11,$I$11)+$B$11</f>
        <v>-1386.8933567870408</v>
      </c>
    </row>
    <row r="56" spans="2:5" x14ac:dyDescent="0.25">
      <c r="B56" s="5">
        <v>0.38</v>
      </c>
      <c r="C56" s="6">
        <f>NPV(B56,$C$5,$D$5,$E$5)+$B$5</f>
        <v>-3041956.232553754</v>
      </c>
      <c r="D56" s="36">
        <v>0.38</v>
      </c>
      <c r="E56" s="6">
        <f>NPV(D56,$C$11,$D$11,$E$11,$F$11,$G$11,$H$11,$I$11)+$B$11</f>
        <v>59641.686128113419</v>
      </c>
    </row>
    <row r="57" spans="2:5" x14ac:dyDescent="0.25">
      <c r="B57" s="5">
        <v>0.39</v>
      </c>
      <c r="C57" s="6">
        <f>NPV(B57,$C$5,$D$5,$E$5)+$B$5</f>
        <v>-2874797.2069009002</v>
      </c>
      <c r="D57" s="5">
        <v>0.39</v>
      </c>
      <c r="E57" s="6">
        <f>NPV(D57,$C$11,$D$11,$E$11,$F$11,$G$11,$H$11,$I$11)+$B$11</f>
        <v>121438.76488551497</v>
      </c>
    </row>
    <row r="58" spans="2:5" x14ac:dyDescent="0.25">
      <c r="B58" s="5">
        <v>0.4</v>
      </c>
      <c r="C58" s="6">
        <f>NPV(B58,$C$5,$D$5,$E$5)+$B$5</f>
        <v>-2711370.2623906713</v>
      </c>
      <c r="D58" s="5">
        <v>0.4</v>
      </c>
      <c r="E58" s="6">
        <f>NPV(D58,$C$11,$D$11,$E$11,$F$11,$G$11,$H$11,$I$11)+$B$11</f>
        <v>183894.46574131586</v>
      </c>
    </row>
    <row r="59" spans="2:5" x14ac:dyDescent="0.25">
      <c r="B59" s="5">
        <v>0.41</v>
      </c>
      <c r="C59" s="6">
        <f>NPV(B59,$C$5,$D$5,$E$5)+$B$5</f>
        <v>-2551561.2218943872</v>
      </c>
      <c r="D59" s="5">
        <v>0.41</v>
      </c>
      <c r="E59" s="6">
        <f>NPV(D59,$C$11,$D$11,$E$11,$F$11,$G$11,$H$11,$I$11)+$B$11</f>
        <v>246907.31258220039</v>
      </c>
    </row>
    <row r="60" spans="2:5" x14ac:dyDescent="0.25">
      <c r="B60" s="5">
        <v>0.42</v>
      </c>
      <c r="C60" s="6">
        <f>NPV(B60,$C$5,$D$5,$E$5)+$B$5</f>
        <v>-2395260.2742022462</v>
      </c>
      <c r="D60" s="5">
        <v>0.42</v>
      </c>
      <c r="E60" s="6">
        <f>NPV(D60,$C$11,$D$11,$E$11,$F$11,$G$11,$H$11,$I$11)+$B$11</f>
        <v>310383.61190924793</v>
      </c>
    </row>
    <row r="61" spans="2:5" x14ac:dyDescent="0.25">
      <c r="B61" s="5">
        <v>0.43</v>
      </c>
      <c r="C61" s="6">
        <f>NPV(B61,$C$5,$D$5,$E$5)+$B$5</f>
        <v>-2242361.7753462754</v>
      </c>
      <c r="D61" s="5">
        <v>0.43</v>
      </c>
      <c r="E61" s="6">
        <f>NPV(D61,$C$11,$D$11,$E$11,$F$11,$G$11,$H$11,$I$11)+$B$11</f>
        <v>374236.88185939565</v>
      </c>
    </row>
    <row r="62" spans="2:5" x14ac:dyDescent="0.25">
      <c r="B62" s="5">
        <v>0.44</v>
      </c>
      <c r="C62" s="6">
        <f>NPV(B62,$C$5,$D$5,$E$5)+$B$5</f>
        <v>-2092764.0603566542</v>
      </c>
      <c r="D62" s="5">
        <v>0.44</v>
      </c>
      <c r="E62" s="6">
        <f>NPV(D62,$C$11,$D$11,$E$11,$F$11,$G$11,$H$11,$I$11)+$B$11</f>
        <v>438387.3248225376</v>
      </c>
    </row>
    <row r="63" spans="2:5" x14ac:dyDescent="0.25">
      <c r="B63" s="5">
        <v>0.45</v>
      </c>
      <c r="C63" s="6">
        <f>NPV(B63,$C$5,$D$5,$E$5)+$B$5</f>
        <v>-1946369.264832506</v>
      </c>
      <c r="D63" s="5">
        <v>0.45</v>
      </c>
      <c r="E63" s="6">
        <f>NPV(D63,$C$11,$D$11,$E$11,$F$11,$G$11,$H$11,$I$11)+$B$11</f>
        <v>502761.34011900797</v>
      </c>
    </row>
    <row r="64" spans="2:5" x14ac:dyDescent="0.25">
      <c r="B64" s="5">
        <v>0.46</v>
      </c>
      <c r="C64" s="6">
        <f>NPV(B64,$C$5,$D$5,$E$5)+$B$5</f>
        <v>-1803083.1557489783</v>
      </c>
      <c r="D64" s="5">
        <v>0.46</v>
      </c>
      <c r="E64" s="6">
        <f>NPV(D64,$C$11,$D$11,$E$11,$F$11,$G$11,$H$11,$I$11)+$B$11</f>
        <v>567291.07350807078</v>
      </c>
    </row>
    <row r="65" spans="2:10" x14ac:dyDescent="0.25">
      <c r="B65" s="5">
        <v>0.47</v>
      </c>
      <c r="C65" s="6">
        <f>NPV(B65,$C$5,$D$5,$E$5)+$B$5</f>
        <v>-1662814.970960388</v>
      </c>
      <c r="D65" s="5">
        <v>0.47</v>
      </c>
      <c r="E65" s="6">
        <f>NPV(D65,$C$11,$D$11,$E$11,$F$11,$G$11,$H$11,$I$11)+$B$11</f>
        <v>631914.00057554618</v>
      </c>
    </row>
    <row r="66" spans="2:10" x14ac:dyDescent="0.25">
      <c r="B66" s="5">
        <v>0.48</v>
      </c>
      <c r="C66" s="6">
        <f>NPV(B66,$C$5,$D$5,$E$5)+$B$5</f>
        <v>-1525477.266894361</v>
      </c>
      <c r="D66" s="5">
        <v>0.48</v>
      </c>
      <c r="E66" s="6">
        <f>NPV(D66,$C$11,$D$11,$E$11,$F$11,$G$11,$H$11,$I$11)+$B$11</f>
        <v>696572.54130091146</v>
      </c>
    </row>
    <row r="67" spans="2:10" x14ac:dyDescent="0.25">
      <c r="B67" s="5">
        <v>0.49</v>
      </c>
      <c r="C67" s="6">
        <f>NPV(B67,$C$5,$D$5,$E$5)+$B$5</f>
        <v>-1390985.7739644721</v>
      </c>
      <c r="D67" s="5">
        <v>0.49</v>
      </c>
      <c r="E67" s="6">
        <f>NPV(D67,$C$11,$D$11,$E$11,$F$11,$G$11,$H$11,$I$11)+$B$11</f>
        <v>761213.70333333313</v>
      </c>
    </row>
    <row r="68" spans="2:10" x14ac:dyDescent="0.25">
      <c r="B68" s="5">
        <v>0.5</v>
      </c>
      <c r="C68" s="6">
        <f>NPV(B68,$C$5,$D$5,$E$5)+$B$5</f>
        <v>-1259259.2592592593</v>
      </c>
      <c r="D68" s="5">
        <v>0.5</v>
      </c>
      <c r="E68" s="6">
        <f>NPV(D68,$C$11,$D$11,$E$11,$F$11,$G$11,$H$11,$I$11)+$B$11</f>
        <v>825788.75171467848</v>
      </c>
    </row>
    <row r="69" spans="2:10" x14ac:dyDescent="0.25">
      <c r="B69" s="5">
        <v>0.51</v>
      </c>
      <c r="C69" s="6">
        <f>NPV(B69,$C$5,$D$5,$E$5)+$B$5</f>
        <v>-1130219.3960936405</v>
      </c>
      <c r="D69" s="5">
        <v>0.51</v>
      </c>
      <c r="E69" s="6">
        <f>NPV(D69,$C$11,$D$11,$E$11,$F$11,$G$11,$H$11,$I$11)+$B$11</f>
        <v>890252.90297728032</v>
      </c>
    </row>
    <row r="70" spans="2:10" x14ac:dyDescent="0.25">
      <c r="B70" s="5">
        <v>0.52</v>
      </c>
      <c r="C70" s="6">
        <f>NPV(B70,$C$5,$D$5,$E$5)+$B$5</f>
        <v>-1003790.6400349904</v>
      </c>
      <c r="D70" s="5">
        <v>0.52</v>
      </c>
      <c r="E70" s="6">
        <f>NPV(D70,$C$11,$D$11,$E$11,$F$11,$G$11,$H$11,$I$11)+$B$11</f>
        <v>954565.04171693698</v>
      </c>
    </row>
    <row r="71" spans="2:10" x14ac:dyDescent="0.25">
      <c r="B71" s="5">
        <v>0.53</v>
      </c>
      <c r="C71" s="6">
        <f>NPV(B71,$C$5,$D$5,$E$5)+$B$5</f>
        <v>-879900.11104047298</v>
      </c>
      <c r="D71" s="5">
        <v>0.53</v>
      </c>
      <c r="E71" s="6">
        <f>NPV(D71,$C$11,$D$11,$E$11,$F$11,$G$11,$H$11,$I$11)+$B$11</f>
        <v>1018687.4578992128</v>
      </c>
    </row>
    <row r="72" spans="2:10" x14ac:dyDescent="0.25">
      <c r="B72" s="5">
        <v>0.54</v>
      </c>
      <c r="C72" s="6">
        <f>NPV(B72,$C$5,$D$5,$E$5)+$B$5</f>
        <v>-758477.4813649822</v>
      </c>
      <c r="D72" s="5">
        <v>0.54</v>
      </c>
      <c r="E72" s="6">
        <f>NPV(D72,$C$11,$D$11,$E$11,$F$11,$G$11,$H$11,$I$11)+$B$11</f>
        <v>1082585.6033006161</v>
      </c>
    </row>
    <row r="73" spans="2:10" x14ac:dyDescent="0.25">
      <c r="B73" s="5">
        <v>0.55000000000000004</v>
      </c>
      <c r="C73" s="6">
        <f>NPV(B73,$C$5,$D$5,$E$5)+$B$5</f>
        <v>-639454.86892014183</v>
      </c>
      <c r="D73" s="5">
        <v>0.55000000000000004</v>
      </c>
      <c r="E73" s="6">
        <f>NPV(D73,$C$11,$D$11,$E$11,$F$11,$G$11,$H$11,$I$11)+$B$11</f>
        <v>1146227.8656171579</v>
      </c>
    </row>
    <row r="74" spans="2:10" x14ac:dyDescent="0.25">
      <c r="B74" s="5">
        <v>0.56000000000000005</v>
      </c>
      <c r="C74" s="6">
        <f>NPV(B74,$C$5,$D$5,$E$5)+$B$5</f>
        <v>-522766.7357844878</v>
      </c>
      <c r="D74" s="5">
        <v>0.56000000000000005</v>
      </c>
      <c r="E74" s="6">
        <f>NPV(D74,$C$11,$D$11,$E$11,$F$11,$G$11,$H$11,$I$11)+$B$11</f>
        <v>1209585.3588925209</v>
      </c>
      <c r="J74" s="5"/>
    </row>
    <row r="75" spans="2:10" x14ac:dyDescent="0.25">
      <c r="B75" s="5">
        <v>0.56999999999999995</v>
      </c>
      <c r="C75" s="6">
        <f>NPV(B75,$C$5,$D$5,$E$5)+$B$5</f>
        <v>-408349.79158338718</v>
      </c>
      <c r="D75" s="5">
        <v>0.56999999999999995</v>
      </c>
      <c r="E75" s="6">
        <f>NPV(D75,$C$11,$D$11,$E$11,$F$11,$G$11,$H$11,$I$11)+$B$11</f>
        <v>1272631.7290270329</v>
      </c>
      <c r="J75" s="5"/>
    </row>
    <row r="76" spans="2:10" x14ac:dyDescent="0.25">
      <c r="B76" s="5">
        <v>0.57999999999999996</v>
      </c>
      <c r="C76" s="6">
        <f>NPV(B76,$C$5,$D$5,$E$5)+$B$5</f>
        <v>-296142.90147432499</v>
      </c>
      <c r="D76" s="5">
        <v>0.57999999999999996</v>
      </c>
      <c r="E76" s="6">
        <f>NPV(D76,$C$11,$D$11,$E$11,$F$11,$G$11,$H$11,$I$11)+$B$11</f>
        <v>1335342.973228652</v>
      </c>
      <c r="J76" s="5"/>
    </row>
    <row r="77" spans="2:10" x14ac:dyDescent="0.25">
      <c r="B77" s="5">
        <v>0.59</v>
      </c>
      <c r="C77" s="6">
        <f>NPV(B77,$C$5,$D$5,$E$5)+$B$5</f>
        <v>-186086.99848918431</v>
      </c>
      <c r="D77" s="5">
        <v>0.59</v>
      </c>
      <c r="E77" s="6">
        <f>NPV(D77,$C$11,$D$11,$E$11,$F$11,$G$11,$H$11,$I$11)+$B$11</f>
        <v>1397697.2723582499</v>
      </c>
      <c r="J77" s="5"/>
    </row>
    <row r="78" spans="2:10" x14ac:dyDescent="0.25">
      <c r="B78" s="36">
        <v>0.6</v>
      </c>
      <c r="C78" s="6">
        <f>NPV(B78,$C$5,$D$5,$E$5)+$B$5</f>
        <v>-78125</v>
      </c>
      <c r="D78" s="5">
        <v>0.6</v>
      </c>
      <c r="E78" s="6">
        <f>NPV(D78,$C$11,$D$11,$E$11,$F$11,$G$11,$H$11,$I$11)+$B$11</f>
        <v>1459674.8352050781</v>
      </c>
      <c r="J78" s="5"/>
    </row>
    <row r="79" spans="2:10" x14ac:dyDescent="0.25">
      <c r="B79" s="36">
        <v>0.61</v>
      </c>
      <c r="C79" s="6">
        <f>NPV(B79,$C$5,$D$5,$E$5)+$B$5</f>
        <v>27798.271911237389</v>
      </c>
      <c r="D79" s="5">
        <v>0.61</v>
      </c>
      <c r="E79" s="6">
        <f>NPV(D79,$C$11,$D$11,$E$11,$F$11,$G$11,$H$11,$I$11)+$B$11</f>
        <v>1521257.7538046148</v>
      </c>
      <c r="J79" s="5"/>
    </row>
    <row r="80" spans="2:10" x14ac:dyDescent="0.25">
      <c r="B80" s="5">
        <v>0.62</v>
      </c>
      <c r="C80" s="6">
        <f>NPV(B80,$C$5,$D$5,$E$5)+$B$5</f>
        <v>131736.16638535634</v>
      </c>
      <c r="D80" s="5">
        <v>0.62</v>
      </c>
      <c r="E80" s="6">
        <f>NPV(D80,$C$11,$D$11,$E$11,$F$11,$G$11,$H$11,$I$11)+$B$11</f>
        <v>1582429.8689810243</v>
      </c>
      <c r="J80" s="5"/>
    </row>
    <row r="81" spans="1:10" x14ac:dyDescent="0.25">
      <c r="J81" s="5"/>
    </row>
    <row r="82" spans="1:10" x14ac:dyDescent="0.25">
      <c r="J82" s="5"/>
    </row>
    <row r="83" spans="1:10" x14ac:dyDescent="0.25">
      <c r="B83" t="s">
        <v>246</v>
      </c>
      <c r="C83" s="28">
        <f>IRR(B5:E5)</f>
        <v>0.60735719639171193</v>
      </c>
      <c r="E83" s="60">
        <f>IRR(B11:H11)</f>
        <v>4.8413520057646098E-2</v>
      </c>
      <c r="J83" s="5"/>
    </row>
    <row r="84" spans="1:10" x14ac:dyDescent="0.25">
      <c r="J84" s="5"/>
    </row>
    <row r="85" spans="1:10" x14ac:dyDescent="0.25">
      <c r="J85" s="5"/>
    </row>
    <row r="86" spans="1:10" x14ac:dyDescent="0.25">
      <c r="J86" s="5"/>
    </row>
    <row r="87" spans="1:10" x14ac:dyDescent="0.25">
      <c r="J87" s="5"/>
    </row>
    <row r="88" spans="1:10" x14ac:dyDescent="0.25">
      <c r="A88" t="s">
        <v>148</v>
      </c>
      <c r="B88">
        <v>0</v>
      </c>
      <c r="C88">
        <v>1</v>
      </c>
      <c r="D88">
        <v>2</v>
      </c>
      <c r="E88">
        <v>3</v>
      </c>
      <c r="F88">
        <v>4</v>
      </c>
      <c r="G88">
        <v>5</v>
      </c>
      <c r="H88">
        <v>6</v>
      </c>
      <c r="I88">
        <v>7</v>
      </c>
      <c r="J88" s="5"/>
    </row>
    <row r="89" spans="1:10" x14ac:dyDescent="0.25">
      <c r="B89" s="59">
        <v>10000000</v>
      </c>
      <c r="C89" s="59">
        <v>-8000000</v>
      </c>
      <c r="D89" s="59">
        <v>-8000000</v>
      </c>
      <c r="E89" s="59">
        <v>-8000000</v>
      </c>
      <c r="F89" s="59">
        <v>5000000</v>
      </c>
      <c r="G89" s="59">
        <v>5000000</v>
      </c>
      <c r="H89" s="59">
        <v>5000000</v>
      </c>
      <c r="I89" s="59">
        <v>5000000</v>
      </c>
    </row>
    <row r="91" spans="1:10" x14ac:dyDescent="0.25">
      <c r="B91" s="15" t="s">
        <v>247</v>
      </c>
      <c r="C91" s="44">
        <f>NPV(C2,C89,D89,E89,F89,G89,H89,I89)+B89</f>
        <v>2013018.2056697672</v>
      </c>
    </row>
    <row r="93" spans="1:10" x14ac:dyDescent="0.25">
      <c r="B93" t="s">
        <v>246</v>
      </c>
      <c r="C93" s="5" t="e">
        <f>IRR(B89:I89)</f>
        <v>#NUM!</v>
      </c>
    </row>
    <row r="95" spans="1:10" x14ac:dyDescent="0.25">
      <c r="B95" s="5">
        <v>0.01</v>
      </c>
      <c r="C95" s="6">
        <f>NPV(B95,$C$89,$D$89,$E$89,$F$89,$G$89,$H$89,$I$89)+$B$89</f>
        <v>5408164.9523700913</v>
      </c>
    </row>
    <row r="96" spans="1:10" x14ac:dyDescent="0.25">
      <c r="B96" s="5">
        <v>0.02</v>
      </c>
      <c r="C96" s="6">
        <f>NPV(B96,$C$89,$D$89,$E$89,$F$89,$G$89,$H$89,$I$89)+$B$89</f>
        <v>4869472.8021004796</v>
      </c>
    </row>
    <row r="97" spans="2:3" x14ac:dyDescent="0.25">
      <c r="B97" s="5">
        <v>0.03</v>
      </c>
      <c r="C97" s="6">
        <f>NPV(B97,$C$89,$D$89,$E$89,$F$89,$G$89,$H$89,$I$89)+$B$89</f>
        <v>4379467.1624768563</v>
      </c>
    </row>
    <row r="98" spans="2:3" x14ac:dyDescent="0.25">
      <c r="B98" s="5">
        <v>0.04</v>
      </c>
      <c r="C98" s="6">
        <f>NPV(B98,$C$89,$D$89,$E$89,$F$89,$G$89,$H$89,$I$89)+$B$89</f>
        <v>3934089.9177894108</v>
      </c>
    </row>
    <row r="99" spans="2:3" x14ac:dyDescent="0.25">
      <c r="B99" s="5">
        <v>0.05</v>
      </c>
      <c r="C99" s="6">
        <f>NPV(B99,$C$89,$D$89,$E$89,$F$89,$G$89,$H$89,$I$89)+$B$89</f>
        <v>3529642.6051716218</v>
      </c>
    </row>
    <row r="100" spans="2:3" x14ac:dyDescent="0.25">
      <c r="B100" s="5">
        <v>0.06</v>
      </c>
      <c r="C100" s="6">
        <f>NPV(B100,$C$89,$D$89,$E$89,$F$89,$G$89,$H$89,$I$89)+$B$89</f>
        <v>3162751.8551373603</v>
      </c>
    </row>
    <row r="101" spans="2:3" x14ac:dyDescent="0.25">
      <c r="B101" s="5">
        <v>7.0000000000000007E-2</v>
      </c>
      <c r="C101" s="6">
        <f>NPV(B101,$C$89,$D$89,$E$89,$F$89,$G$89,$H$89,$I$89)+$B$89</f>
        <v>2830338.4308302859</v>
      </c>
    </row>
    <row r="102" spans="2:3" x14ac:dyDescent="0.25">
      <c r="B102" s="5">
        <v>0.08</v>
      </c>
      <c r="C102" s="6">
        <f>NPV(B102,$C$89,$D$89,$E$89,$F$89,$G$89,$H$89,$I$89)+$B$89</f>
        <v>2529589.4618941946</v>
      </c>
    </row>
    <row r="103" spans="2:3" x14ac:dyDescent="0.25">
      <c r="B103" s="5">
        <v>0.09</v>
      </c>
      <c r="C103" s="6">
        <f>NPV(B103,$C$89,$D$89,$E$89,$F$89,$G$89,$H$89,$I$89)+$B$89</f>
        <v>2257933.5175249763</v>
      </c>
    </row>
    <row r="104" spans="2:3" x14ac:dyDescent="0.25">
      <c r="B104" s="5">
        <v>0.1</v>
      </c>
      <c r="C104" s="6">
        <f>NPV(B104,$C$89,$D$89,$E$89,$F$89,$G$89,$H$89,$I$89)+$B$89</f>
        <v>2013018.2056697672</v>
      </c>
    </row>
    <row r="105" spans="2:3" x14ac:dyDescent="0.25">
      <c r="B105" s="5">
        <v>0.11</v>
      </c>
      <c r="C105" s="6">
        <f>NPV(B105,$C$89,$D$89,$E$89,$F$89,$G$89,$H$89,$I$89)+$B$89</f>
        <v>1792690.0223485213</v>
      </c>
    </row>
    <row r="106" spans="2:3" x14ac:dyDescent="0.25">
      <c r="B106" s="5">
        <v>0.12</v>
      </c>
      <c r="C106" s="6">
        <f>NPV(B106,$C$89,$D$89,$E$89,$F$89,$G$89,$H$89,$I$89)+$B$89</f>
        <v>1594976.2074156329</v>
      </c>
    </row>
    <row r="107" spans="2:3" x14ac:dyDescent="0.25">
      <c r="B107" s="5">
        <v>0.13</v>
      </c>
      <c r="C107" s="6">
        <f>NPV(B107,$C$89,$D$89,$E$89,$F$89,$G$89,$H$89,$I$89)+$B$89</f>
        <v>1418068.3913794924</v>
      </c>
    </row>
    <row r="108" spans="2:3" x14ac:dyDescent="0.25">
      <c r="B108" s="5">
        <v>0.14000000000000001</v>
      </c>
      <c r="C108" s="6">
        <f>NPV(B108,$C$89,$D$89,$E$89,$F$89,$G$89,$H$89,$I$89)+$B$89</f>
        <v>1260307.8426919654</v>
      </c>
    </row>
    <row r="109" spans="2:3" x14ac:dyDescent="0.25">
      <c r="B109" s="5">
        <v>0.15</v>
      </c>
      <c r="C109" s="6">
        <f>NPV(B109,$C$89,$D$89,$E$89,$F$89,$G$89,$H$89,$I$89)+$B$89</f>
        <v>1120172.1466692276</v>
      </c>
    </row>
    <row r="110" spans="2:3" x14ac:dyDescent="0.25">
      <c r="B110" s="5">
        <v>0.16</v>
      </c>
      <c r="C110" s="6">
        <f>NPV(B110,$C$89,$D$89,$E$89,$F$89,$G$89,$H$89,$I$89)+$B$89</f>
        <v>996263.16630651243</v>
      </c>
    </row>
    <row r="111" spans="2:3" x14ac:dyDescent="0.25">
      <c r="B111" s="5">
        <v>0.17</v>
      </c>
      <c r="C111" s="6">
        <f>NPV(B111,$C$89,$D$89,$E$89,$F$89,$G$89,$H$89,$I$89)+$B$89</f>
        <v>887296.15204541571</v>
      </c>
    </row>
    <row r="112" spans="2:3" x14ac:dyDescent="0.25">
      <c r="B112" s="5">
        <v>0.18</v>
      </c>
      <c r="C112" s="6">
        <f>NPV(B112,$C$89,$D$89,$E$89,$F$89,$G$89,$H$89,$I$89)+$B$89</f>
        <v>792089.88233776949</v>
      </c>
    </row>
    <row r="113" spans="2:3" x14ac:dyDescent="0.25">
      <c r="B113" s="5">
        <v>0.19</v>
      </c>
      <c r="C113" s="6">
        <f>NPV(B113,$C$89,$D$89,$E$89,$F$89,$G$89,$H$89,$I$89)+$B$89</f>
        <v>709557.72988128103</v>
      </c>
    </row>
    <row r="114" spans="2:3" x14ac:dyDescent="0.25">
      <c r="B114" s="5">
        <v>0.2</v>
      </c>
      <c r="C114" s="6">
        <f>NPV(B114,$C$89,$D$89,$E$89,$F$89,$G$89,$H$89,$I$89)+$B$89</f>
        <v>638699.55989940278</v>
      </c>
    </row>
    <row r="115" spans="2:3" x14ac:dyDescent="0.25">
      <c r="B115" s="5">
        <v>0.21</v>
      </c>
      <c r="C115" s="6">
        <f>NPV(B115,$C$89,$D$89,$E$89,$F$89,$G$89,$H$89,$I$89)+$B$89</f>
        <v>578594.37699384242</v>
      </c>
    </row>
    <row r="116" spans="2:3" x14ac:dyDescent="0.25">
      <c r="B116" s="5">
        <v>0.22</v>
      </c>
      <c r="C116" s="6">
        <f>NPV(B116,$C$89,$D$89,$E$89,$F$89,$G$89,$H$89,$I$89)+$B$89</f>
        <v>528393.64607779309</v>
      </c>
    </row>
    <row r="117" spans="2:3" x14ac:dyDescent="0.25">
      <c r="B117" s="5">
        <v>0.23</v>
      </c>
      <c r="C117" s="6">
        <f>NPV(B117,$C$89,$D$89,$E$89,$F$89,$G$89,$H$89,$I$89)+$B$89</f>
        <v>487315.22084753215</v>
      </c>
    </row>
    <row r="118" spans="2:3" x14ac:dyDescent="0.25">
      <c r="B118" s="5">
        <v>0.24</v>
      </c>
      <c r="C118" s="6">
        <f>NPV(B118,$C$89,$D$89,$E$89,$F$89,$G$89,$H$89,$I$89)+$B$89</f>
        <v>454637.82029345632</v>
      </c>
    </row>
    <row r="119" spans="2:3" x14ac:dyDescent="0.25">
      <c r="B119" s="5">
        <v>0.25</v>
      </c>
      <c r="C119" s="6">
        <f>NPV(B119,$C$89,$D$89,$E$89,$F$89,$G$89,$H$89,$I$89)+$B$89</f>
        <v>429696</v>
      </c>
    </row>
    <row r="120" spans="2:3" x14ac:dyDescent="0.25">
      <c r="B120" s="5">
        <v>0.26</v>
      </c>
      <c r="C120" s="6">
        <f>NPV(B120,$C$89,$D$89,$E$89,$F$89,$G$89,$H$89,$I$89)+$B$89</f>
        <v>411875.57053163834</v>
      </c>
    </row>
    <row r="121" spans="2:3" x14ac:dyDescent="0.25">
      <c r="B121" s="5">
        <v>0.27</v>
      </c>
      <c r="C121" s="6">
        <f>NPV(B121,$C$89,$D$89,$E$89,$F$89,$G$89,$H$89,$I$89)+$B$89</f>
        <v>400609.42013310269</v>
      </c>
    </row>
    <row r="122" spans="2:3" x14ac:dyDescent="0.25">
      <c r="B122" s="5">
        <v>0.28000000000000003</v>
      </c>
      <c r="C122" s="6">
        <f>NPV(B122,$C$89,$D$89,$E$89,$F$89,$G$89,$H$89,$I$89)+$B$89</f>
        <v>395373.70335892774</v>
      </c>
    </row>
    <row r="123" spans="2:3" x14ac:dyDescent="0.25">
      <c r="B123" s="5">
        <v>0.28999999999999998</v>
      </c>
      <c r="C123" s="6">
        <f>NPV(B123,$C$89,$D$89,$E$89,$F$89,$G$89,$H$89,$I$89)+$B$89</f>
        <v>395684.36115432717</v>
      </c>
    </row>
    <row r="124" spans="2:3" x14ac:dyDescent="0.25">
      <c r="B124" s="5">
        <v>0.3</v>
      </c>
      <c r="C124" s="6">
        <f>NPV(B124,$C$89,$D$89,$E$89,$F$89,$G$89,$H$89,$I$89)+$B$89</f>
        <v>401093.9413914755</v>
      </c>
    </row>
    <row r="125" spans="2:3" x14ac:dyDescent="0.25">
      <c r="B125" s="5">
        <v>0.31</v>
      </c>
      <c r="C125" s="6">
        <f>NPV(B125,$C$89,$D$89,$E$89,$F$89,$G$89,$H$89,$I$89)+$B$89</f>
        <v>411188.69197254814</v>
      </c>
    </row>
    <row r="126" spans="2:3" x14ac:dyDescent="0.25">
      <c r="B126" s="5">
        <v>0.32</v>
      </c>
      <c r="C126" s="6">
        <f>NPV(B126,$C$89,$D$89,$E$89,$F$89,$G$89,$H$89,$I$89)+$B$89</f>
        <v>425585.90138519369</v>
      </c>
    </row>
    <row r="127" spans="2:3" x14ac:dyDescent="0.25">
      <c r="B127" s="5">
        <v>0.33</v>
      </c>
      <c r="C127" s="6">
        <f>NPV(B127,$C$89,$D$89,$E$89,$F$89,$G$89,$H$89,$I$89)+$B$89</f>
        <v>443931.4640762601</v>
      </c>
    </row>
    <row r="128" spans="2:3" x14ac:dyDescent="0.25">
      <c r="B128" s="5">
        <v>0.34</v>
      </c>
      <c r="C128" s="6">
        <f>NPV(B128,$C$89,$D$89,$E$89,$F$89,$G$89,$H$89,$I$89)+$B$89</f>
        <v>465897.65022807382</v>
      </c>
    </row>
    <row r="129" spans="2:3" x14ac:dyDescent="0.25">
      <c r="B129" s="5">
        <v>0.35</v>
      </c>
      <c r="C129" s="6">
        <f>NPV(B129,$C$89,$D$89,$E$89,$F$89,$G$89,$H$89,$I$89)+$B$89</f>
        <v>491181.06150817685</v>
      </c>
    </row>
    <row r="130" spans="2:3" x14ac:dyDescent="0.25">
      <c r="B130" s="5">
        <v>0.36</v>
      </c>
      <c r="C130" s="6">
        <f>NPV(B130,$C$89,$D$89,$E$89,$F$89,$G$89,$H$89,$I$89)+$B$89</f>
        <v>519500.75614354014</v>
      </c>
    </row>
    <row r="131" spans="2:3" x14ac:dyDescent="0.25">
      <c r="B131" s="5">
        <v>0.37</v>
      </c>
      <c r="C131" s="6">
        <f>NPV(B131,$C$89,$D$89,$E$89,$F$89,$G$89,$H$89,$I$89)+$B$89</f>
        <v>550596.52826708555</v>
      </c>
    </row>
    <row r="132" spans="2:3" x14ac:dyDescent="0.25">
      <c r="B132" s="5">
        <v>0.38</v>
      </c>
      <c r="C132" s="6">
        <f>NPV(B132,$C$89,$D$89,$E$89,$F$89,$G$89,$H$89,$I$89)+$B$89</f>
        <v>584227.32791751623</v>
      </c>
    </row>
    <row r="133" spans="2:3" x14ac:dyDescent="0.25">
      <c r="B133" s="5">
        <v>0.39</v>
      </c>
      <c r="C133" s="6">
        <f>NPV(B133,$C$89,$D$89,$E$89,$F$89,$G$89,$H$89,$I$89)+$B$89</f>
        <v>620169.80936119892</v>
      </c>
    </row>
    <row r="134" spans="2:3" x14ac:dyDescent="0.25">
      <c r="B134" s="5">
        <v>0.4</v>
      </c>
      <c r="C134" s="6">
        <f>NPV(B134,$C$89,$D$89,$E$89,$F$89,$G$89,$H$89,$I$89)+$B$89</f>
        <v>658216.99656241573</v>
      </c>
    </row>
    <row r="135" spans="2:3" x14ac:dyDescent="0.25">
      <c r="B135" s="5">
        <v>0.41</v>
      </c>
      <c r="C135" s="6">
        <f>NPV(B135,$C$89,$D$89,$E$89,$F$89,$G$89,$H$89,$I$89)+$B$89</f>
        <v>698177.05567025952</v>
      </c>
    </row>
    <row r="136" spans="2:3" x14ac:dyDescent="0.25">
      <c r="B136" s="5">
        <v>0.42</v>
      </c>
      <c r="C136" s="6">
        <f>NPV(B136,$C$89,$D$89,$E$89,$F$89,$G$89,$H$89,$I$89)+$B$89</f>
        <v>739872.16532832012</v>
      </c>
    </row>
    <row r="137" spans="2:3" x14ac:dyDescent="0.25">
      <c r="B137" s="5">
        <v>0.43</v>
      </c>
      <c r="C137" s="6">
        <f>NPV(B137,$C$89,$D$89,$E$89,$F$89,$G$89,$H$89,$I$89)+$B$89</f>
        <v>783137.47645887174</v>
      </c>
    </row>
    <row r="138" spans="2:3" x14ac:dyDescent="0.25">
      <c r="B138" s="5">
        <v>0.44</v>
      </c>
      <c r="C138" s="6">
        <f>NPV(B138,$C$89,$D$89,$E$89,$F$89,$G$89,$H$89,$I$89)+$B$89</f>
        <v>827820.15393578447</v>
      </c>
    </row>
    <row r="139" spans="2:3" x14ac:dyDescent="0.25">
      <c r="B139" s="5">
        <v>0.45</v>
      </c>
      <c r="C139" s="6">
        <f>NPV(B139,$C$89,$D$89,$E$89,$F$89,$G$89,$H$89,$I$89)+$B$89</f>
        <v>873778.49324844033</v>
      </c>
    </row>
    <row r="140" spans="2:3" x14ac:dyDescent="0.25">
      <c r="B140" s="5">
        <v>0.46</v>
      </c>
      <c r="C140" s="6">
        <f>NPV(B140,$C$89,$D$89,$E$89,$F$89,$G$89,$H$89,$I$89)+$B$89</f>
        <v>920881.10588062368</v>
      </c>
    </row>
    <row r="141" spans="2:3" x14ac:dyDescent="0.25">
      <c r="B141" s="5">
        <v>0.47</v>
      </c>
      <c r="C141" s="6">
        <f>NPV(B141,$C$89,$D$89,$E$89,$F$89,$G$89,$H$89,$I$89)+$B$89</f>
        <v>969006.16769017093</v>
      </c>
    </row>
    <row r="142" spans="2:3" x14ac:dyDescent="0.25">
      <c r="B142" s="5">
        <v>0.48</v>
      </c>
      <c r="C142" s="6">
        <f>NPV(B142,$C$89,$D$89,$E$89,$F$89,$G$89,$H$89,$I$89)+$B$89</f>
        <v>1018040.7250833176</v>
      </c>
    </row>
    <row r="143" spans="2:3" x14ac:dyDescent="0.25">
      <c r="B143" s="5">
        <v>0.49</v>
      </c>
      <c r="C143" s="6">
        <f>NPV(B143,$C$89,$D$89,$E$89,$F$89,$G$89,$H$89,$I$89)+$B$89</f>
        <v>1067880.0542376656</v>
      </c>
    </row>
    <row r="144" spans="2:3" x14ac:dyDescent="0.25">
      <c r="B144" s="5">
        <v>0.5</v>
      </c>
      <c r="C144" s="6">
        <f>NPV(B144,$C$89,$D$89,$E$89,$F$89,$G$89,$H$89,$I$89)+$B$89</f>
        <v>1118427.0690443534</v>
      </c>
    </row>
    <row r="145" spans="2:3" x14ac:dyDescent="0.25">
      <c r="B145" s="5">
        <v>0.51</v>
      </c>
      <c r="C145" s="6">
        <f>NPV(B145,$C$89,$D$89,$E$89,$F$89,$G$89,$H$89,$I$89)+$B$89</f>
        <v>1169591.7738176659</v>
      </c>
    </row>
    <row r="146" spans="2:3" x14ac:dyDescent="0.25">
      <c r="B146" s="5">
        <v>0.52</v>
      </c>
      <c r="C146" s="6">
        <f>NPV(B146,$C$89,$D$89,$E$89,$F$89,$G$89,$H$89,$I$89)+$B$89</f>
        <v>1221290.7571627423</v>
      </c>
    </row>
    <row r="147" spans="2:3" x14ac:dyDescent="0.25">
      <c r="B147" s="5">
        <v>0.53</v>
      </c>
      <c r="C147" s="6">
        <f>NPV(B147,$C$89,$D$89,$E$89,$F$89,$G$89,$H$89,$I$89)+$B$89</f>
        <v>1273446.72370301</v>
      </c>
    </row>
    <row r="148" spans="2:3" x14ac:dyDescent="0.25">
      <c r="B148" s="5">
        <v>0.54</v>
      </c>
      <c r="C148" s="6">
        <f>NPV(B148,$C$89,$D$89,$E$89,$F$89,$G$89,$H$89,$I$89)+$B$89</f>
        <v>1325988.0606511962</v>
      </c>
    </row>
    <row r="149" spans="2:3" x14ac:dyDescent="0.25">
      <c r="B149" s="5">
        <v>0.55000000000000004</v>
      </c>
      <c r="C149" s="6">
        <f>NPV(B149,$C$89,$D$89,$E$89,$F$89,$G$89,$H$89,$I$89)+$B$89</f>
        <v>1378848.4364643749</v>
      </c>
    </row>
    <row r="150" spans="2:3" x14ac:dyDescent="0.25">
      <c r="B150" s="5">
        <v>0.56000000000000005</v>
      </c>
      <c r="C150" s="6">
        <f>NPV(B150,$C$89,$D$89,$E$89,$F$89,$G$89,$H$89,$I$89)+$B$89</f>
        <v>1431966.4290568177</v>
      </c>
    </row>
    <row r="151" spans="2:3" x14ac:dyDescent="0.25">
      <c r="B151" s="5">
        <v>0.56999999999999995</v>
      </c>
      <c r="C151" s="6">
        <f>NPV(B151,$C$89,$D$89,$E$89,$F$89,$G$89,$H$89,$I$89)+$B$89</f>
        <v>1485285.1812566388</v>
      </c>
    </row>
    <row r="152" spans="2:3" x14ac:dyDescent="0.25">
      <c r="B152" s="5">
        <v>0.57999999999999996</v>
      </c>
      <c r="C152" s="6">
        <f>NPV(B152,$C$89,$D$89,$E$89,$F$89,$G$89,$H$89,$I$89)+$B$89</f>
        <v>1538752.0813855082</v>
      </c>
    </row>
    <row r="153" spans="2:3" x14ac:dyDescent="0.25">
      <c r="B153" s="5">
        <v>0.59</v>
      </c>
      <c r="C153" s="6">
        <f>NPV(B153,$C$89,$D$89,$E$89,$F$89,$G$89,$H$89,$I$89)+$B$89</f>
        <v>1592318.4670168199</v>
      </c>
    </row>
    <row r="154" spans="2:3" x14ac:dyDescent="0.25">
      <c r="B154" s="5">
        <v>0.6</v>
      </c>
      <c r="C154" s="6">
        <f>NPV(B154,$C$89,$D$89,$E$89,$F$89,$G$89,$H$89,$I$89)+$B$89</f>
        <v>1645939.3501281738</v>
      </c>
    </row>
    <row r="155" spans="2:3" x14ac:dyDescent="0.25">
      <c r="B155" s="5">
        <v>0.61</v>
      </c>
      <c r="C155" s="6">
        <f>NPV(B155,$C$89,$D$89,$E$89,$F$89,$G$89,$H$89,$I$89)+$B$89</f>
        <v>1699573.1620103288</v>
      </c>
    </row>
    <row r="156" spans="2:3" x14ac:dyDescent="0.25">
      <c r="B156" s="5">
        <v>0.62</v>
      </c>
      <c r="C156" s="6">
        <f>NPV(B156,$C$89,$D$89,$E$89,$F$89,$G$89,$H$89,$I$89)+$B$89</f>
        <v>1753181.5164285628</v>
      </c>
    </row>
    <row r="157" spans="2:3" x14ac:dyDescent="0.25">
      <c r="B157" s="5"/>
      <c r="C157" s="6"/>
    </row>
    <row r="158" spans="2:3" x14ac:dyDescent="0.25">
      <c r="B158" s="5"/>
      <c r="C158" s="6"/>
    </row>
    <row r="159" spans="2:3" x14ac:dyDescent="0.25">
      <c r="B159" s="5"/>
      <c r="C159" s="6"/>
    </row>
    <row r="160" spans="2:3" x14ac:dyDescent="0.25">
      <c r="B160" s="5"/>
      <c r="C160" s="6"/>
    </row>
    <row r="161" spans="2:3" x14ac:dyDescent="0.25">
      <c r="B161" s="5"/>
      <c r="C161" s="6"/>
    </row>
    <row r="162" spans="2:3" x14ac:dyDescent="0.25">
      <c r="B162" s="5"/>
      <c r="C162" s="6"/>
    </row>
    <row r="163" spans="2:3" x14ac:dyDescent="0.25">
      <c r="B163" s="5"/>
      <c r="C163" s="6"/>
    </row>
    <row r="164" spans="2:3" x14ac:dyDescent="0.25">
      <c r="B164" s="5"/>
      <c r="C164" s="6"/>
    </row>
    <row r="165" spans="2:3" x14ac:dyDescent="0.25">
      <c r="B165" s="5"/>
      <c r="C165" s="6"/>
    </row>
    <row r="166" spans="2:3" x14ac:dyDescent="0.25">
      <c r="B166" s="5"/>
      <c r="C166" s="6"/>
    </row>
    <row r="167" spans="2:3" x14ac:dyDescent="0.25">
      <c r="B167" s="5"/>
      <c r="C167" s="6"/>
    </row>
    <row r="168" spans="2:3" x14ac:dyDescent="0.25">
      <c r="B168" s="5"/>
      <c r="C168" s="6"/>
    </row>
    <row r="169" spans="2:3" x14ac:dyDescent="0.25">
      <c r="B169" s="5"/>
      <c r="C169" s="6"/>
    </row>
    <row r="170" spans="2:3" x14ac:dyDescent="0.25">
      <c r="B170" s="5"/>
      <c r="C170" s="6"/>
    </row>
    <row r="171" spans="2:3" x14ac:dyDescent="0.25">
      <c r="B171" s="5"/>
      <c r="C171" s="6"/>
    </row>
    <row r="172" spans="2:3" x14ac:dyDescent="0.25">
      <c r="B172" s="5"/>
      <c r="C172" s="6"/>
    </row>
    <row r="173" spans="2:3" x14ac:dyDescent="0.25">
      <c r="B173" s="5"/>
      <c r="C173" s="6"/>
    </row>
    <row r="174" spans="2:3" x14ac:dyDescent="0.25">
      <c r="B174" s="5"/>
      <c r="C174" s="6"/>
    </row>
    <row r="175" spans="2:3" x14ac:dyDescent="0.25">
      <c r="B175" s="5"/>
      <c r="C175" s="6"/>
    </row>
    <row r="176" spans="2:3" x14ac:dyDescent="0.25">
      <c r="B176" s="5"/>
      <c r="C176" s="6"/>
    </row>
    <row r="177" spans="2:3" x14ac:dyDescent="0.25">
      <c r="B177" s="5"/>
      <c r="C177" s="6"/>
    </row>
    <row r="178" spans="2:3" x14ac:dyDescent="0.25">
      <c r="B178" s="5"/>
      <c r="C178" s="6"/>
    </row>
    <row r="179" spans="2:3" x14ac:dyDescent="0.25">
      <c r="B179" s="5"/>
      <c r="C179" s="6"/>
    </row>
    <row r="180" spans="2:3" x14ac:dyDescent="0.25">
      <c r="B180" s="5"/>
      <c r="C180" s="6"/>
    </row>
    <row r="181" spans="2:3" x14ac:dyDescent="0.25">
      <c r="B181" s="5"/>
      <c r="C181" s="6"/>
    </row>
    <row r="182" spans="2:3" x14ac:dyDescent="0.25">
      <c r="B182" s="5"/>
      <c r="C182" s="6"/>
    </row>
    <row r="183" spans="2:3" x14ac:dyDescent="0.25">
      <c r="B183" s="5"/>
      <c r="C183" s="6"/>
    </row>
    <row r="184" spans="2:3" x14ac:dyDescent="0.25">
      <c r="B184" s="5"/>
      <c r="C184" s="6"/>
    </row>
    <row r="185" spans="2:3" x14ac:dyDescent="0.25">
      <c r="B185" s="5"/>
      <c r="C185" s="6"/>
    </row>
    <row r="186" spans="2:3" x14ac:dyDescent="0.25">
      <c r="B186" s="5"/>
      <c r="C186" s="6"/>
    </row>
    <row r="187" spans="2:3" x14ac:dyDescent="0.25">
      <c r="B187" s="5"/>
      <c r="C187" s="6"/>
    </row>
    <row r="188" spans="2:3" x14ac:dyDescent="0.25">
      <c r="B188" s="5"/>
      <c r="C188" s="6"/>
    </row>
    <row r="189" spans="2:3" x14ac:dyDescent="0.25">
      <c r="B189" s="5"/>
      <c r="C189" s="6"/>
    </row>
    <row r="190" spans="2:3" x14ac:dyDescent="0.25">
      <c r="B190" s="5"/>
      <c r="C190" s="6"/>
    </row>
    <row r="191" spans="2:3" x14ac:dyDescent="0.25">
      <c r="B191" s="5"/>
      <c r="C191" s="6"/>
    </row>
    <row r="192" spans="2:3" x14ac:dyDescent="0.25">
      <c r="B192" s="5"/>
      <c r="C192" s="6"/>
    </row>
    <row r="193" spans="2:3" x14ac:dyDescent="0.25">
      <c r="B193" s="5"/>
      <c r="C193" s="6"/>
    </row>
    <row r="194" spans="2:3" x14ac:dyDescent="0.25">
      <c r="B194" s="5"/>
      <c r="C194" s="6"/>
    </row>
  </sheetData>
  <pageMargins left="0.7" right="0.7" top="0.78740157499999996" bottom="0.78740157499999996"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86B13-3D4B-4EB3-94A5-2FB01F36B7C5}">
  <dimension ref="A1:P18"/>
  <sheetViews>
    <sheetView workbookViewId="0">
      <selection activeCell="D44" sqref="D44"/>
    </sheetView>
  </sheetViews>
  <sheetFormatPr baseColWidth="10" defaultRowHeight="15" x14ac:dyDescent="0.25"/>
  <cols>
    <col min="13" max="13" width="23.28515625" bestFit="1" customWidth="1"/>
    <col min="16" max="16" width="21" bestFit="1" customWidth="1"/>
  </cols>
  <sheetData>
    <row r="1" spans="1:16" x14ac:dyDescent="0.25">
      <c r="A1" t="s">
        <v>1</v>
      </c>
    </row>
    <row r="2" spans="1:16" ht="45" x14ac:dyDescent="0.25">
      <c r="A2" s="15" t="s">
        <v>0</v>
      </c>
      <c r="B2" s="15" t="s">
        <v>14</v>
      </c>
      <c r="C2" s="15" t="s">
        <v>17</v>
      </c>
      <c r="D2" s="66" t="s">
        <v>262</v>
      </c>
      <c r="E2" s="66"/>
      <c r="F2" s="15" t="s">
        <v>15</v>
      </c>
      <c r="G2" s="15" t="s">
        <v>17</v>
      </c>
      <c r="H2" s="66" t="s">
        <v>262</v>
      </c>
      <c r="M2" t="s">
        <v>261</v>
      </c>
    </row>
    <row r="3" spans="1:16" x14ac:dyDescent="0.25">
      <c r="A3" s="15">
        <v>0</v>
      </c>
      <c r="B3" s="11">
        <v>-300</v>
      </c>
      <c r="C3" s="11">
        <v>-300</v>
      </c>
      <c r="D3" s="65">
        <v>-300</v>
      </c>
      <c r="F3" s="11">
        <v>-230</v>
      </c>
      <c r="G3" s="11">
        <v>-230</v>
      </c>
      <c r="H3" s="65">
        <v>-230</v>
      </c>
    </row>
    <row r="4" spans="1:16" x14ac:dyDescent="0.25">
      <c r="A4" s="15">
        <v>1</v>
      </c>
      <c r="B4" s="11">
        <v>85</v>
      </c>
      <c r="C4" s="11">
        <f>B4/(1+$C$11)^$A4</f>
        <v>77.272727272727266</v>
      </c>
      <c r="D4" s="3">
        <f>C4+D3</f>
        <v>-222.72727272727275</v>
      </c>
      <c r="E4" s="1"/>
      <c r="F4" s="11">
        <v>95</v>
      </c>
      <c r="G4" s="11">
        <f>F4/(1+$C$11)^$A4</f>
        <v>86.36363636363636</v>
      </c>
      <c r="H4" s="3">
        <f>G4+H3</f>
        <v>-143.63636363636363</v>
      </c>
      <c r="K4" s="15" t="s">
        <v>0</v>
      </c>
      <c r="L4" s="15" t="s">
        <v>260</v>
      </c>
      <c r="M4" s="15" t="s">
        <v>259</v>
      </c>
      <c r="N4" s="15"/>
      <c r="O4" s="15" t="s">
        <v>258</v>
      </c>
      <c r="P4" s="15" t="s">
        <v>257</v>
      </c>
    </row>
    <row r="5" spans="1:16" x14ac:dyDescent="0.25">
      <c r="A5" s="15">
        <v>2</v>
      </c>
      <c r="B5" s="11">
        <v>90</v>
      </c>
      <c r="C5" s="11">
        <f>B5/(1+$C$11)^$A5</f>
        <v>74.380165289256183</v>
      </c>
      <c r="D5" s="3">
        <f>C5+D4</f>
        <v>-148.34710743801656</v>
      </c>
      <c r="E5" s="1"/>
      <c r="F5" s="11">
        <v>95</v>
      </c>
      <c r="G5" s="11">
        <f>F5/(1+$C$11)^$A5</f>
        <v>78.512396694214857</v>
      </c>
      <c r="H5" s="3">
        <f>G5+H4</f>
        <v>-65.123966942148769</v>
      </c>
      <c r="K5" s="15">
        <v>0</v>
      </c>
      <c r="L5">
        <v>-300</v>
      </c>
      <c r="M5" s="1"/>
      <c r="O5" s="20">
        <v>-230</v>
      </c>
      <c r="P5" s="20"/>
    </row>
    <row r="6" spans="1:16" x14ac:dyDescent="0.25">
      <c r="A6" s="15">
        <v>3</v>
      </c>
      <c r="B6" s="11">
        <v>80</v>
      </c>
      <c r="C6" s="11">
        <f>B6/(1+$C$11)^$A6</f>
        <v>60.1051840721262</v>
      </c>
      <c r="D6" s="3">
        <f>C6+D5</f>
        <v>-88.241923365890358</v>
      </c>
      <c r="E6" s="1"/>
      <c r="F6" s="11">
        <v>95</v>
      </c>
      <c r="G6" s="11">
        <f>F6/(1+$C$11)^$A6</f>
        <v>71.374906085649869</v>
      </c>
      <c r="H6" s="63">
        <f>G6+H5</f>
        <v>6.2509391435010997</v>
      </c>
      <c r="K6" s="15">
        <v>1</v>
      </c>
      <c r="L6" s="20">
        <f>B4*1.1^-A4</f>
        <v>77.272727272727266</v>
      </c>
      <c r="M6" s="1">
        <f>L6</f>
        <v>77.272727272727266</v>
      </c>
      <c r="O6" s="20">
        <f>F4*1.1^-A4</f>
        <v>86.36363636363636</v>
      </c>
      <c r="P6" s="20">
        <f>O6</f>
        <v>86.36363636363636</v>
      </c>
    </row>
    <row r="7" spans="1:16" x14ac:dyDescent="0.25">
      <c r="A7" s="15">
        <v>4</v>
      </c>
      <c r="B7" s="11">
        <v>80</v>
      </c>
      <c r="C7" s="11">
        <f>B7/(1+$C$11)^$A7</f>
        <v>54.64107642920564</v>
      </c>
      <c r="D7" s="3">
        <f>C7+D6</f>
        <v>-33.600846936684718</v>
      </c>
      <c r="E7" s="1"/>
      <c r="H7" t="s">
        <v>256</v>
      </c>
      <c r="K7" s="15">
        <v>2</v>
      </c>
      <c r="L7" s="20">
        <f>B5*1.1^-A5</f>
        <v>74.380165289256183</v>
      </c>
      <c r="M7" s="1">
        <f>M6+L7</f>
        <v>151.65289256198344</v>
      </c>
      <c r="O7" s="20">
        <f>F5*1.1^-A5</f>
        <v>78.512396694214871</v>
      </c>
      <c r="P7" s="20">
        <f>P6+O7</f>
        <v>164.87603305785123</v>
      </c>
    </row>
    <row r="8" spans="1:16" x14ac:dyDescent="0.25">
      <c r="A8" s="15">
        <v>5</v>
      </c>
      <c r="B8" s="11">
        <v>70</v>
      </c>
      <c r="C8" s="11">
        <f>B8/(1+$C$11)^$A8</f>
        <v>43.464492614140845</v>
      </c>
      <c r="D8" s="63">
        <f>C8+D7</f>
        <v>9.8636456774561267</v>
      </c>
      <c r="E8" s="64"/>
      <c r="K8" s="15">
        <v>3</v>
      </c>
      <c r="L8" s="20">
        <f>B6*1.1^-A6</f>
        <v>60.105184072126207</v>
      </c>
      <c r="M8" s="1">
        <f>M7+L8</f>
        <v>211.75807663410964</v>
      </c>
      <c r="O8" s="20">
        <f>F6*1.1^-A6</f>
        <v>71.374906085649869</v>
      </c>
      <c r="P8" s="51">
        <f>P7+O8</f>
        <v>236.25093914350111</v>
      </c>
    </row>
    <row r="9" spans="1:16" x14ac:dyDescent="0.25">
      <c r="D9" t="s">
        <v>255</v>
      </c>
      <c r="K9" s="15">
        <v>4</v>
      </c>
      <c r="L9" s="20">
        <f>B7*1.1^-A7</f>
        <v>54.64107642920564</v>
      </c>
      <c r="M9" s="1">
        <f>M8+L9</f>
        <v>266.39915306331528</v>
      </c>
      <c r="O9" s="20"/>
      <c r="P9" s="20" t="s">
        <v>254</v>
      </c>
    </row>
    <row r="10" spans="1:16" x14ac:dyDescent="0.25">
      <c r="K10" s="15">
        <v>5</v>
      </c>
      <c r="L10" s="20">
        <f>B8*1.1^-A8</f>
        <v>43.464492614140845</v>
      </c>
      <c r="M10" s="63">
        <f>M9+L10</f>
        <v>309.86364567745613</v>
      </c>
      <c r="O10" s="20"/>
      <c r="P10" s="20"/>
    </row>
    <row r="11" spans="1:16" x14ac:dyDescent="0.25">
      <c r="B11" t="s">
        <v>253</v>
      </c>
      <c r="C11" s="5">
        <v>0.1</v>
      </c>
      <c r="M11" t="s">
        <v>252</v>
      </c>
    </row>
    <row r="16" spans="1:16" x14ac:dyDescent="0.25">
      <c r="C16" s="20"/>
      <c r="H16" s="1"/>
    </row>
    <row r="18" spans="3:8" x14ac:dyDescent="0.25">
      <c r="C18" s="32"/>
      <c r="H18" s="62"/>
    </row>
  </sheetData>
  <pageMargins left="0.7" right="0.7" top="0.78740157499999996" bottom="0.78740157499999996" header="0.3" footer="0.3"/>
  <pageSetup paperSize="9" orientation="portrait" horizontalDpi="0" verticalDpi="0"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B1A4-4796-4A2F-B010-D51AF46BEC83}">
  <dimension ref="A1:F35"/>
  <sheetViews>
    <sheetView workbookViewId="0">
      <selection activeCell="D44" sqref="D44"/>
    </sheetView>
  </sheetViews>
  <sheetFormatPr baseColWidth="10" defaultRowHeight="15" x14ac:dyDescent="0.25"/>
  <cols>
    <col min="3" max="4" width="12" bestFit="1" customWidth="1"/>
    <col min="5" max="5" width="18" bestFit="1" customWidth="1"/>
    <col min="6" max="6" width="49" bestFit="1" customWidth="1"/>
  </cols>
  <sheetData>
    <row r="1" spans="1:6" x14ac:dyDescent="0.25">
      <c r="A1" t="s">
        <v>1</v>
      </c>
    </row>
    <row r="2" spans="1:6" x14ac:dyDescent="0.25">
      <c r="A2">
        <v>0.05</v>
      </c>
      <c r="B2" s="15" t="s">
        <v>0</v>
      </c>
      <c r="C2" s="15" t="s">
        <v>264</v>
      </c>
      <c r="D2" s="15" t="s">
        <v>17</v>
      </c>
      <c r="E2" s="15" t="s">
        <v>263</v>
      </c>
      <c r="F2" s="15" t="s">
        <v>268</v>
      </c>
    </row>
    <row r="3" spans="1:6" x14ac:dyDescent="0.25">
      <c r="B3" s="15">
        <v>1</v>
      </c>
      <c r="C3" s="11">
        <v>15000</v>
      </c>
      <c r="D3" s="11">
        <f>C3*(1+$A$2)^-B3</f>
        <v>14285.714285714284</v>
      </c>
      <c r="E3" s="11">
        <f>D3</f>
        <v>14285.714285714284</v>
      </c>
      <c r="F3" s="11">
        <f>-90000+E3</f>
        <v>-75714.28571428571</v>
      </c>
    </row>
    <row r="4" spans="1:6" x14ac:dyDescent="0.25">
      <c r="B4" s="15">
        <v>2</v>
      </c>
      <c r="C4" s="11">
        <v>15000</v>
      </c>
      <c r="D4" s="11">
        <f>C4*(1+$A$2)^-B4</f>
        <v>13605.442176870747</v>
      </c>
      <c r="E4" s="11">
        <f>E3+D4</f>
        <v>27891.15646258503</v>
      </c>
      <c r="F4" s="11">
        <f>-90000+E4</f>
        <v>-62108.84353741497</v>
      </c>
    </row>
    <row r="5" spans="1:6" x14ac:dyDescent="0.25">
      <c r="B5" s="15">
        <v>3</v>
      </c>
      <c r="C5" s="11">
        <v>15000</v>
      </c>
      <c r="D5" s="11">
        <f>C5*(1+$A$2)^-B5</f>
        <v>12957.56397797214</v>
      </c>
      <c r="E5" s="11">
        <f>E4+D5</f>
        <v>40848.720440557168</v>
      </c>
      <c r="F5" s="11">
        <f>-90000+E5</f>
        <v>-49151.279559442832</v>
      </c>
    </row>
    <row r="6" spans="1:6" x14ac:dyDescent="0.25">
      <c r="B6" s="15">
        <v>4</v>
      </c>
      <c r="C6" s="11">
        <v>15000</v>
      </c>
      <c r="D6" s="11">
        <f>C6*(1+$A$2)^-B6</f>
        <v>12340.537121878229</v>
      </c>
      <c r="E6" s="11">
        <f>E5+D6</f>
        <v>53189.257562435399</v>
      </c>
      <c r="F6" s="11">
        <f>-90000+E6</f>
        <v>-36810.742437564601</v>
      </c>
    </row>
    <row r="7" spans="1:6" x14ac:dyDescent="0.25">
      <c r="B7" s="15">
        <v>5</v>
      </c>
      <c r="C7" s="11">
        <v>15000</v>
      </c>
      <c r="D7" s="11">
        <f>C7*(1+$A$2)^-B7</f>
        <v>11752.892497026884</v>
      </c>
      <c r="E7" s="11">
        <f>E6+D7</f>
        <v>64942.150059462285</v>
      </c>
      <c r="F7" s="11">
        <f>-90000+E7</f>
        <v>-25057.849940537715</v>
      </c>
    </row>
    <row r="8" spans="1:6" x14ac:dyDescent="0.25">
      <c r="B8" s="15">
        <v>6</v>
      </c>
      <c r="C8" s="11">
        <v>15000</v>
      </c>
      <c r="D8" s="11">
        <f>C8*(1+$A$2)^-B8</f>
        <v>11193.230949549414</v>
      </c>
      <c r="E8" s="11">
        <f>E7+D8</f>
        <v>76135.381009011704</v>
      </c>
      <c r="F8" s="11">
        <f>-90000+E8</f>
        <v>-13864.618990988296</v>
      </c>
    </row>
    <row r="9" spans="1:6" x14ac:dyDescent="0.25">
      <c r="B9" s="15">
        <v>7</v>
      </c>
      <c r="C9" s="11">
        <v>15000</v>
      </c>
      <c r="D9" s="11">
        <f>C9*(1+$A$2)^-B9</f>
        <v>10660.219951951822</v>
      </c>
      <c r="E9" s="11">
        <f>E8+D9</f>
        <v>86795.600960963522</v>
      </c>
      <c r="F9" s="11">
        <f>-90000+E9</f>
        <v>-3204.3990390364779</v>
      </c>
    </row>
    <row r="10" spans="1:6" x14ac:dyDescent="0.25">
      <c r="B10" s="15">
        <v>8</v>
      </c>
      <c r="C10" s="11">
        <v>15000</v>
      </c>
      <c r="D10" s="11">
        <f>C10*(1+$A$2)^-B10</f>
        <v>10152.590430430308</v>
      </c>
      <c r="E10" s="68">
        <f>E9+D10</f>
        <v>96948.191391393833</v>
      </c>
      <c r="F10" s="11">
        <f>-90000+E10</f>
        <v>6948.1913913938333</v>
      </c>
    </row>
    <row r="13" spans="1:6" x14ac:dyDescent="0.25">
      <c r="B13" s="15" t="s">
        <v>267</v>
      </c>
    </row>
    <row r="16" spans="1:6" x14ac:dyDescent="0.25">
      <c r="A16" t="s">
        <v>10</v>
      </c>
    </row>
    <row r="17" spans="2:5" x14ac:dyDescent="0.25">
      <c r="B17" t="s">
        <v>266</v>
      </c>
      <c r="C17" s="44">
        <f>PMT(A2,B7,-90000)</f>
        <v>20787.73183154413</v>
      </c>
    </row>
    <row r="25" spans="2:5" x14ac:dyDescent="0.25">
      <c r="B25" t="s">
        <v>265</v>
      </c>
    </row>
    <row r="27" spans="2:5" x14ac:dyDescent="0.25">
      <c r="B27" s="15" t="s">
        <v>0</v>
      </c>
      <c r="C27" s="15" t="s">
        <v>264</v>
      </c>
      <c r="D27" s="15" t="s">
        <v>17</v>
      </c>
      <c r="E27" s="15" t="s">
        <v>263</v>
      </c>
    </row>
    <row r="28" spans="2:5" x14ac:dyDescent="0.25">
      <c r="B28" s="15">
        <v>1</v>
      </c>
      <c r="C28" s="11">
        <v>20787.73</v>
      </c>
      <c r="D28" s="11">
        <f>C28*(1+$A$2)^-B28</f>
        <v>19797.838095238094</v>
      </c>
      <c r="E28" s="11">
        <f>D28</f>
        <v>19797.838095238094</v>
      </c>
    </row>
    <row r="29" spans="2:5" x14ac:dyDescent="0.25">
      <c r="B29" s="15">
        <v>2</v>
      </c>
      <c r="C29" s="11">
        <v>20787.73</v>
      </c>
      <c r="D29" s="11">
        <f>C29*(1+$A$2)^-B29</f>
        <v>18855.083900226757</v>
      </c>
      <c r="E29" s="11">
        <f>E28+D29</f>
        <v>38652.921995464851</v>
      </c>
    </row>
    <row r="30" spans="2:5" x14ac:dyDescent="0.25">
      <c r="B30" s="15">
        <v>3</v>
      </c>
      <c r="C30" s="11">
        <v>20787.73</v>
      </c>
      <c r="D30" s="11">
        <f>C30*(1+$A$2)^-B30</f>
        <v>17957.22276212072</v>
      </c>
      <c r="E30" s="11">
        <f>E29+D30</f>
        <v>56610.144757585571</v>
      </c>
    </row>
    <row r="31" spans="2:5" x14ac:dyDescent="0.25">
      <c r="B31" s="15">
        <v>4</v>
      </c>
      <c r="C31" s="11">
        <v>20787.73</v>
      </c>
      <c r="D31" s="11">
        <f>C31*(1+$A$2)^-B31</f>
        <v>17102.116916305447</v>
      </c>
      <c r="E31" s="11">
        <f>E30+D31</f>
        <v>73712.261673891015</v>
      </c>
    </row>
    <row r="32" spans="2:5" x14ac:dyDescent="0.25">
      <c r="B32" s="15">
        <v>5</v>
      </c>
      <c r="C32" s="11">
        <v>20787.73</v>
      </c>
      <c r="D32" s="11">
        <f>C32*(1+$A$2)^-B32</f>
        <v>16287.730396481378</v>
      </c>
      <c r="E32" s="68">
        <f>E31+D32</f>
        <v>89999.992070372391</v>
      </c>
    </row>
    <row r="33" spans="2:5" x14ac:dyDescent="0.25">
      <c r="B33" s="15">
        <v>6</v>
      </c>
      <c r="C33" s="11">
        <v>20787.73</v>
      </c>
      <c r="D33" s="11">
        <f>C33*(1+$A$2)^-B33</f>
        <v>15512.124187125122</v>
      </c>
      <c r="E33" s="11">
        <f>E32+D33</f>
        <v>105512.11625749752</v>
      </c>
    </row>
    <row r="34" spans="2:5" x14ac:dyDescent="0.25">
      <c r="B34" s="15">
        <v>7</v>
      </c>
      <c r="C34" s="11">
        <v>20787.73</v>
      </c>
      <c r="D34" s="11">
        <f>C34*(1+$A$2)^-B34</f>
        <v>14773.451606785829</v>
      </c>
      <c r="E34" s="11">
        <f>E33+D34</f>
        <v>120285.56786428335</v>
      </c>
    </row>
    <row r="35" spans="2:5" x14ac:dyDescent="0.25">
      <c r="B35" s="15">
        <v>8</v>
      </c>
      <c r="C35" s="11">
        <v>20787.73</v>
      </c>
      <c r="D35" s="11">
        <f>C35*(1+$A$2)^-B35</f>
        <v>14069.953911224602</v>
      </c>
      <c r="E35" s="67">
        <f>E34+D35</f>
        <v>134355.52177550795</v>
      </c>
    </row>
  </sheetData>
  <pageMargins left="0.7" right="0.7" top="0.78740157499999996" bottom="0.78740157499999996"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A31A-D3F9-456B-B361-DBCBDF7BC886}">
  <dimension ref="A3:D20"/>
  <sheetViews>
    <sheetView topLeftCell="A13" workbookViewId="0">
      <selection activeCell="D20" sqref="D20"/>
    </sheetView>
  </sheetViews>
  <sheetFormatPr baseColWidth="10" defaultRowHeight="15" x14ac:dyDescent="0.25"/>
  <cols>
    <col min="3" max="4" width="13" bestFit="1" customWidth="1"/>
  </cols>
  <sheetData>
    <row r="3" spans="1:4" x14ac:dyDescent="0.25">
      <c r="A3" t="s">
        <v>1</v>
      </c>
      <c r="B3" t="s">
        <v>274</v>
      </c>
      <c r="D3" s="5">
        <v>0.06</v>
      </c>
    </row>
    <row r="4" spans="1:4" x14ac:dyDescent="0.25">
      <c r="B4" t="s">
        <v>64</v>
      </c>
      <c r="D4" s="5">
        <v>0.12</v>
      </c>
    </row>
    <row r="5" spans="1:4" x14ac:dyDescent="0.25">
      <c r="B5" t="s">
        <v>273</v>
      </c>
      <c r="C5" t="s">
        <v>272</v>
      </c>
      <c r="D5">
        <v>0.75</v>
      </c>
    </row>
    <row r="7" spans="1:4" ht="18" x14ac:dyDescent="0.35">
      <c r="B7" s="15" t="s">
        <v>271</v>
      </c>
      <c r="D7" s="15">
        <f>D3+D5*(D4-D3)</f>
        <v>0.105</v>
      </c>
    </row>
    <row r="11" spans="1:4" x14ac:dyDescent="0.25">
      <c r="A11" t="s">
        <v>10</v>
      </c>
      <c r="B11" s="15" t="s">
        <v>55</v>
      </c>
      <c r="C11" s="15" t="s">
        <v>270</v>
      </c>
      <c r="D11" s="15" t="s">
        <v>178</v>
      </c>
    </row>
    <row r="12" spans="1:4" x14ac:dyDescent="0.25">
      <c r="B12" s="15">
        <v>0</v>
      </c>
      <c r="C12" s="11">
        <v>-300000</v>
      </c>
      <c r="D12" s="11">
        <v>-300000</v>
      </c>
    </row>
    <row r="13" spans="1:4" x14ac:dyDescent="0.25">
      <c r="B13" s="15">
        <v>1</v>
      </c>
      <c r="C13" s="11">
        <v>100000</v>
      </c>
      <c r="D13" s="11">
        <f>C13*(1+$D$7)^-B13</f>
        <v>90497.737556561086</v>
      </c>
    </row>
    <row r="14" spans="1:4" x14ac:dyDescent="0.25">
      <c r="B14" s="15">
        <v>2</v>
      </c>
      <c r="C14" s="11">
        <v>125000</v>
      </c>
      <c r="D14" s="11">
        <f>C14*(1+$D$7)^-B14</f>
        <v>102373.00628570259</v>
      </c>
    </row>
    <row r="15" spans="1:4" x14ac:dyDescent="0.25">
      <c r="B15" s="15">
        <v>3</v>
      </c>
      <c r="C15" s="11">
        <v>150000</v>
      </c>
      <c r="D15" s="11">
        <f>C15*(1+$D$7)^-B15</f>
        <v>111174.30546863629</v>
      </c>
    </row>
    <row r="17" spans="2:4" x14ac:dyDescent="0.25">
      <c r="B17" t="s">
        <v>45</v>
      </c>
      <c r="D17" s="13">
        <f>SUM(D12:D16)</f>
        <v>4045.0493108999508</v>
      </c>
    </row>
    <row r="20" spans="2:4" x14ac:dyDescent="0.25">
      <c r="B20" t="s">
        <v>269</v>
      </c>
      <c r="D20" s="44">
        <f>NPV(D7,C13,C14,C15)+C12</f>
        <v>4045.0493108999799</v>
      </c>
    </row>
  </sheetData>
  <pageMargins left="0.7" right="0.7" top="0.78740157499999996" bottom="0.78740157499999996"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473C4-B540-47F4-8881-86D4AA1F4760}">
  <dimension ref="A1:L38"/>
  <sheetViews>
    <sheetView workbookViewId="0">
      <selection activeCell="D20" sqref="D20"/>
    </sheetView>
  </sheetViews>
  <sheetFormatPr baseColWidth="10" defaultRowHeight="15" x14ac:dyDescent="0.25"/>
  <cols>
    <col min="1" max="1" width="13.5703125" bestFit="1" customWidth="1"/>
    <col min="2" max="2" width="15.28515625" bestFit="1" customWidth="1"/>
    <col min="3" max="8" width="14.5703125" bestFit="1" customWidth="1"/>
    <col min="11" max="11" width="15.7109375" bestFit="1" customWidth="1"/>
  </cols>
  <sheetData>
    <row r="1" spans="1:12" x14ac:dyDescent="0.25">
      <c r="I1" s="5">
        <v>0.09</v>
      </c>
    </row>
    <row r="2" spans="1:12" x14ac:dyDescent="0.25">
      <c r="B2" s="15" t="s">
        <v>211</v>
      </c>
      <c r="C2" s="15">
        <v>0</v>
      </c>
      <c r="D2" s="15">
        <v>1</v>
      </c>
      <c r="E2" s="15">
        <v>2</v>
      </c>
      <c r="F2" s="15">
        <v>3</v>
      </c>
      <c r="G2" s="15">
        <v>4</v>
      </c>
    </row>
    <row r="3" spans="1:12" x14ac:dyDescent="0.25">
      <c r="A3" s="15" t="s">
        <v>287</v>
      </c>
      <c r="B3" t="s">
        <v>54</v>
      </c>
      <c r="C3" s="11"/>
      <c r="D3" s="11">
        <v>1950000</v>
      </c>
      <c r="E3" s="11">
        <v>2450000</v>
      </c>
      <c r="F3" s="11">
        <v>2500000</v>
      </c>
      <c r="G3" s="11">
        <v>2375000</v>
      </c>
      <c r="K3" t="s">
        <v>286</v>
      </c>
      <c r="L3" s="5">
        <v>0.01</v>
      </c>
    </row>
    <row r="4" spans="1:12" x14ac:dyDescent="0.25">
      <c r="C4" s="11"/>
      <c r="D4" s="11"/>
      <c r="E4" s="11"/>
      <c r="F4" s="11"/>
      <c r="G4" s="11"/>
      <c r="K4" t="s">
        <v>64</v>
      </c>
      <c r="L4" s="5">
        <v>0.08</v>
      </c>
    </row>
    <row r="5" spans="1:12" x14ac:dyDescent="0.25">
      <c r="B5" t="s">
        <v>53</v>
      </c>
      <c r="C5" s="11">
        <v>-3000000</v>
      </c>
      <c r="D5" s="11">
        <v>-800000</v>
      </c>
      <c r="E5" s="11">
        <v>-1100000</v>
      </c>
      <c r="F5" s="11">
        <v>-1000000</v>
      </c>
      <c r="G5" s="11">
        <v>-1000000</v>
      </c>
      <c r="K5" t="s">
        <v>285</v>
      </c>
      <c r="L5">
        <v>0.7</v>
      </c>
    </row>
    <row r="6" spans="1:12" x14ac:dyDescent="0.25">
      <c r="K6" t="s">
        <v>284</v>
      </c>
      <c r="L6">
        <v>1.4</v>
      </c>
    </row>
    <row r="7" spans="1:12" x14ac:dyDescent="0.25">
      <c r="B7" t="s">
        <v>280</v>
      </c>
      <c r="C7" s="1">
        <f>SUM(C5:C6)</f>
        <v>-3000000</v>
      </c>
      <c r="D7" s="1">
        <f>SUM(D3:D6)</f>
        <v>1150000</v>
      </c>
      <c r="E7" s="1">
        <f>SUM(E3:E6)</f>
        <v>1350000</v>
      </c>
      <c r="F7" s="1">
        <f>SUM(F3:F6)</f>
        <v>1500000</v>
      </c>
      <c r="G7" s="1">
        <f>SUM(G3:G6)</f>
        <v>1375000</v>
      </c>
    </row>
    <row r="8" spans="1:12" x14ac:dyDescent="0.25">
      <c r="D8" s="1"/>
      <c r="E8" s="1"/>
      <c r="F8" s="1"/>
      <c r="G8" s="1"/>
      <c r="H8" s="1"/>
    </row>
    <row r="9" spans="1:12" x14ac:dyDescent="0.25">
      <c r="K9" t="s">
        <v>283</v>
      </c>
      <c r="L9" s="5">
        <v>0.05</v>
      </c>
    </row>
    <row r="10" spans="1:12" x14ac:dyDescent="0.25">
      <c r="K10" t="s">
        <v>282</v>
      </c>
      <c r="L10" s="5">
        <v>0.3</v>
      </c>
    </row>
    <row r="11" spans="1:12" x14ac:dyDescent="0.25">
      <c r="A11" s="15" t="s">
        <v>281</v>
      </c>
      <c r="B11" s="15" t="s">
        <v>211</v>
      </c>
      <c r="C11" s="15">
        <v>0</v>
      </c>
      <c r="D11" s="15">
        <v>1</v>
      </c>
      <c r="E11" s="15">
        <v>2</v>
      </c>
      <c r="F11" s="15">
        <v>3</v>
      </c>
      <c r="G11" s="15">
        <v>4</v>
      </c>
      <c r="H11" s="15">
        <v>5</v>
      </c>
    </row>
    <row r="12" spans="1:12" x14ac:dyDescent="0.25">
      <c r="B12" t="s">
        <v>54</v>
      </c>
      <c r="C12" s="11"/>
      <c r="D12" s="11">
        <v>2928000</v>
      </c>
      <c r="E12" s="11">
        <v>3125000</v>
      </c>
      <c r="F12" s="11">
        <v>3520000</v>
      </c>
      <c r="G12" s="11">
        <v>3125000</v>
      </c>
      <c r="H12" s="11">
        <v>3250000</v>
      </c>
    </row>
    <row r="13" spans="1:12" x14ac:dyDescent="0.25">
      <c r="C13" s="11"/>
      <c r="D13" s="11"/>
      <c r="E13" s="11"/>
      <c r="F13" s="11"/>
      <c r="G13" s="11"/>
    </row>
    <row r="14" spans="1:12" x14ac:dyDescent="0.25">
      <c r="B14" t="s">
        <v>53</v>
      </c>
      <c r="C14" s="11">
        <v>-4000000</v>
      </c>
      <c r="D14" s="11">
        <v>-900000</v>
      </c>
      <c r="E14" s="11">
        <v>-2120000</v>
      </c>
      <c r="F14" s="11">
        <v>-2350000</v>
      </c>
      <c r="G14" s="11">
        <v>-1550000</v>
      </c>
      <c r="H14" s="11">
        <v>-1785000</v>
      </c>
    </row>
    <row r="15" spans="1:12" x14ac:dyDescent="0.25">
      <c r="L15" s="5"/>
    </row>
    <row r="16" spans="1:12" x14ac:dyDescent="0.25">
      <c r="B16" t="s">
        <v>280</v>
      </c>
      <c r="C16" s="1">
        <f>SUM(C12:C15)</f>
        <v>-4000000</v>
      </c>
      <c r="D16" s="1">
        <f>SUM(D12:D15)</f>
        <v>2028000</v>
      </c>
      <c r="E16" s="1">
        <f>SUM(E12:E15)</f>
        <v>1005000</v>
      </c>
      <c r="F16" s="1">
        <f>SUM(F12:F15)</f>
        <v>1170000</v>
      </c>
      <c r="G16" s="1">
        <f>SUM(G12:G15)</f>
        <v>1575000</v>
      </c>
      <c r="H16" s="1">
        <f>SUM(H12:H15)</f>
        <v>1465000</v>
      </c>
    </row>
    <row r="17" spans="1:9" x14ac:dyDescent="0.25">
      <c r="D17" s="20"/>
      <c r="E17" s="20"/>
      <c r="F17" s="20"/>
      <c r="G17" s="20"/>
      <c r="H17" s="20"/>
      <c r="I17" s="20"/>
    </row>
    <row r="19" spans="1:9" x14ac:dyDescent="0.25">
      <c r="A19" t="s">
        <v>1</v>
      </c>
    </row>
    <row r="20" spans="1:9" x14ac:dyDescent="0.25">
      <c r="A20" s="15" t="s">
        <v>275</v>
      </c>
      <c r="B20" s="6">
        <f>NPV(I1,D7,E7,F7,G7)+C7</f>
        <v>1323673.7477757307</v>
      </c>
    </row>
    <row r="21" spans="1:9" x14ac:dyDescent="0.25">
      <c r="D21" s="37"/>
    </row>
    <row r="23" spans="1:9" x14ac:dyDescent="0.25">
      <c r="A23" s="15" t="s">
        <v>218</v>
      </c>
      <c r="B23" s="44">
        <f>NPV(I1,D16,E16,F16,G16,H16)+C16</f>
        <v>1677812.7119746944</v>
      </c>
      <c r="D23" s="2"/>
    </row>
    <row r="25" spans="1:9" x14ac:dyDescent="0.25">
      <c r="A25" t="s">
        <v>10</v>
      </c>
    </row>
    <row r="26" spans="1:9" ht="18" x14ac:dyDescent="0.35">
      <c r="A26" t="s">
        <v>279</v>
      </c>
      <c r="B26" s="2">
        <f>L3+L5*(L4-L3)</f>
        <v>5.9000000000000004E-2</v>
      </c>
    </row>
    <row r="28" spans="1:9" ht="18" x14ac:dyDescent="0.35">
      <c r="A28" t="s">
        <v>278</v>
      </c>
      <c r="B28" s="2">
        <f>L3+L6*(L4-L3)</f>
        <v>0.108</v>
      </c>
    </row>
    <row r="30" spans="1:9" ht="18" x14ac:dyDescent="0.35">
      <c r="A30" t="s">
        <v>277</v>
      </c>
      <c r="B30" s="2">
        <f>B26*40%+L9*(1-L10)*60%</f>
        <v>4.4600000000000001E-2</v>
      </c>
    </row>
    <row r="32" spans="1:9" ht="18" x14ac:dyDescent="0.35">
      <c r="A32" t="s">
        <v>276</v>
      </c>
      <c r="B32" s="2">
        <f>B28*40%+L9*(1-L10)*60%</f>
        <v>6.4200000000000007E-2</v>
      </c>
    </row>
    <row r="36" spans="1:2" x14ac:dyDescent="0.25">
      <c r="A36" s="15" t="s">
        <v>275</v>
      </c>
      <c r="B36" s="6">
        <f>NPV(B30,D7,E7,F7,G7)+C7</f>
        <v>1808826.6473211637</v>
      </c>
    </row>
    <row r="38" spans="1:2" x14ac:dyDescent="0.25">
      <c r="A38" s="15" t="s">
        <v>218</v>
      </c>
      <c r="B38" s="44">
        <f>NPV(B32,D16,E16,F16,G16,H16)+C16</f>
        <v>2065096.4730728604</v>
      </c>
    </row>
  </sheetData>
  <pageMargins left="0.7" right="0.7" top="0.78740157499999996" bottom="0.78740157499999996" header="0.3" footer="0.3"/>
  <pageSetup paperSize="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E2F0-041F-41BA-ADF6-E49BA2404AAF}">
  <dimension ref="A1:G38"/>
  <sheetViews>
    <sheetView workbookViewId="0">
      <selection activeCell="D20" sqref="D20"/>
    </sheetView>
  </sheetViews>
  <sheetFormatPr baseColWidth="10" defaultRowHeight="15" x14ac:dyDescent="0.25"/>
  <cols>
    <col min="2" max="2" width="24.85546875" bestFit="1" customWidth="1"/>
    <col min="3" max="3" width="15.5703125" bestFit="1" customWidth="1"/>
    <col min="4" max="4" width="14.5703125" bestFit="1" customWidth="1"/>
    <col min="5" max="5" width="15.5703125" bestFit="1" customWidth="1"/>
    <col min="6" max="7" width="14.5703125" bestFit="1" customWidth="1"/>
  </cols>
  <sheetData>
    <row r="1" spans="1:3" x14ac:dyDescent="0.25">
      <c r="A1" t="s">
        <v>1</v>
      </c>
    </row>
    <row r="2" spans="1:3" x14ac:dyDescent="0.25">
      <c r="A2" t="s">
        <v>300</v>
      </c>
    </row>
    <row r="3" spans="1:3" x14ac:dyDescent="0.25">
      <c r="B3" t="s">
        <v>274</v>
      </c>
      <c r="C3" s="5">
        <v>0.05</v>
      </c>
    </row>
    <row r="4" spans="1:3" x14ac:dyDescent="0.25">
      <c r="B4" t="s">
        <v>64</v>
      </c>
      <c r="C4" s="5">
        <v>0.11</v>
      </c>
    </row>
    <row r="5" spans="1:3" x14ac:dyDescent="0.25">
      <c r="B5" t="s">
        <v>273</v>
      </c>
      <c r="C5">
        <v>1.3</v>
      </c>
    </row>
    <row r="7" spans="1:3" ht="18" x14ac:dyDescent="0.35">
      <c r="B7" s="15" t="s">
        <v>271</v>
      </c>
      <c r="C7" s="71">
        <f>C3+C5*(C4-C3)</f>
        <v>0.128</v>
      </c>
    </row>
    <row r="10" spans="1:3" x14ac:dyDescent="0.25">
      <c r="A10" t="s">
        <v>299</v>
      </c>
      <c r="B10" t="s">
        <v>283</v>
      </c>
      <c r="C10" s="5">
        <v>0.08</v>
      </c>
    </row>
    <row r="11" spans="1:3" x14ac:dyDescent="0.25">
      <c r="B11" t="s">
        <v>298</v>
      </c>
      <c r="C11" s="5">
        <v>0.3</v>
      </c>
    </row>
    <row r="13" spans="1:3" ht="18" x14ac:dyDescent="0.35">
      <c r="B13" t="s">
        <v>297</v>
      </c>
      <c r="C13" s="71">
        <f>C7*45%+C10*(1-C11)*55%</f>
        <v>8.8400000000000006E-2</v>
      </c>
    </row>
    <row r="15" spans="1:3" x14ac:dyDescent="0.25">
      <c r="A15" t="s">
        <v>296</v>
      </c>
      <c r="C15" s="15">
        <f>(1-30%)*C13</f>
        <v>6.1879999999999998E-2</v>
      </c>
    </row>
    <row r="16" spans="1:3" x14ac:dyDescent="0.25">
      <c r="A16" t="s">
        <v>10</v>
      </c>
    </row>
    <row r="17" spans="2:7" x14ac:dyDescent="0.25">
      <c r="B17" s="25" t="s">
        <v>55</v>
      </c>
      <c r="C17" s="25">
        <v>1</v>
      </c>
      <c r="D17" s="25">
        <v>2</v>
      </c>
      <c r="E17" s="25">
        <v>3</v>
      </c>
      <c r="F17" s="25">
        <v>4</v>
      </c>
      <c r="G17" s="25">
        <v>5</v>
      </c>
    </row>
    <row r="18" spans="2:7" x14ac:dyDescent="0.25">
      <c r="B18" s="70" t="s">
        <v>295</v>
      </c>
      <c r="C18" s="69">
        <v>3000000</v>
      </c>
      <c r="D18" s="69">
        <v>2500000</v>
      </c>
      <c r="E18" s="69">
        <v>2000000</v>
      </c>
      <c r="F18" s="69">
        <v>1500000</v>
      </c>
      <c r="G18" s="69">
        <v>1000000</v>
      </c>
    </row>
    <row r="19" spans="2:7" x14ac:dyDescent="0.25">
      <c r="B19" s="17" t="s">
        <v>294</v>
      </c>
      <c r="C19" s="11">
        <v>0.3</v>
      </c>
      <c r="D19" s="11">
        <v>0.3</v>
      </c>
      <c r="E19" s="11">
        <v>0.3</v>
      </c>
      <c r="F19" s="11">
        <v>0.3</v>
      </c>
      <c r="G19" s="11">
        <v>0.3</v>
      </c>
    </row>
    <row r="20" spans="2:7" x14ac:dyDescent="0.25">
      <c r="B20" s="17" t="s">
        <v>293</v>
      </c>
      <c r="C20" s="11">
        <v>0.22</v>
      </c>
      <c r="D20" s="11">
        <v>0.22</v>
      </c>
      <c r="E20" s="11">
        <v>0.22</v>
      </c>
      <c r="F20" s="11">
        <v>0.22</v>
      </c>
      <c r="G20" s="11">
        <v>0.22</v>
      </c>
    </row>
    <row r="21" spans="2:7" x14ac:dyDescent="0.25">
      <c r="B21" s="17" t="s">
        <v>292</v>
      </c>
      <c r="C21" s="20">
        <f>C18*C19</f>
        <v>900000</v>
      </c>
      <c r="D21" s="20">
        <f>D18*D19</f>
        <v>750000</v>
      </c>
      <c r="E21" s="20">
        <f>E18*E19</f>
        <v>600000</v>
      </c>
      <c r="F21" s="20">
        <f>F18*F19</f>
        <v>450000</v>
      </c>
      <c r="G21" s="20">
        <f>G18*G19</f>
        <v>300000</v>
      </c>
    </row>
    <row r="22" spans="2:7" x14ac:dyDescent="0.25">
      <c r="B22" s="17" t="s">
        <v>291</v>
      </c>
      <c r="C22" s="11">
        <f>C18*C20</f>
        <v>660000</v>
      </c>
      <c r="D22" s="11">
        <f>D18*D20</f>
        <v>550000</v>
      </c>
      <c r="E22" s="11">
        <f>E18*E20</f>
        <v>440000</v>
      </c>
      <c r="F22" s="11">
        <f>F18*F20</f>
        <v>330000</v>
      </c>
      <c r="G22" s="11">
        <f>G18*G20</f>
        <v>220000</v>
      </c>
    </row>
    <row r="23" spans="2:7" x14ac:dyDescent="0.25">
      <c r="B23" s="17" t="s">
        <v>290</v>
      </c>
      <c r="C23" s="19">
        <f>C21-C22</f>
        <v>240000</v>
      </c>
      <c r="D23" s="19">
        <f>D21-D22</f>
        <v>200000</v>
      </c>
      <c r="E23" s="19">
        <f>E21-E22</f>
        <v>160000</v>
      </c>
      <c r="F23" s="19">
        <f>F21-F22</f>
        <v>120000</v>
      </c>
      <c r="G23" s="19">
        <f>G21-G22</f>
        <v>80000</v>
      </c>
    </row>
    <row r="24" spans="2:7" x14ac:dyDescent="0.25">
      <c r="B24" s="18"/>
    </row>
    <row r="25" spans="2:7" x14ac:dyDescent="0.25">
      <c r="B25" s="17" t="s">
        <v>52</v>
      </c>
      <c r="C25" s="21">
        <f>-350000/5</f>
        <v>-70000</v>
      </c>
      <c r="D25" s="21">
        <f>-350000/5</f>
        <v>-70000</v>
      </c>
      <c r="E25" s="21">
        <f>-350000/5</f>
        <v>-70000</v>
      </c>
      <c r="F25" s="21">
        <f>-350000/5</f>
        <v>-70000</v>
      </c>
      <c r="G25" s="21">
        <f>-350000/5</f>
        <v>-70000</v>
      </c>
    </row>
    <row r="26" spans="2:7" x14ac:dyDescent="0.25">
      <c r="B26" s="17" t="s">
        <v>51</v>
      </c>
      <c r="C26" s="20">
        <f>SUM(C23:C25)</f>
        <v>170000</v>
      </c>
      <c r="D26" s="20">
        <f>SUM(D23:D25)</f>
        <v>130000</v>
      </c>
      <c r="E26" s="20">
        <f>SUM(E23:E25)</f>
        <v>90000</v>
      </c>
      <c r="F26" s="20">
        <f>SUM(F23:F25)</f>
        <v>50000</v>
      </c>
      <c r="G26" s="20">
        <f>SUM(G23:G25)</f>
        <v>10000</v>
      </c>
    </row>
    <row r="27" spans="2:7" x14ac:dyDescent="0.25">
      <c r="B27" s="17" t="s">
        <v>50</v>
      </c>
      <c r="C27" s="20">
        <f>C26*30%</f>
        <v>51000</v>
      </c>
      <c r="D27" s="20">
        <f>D26*30%</f>
        <v>39000</v>
      </c>
      <c r="E27" s="20">
        <f>E26*30%</f>
        <v>27000</v>
      </c>
      <c r="F27" s="20">
        <f>F26*30%</f>
        <v>15000</v>
      </c>
      <c r="G27" s="20">
        <f>G26*30%</f>
        <v>3000</v>
      </c>
    </row>
    <row r="28" spans="2:7" x14ac:dyDescent="0.25">
      <c r="B28" s="17"/>
      <c r="C28" s="20"/>
      <c r="D28" s="20"/>
      <c r="E28" s="20"/>
      <c r="F28" s="20"/>
      <c r="G28" s="20"/>
    </row>
    <row r="29" spans="2:7" x14ac:dyDescent="0.25">
      <c r="B29" s="17" t="s">
        <v>49</v>
      </c>
      <c r="C29" s="19">
        <f>C23-C27</f>
        <v>189000</v>
      </c>
      <c r="D29" s="19">
        <f>D23-D27</f>
        <v>161000</v>
      </c>
      <c r="E29" s="19">
        <f>E23-E27</f>
        <v>133000</v>
      </c>
      <c r="F29" s="19">
        <f>F23-F27</f>
        <v>105000</v>
      </c>
      <c r="G29" s="19">
        <f>G23-G27</f>
        <v>77000</v>
      </c>
    </row>
    <row r="30" spans="2:7" x14ac:dyDescent="0.25">
      <c r="B30" s="17" t="s">
        <v>289</v>
      </c>
      <c r="C30" s="11">
        <f>C29*(1+$C$15)^-C17</f>
        <v>177986.2131314273</v>
      </c>
      <c r="D30" s="11">
        <f>D29*(1+$C$15)^-D17</f>
        <v>142782.50391767875</v>
      </c>
      <c r="E30" s="11">
        <f>E29*(1+$C$15)^-E17</f>
        <v>111077.3007363436</v>
      </c>
      <c r="F30" s="11">
        <f>F29*(1+$C$15)^-F17</f>
        <v>82582.406528498308</v>
      </c>
      <c r="G30" s="11">
        <f>G29*(1+$C$15)^-G17</f>
        <v>57031.33259335527</v>
      </c>
    </row>
    <row r="31" spans="2:7" x14ac:dyDescent="0.25">
      <c r="B31" s="18"/>
    </row>
    <row r="32" spans="2:7" x14ac:dyDescent="0.25">
      <c r="B32" s="17" t="s">
        <v>47</v>
      </c>
      <c r="C32" s="1">
        <f>SUM(C30:G30)</f>
        <v>571459.75690730312</v>
      </c>
    </row>
    <row r="33" spans="1:3" x14ac:dyDescent="0.25">
      <c r="B33" s="17" t="s">
        <v>46</v>
      </c>
      <c r="C33" s="11">
        <v>-350000</v>
      </c>
    </row>
    <row r="34" spans="1:3" x14ac:dyDescent="0.25">
      <c r="B34" s="18"/>
    </row>
    <row r="35" spans="1:3" x14ac:dyDescent="0.25">
      <c r="B35" s="17" t="s">
        <v>45</v>
      </c>
      <c r="C35" s="13">
        <f>SUM(C32:C34)</f>
        <v>221459.75690730312</v>
      </c>
    </row>
    <row r="38" spans="1:3" x14ac:dyDescent="0.25">
      <c r="A38" s="15" t="s">
        <v>288</v>
      </c>
      <c r="B38" s="15" t="s">
        <v>269</v>
      </c>
      <c r="C38" s="44">
        <f>NPV(C15,C29,D29,E29,F29,G29)-350000</f>
        <v>221459.75690730324</v>
      </c>
    </row>
  </sheetData>
  <pageMargins left="0.7" right="0.7" top="0.78740157499999996" bottom="0.78740157499999996" header="0.3" footer="0.3"/>
  <pageSetup paperSize="9" orientation="portrait" horizontalDpi="0" verticalDpi="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9E0E-A37E-4B27-9805-500518D0C389}">
  <dimension ref="A2:H24"/>
  <sheetViews>
    <sheetView workbookViewId="0">
      <selection activeCell="B9" sqref="B9"/>
    </sheetView>
  </sheetViews>
  <sheetFormatPr baseColWidth="10" defaultRowHeight="15" x14ac:dyDescent="0.25"/>
  <cols>
    <col min="1" max="1" width="21.5703125" bestFit="1" customWidth="1"/>
    <col min="2" max="2" width="12" bestFit="1" customWidth="1"/>
    <col min="3" max="8" width="11.5703125" bestFit="1" customWidth="1"/>
  </cols>
  <sheetData>
    <row r="2" spans="1:8" x14ac:dyDescent="0.25">
      <c r="B2" t="s">
        <v>240</v>
      </c>
      <c r="C2" t="s">
        <v>239</v>
      </c>
      <c r="D2" t="s">
        <v>237</v>
      </c>
      <c r="E2" t="s">
        <v>238</v>
      </c>
      <c r="F2" t="s">
        <v>302</v>
      </c>
      <c r="G2" t="s">
        <v>236</v>
      </c>
      <c r="H2" t="s">
        <v>301</v>
      </c>
    </row>
    <row r="3" spans="1:8" x14ac:dyDescent="0.25">
      <c r="A3" t="s">
        <v>198</v>
      </c>
      <c r="B3" s="20">
        <v>-10000</v>
      </c>
      <c r="C3" s="20">
        <v>5500</v>
      </c>
      <c r="D3" s="20">
        <v>4500</v>
      </c>
      <c r="E3" s="20">
        <v>1000</v>
      </c>
      <c r="F3" s="20">
        <v>1000</v>
      </c>
      <c r="G3" s="20">
        <v>800</v>
      </c>
      <c r="H3" s="20">
        <v>700</v>
      </c>
    </row>
    <row r="4" spans="1:8" x14ac:dyDescent="0.25">
      <c r="A4" t="s">
        <v>119</v>
      </c>
      <c r="B4" s="20">
        <v>10000</v>
      </c>
      <c r="C4" s="20">
        <v>6000</v>
      </c>
      <c r="D4" s="20">
        <v>4000</v>
      </c>
      <c r="E4" s="20">
        <v>3000</v>
      </c>
      <c r="F4" s="20">
        <v>2000</v>
      </c>
      <c r="G4" s="20">
        <v>1000</v>
      </c>
      <c r="H4" s="20">
        <v>0</v>
      </c>
    </row>
    <row r="9" spans="1:8" x14ac:dyDescent="0.25">
      <c r="A9" t="s">
        <v>239</v>
      </c>
      <c r="B9" s="6">
        <f>C3*1.1^-1+C4*1.1^-1+B3</f>
        <v>454.54545454545405</v>
      </c>
    </row>
    <row r="10" spans="1:8" x14ac:dyDescent="0.25">
      <c r="A10" t="s">
        <v>237</v>
      </c>
      <c r="B10" s="72">
        <f>C3*1.1^-1+(D3+D4)*1.1^-2+B3</f>
        <v>2024.7933884297527</v>
      </c>
    </row>
    <row r="11" spans="1:8" x14ac:dyDescent="0.25">
      <c r="A11" t="s">
        <v>238</v>
      </c>
      <c r="B11" s="20">
        <f>C3*1.1^-1+D3*1.1^-2+(E3+E4)*1.1^-3+B3</f>
        <v>1724.2674680691198</v>
      </c>
    </row>
    <row r="12" spans="1:8" x14ac:dyDescent="0.25">
      <c r="A12" t="s">
        <v>302</v>
      </c>
      <c r="B12" s="20">
        <f>C3*1.1^-1+D3*1.1^-2+E3*1.1^-3+(F3+F4)*1.1^-4+B3</f>
        <v>1519.3634314595984</v>
      </c>
    </row>
    <row r="13" spans="1:8" x14ac:dyDescent="0.25">
      <c r="A13" t="s">
        <v>236</v>
      </c>
      <c r="B13" s="20">
        <f>(C3*1.1^-1)+(D3*1.1^-2)+(E3*1.1^-3)+(F3*1.1^-4)+(G3+G4)*1.1^-5+B3</f>
        <v>1270.9949022359342</v>
      </c>
    </row>
    <row r="14" spans="1:8" x14ac:dyDescent="0.25">
      <c r="A14" t="s">
        <v>301</v>
      </c>
      <c r="B14" s="20">
        <f>C3*1.1^-1+D3*1.1^-2+E3*1.1^-3+F3*1.1^-4+G3*1.1^-5+H3*1.1^-6+B3</f>
        <v>1045.205330214425</v>
      </c>
    </row>
    <row r="19" spans="2:2" x14ac:dyDescent="0.25">
      <c r="B19" s="6"/>
    </row>
    <row r="20" spans="2:2" x14ac:dyDescent="0.25">
      <c r="B20" s="44"/>
    </row>
    <row r="21" spans="2:2" x14ac:dyDescent="0.25">
      <c r="B21" s="6"/>
    </row>
    <row r="22" spans="2:2" x14ac:dyDescent="0.25">
      <c r="B22" s="6"/>
    </row>
    <row r="23" spans="2:2" x14ac:dyDescent="0.25">
      <c r="B23" s="6"/>
    </row>
    <row r="24" spans="2:2" x14ac:dyDescent="0.25">
      <c r="B24" s="6"/>
    </row>
  </sheetData>
  <pageMargins left="0.7" right="0.7" top="0.78740157499999996" bottom="0.78740157499999996"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4338-1DB7-4050-A619-313974A215AC}">
  <dimension ref="A1:F32"/>
  <sheetViews>
    <sheetView topLeftCell="A13" workbookViewId="0">
      <selection activeCell="B9" sqref="B9"/>
    </sheetView>
  </sheetViews>
  <sheetFormatPr baseColWidth="10" defaultRowHeight="15" x14ac:dyDescent="0.25"/>
  <cols>
    <col min="1" max="1" width="21.5703125" bestFit="1" customWidth="1"/>
    <col min="2" max="2" width="21.5703125" customWidth="1"/>
    <col min="3" max="3" width="13" bestFit="1" customWidth="1"/>
    <col min="4" max="4" width="12" bestFit="1" customWidth="1"/>
    <col min="5" max="5" width="13" bestFit="1" customWidth="1"/>
    <col min="6" max="6" width="12" bestFit="1" customWidth="1"/>
  </cols>
  <sheetData>
    <row r="1" spans="1:6" x14ac:dyDescent="0.25">
      <c r="A1" t="s">
        <v>1</v>
      </c>
    </row>
    <row r="2" spans="1:6" x14ac:dyDescent="0.25">
      <c r="A2" s="15" t="s">
        <v>306</v>
      </c>
      <c r="B2" t="s">
        <v>240</v>
      </c>
      <c r="C2" t="s">
        <v>239</v>
      </c>
      <c r="D2" t="s">
        <v>237</v>
      </c>
      <c r="E2" t="s">
        <v>238</v>
      </c>
      <c r="F2" t="s">
        <v>302</v>
      </c>
    </row>
    <row r="3" spans="1:6" x14ac:dyDescent="0.25">
      <c r="A3" t="s">
        <v>198</v>
      </c>
      <c r="B3" s="20">
        <v>-96150</v>
      </c>
      <c r="C3" s="20">
        <v>50000</v>
      </c>
      <c r="D3" s="20">
        <v>50000</v>
      </c>
      <c r="E3" s="20">
        <v>40000</v>
      </c>
      <c r="F3" s="20">
        <v>10000</v>
      </c>
    </row>
    <row r="4" spans="1:6" x14ac:dyDescent="0.25">
      <c r="A4" t="s">
        <v>119</v>
      </c>
      <c r="B4" s="20"/>
      <c r="C4" s="20">
        <v>60000</v>
      </c>
      <c r="D4" s="20">
        <v>30000</v>
      </c>
      <c r="E4" s="20">
        <v>10000</v>
      </c>
      <c r="F4" s="20">
        <v>0</v>
      </c>
    </row>
    <row r="8" spans="1:6" x14ac:dyDescent="0.25">
      <c r="A8" t="s">
        <v>239</v>
      </c>
      <c r="B8" s="20">
        <f>(C3+C4)*1.1^-1+B3</f>
        <v>3850</v>
      </c>
    </row>
    <row r="9" spans="1:6" x14ac:dyDescent="0.25">
      <c r="A9" t="s">
        <v>237</v>
      </c>
      <c r="B9" s="20">
        <f>C3*1.1^-1+(D3+D4)*1.1^-2+B3</f>
        <v>15420.247933884297</v>
      </c>
    </row>
    <row r="10" spans="1:6" x14ac:dyDescent="0.25">
      <c r="A10" s="15" t="s">
        <v>238</v>
      </c>
      <c r="B10" s="72">
        <f>C3*1.1^-1+D3*1.1^-2+(E3+E4)*1.1^-3+B3</f>
        <v>28192.599549211096</v>
      </c>
    </row>
    <row r="11" spans="1:6" x14ac:dyDescent="0.25">
      <c r="A11" t="s">
        <v>302</v>
      </c>
      <c r="B11" s="20">
        <f>C3*1.1^-1+D3*1.1^-2+E3*1.1^-3+F3*1.1^-4+B3</f>
        <v>27509.586093846025</v>
      </c>
    </row>
    <row r="13" spans="1:6" x14ac:dyDescent="0.25">
      <c r="A13" s="15" t="s">
        <v>305</v>
      </c>
    </row>
    <row r="14" spans="1:6" x14ac:dyDescent="0.25">
      <c r="A14" t="s">
        <v>198</v>
      </c>
      <c r="B14" s="20">
        <v>-120000</v>
      </c>
      <c r="C14" s="20">
        <v>40000</v>
      </c>
      <c r="D14" s="20">
        <v>40000</v>
      </c>
      <c r="E14" s="20">
        <v>60000</v>
      </c>
      <c r="F14" s="20">
        <v>50000</v>
      </c>
    </row>
    <row r="15" spans="1:6" x14ac:dyDescent="0.25">
      <c r="A15" t="s">
        <v>119</v>
      </c>
      <c r="B15" s="20"/>
      <c r="C15" s="20">
        <v>108000</v>
      </c>
      <c r="D15" s="20">
        <v>84000</v>
      </c>
      <c r="E15" s="20">
        <v>48000</v>
      </c>
      <c r="F15" s="20">
        <v>0</v>
      </c>
    </row>
    <row r="18" spans="1:5" x14ac:dyDescent="0.25">
      <c r="A18" t="s">
        <v>239</v>
      </c>
      <c r="B18" s="20">
        <f>(C14+C15)*1.1^-1+B14</f>
        <v>14545.45454545453</v>
      </c>
    </row>
    <row r="19" spans="1:5" x14ac:dyDescent="0.25">
      <c r="A19" t="s">
        <v>237</v>
      </c>
      <c r="B19" s="20">
        <f>C14*1.1^-1+(D14+D15)*1.1^-2+B14</f>
        <v>18842.975206611562</v>
      </c>
    </row>
    <row r="20" spans="1:5" x14ac:dyDescent="0.25">
      <c r="A20" s="15" t="s">
        <v>238</v>
      </c>
      <c r="B20" s="72">
        <f>C14*1.1^-1+D14*1.1^-2+(E14+E15)*1.1^-3+B14</f>
        <v>30563.486100676149</v>
      </c>
    </row>
    <row r="21" spans="1:5" x14ac:dyDescent="0.25">
      <c r="A21" t="s">
        <v>302</v>
      </c>
      <c r="B21" s="20">
        <f>C14*1.1^-1+D14*1.1^-2+E14*1.1^-3+F14*1.1^-4+B14</f>
        <v>28651.048425653949</v>
      </c>
    </row>
    <row r="24" spans="1:5" x14ac:dyDescent="0.25">
      <c r="A24" t="s">
        <v>10</v>
      </c>
    </row>
    <row r="26" spans="1:5" x14ac:dyDescent="0.25">
      <c r="A26" t="s">
        <v>306</v>
      </c>
      <c r="B26" s="20">
        <v>-96150</v>
      </c>
      <c r="C26" s="20">
        <v>50000</v>
      </c>
      <c r="D26" s="20">
        <v>50000</v>
      </c>
      <c r="E26" s="20">
        <v>50000</v>
      </c>
    </row>
    <row r="27" spans="1:5" x14ac:dyDescent="0.25">
      <c r="A27" t="s">
        <v>305</v>
      </c>
      <c r="B27" s="20">
        <v>-120000</v>
      </c>
      <c r="C27" s="20">
        <v>40000</v>
      </c>
      <c r="D27" s="20">
        <v>40000</v>
      </c>
      <c r="E27" s="20">
        <v>108000</v>
      </c>
    </row>
    <row r="31" spans="1:5" x14ac:dyDescent="0.25">
      <c r="A31" t="s">
        <v>304</v>
      </c>
      <c r="B31" s="37">
        <f>IRR(B26:E26)</f>
        <v>0.26015549237590996</v>
      </c>
    </row>
    <row r="32" spans="1:5" x14ac:dyDescent="0.25">
      <c r="A32" t="s">
        <v>303</v>
      </c>
      <c r="B32" s="37">
        <f>IRR(B27:E27)</f>
        <v>0.21605254046101385</v>
      </c>
    </row>
  </sheetData>
  <pageMargins left="0.7" right="0.7" top="0.78740157499999996" bottom="0.78740157499999996"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062F5-775F-49BA-8B5A-F6998D7E2B94}">
  <dimension ref="A2:D20"/>
  <sheetViews>
    <sheetView workbookViewId="0">
      <selection activeCell="B17" sqref="B17"/>
    </sheetView>
  </sheetViews>
  <sheetFormatPr baseColWidth="10" defaultRowHeight="15" x14ac:dyDescent="0.25"/>
  <cols>
    <col min="2" max="3" width="13" bestFit="1" customWidth="1"/>
  </cols>
  <sheetData>
    <row r="2" spans="1:4" x14ac:dyDescent="0.25">
      <c r="B2" s="5">
        <v>0.1</v>
      </c>
    </row>
    <row r="4" spans="1:4" x14ac:dyDescent="0.25">
      <c r="A4" t="s">
        <v>55</v>
      </c>
      <c r="B4" t="s">
        <v>42</v>
      </c>
      <c r="C4" t="s">
        <v>178</v>
      </c>
    </row>
    <row r="5" spans="1:4" x14ac:dyDescent="0.25">
      <c r="A5">
        <v>0</v>
      </c>
      <c r="B5" s="20">
        <v>-150000</v>
      </c>
      <c r="C5" s="42">
        <f>B5*(1+$B$2)^-A5</f>
        <v>-150000</v>
      </c>
    </row>
    <row r="6" spans="1:4" x14ac:dyDescent="0.25">
      <c r="A6">
        <v>1</v>
      </c>
      <c r="B6" s="20">
        <v>30000</v>
      </c>
      <c r="C6" s="42">
        <f>B6*(1+$B$2)^-A6</f>
        <v>27272.727272727272</v>
      </c>
    </row>
    <row r="7" spans="1:4" x14ac:dyDescent="0.25">
      <c r="A7">
        <v>2</v>
      </c>
      <c r="B7" s="20">
        <v>40000</v>
      </c>
      <c r="C7" s="42">
        <f>B7*(1+$B$2)^-A7</f>
        <v>33057.85123966942</v>
      </c>
    </row>
    <row r="8" spans="1:4" x14ac:dyDescent="0.25">
      <c r="A8">
        <v>3</v>
      </c>
      <c r="B8" s="20">
        <v>50000</v>
      </c>
      <c r="C8" s="42">
        <f>B8*(1+$B$2)^-A8</f>
        <v>37565.740045078877</v>
      </c>
    </row>
    <row r="9" spans="1:4" x14ac:dyDescent="0.25">
      <c r="A9">
        <v>4</v>
      </c>
      <c r="B9" s="20">
        <v>45000</v>
      </c>
      <c r="C9" s="42">
        <f>B9*(1+$B$2)^-A9</f>
        <v>30735.605491428174</v>
      </c>
    </row>
    <row r="10" spans="1:4" x14ac:dyDescent="0.25">
      <c r="A10">
        <v>5</v>
      </c>
      <c r="B10" s="20">
        <v>35000</v>
      </c>
      <c r="C10" s="42">
        <f>B10*(1+$B$2)^-A10</f>
        <v>21732.246307070422</v>
      </c>
    </row>
    <row r="11" spans="1:4" x14ac:dyDescent="0.25">
      <c r="A11">
        <v>5</v>
      </c>
      <c r="B11" s="20">
        <v>25000</v>
      </c>
      <c r="C11" s="42">
        <f>B11*(1+$B$2)^-A11</f>
        <v>15523.033076478872</v>
      </c>
    </row>
    <row r="12" spans="1:4" x14ac:dyDescent="0.25">
      <c r="A12" t="s">
        <v>177</v>
      </c>
      <c r="B12" s="20">
        <v>60000</v>
      </c>
    </row>
    <row r="13" spans="1:4" x14ac:dyDescent="0.25">
      <c r="B13" s="15" t="s">
        <v>176</v>
      </c>
      <c r="C13" s="19">
        <f>SUM(C5:C12)</f>
        <v>15887.203432453038</v>
      </c>
    </row>
    <row r="16" spans="1:4" x14ac:dyDescent="0.25">
      <c r="C16" s="6">
        <f>NPV(B2,B6,B7,B8,B9,B12)+C5</f>
        <v>15887.20343245304</v>
      </c>
      <c r="D16" t="s">
        <v>175</v>
      </c>
    </row>
    <row r="19" spans="1:3" x14ac:dyDescent="0.25">
      <c r="C19" s="6"/>
    </row>
    <row r="20" spans="1:3" x14ac:dyDescent="0.25">
      <c r="A20" s="15" t="s">
        <v>174</v>
      </c>
    </row>
  </sheetData>
  <pageMargins left="0.7" right="0.7" top="0.78740157499999996" bottom="0.78740157499999996" header="0.3" footer="0.3"/>
  <pageSetup paperSize="9" orientation="portrait" horizontalDpi="0" verticalDpi="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1EA1-975D-4E4F-87E6-1ABBE428B7F1}">
  <dimension ref="A1:K26"/>
  <sheetViews>
    <sheetView workbookViewId="0">
      <selection activeCell="B17" sqref="B17"/>
    </sheetView>
  </sheetViews>
  <sheetFormatPr baseColWidth="10" defaultRowHeight="15" x14ac:dyDescent="0.25"/>
  <sheetData>
    <row r="1" spans="1:11" x14ac:dyDescent="0.25">
      <c r="A1" s="5" t="s">
        <v>1</v>
      </c>
    </row>
    <row r="2" spans="1:11" x14ac:dyDescent="0.25">
      <c r="A2" t="s">
        <v>0</v>
      </c>
      <c r="B2">
        <v>0</v>
      </c>
      <c r="C2">
        <v>1</v>
      </c>
      <c r="D2">
        <v>2</v>
      </c>
      <c r="E2">
        <v>3</v>
      </c>
      <c r="F2">
        <v>4</v>
      </c>
      <c r="G2">
        <v>5</v>
      </c>
      <c r="H2">
        <v>6</v>
      </c>
      <c r="I2">
        <v>7</v>
      </c>
      <c r="J2">
        <v>8</v>
      </c>
    </row>
    <row r="3" spans="1:11" x14ac:dyDescent="0.25">
      <c r="B3" s="20">
        <v>-7000</v>
      </c>
      <c r="C3" s="20">
        <v>1400</v>
      </c>
      <c r="D3" s="20">
        <v>1400</v>
      </c>
      <c r="E3" s="20">
        <v>1400</v>
      </c>
      <c r="F3" s="20">
        <v>1400</v>
      </c>
      <c r="G3" s="20">
        <v>1400</v>
      </c>
      <c r="H3" s="20">
        <v>1050</v>
      </c>
      <c r="I3" s="20">
        <v>1050</v>
      </c>
      <c r="J3" s="20">
        <v>1050</v>
      </c>
    </row>
    <row r="4" spans="1:11" x14ac:dyDescent="0.25">
      <c r="B4" s="20"/>
      <c r="C4" s="20">
        <f>C3*1.1^-C2</f>
        <v>1272.7272727272727</v>
      </c>
      <c r="D4" s="20">
        <f>D3*1.1^-D2</f>
        <v>1157.0247933884295</v>
      </c>
      <c r="E4" s="20">
        <f>E3*1.1^-E2</f>
        <v>1051.8407212622085</v>
      </c>
      <c r="F4" s="20">
        <f>F3*1.1^-F2</f>
        <v>956.21883751109874</v>
      </c>
      <c r="G4" s="20">
        <f>G3*1.1^-G2</f>
        <v>869.28985228281692</v>
      </c>
      <c r="H4" s="20">
        <f>H3*1.1^-H2</f>
        <v>592.69762655646605</v>
      </c>
      <c r="I4" s="20">
        <f>I3*1.1^-I2</f>
        <v>538.81602414224176</v>
      </c>
      <c r="J4" s="20">
        <f>J3*1.1^-J2</f>
        <v>489.8327492202198</v>
      </c>
      <c r="K4" s="20">
        <f>SUM(C4:J4)+B3</f>
        <v>-71.552122909244645</v>
      </c>
    </row>
    <row r="6" spans="1:11" x14ac:dyDescent="0.25">
      <c r="A6" t="s">
        <v>183</v>
      </c>
    </row>
    <row r="8" spans="1:11" x14ac:dyDescent="0.25">
      <c r="A8" t="s">
        <v>10</v>
      </c>
    </row>
    <row r="9" spans="1:11" x14ac:dyDescent="0.25">
      <c r="A9" t="s">
        <v>0</v>
      </c>
      <c r="B9">
        <v>0</v>
      </c>
      <c r="C9">
        <v>1</v>
      </c>
      <c r="D9">
        <v>2</v>
      </c>
      <c r="E9">
        <v>3</v>
      </c>
      <c r="F9">
        <v>4</v>
      </c>
      <c r="G9">
        <v>5</v>
      </c>
      <c r="H9">
        <v>6</v>
      </c>
      <c r="I9">
        <v>7</v>
      </c>
      <c r="J9">
        <v>8</v>
      </c>
    </row>
    <row r="10" spans="1:11" x14ac:dyDescent="0.25">
      <c r="B10" s="20">
        <v>-7000</v>
      </c>
      <c r="C10" s="20">
        <v>1400</v>
      </c>
      <c r="D10" s="20">
        <v>1400</v>
      </c>
      <c r="E10" s="20">
        <v>1400</v>
      </c>
      <c r="F10" s="20">
        <v>1400</v>
      </c>
      <c r="G10" s="20">
        <v>1400</v>
      </c>
      <c r="H10" s="20">
        <v>1050</v>
      </c>
      <c r="I10" s="20">
        <v>1050</v>
      </c>
      <c r="J10" s="20">
        <v>1750</v>
      </c>
    </row>
    <row r="11" spans="1:11" x14ac:dyDescent="0.25">
      <c r="B11" s="20"/>
      <c r="C11" s="20">
        <f>C10*1.1^-C9</f>
        <v>1272.7272727272727</v>
      </c>
      <c r="D11" s="20">
        <f>D10*1.1^-D9</f>
        <v>1157.0247933884295</v>
      </c>
      <c r="E11" s="20">
        <f>E10*1.1^-E9</f>
        <v>1051.8407212622085</v>
      </c>
      <c r="F11" s="20">
        <f>F10*1.1^-F9</f>
        <v>956.21883751109874</v>
      </c>
      <c r="G11" s="20">
        <f>G10*1.1^-G9</f>
        <v>869.28985228281692</v>
      </c>
      <c r="H11" s="20">
        <f>H10*1.1^-H9</f>
        <v>592.69762655646605</v>
      </c>
      <c r="I11" s="20">
        <f>I10*1.1^-I9</f>
        <v>538.81602414224176</v>
      </c>
      <c r="J11" s="20">
        <f>J10*1.1^-J9</f>
        <v>816.38791536703297</v>
      </c>
      <c r="K11" s="20">
        <f>SUM(C11:J11)+B10</f>
        <v>255.00304323756882</v>
      </c>
    </row>
    <row r="13" spans="1:11" x14ac:dyDescent="0.25">
      <c r="A13" t="s">
        <v>182</v>
      </c>
    </row>
    <row r="17" spans="1:11" x14ac:dyDescent="0.25">
      <c r="A17" t="s">
        <v>147</v>
      </c>
      <c r="B17" s="20">
        <f>FV(10%,8,,-71.55)</f>
        <v>153.37377935550006</v>
      </c>
      <c r="C17" s="20" t="s">
        <v>307</v>
      </c>
      <c r="D17" s="20"/>
      <c r="E17" s="20"/>
      <c r="F17" s="20"/>
      <c r="G17" s="20"/>
      <c r="H17" s="20"/>
      <c r="I17" s="20"/>
      <c r="J17" s="20"/>
    </row>
    <row r="18" spans="1:11" x14ac:dyDescent="0.25">
      <c r="B18" s="20"/>
      <c r="C18" s="20"/>
      <c r="D18" s="20"/>
      <c r="E18" s="20"/>
      <c r="F18" s="20"/>
      <c r="G18" s="20"/>
      <c r="H18" s="20"/>
      <c r="I18" s="20"/>
      <c r="J18" s="20"/>
      <c r="K18" s="46"/>
    </row>
    <row r="19" spans="1:11" x14ac:dyDescent="0.25">
      <c r="B19" t="s">
        <v>180</v>
      </c>
    </row>
    <row r="22" spans="1:11" x14ac:dyDescent="0.25">
      <c r="B22" t="s">
        <v>179</v>
      </c>
    </row>
    <row r="24" spans="1:11" x14ac:dyDescent="0.25">
      <c r="A24" t="s">
        <v>0</v>
      </c>
      <c r="B24">
        <v>0</v>
      </c>
      <c r="C24">
        <v>1</v>
      </c>
      <c r="D24">
        <v>2</v>
      </c>
      <c r="E24">
        <v>3</v>
      </c>
      <c r="F24">
        <v>4</v>
      </c>
      <c r="G24">
        <v>5</v>
      </c>
      <c r="H24">
        <v>6</v>
      </c>
      <c r="I24">
        <v>7</v>
      </c>
      <c r="J24">
        <v>8</v>
      </c>
    </row>
    <row r="25" spans="1:11" x14ac:dyDescent="0.25">
      <c r="B25" s="20">
        <v>-7000</v>
      </c>
      <c r="C25" s="20">
        <v>1400</v>
      </c>
      <c r="D25" s="20">
        <v>1400</v>
      </c>
      <c r="E25" s="20">
        <v>1400</v>
      </c>
      <c r="F25" s="20">
        <v>1400</v>
      </c>
      <c r="G25" s="20">
        <v>1400</v>
      </c>
      <c r="H25" s="20">
        <v>1050</v>
      </c>
      <c r="I25" s="20">
        <v>1050</v>
      </c>
      <c r="J25" s="20">
        <v>1203.3699999999999</v>
      </c>
    </row>
    <row r="26" spans="1:11" x14ac:dyDescent="0.25">
      <c r="B26" s="20"/>
      <c r="C26" s="20">
        <f>C25*1.1^-C24</f>
        <v>1272.7272727272727</v>
      </c>
      <c r="D26" s="20">
        <f>D25*1.1^-D24</f>
        <v>1157.0247933884295</v>
      </c>
      <c r="E26" s="20">
        <f>E25*1.1^-E24</f>
        <v>1051.8407212622085</v>
      </c>
      <c r="F26" s="20">
        <f>F25*1.1^-F24</f>
        <v>956.21883751109874</v>
      </c>
      <c r="G26" s="20">
        <f>G25*1.1^-G24</f>
        <v>869.28985228281692</v>
      </c>
      <c r="H26" s="20">
        <f>H25*1.1^-H24</f>
        <v>592.69762655646605</v>
      </c>
      <c r="I26" s="20">
        <f>I25*1.1^-I24</f>
        <v>538.81602414224176</v>
      </c>
      <c r="J26" s="20">
        <f>J25*1.1^-J24</f>
        <v>561.38098612298654</v>
      </c>
      <c r="K26" s="20">
        <f>SUM(C26:J26)+B25</f>
        <v>-3.8860064778418746E-3</v>
      </c>
    </row>
  </sheetData>
  <pageMargins left="0.7" right="0.7" top="0.78740157499999996" bottom="0.78740157499999996"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B68C-5004-4FD7-B8A4-8E32AC41E7EB}">
  <dimension ref="A2:J27"/>
  <sheetViews>
    <sheetView workbookViewId="0">
      <selection activeCell="B17" sqref="B17"/>
    </sheetView>
  </sheetViews>
  <sheetFormatPr baseColWidth="10" defaultRowHeight="15" x14ac:dyDescent="0.25"/>
  <cols>
    <col min="2" max="4" width="12" bestFit="1" customWidth="1"/>
    <col min="5" max="6" width="12" customWidth="1"/>
    <col min="7" max="10" width="12" bestFit="1" customWidth="1"/>
  </cols>
  <sheetData>
    <row r="2" spans="1:10" x14ac:dyDescent="0.25">
      <c r="B2" s="5">
        <v>7.0000000000000007E-2</v>
      </c>
    </row>
    <row r="3" spans="1:10" x14ac:dyDescent="0.25">
      <c r="A3" s="15" t="s">
        <v>194</v>
      </c>
      <c r="B3" s="15" t="s">
        <v>193</v>
      </c>
      <c r="C3" s="15" t="s">
        <v>192</v>
      </c>
      <c r="D3" s="15" t="s">
        <v>189</v>
      </c>
      <c r="E3" s="15" t="s">
        <v>17</v>
      </c>
      <c r="F3" s="15"/>
      <c r="G3" s="15" t="s">
        <v>191</v>
      </c>
      <c r="H3" s="15" t="s">
        <v>190</v>
      </c>
      <c r="I3" s="15" t="s">
        <v>189</v>
      </c>
      <c r="J3" s="15" t="s">
        <v>17</v>
      </c>
    </row>
    <row r="4" spans="1:10" x14ac:dyDescent="0.25">
      <c r="A4" s="15">
        <v>0</v>
      </c>
      <c r="B4" s="20">
        <v>0</v>
      </c>
      <c r="C4" s="20">
        <v>15000</v>
      </c>
      <c r="D4" s="20">
        <f>B4-C4</f>
        <v>-15000</v>
      </c>
      <c r="E4" s="20">
        <f>D4*(1+$B$2)^-A4</f>
        <v>-15000</v>
      </c>
      <c r="F4" s="20"/>
      <c r="G4" s="20">
        <v>0</v>
      </c>
      <c r="H4" s="20">
        <v>17000</v>
      </c>
      <c r="I4" s="20">
        <f>G4-H4</f>
        <v>-17000</v>
      </c>
      <c r="J4" s="20">
        <f>I4*(1+$B$2)^-A4</f>
        <v>-17000</v>
      </c>
    </row>
    <row r="5" spans="1:10" x14ac:dyDescent="0.25">
      <c r="A5" s="15">
        <v>1</v>
      </c>
      <c r="B5" s="20">
        <v>14000</v>
      </c>
      <c r="C5" s="20">
        <v>8000</v>
      </c>
      <c r="D5" s="20">
        <f>B5-C5</f>
        <v>6000</v>
      </c>
      <c r="E5" s="20">
        <f>D5*(1+$B$2)^-A5</f>
        <v>5607.4766355140182</v>
      </c>
      <c r="F5" s="20"/>
      <c r="G5" s="20">
        <v>17234</v>
      </c>
      <c r="H5" s="20">
        <v>10756</v>
      </c>
      <c r="I5" s="20">
        <f>G5-H5</f>
        <v>6478</v>
      </c>
      <c r="J5" s="20">
        <f>I5*(1+$B$2)^-A5</f>
        <v>6054.2056074766351</v>
      </c>
    </row>
    <row r="6" spans="1:10" x14ac:dyDescent="0.25">
      <c r="A6" s="15">
        <v>2</v>
      </c>
      <c r="B6" s="20">
        <v>10000</v>
      </c>
      <c r="C6" s="20">
        <v>4000</v>
      </c>
      <c r="D6" s="20">
        <f>B6-C6</f>
        <v>6000</v>
      </c>
      <c r="E6" s="20">
        <f>D6*(1+$B$2)^-A6</f>
        <v>5240.6323696392692</v>
      </c>
      <c r="F6" s="20"/>
      <c r="G6" s="20">
        <v>15230</v>
      </c>
      <c r="H6" s="20">
        <v>8752</v>
      </c>
      <c r="I6" s="20">
        <f>G6-H6</f>
        <v>6478</v>
      </c>
      <c r="J6" s="20">
        <f>I6*(1+$B$2)^-A6</f>
        <v>5658.1360817538643</v>
      </c>
    </row>
    <row r="7" spans="1:10" x14ac:dyDescent="0.25">
      <c r="A7" s="15">
        <v>3</v>
      </c>
      <c r="B7" s="20">
        <v>9000</v>
      </c>
      <c r="C7" s="20">
        <v>3000</v>
      </c>
      <c r="D7" s="20">
        <f>B7-C7</f>
        <v>6000</v>
      </c>
      <c r="E7" s="20">
        <f>D7*(1+$B$2)^-A7</f>
        <v>4897.7872613451109</v>
      </c>
      <c r="F7" s="20"/>
      <c r="G7" s="20">
        <v>12790</v>
      </c>
      <c r="H7" s="20">
        <v>6312</v>
      </c>
      <c r="I7" s="20">
        <f>G7-H7</f>
        <v>6478</v>
      </c>
      <c r="J7" s="20">
        <f>I7*(1+$B$2)^-A7</f>
        <v>5287.9776464989382</v>
      </c>
    </row>
    <row r="9" spans="1:10" x14ac:dyDescent="0.25">
      <c r="D9" s="15" t="s">
        <v>45</v>
      </c>
      <c r="E9" s="19">
        <f>SUM(E4:E8)</f>
        <v>745.89626649839829</v>
      </c>
      <c r="F9" s="20"/>
      <c r="I9" s="15" t="s">
        <v>45</v>
      </c>
      <c r="J9" s="19">
        <f>SUM(J4:J8)</f>
        <v>0.31933572943762556</v>
      </c>
    </row>
    <row r="10" spans="1:10" x14ac:dyDescent="0.25">
      <c r="D10" s="15"/>
      <c r="E10" s="19"/>
      <c r="F10" s="20"/>
      <c r="I10" s="15"/>
      <c r="J10" s="19"/>
    </row>
    <row r="12" spans="1:10" x14ac:dyDescent="0.25">
      <c r="B12" s="15" t="s">
        <v>188</v>
      </c>
      <c r="H12" s="44">
        <f>NPV(B2,D5,D6,D7)+D4</f>
        <v>745.8962664983992</v>
      </c>
    </row>
    <row r="14" spans="1:10" x14ac:dyDescent="0.25">
      <c r="B14" s="15" t="s">
        <v>187</v>
      </c>
      <c r="H14" s="44">
        <f>NPV(B2,I5,I6,I7)+I4</f>
        <v>0.31933572943671606</v>
      </c>
    </row>
    <row r="17" spans="1:8" x14ac:dyDescent="0.25">
      <c r="B17" s="15" t="s">
        <v>186</v>
      </c>
      <c r="H17" s="44">
        <f>PV(B2,A7,-D5,0,0)+D4</f>
        <v>745.89626649840284</v>
      </c>
    </row>
    <row r="19" spans="1:8" x14ac:dyDescent="0.25">
      <c r="B19" s="15" t="s">
        <v>185</v>
      </c>
      <c r="H19" s="44">
        <f>PV(B2,A7,-I5,0,0)+J4</f>
        <v>0.31933572944399202</v>
      </c>
    </row>
    <row r="27" spans="1:8" x14ac:dyDescent="0.25">
      <c r="A27" s="15" t="s">
        <v>184</v>
      </c>
    </row>
  </sheetData>
  <pageMargins left="0.7" right="0.7" top="0.78740157499999996" bottom="0.78740157499999996"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42ABF-5D3B-4EA3-A854-9AACE6E84E26}">
  <dimension ref="A1:F27"/>
  <sheetViews>
    <sheetView workbookViewId="0">
      <selection activeCell="B17" sqref="B17"/>
    </sheetView>
  </sheetViews>
  <sheetFormatPr baseColWidth="10" defaultRowHeight="15" x14ac:dyDescent="0.25"/>
  <cols>
    <col min="1" max="1" width="24.7109375" bestFit="1" customWidth="1"/>
    <col min="2" max="4" width="14.5703125" bestFit="1" customWidth="1"/>
    <col min="6" max="6" width="13" bestFit="1" customWidth="1"/>
  </cols>
  <sheetData>
    <row r="1" spans="1:4" x14ac:dyDescent="0.25">
      <c r="B1" s="15" t="s">
        <v>211</v>
      </c>
    </row>
    <row r="2" spans="1:4" ht="18" x14ac:dyDescent="0.35">
      <c r="A2" s="15" t="s">
        <v>210</v>
      </c>
      <c r="B2" s="15" t="s">
        <v>209</v>
      </c>
      <c r="C2" s="15" t="s">
        <v>208</v>
      </c>
      <c r="D2" s="15" t="s">
        <v>207</v>
      </c>
    </row>
    <row r="3" spans="1:4" x14ac:dyDescent="0.25">
      <c r="B3" s="20"/>
      <c r="C3" s="20"/>
      <c r="D3" s="20"/>
    </row>
    <row r="4" spans="1:4" x14ac:dyDescent="0.25">
      <c r="A4" t="s">
        <v>206</v>
      </c>
      <c r="B4" s="20"/>
      <c r="C4" s="20">
        <f>3000000*0.57</f>
        <v>1709999.9999999998</v>
      </c>
      <c r="D4" s="20">
        <f>3000000*0.57</f>
        <v>1709999.9999999998</v>
      </c>
    </row>
    <row r="5" spans="1:4" x14ac:dyDescent="0.25">
      <c r="A5" t="s">
        <v>205</v>
      </c>
      <c r="B5" s="20"/>
      <c r="C5" s="20"/>
      <c r="D5" s="20">
        <v>1300000</v>
      </c>
    </row>
    <row r="6" spans="1:4" x14ac:dyDescent="0.25">
      <c r="B6" s="20"/>
      <c r="C6" s="20"/>
      <c r="D6" s="20"/>
    </row>
    <row r="7" spans="1:4" x14ac:dyDescent="0.25">
      <c r="A7" s="52" t="s">
        <v>204</v>
      </c>
      <c r="B7" s="51"/>
      <c r="C7" s="51">
        <f>SUM(C4:C6)</f>
        <v>1709999.9999999998</v>
      </c>
      <c r="D7" s="51">
        <f>SUM(D4:D6)</f>
        <v>3010000</v>
      </c>
    </row>
    <row r="8" spans="1:4" x14ac:dyDescent="0.25">
      <c r="B8" s="20"/>
      <c r="C8" s="20"/>
      <c r="D8" s="20"/>
    </row>
    <row r="9" spans="1:4" x14ac:dyDescent="0.25">
      <c r="B9" s="20"/>
      <c r="C9" s="20"/>
      <c r="D9" s="20"/>
    </row>
    <row r="10" spans="1:4" x14ac:dyDescent="0.25">
      <c r="A10" s="15" t="s">
        <v>53</v>
      </c>
      <c r="B10" s="20"/>
      <c r="C10" s="20"/>
      <c r="D10" s="20"/>
    </row>
    <row r="11" spans="1:4" x14ac:dyDescent="0.25">
      <c r="B11" s="20"/>
      <c r="C11" s="20"/>
      <c r="D11" s="20"/>
    </row>
    <row r="12" spans="1:4" x14ac:dyDescent="0.25">
      <c r="A12" t="s">
        <v>203</v>
      </c>
      <c r="B12" s="42">
        <v>-2000000</v>
      </c>
      <c r="C12" s="20"/>
      <c r="D12" s="20"/>
    </row>
    <row r="13" spans="1:4" x14ac:dyDescent="0.25">
      <c r="A13" t="s">
        <v>202</v>
      </c>
      <c r="B13" s="20"/>
      <c r="C13" s="20">
        <v>-550000</v>
      </c>
      <c r="D13" s="20">
        <f>C13+ (C13*10%)</f>
        <v>-605000</v>
      </c>
    </row>
    <row r="14" spans="1:4" x14ac:dyDescent="0.25">
      <c r="A14" t="s">
        <v>201</v>
      </c>
      <c r="B14" s="20"/>
      <c r="C14" s="20">
        <v>-200000</v>
      </c>
      <c r="D14" s="20">
        <v>-220000</v>
      </c>
    </row>
    <row r="15" spans="1:4" x14ac:dyDescent="0.25">
      <c r="A15" t="s">
        <v>200</v>
      </c>
      <c r="B15" s="20"/>
      <c r="C15" s="20">
        <f>-150000*60%</f>
        <v>-90000</v>
      </c>
      <c r="D15" s="20">
        <f>C15+(C15*30%)</f>
        <v>-117000</v>
      </c>
    </row>
    <row r="16" spans="1:4" x14ac:dyDescent="0.25">
      <c r="B16" s="20"/>
      <c r="C16" s="20"/>
      <c r="D16" s="20"/>
    </row>
    <row r="17" spans="1:6" x14ac:dyDescent="0.25">
      <c r="A17" s="50" t="s">
        <v>199</v>
      </c>
      <c r="B17" s="49">
        <f>SUM(B12:B16)</f>
        <v>-2000000</v>
      </c>
      <c r="C17" s="49">
        <f>SUM(C12:C16)</f>
        <v>-840000</v>
      </c>
      <c r="D17" s="49">
        <f>SUM(D12:D16)</f>
        <v>-942000</v>
      </c>
    </row>
    <row r="18" spans="1:6" x14ac:dyDescent="0.25">
      <c r="B18" s="20"/>
      <c r="C18" s="20"/>
      <c r="D18" s="20"/>
    </row>
    <row r="19" spans="1:6" x14ac:dyDescent="0.25">
      <c r="A19" s="48" t="s">
        <v>198</v>
      </c>
      <c r="B19" s="47">
        <f>B7+B17</f>
        <v>-2000000</v>
      </c>
      <c r="C19" s="47">
        <f>C7+C17</f>
        <v>869999.99999999977</v>
      </c>
      <c r="D19" s="47">
        <f>D7+D17</f>
        <v>2068000</v>
      </c>
    </row>
    <row r="20" spans="1:6" x14ac:dyDescent="0.25">
      <c r="B20" s="20"/>
      <c r="C20" s="20"/>
      <c r="D20" s="20"/>
    </row>
    <row r="21" spans="1:6" x14ac:dyDescent="0.25">
      <c r="A21" t="s">
        <v>197</v>
      </c>
      <c r="B21" s="20">
        <f>B19</f>
        <v>-2000000</v>
      </c>
      <c r="C21" s="20">
        <f>C19*1.1^-1</f>
        <v>790909.09090909071</v>
      </c>
      <c r="D21" s="20">
        <f>D19*1.1^-2</f>
        <v>1709090.9090909089</v>
      </c>
      <c r="E21" t="s">
        <v>158</v>
      </c>
      <c r="F21" s="19">
        <f>SUM(B21:E21)</f>
        <v>499999.99999999977</v>
      </c>
    </row>
    <row r="24" spans="1:6" x14ac:dyDescent="0.25">
      <c r="A24" s="15" t="s">
        <v>196</v>
      </c>
      <c r="B24" s="44">
        <f>NPV(10%,C19,D19)+B21</f>
        <v>499999.99999999953</v>
      </c>
    </row>
    <row r="27" spans="1:6" x14ac:dyDescent="0.25">
      <c r="A27" s="15" t="s">
        <v>195</v>
      </c>
    </row>
  </sheetData>
  <pageMargins left="0.7" right="0.7" top="0.78740157499999996" bottom="0.78740157499999996" header="0.3" footer="0.3"/>
  <pageSetup paperSize="9" orientation="portrait" horizontalDpi="0" verticalDpi="0"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8385-8AD4-47A9-B275-258BCFE84B3E}">
  <dimension ref="A1:E20"/>
  <sheetViews>
    <sheetView workbookViewId="0">
      <selection activeCell="B17" sqref="B17"/>
    </sheetView>
  </sheetViews>
  <sheetFormatPr baseColWidth="10" defaultRowHeight="15" x14ac:dyDescent="0.25"/>
  <sheetData>
    <row r="1" spans="1:5" x14ac:dyDescent="0.25">
      <c r="A1" t="s">
        <v>214</v>
      </c>
    </row>
    <row r="3" spans="1:5" x14ac:dyDescent="0.25">
      <c r="B3" s="5">
        <v>0.08</v>
      </c>
    </row>
    <row r="4" spans="1:5" x14ac:dyDescent="0.25">
      <c r="A4" t="s">
        <v>55</v>
      </c>
      <c r="B4" t="s">
        <v>42</v>
      </c>
      <c r="C4" t="s">
        <v>17</v>
      </c>
    </row>
    <row r="5" spans="1:5" x14ac:dyDescent="0.25">
      <c r="A5">
        <v>0</v>
      </c>
      <c r="B5" s="20">
        <v>-5000</v>
      </c>
      <c r="C5" s="20">
        <f>B5*(1+$B$3)^-A5</f>
        <v>-5000</v>
      </c>
    </row>
    <row r="6" spans="1:5" x14ac:dyDescent="0.25">
      <c r="A6">
        <v>1</v>
      </c>
      <c r="B6" s="20">
        <v>2700</v>
      </c>
      <c r="C6" s="20">
        <f>B6*(1+$B$3)^-A6</f>
        <v>2499.9999999999995</v>
      </c>
    </row>
    <row r="7" spans="1:5" x14ac:dyDescent="0.25">
      <c r="A7">
        <v>2</v>
      </c>
      <c r="B7" s="20">
        <v>2200</v>
      </c>
      <c r="C7" s="20">
        <f>B7*(1+$B$3)^-A7</f>
        <v>1886.145404663923</v>
      </c>
    </row>
    <row r="8" spans="1:5" x14ac:dyDescent="0.25">
      <c r="A8">
        <v>3</v>
      </c>
      <c r="B8" s="20">
        <v>1500</v>
      </c>
      <c r="C8" s="20">
        <f>B8*(1+$B$3)^-A8</f>
        <v>1190.7483615302544</v>
      </c>
    </row>
    <row r="11" spans="1:5" x14ac:dyDescent="0.25">
      <c r="B11" t="s">
        <v>45</v>
      </c>
      <c r="C11" s="20">
        <f>SUM(C5:C10)</f>
        <v>576.89376619417703</v>
      </c>
    </row>
    <row r="14" spans="1:5" x14ac:dyDescent="0.25">
      <c r="B14" t="s">
        <v>213</v>
      </c>
      <c r="E14" s="44">
        <f>PMT(B3,A8,-C11,0,0)</f>
        <v>223.85411532774739</v>
      </c>
    </row>
    <row r="16" spans="1:5" x14ac:dyDescent="0.25">
      <c r="E16" s="6"/>
    </row>
    <row r="20" spans="1:1" x14ac:dyDescent="0.25">
      <c r="A20" s="15" t="s">
        <v>212</v>
      </c>
    </row>
  </sheetData>
  <pageMargins left="0.7" right="0.7" top="0.78740157499999996" bottom="0.78740157499999996"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2DB2-B8B5-4135-A385-B16F61936321}">
  <dimension ref="A1:R37"/>
  <sheetViews>
    <sheetView topLeftCell="A34" workbookViewId="0">
      <selection activeCell="O49" sqref="O49"/>
    </sheetView>
  </sheetViews>
  <sheetFormatPr baseColWidth="10" defaultRowHeight="15" x14ac:dyDescent="0.25"/>
  <cols>
    <col min="2" max="2" width="46" bestFit="1" customWidth="1"/>
  </cols>
  <sheetData>
    <row r="1" spans="1:18" x14ac:dyDescent="0.25">
      <c r="A1" t="s">
        <v>1</v>
      </c>
      <c r="B1" t="s">
        <v>244</v>
      </c>
      <c r="C1" s="5">
        <v>0.1</v>
      </c>
      <c r="Q1" t="s">
        <v>243</v>
      </c>
    </row>
    <row r="2" spans="1:18" x14ac:dyDescent="0.25">
      <c r="Q2" t="s">
        <v>242</v>
      </c>
      <c r="R2" t="s">
        <v>241</v>
      </c>
    </row>
    <row r="3" spans="1:18" x14ac:dyDescent="0.25">
      <c r="C3" t="s">
        <v>240</v>
      </c>
      <c r="D3" t="s">
        <v>239</v>
      </c>
      <c r="E3" t="s">
        <v>237</v>
      </c>
      <c r="F3" t="s">
        <v>238</v>
      </c>
      <c r="G3" t="s">
        <v>237</v>
      </c>
      <c r="H3" t="s">
        <v>236</v>
      </c>
      <c r="P3" s="5">
        <v>0.01</v>
      </c>
      <c r="Q3" s="6">
        <f>NPV(P3,$D$4,$E$4,$F$4,$G$4,$H$4)+$C$4</f>
        <v>93.513297813516317</v>
      </c>
      <c r="R3" s="6">
        <f>NPV(P3,$D$5,$E$5,$F$5)+$C$5</f>
        <v>49.393594687377743</v>
      </c>
    </row>
    <row r="4" spans="1:18" x14ac:dyDescent="0.25">
      <c r="B4" t="s">
        <v>235</v>
      </c>
      <c r="C4">
        <v>-300</v>
      </c>
      <c r="D4">
        <v>85</v>
      </c>
      <c r="E4">
        <v>90</v>
      </c>
      <c r="F4">
        <v>80</v>
      </c>
      <c r="G4">
        <v>80</v>
      </c>
      <c r="H4">
        <v>70</v>
      </c>
      <c r="P4" s="5">
        <v>0.02</v>
      </c>
      <c r="Q4" s="6">
        <f>NPV(P4,$D$4,$E$4,$F$4,$G$4,$H$4)+$C$4</f>
        <v>82.533101178730874</v>
      </c>
      <c r="R4" s="6">
        <f>NPV(P4,$D$5,$E$5,$F$5)+$C$5</f>
        <v>43.968910901538607</v>
      </c>
    </row>
    <row r="5" spans="1:18" x14ac:dyDescent="0.25">
      <c r="B5" t="s">
        <v>234</v>
      </c>
      <c r="C5">
        <v>-230</v>
      </c>
      <c r="D5">
        <v>95</v>
      </c>
      <c r="E5">
        <v>95</v>
      </c>
      <c r="F5">
        <v>95</v>
      </c>
      <c r="P5" s="5">
        <v>0.03</v>
      </c>
      <c r="Q5" s="6">
        <f>NPV(P5,$D$4,$E$4,$F$4,$G$4,$H$4)+$C$4</f>
        <v>72.0308151550974</v>
      </c>
      <c r="R5" s="6">
        <f>NPV(P5,$D$5,$E$5,$F$5)+$C$5</f>
        <v>38.718078714994704</v>
      </c>
    </row>
    <row r="6" spans="1:18" x14ac:dyDescent="0.25">
      <c r="P6" s="5">
        <v>0.04</v>
      </c>
      <c r="Q6" s="6">
        <f>NPV(P6,$D$4,$E$4,$F$4,$G$4,$H$4)+$C$4</f>
        <v>61.979769851572712</v>
      </c>
      <c r="R6" s="6">
        <f>NPV(P6,$D$5,$E$5,$F$5)+$C$5</f>
        <v>33.633648156577124</v>
      </c>
    </row>
    <row r="7" spans="1:18" x14ac:dyDescent="0.25">
      <c r="P7" s="5">
        <v>0.05</v>
      </c>
      <c r="Q7" s="6">
        <f>NPV(P7,$D$4,$E$4,$F$4,$G$4,$H$4)+$C$4</f>
        <v>52.355071532266209</v>
      </c>
      <c r="R7" s="6">
        <f>NPV(P7,$D$5,$E$5,$F$5)+$C$5</f>
        <v>28.708562790195401</v>
      </c>
    </row>
    <row r="8" spans="1:18" x14ac:dyDescent="0.25">
      <c r="B8" t="s">
        <v>233</v>
      </c>
      <c r="C8" s="57">
        <f>NPV(C1,D4,E4,F4,G4,H4)+C4</f>
        <v>9.8636456774561339</v>
      </c>
      <c r="P8" s="5">
        <v>0.06</v>
      </c>
      <c r="Q8" s="6">
        <f>NPV(P8,$D$4,$E$4,$F$4,$G$4,$H$4)+$C$4</f>
        <v>43.133466648814306</v>
      </c>
      <c r="R8" s="6">
        <f>NPV(P8,$D$5,$E$5,$F$5)+$C$5</f>
        <v>23.936135198855396</v>
      </c>
    </row>
    <row r="9" spans="1:18" x14ac:dyDescent="0.25">
      <c r="B9" t="s">
        <v>232</v>
      </c>
      <c r="C9" s="57">
        <f>PV(C1,3,-D5)+C5</f>
        <v>6.2509391435013413</v>
      </c>
      <c r="P9" s="5">
        <v>7.0000000000000007E-2</v>
      </c>
      <c r="Q9" s="6">
        <f>NPV(P9,$D$4,$E$4,$F$4,$G$4,$H$4)+$C$4</f>
        <v>34.293217559964546</v>
      </c>
      <c r="R9" s="6">
        <f>NPV(P9,$D$5,$E$5,$F$5)+$C$5</f>
        <v>19.310024219557988</v>
      </c>
    </row>
    <row r="10" spans="1:18" x14ac:dyDescent="0.25">
      <c r="C10" s="6"/>
      <c r="P10" s="5">
        <v>0.08</v>
      </c>
      <c r="Q10" s="6">
        <f>NPV(P10,$D$4,$E$4,$F$4,$G$4,$H$4)+$C$4</f>
        <v>25.813988828556717</v>
      </c>
      <c r="R10" s="6">
        <f>NPV(P10,$D$5,$E$5,$F$5)+$C$5</f>
        <v>14.824213788548491</v>
      </c>
    </row>
    <row r="11" spans="1:18" x14ac:dyDescent="0.25">
      <c r="P11" s="5">
        <v>0.09</v>
      </c>
      <c r="Q11" s="6">
        <f>NPV(P11,$D$4,$E$4,$F$4,$G$4,$H$4)+$C$4</f>
        <v>17.676743101122213</v>
      </c>
      <c r="R11" s="6">
        <f>NPV(P11,$D$5,$E$5,$F$5)+$C$5</f>
        <v>10.472993268876564</v>
      </c>
    </row>
    <row r="12" spans="1:18" x14ac:dyDescent="0.25">
      <c r="P12" s="5">
        <v>0.1</v>
      </c>
      <c r="Q12" s="6">
        <f>NPV(P12,$D$4,$E$4,$F$4,$G$4,$H$4)+$C$4</f>
        <v>9.8636456774561339</v>
      </c>
      <c r="R12" s="6">
        <f>NPV(P12,$D$5,$E$5,$F$5)+$C$5</f>
        <v>6.2509391435011139</v>
      </c>
    </row>
    <row r="13" spans="1:18" x14ac:dyDescent="0.25">
      <c r="A13" t="s">
        <v>10</v>
      </c>
      <c r="P13" s="5">
        <v>0.11</v>
      </c>
      <c r="Q13" s="6">
        <f>NPV(P13,$D$4,$E$4,$F$4,$G$4,$H$4)+$C$4</f>
        <v>2.3579769683166205</v>
      </c>
      <c r="R13" s="6">
        <f>NPV(P13,$D$5,$E$5,$F$5)+$C$5</f>
        <v>2.1528979673610138</v>
      </c>
    </row>
    <row r="14" spans="1:18" x14ac:dyDescent="0.25">
      <c r="B14" s="56" t="s">
        <v>231</v>
      </c>
      <c r="P14" s="5">
        <v>0.12</v>
      </c>
      <c r="Q14" s="6">
        <f>NPV(P14,$D$4,$E$4,$F$4,$G$4,$H$4)+$C$4</f>
        <v>-4.8559478797897668</v>
      </c>
      <c r="R14" s="6">
        <f>NPV(P14,$D$5,$E$5,$F$5)+$C$5</f>
        <v>-1.8260295189504916</v>
      </c>
    </row>
    <row r="15" spans="1:18" x14ac:dyDescent="0.25">
      <c r="B15" t="s">
        <v>230</v>
      </c>
      <c r="C15">
        <v>300</v>
      </c>
    </row>
    <row r="16" spans="1:18" x14ac:dyDescent="0.25">
      <c r="B16" t="s">
        <v>229</v>
      </c>
      <c r="C16">
        <v>-300</v>
      </c>
      <c r="D16">
        <v>85</v>
      </c>
      <c r="E16">
        <v>90</v>
      </c>
      <c r="F16">
        <v>80</v>
      </c>
      <c r="G16">
        <v>80</v>
      </c>
      <c r="H16">
        <v>70</v>
      </c>
    </row>
    <row r="17" spans="2:8" x14ac:dyDescent="0.25">
      <c r="B17" t="s">
        <v>221</v>
      </c>
      <c r="D17">
        <v>85</v>
      </c>
      <c r="E17" s="32">
        <f>D17*1.1+E16</f>
        <v>183.5</v>
      </c>
      <c r="F17" s="32">
        <f>E17*1.1+F16</f>
        <v>281.85000000000002</v>
      </c>
      <c r="G17" s="32">
        <f>F17*1.1+G16</f>
        <v>390.03500000000003</v>
      </c>
      <c r="H17" s="32">
        <f>G17*1.1+H16</f>
        <v>499.03850000000006</v>
      </c>
    </row>
    <row r="18" spans="2:8" x14ac:dyDescent="0.25">
      <c r="E18" s="32"/>
      <c r="F18" s="32"/>
      <c r="G18" s="32"/>
      <c r="H18" s="32"/>
    </row>
    <row r="19" spans="2:8" x14ac:dyDescent="0.25">
      <c r="B19" t="s">
        <v>228</v>
      </c>
      <c r="C19" s="32">
        <f>H17*1.1^-5</f>
        <v>309.86364567745613</v>
      </c>
      <c r="E19" s="32"/>
      <c r="F19" s="32"/>
      <c r="G19" s="32"/>
      <c r="H19" s="32"/>
    </row>
    <row r="20" spans="2:8" x14ac:dyDescent="0.25">
      <c r="B20" t="s">
        <v>227</v>
      </c>
      <c r="C20">
        <v>-300</v>
      </c>
      <c r="E20" s="32"/>
      <c r="F20" s="32"/>
      <c r="G20" s="32"/>
      <c r="H20" s="32"/>
    </row>
    <row r="21" spans="2:8" x14ac:dyDescent="0.25">
      <c r="B21" s="15" t="s">
        <v>226</v>
      </c>
      <c r="C21" s="55">
        <f>SUM(C19:C20)</f>
        <v>9.8636456774561339</v>
      </c>
      <c r="E21" s="32"/>
      <c r="F21" s="32"/>
      <c r="G21" s="32"/>
      <c r="H21" s="32"/>
    </row>
    <row r="24" spans="2:8" x14ac:dyDescent="0.25">
      <c r="B24" s="56" t="s">
        <v>225</v>
      </c>
    </row>
    <row r="25" spans="2:8" x14ac:dyDescent="0.25">
      <c r="B25" t="s">
        <v>224</v>
      </c>
      <c r="C25">
        <v>300</v>
      </c>
    </row>
    <row r="26" spans="2:8" x14ac:dyDescent="0.25">
      <c r="B26" t="s">
        <v>223</v>
      </c>
      <c r="C26">
        <v>-230</v>
      </c>
      <c r="D26">
        <v>95</v>
      </c>
      <c r="E26">
        <v>95</v>
      </c>
      <c r="F26">
        <v>95</v>
      </c>
      <c r="G26">
        <v>0</v>
      </c>
      <c r="H26">
        <v>0</v>
      </c>
    </row>
    <row r="27" spans="2:8" x14ac:dyDescent="0.25">
      <c r="B27" t="s">
        <v>222</v>
      </c>
      <c r="C27">
        <v>-70</v>
      </c>
      <c r="D27">
        <v>7</v>
      </c>
      <c r="E27">
        <v>7</v>
      </c>
      <c r="F27">
        <v>7</v>
      </c>
      <c r="G27">
        <v>7</v>
      </c>
      <c r="H27">
        <v>77</v>
      </c>
    </row>
    <row r="28" spans="2:8" x14ac:dyDescent="0.25">
      <c r="B28" t="s">
        <v>221</v>
      </c>
      <c r="C28" s="6"/>
      <c r="D28">
        <f>SUM(D26:D27)</f>
        <v>102</v>
      </c>
      <c r="E28">
        <f>D28*1.1+E26+E27</f>
        <v>214.2</v>
      </c>
      <c r="F28">
        <f>E28*1.1+F26+F27</f>
        <v>337.62</v>
      </c>
      <c r="G28">
        <f>F28*1.1+G26+G27</f>
        <v>378.38200000000006</v>
      </c>
      <c r="H28" s="32">
        <f>G28*1.1+H26+H27</f>
        <v>493.22020000000009</v>
      </c>
    </row>
    <row r="30" spans="2:8" x14ac:dyDescent="0.25">
      <c r="B30" t="s">
        <v>220</v>
      </c>
      <c r="C30" s="32">
        <f>H28*1.1^-5</f>
        <v>306.25093914350106</v>
      </c>
    </row>
    <row r="31" spans="2:8" x14ac:dyDescent="0.25">
      <c r="B31" t="s">
        <v>219</v>
      </c>
      <c r="C31">
        <v>-300</v>
      </c>
    </row>
    <row r="32" spans="2:8" x14ac:dyDescent="0.25">
      <c r="B32" s="15" t="s">
        <v>218</v>
      </c>
      <c r="C32" s="55">
        <f>SUM(C30:C31)</f>
        <v>6.2509391435010571</v>
      </c>
    </row>
    <row r="33" spans="1:5" x14ac:dyDescent="0.25">
      <c r="E33" s="54"/>
    </row>
    <row r="35" spans="1:5" x14ac:dyDescent="0.25">
      <c r="C35" s="53"/>
    </row>
    <row r="36" spans="1:5" x14ac:dyDescent="0.25">
      <c r="A36" t="s">
        <v>147</v>
      </c>
      <c r="B36" t="s">
        <v>217</v>
      </c>
      <c r="C36" s="53">
        <f>IRR(C4:H4)</f>
        <v>0.11322547074354539</v>
      </c>
    </row>
    <row r="37" spans="1:5" x14ac:dyDescent="0.25">
      <c r="B37" t="s">
        <v>216</v>
      </c>
      <c r="C37" s="53">
        <f>IRR(C5:H5)</f>
        <v>0.11537429859486958</v>
      </c>
    </row>
  </sheetData>
  <pageMargins left="0.7" right="0.7" top="0.78740157499999996" bottom="0.78740157499999996" header="0.3" footer="0.3"/>
  <pageSetup paperSize="9" orientation="portrait" horizontalDpi="0" verticalDpi="0"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ED60-BF5D-4E40-B1AA-45DE35AA1A86}">
  <dimension ref="A1:I19"/>
  <sheetViews>
    <sheetView workbookViewId="0">
      <selection activeCell="O49" sqref="O49"/>
    </sheetView>
  </sheetViews>
  <sheetFormatPr baseColWidth="10" defaultRowHeight="15" x14ac:dyDescent="0.25"/>
  <cols>
    <col min="1" max="1" width="21.5703125" bestFit="1" customWidth="1"/>
    <col min="2" max="2" width="15.5703125" bestFit="1" customWidth="1"/>
    <col min="3" max="3" width="14.5703125" bestFit="1" customWidth="1"/>
    <col min="4" max="4" width="15.5703125" bestFit="1" customWidth="1"/>
    <col min="5" max="5" width="14.140625" bestFit="1" customWidth="1"/>
    <col min="9" max="9" width="12" bestFit="1" customWidth="1"/>
  </cols>
  <sheetData>
    <row r="1" spans="1:9" x14ac:dyDescent="0.25">
      <c r="A1" t="s">
        <v>10</v>
      </c>
    </row>
    <row r="2" spans="1:9" x14ac:dyDescent="0.25">
      <c r="A2" t="s">
        <v>244</v>
      </c>
      <c r="B2" s="58">
        <v>5.7000000000000002E-2</v>
      </c>
    </row>
    <row r="4" spans="1:9" x14ac:dyDescent="0.25">
      <c r="B4" t="s">
        <v>240</v>
      </c>
      <c r="C4" t="s">
        <v>239</v>
      </c>
      <c r="D4" t="s">
        <v>237</v>
      </c>
    </row>
    <row r="5" spans="1:9" x14ac:dyDescent="0.25">
      <c r="B5" s="20">
        <v>-10000000</v>
      </c>
      <c r="C5" s="20">
        <v>8750000</v>
      </c>
      <c r="D5" s="20">
        <v>8750000</v>
      </c>
      <c r="E5" s="20"/>
      <c r="F5" s="20"/>
      <c r="G5" s="20"/>
      <c r="H5" s="20"/>
      <c r="I5" s="20"/>
    </row>
    <row r="6" spans="1:9" x14ac:dyDescent="0.25">
      <c r="B6" s="20">
        <v>-6000000</v>
      </c>
      <c r="C6" s="20">
        <v>-110000</v>
      </c>
      <c r="D6" s="20">
        <v>-110000</v>
      </c>
    </row>
    <row r="7" spans="1:9" x14ac:dyDescent="0.25">
      <c r="D7" s="20">
        <v>2000000</v>
      </c>
    </row>
    <row r="8" spans="1:9" x14ac:dyDescent="0.25">
      <c r="A8" t="s">
        <v>198</v>
      </c>
      <c r="B8" s="20">
        <f>SUM(B5:B7)</f>
        <v>-16000000</v>
      </c>
      <c r="C8" s="20">
        <f>SUM(C5:C7)</f>
        <v>8640000</v>
      </c>
      <c r="D8" s="20">
        <f>SUM(D5:D7)</f>
        <v>10640000</v>
      </c>
      <c r="E8" s="6"/>
    </row>
    <row r="9" spans="1:9" x14ac:dyDescent="0.25">
      <c r="B9" s="20"/>
      <c r="C9" s="20"/>
      <c r="D9" s="20"/>
      <c r="E9" s="20"/>
      <c r="F9" s="20"/>
      <c r="G9" s="20"/>
      <c r="H9" s="20"/>
      <c r="I9" s="20"/>
    </row>
    <row r="10" spans="1:9" x14ac:dyDescent="0.25">
      <c r="A10" t="s">
        <v>245</v>
      </c>
      <c r="B10" s="28">
        <f>IRR(B8:D8)</f>
        <v>0.12901105930016965</v>
      </c>
    </row>
    <row r="12" spans="1:9" x14ac:dyDescent="0.25">
      <c r="A12" s="15"/>
      <c r="B12" s="44"/>
    </row>
    <row r="14" spans="1:9" x14ac:dyDescent="0.25">
      <c r="A14" s="36"/>
      <c r="B14" s="44"/>
    </row>
    <row r="15" spans="1:9" x14ac:dyDescent="0.25">
      <c r="A15" s="5"/>
      <c r="B15" s="6"/>
    </row>
    <row r="17" spans="1:2" x14ac:dyDescent="0.25">
      <c r="A17" s="15"/>
      <c r="B17" s="37"/>
    </row>
    <row r="19" spans="1:2" x14ac:dyDescent="0.25">
      <c r="A19" s="15"/>
      <c r="B19" s="37"/>
    </row>
  </sheetData>
  <pageMargins left="0.7" right="0.7" top="0.78740157499999996" bottom="0.78740157499999996" header="0.3" footer="0.3"/>
  <pageSetup paperSize="9" orientation="portrait" horizontalDpi="0" verticalDpi="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D14A-0121-4424-BF0C-72D1D961B105}">
  <dimension ref="A1:J194"/>
  <sheetViews>
    <sheetView topLeftCell="A79" workbookViewId="0">
      <selection activeCell="O49" sqref="O49"/>
    </sheetView>
  </sheetViews>
  <sheetFormatPr baseColWidth="10" defaultRowHeight="15" x14ac:dyDescent="0.25"/>
  <cols>
    <col min="2" max="3" width="14.85546875" bestFit="1" customWidth="1"/>
    <col min="4" max="5" width="14.5703125" bestFit="1" customWidth="1"/>
    <col min="6" max="7" width="13.85546875" bestFit="1" customWidth="1"/>
    <col min="8" max="8" width="14.85546875" bestFit="1" customWidth="1"/>
    <col min="9" max="9" width="14.85546875" customWidth="1"/>
    <col min="10" max="10" width="13.85546875" bestFit="1" customWidth="1"/>
    <col min="11" max="11" width="14.85546875" bestFit="1" customWidth="1"/>
    <col min="13" max="13" width="14.85546875" bestFit="1" customWidth="1"/>
  </cols>
  <sheetData>
    <row r="1" spans="1:9" x14ac:dyDescent="0.25">
      <c r="A1" t="s">
        <v>1</v>
      </c>
    </row>
    <row r="2" spans="1:9" x14ac:dyDescent="0.25">
      <c r="A2" t="s">
        <v>244</v>
      </c>
      <c r="B2" s="5"/>
      <c r="C2" s="5">
        <v>0.1</v>
      </c>
    </row>
    <row r="3" spans="1:9" x14ac:dyDescent="0.25">
      <c r="B3" s="5"/>
    </row>
    <row r="4" spans="1:9" x14ac:dyDescent="0.25">
      <c r="B4" t="s">
        <v>240</v>
      </c>
      <c r="C4" t="s">
        <v>239</v>
      </c>
      <c r="D4" t="s">
        <v>237</v>
      </c>
      <c r="E4" t="s">
        <v>238</v>
      </c>
    </row>
    <row r="5" spans="1:9" x14ac:dyDescent="0.25">
      <c r="B5" s="59">
        <v>10000000</v>
      </c>
      <c r="C5" s="59">
        <v>-8000000</v>
      </c>
      <c r="D5" s="59">
        <v>-8000000</v>
      </c>
      <c r="E5" s="59">
        <v>-8000000</v>
      </c>
    </row>
    <row r="6" spans="1:9" x14ac:dyDescent="0.25">
      <c r="B6" s="59"/>
      <c r="C6" s="59"/>
      <c r="D6" s="59"/>
      <c r="E6" s="59"/>
    </row>
    <row r="7" spans="1:9" x14ac:dyDescent="0.25">
      <c r="B7" s="61" t="s">
        <v>251</v>
      </c>
      <c r="C7" s="61">
        <f>PV(C2,3,-D5)+B5</f>
        <v>-9894815.9278737977</v>
      </c>
      <c r="D7" s="59"/>
      <c r="E7" s="59"/>
    </row>
    <row r="9" spans="1:9" x14ac:dyDescent="0.25">
      <c r="A9" t="s">
        <v>10</v>
      </c>
    </row>
    <row r="10" spans="1:9" x14ac:dyDescent="0.25">
      <c r="B10">
        <v>0</v>
      </c>
      <c r="C10">
        <v>1</v>
      </c>
      <c r="D10">
        <v>2</v>
      </c>
      <c r="E10">
        <v>3</v>
      </c>
      <c r="F10">
        <v>4</v>
      </c>
      <c r="G10">
        <v>5</v>
      </c>
      <c r="H10">
        <v>6</v>
      </c>
    </row>
    <row r="11" spans="1:9" x14ac:dyDescent="0.25">
      <c r="B11" s="59">
        <v>10000000</v>
      </c>
      <c r="C11" s="59">
        <v>-8000000</v>
      </c>
      <c r="D11" s="59">
        <v>-8000000</v>
      </c>
      <c r="E11" s="59">
        <v>-8000000</v>
      </c>
      <c r="F11" s="59">
        <v>5000000</v>
      </c>
      <c r="G11" s="59">
        <v>5000000</v>
      </c>
      <c r="H11" s="59">
        <v>5000000</v>
      </c>
      <c r="I11" s="59"/>
    </row>
    <row r="13" spans="1:9" x14ac:dyDescent="0.25">
      <c r="B13" s="15" t="s">
        <v>251</v>
      </c>
      <c r="C13" s="61">
        <f>NPV(C2,C11,D11,E11,F11,G11,H11,)+B11</f>
        <v>-552772.38548376597</v>
      </c>
    </row>
    <row r="16" spans="1:9" x14ac:dyDescent="0.25">
      <c r="A16" t="s">
        <v>147</v>
      </c>
      <c r="C16" t="s">
        <v>250</v>
      </c>
    </row>
    <row r="17" spans="2:5" x14ac:dyDescent="0.25">
      <c r="C17" t="s">
        <v>249</v>
      </c>
      <c r="E17" t="s">
        <v>248</v>
      </c>
    </row>
    <row r="18" spans="2:5" x14ac:dyDescent="0.25">
      <c r="B18" s="59"/>
      <c r="C18" s="59" t="s">
        <v>243</v>
      </c>
      <c r="E18" t="s">
        <v>243</v>
      </c>
    </row>
    <row r="19" spans="2:5" x14ac:dyDescent="0.25">
      <c r="B19" s="5">
        <v>0.01</v>
      </c>
      <c r="C19" s="6">
        <f>NPV(B19,$C$5,$D$5,$E$5)+$B$5</f>
        <v>-13527881.657884441</v>
      </c>
      <c r="D19" s="5">
        <v>0.01</v>
      </c>
      <c r="E19" s="6">
        <f>NPV(D19,$C$11,$D$11,$E$11,$F$11,$G$11,$H$11,$I$11)+$B$11</f>
        <v>744574.67883441411</v>
      </c>
    </row>
    <row r="20" spans="2:5" x14ac:dyDescent="0.25">
      <c r="B20" s="5">
        <v>0.02</v>
      </c>
      <c r="C20" s="6">
        <f>NPV(B20,$C$5,$D$5,$E$5)+$B$5</f>
        <v>-13071066.181182198</v>
      </c>
      <c r="D20" s="5">
        <v>0.02</v>
      </c>
      <c r="E20" s="6">
        <f>NPV(D20,$C$11,$D$11,$E$11,$F$11,$G$11,$H$11,$I$11)+$B$11</f>
        <v>516671.90903091058</v>
      </c>
    </row>
    <row r="21" spans="2:5" x14ac:dyDescent="0.25">
      <c r="B21" s="5">
        <v>0.03</v>
      </c>
      <c r="C21" s="6">
        <f>NPV(B21,$C$5,$D$5,$E$5)+$B$5</f>
        <v>-12628890.839157447</v>
      </c>
      <c r="D21" s="5">
        <v>0.03</v>
      </c>
      <c r="E21" s="6">
        <f>NPV(D21,$C$11,$D$11,$E$11,$F$11,$G$11,$H$11,$I$11)+$B$11</f>
        <v>314009.60576008819</v>
      </c>
    </row>
    <row r="22" spans="2:5" x14ac:dyDescent="0.25">
      <c r="B22" s="5">
        <v>0.04</v>
      </c>
      <c r="C22" s="6">
        <f>NPV(B22,$C$5,$D$5,$E$5)+$B$5</f>
        <v>-12200728.265817024</v>
      </c>
      <c r="D22" s="36">
        <v>0.04</v>
      </c>
      <c r="E22" s="6">
        <f>NPV(D22,$C$11,$D$11,$E$11,$F$11,$G$11,$H$11,$I$11)+$B$11</f>
        <v>134500.85177909397</v>
      </c>
    </row>
    <row r="23" spans="2:5" x14ac:dyDescent="0.25">
      <c r="B23" s="5">
        <v>0.05</v>
      </c>
      <c r="C23" s="6">
        <f>NPV(B23,$C$5,$D$5,$E$5)+$B$5</f>
        <v>-11785984.234963823</v>
      </c>
      <c r="D23" s="36">
        <v>0.05</v>
      </c>
      <c r="E23" s="6">
        <f>NPV(D23,$C$11,$D$11,$E$11,$F$11,$G$11,$H$11,$I$11)+$B$11</f>
        <v>-23764.045478984714</v>
      </c>
    </row>
    <row r="24" spans="2:5" x14ac:dyDescent="0.25">
      <c r="B24" s="5">
        <v>0.06</v>
      </c>
      <c r="C24" s="6">
        <f>NPV(B24,$C$5,$D$5,$E$5)+$B$5</f>
        <v>-11384095.595693089</v>
      </c>
      <c r="D24" s="5">
        <v>0.06</v>
      </c>
      <c r="E24" s="6">
        <f>NPV(D24,$C$11,$D$11,$E$11,$F$11,$G$11,$H$11,$I$11)+$B$11</f>
        <v>-162533.7129743211</v>
      </c>
    </row>
    <row r="25" spans="2:5" x14ac:dyDescent="0.25">
      <c r="B25" s="5">
        <v>7.0000000000000007E-2</v>
      </c>
      <c r="C25" s="6">
        <f>NPV(B25,$C$5,$D$5,$E$5)+$B$5</f>
        <v>-10994528.355331197</v>
      </c>
      <c r="D25" s="5">
        <v>7.0000000000000007E-2</v>
      </c>
      <c r="E25" s="6">
        <f>NPV(D25,$C$11,$D$11,$E$11,$F$11,$G$11,$H$11,$I$11)+$B$11</f>
        <v>-283410.27859266847</v>
      </c>
    </row>
    <row r="26" spans="2:5" x14ac:dyDescent="0.25">
      <c r="B26" s="5">
        <v>0.08</v>
      </c>
      <c r="C26" s="6">
        <f>NPV(B26,$C$5,$D$5,$E$5)+$B$5</f>
        <v>-10616775.897983029</v>
      </c>
      <c r="D26" s="5">
        <v>0.08</v>
      </c>
      <c r="E26" s="6">
        <f>NPV(D26,$C$11,$D$11,$E$11,$F$11,$G$11,$H$11,$I$11)+$B$11</f>
        <v>-387862.51441647485</v>
      </c>
    </row>
    <row r="27" spans="2:5" x14ac:dyDescent="0.25">
      <c r="B27" s="5">
        <v>0.09</v>
      </c>
      <c r="C27" s="6">
        <f>NPV(B27,$C$5,$D$5,$E$5)+$B$5</f>
        <v>-10250357.327905394</v>
      </c>
      <c r="D27" s="5">
        <v>0.09</v>
      </c>
      <c r="E27" s="6">
        <f>NPV(D27,$C$11,$D$11,$E$11,$F$11,$G$11,$H$11,$I$11)+$B$11</f>
        <v>-477237.70669160783</v>
      </c>
    </row>
    <row r="28" spans="2:5" x14ac:dyDescent="0.25">
      <c r="B28" s="5">
        <v>0.1</v>
      </c>
      <c r="C28" s="6">
        <f>NPV(B28,$C$5,$D$5,$E$5)+$B$5</f>
        <v>-9894815.9278737754</v>
      </c>
      <c r="D28" s="5">
        <v>0.1</v>
      </c>
      <c r="E28" s="6">
        <f>NPV(D28,$C$11,$D$11,$E$11,$F$11,$G$11,$H$11,$I$11)+$B$11</f>
        <v>-552772.38548376597</v>
      </c>
    </row>
    <row r="29" spans="2:5" x14ac:dyDescent="0.25">
      <c r="B29" s="5">
        <v>0.11</v>
      </c>
      <c r="C29" s="6">
        <f>NPV(B29,$C$5,$D$5,$E$5)+$B$5</f>
        <v>-9549717.7235672437</v>
      </c>
      <c r="D29" s="5">
        <v>0.11</v>
      </c>
      <c r="E29" s="6">
        <f>NPV(D29,$C$11,$D$11,$E$11,$F$11,$G$11,$H$11,$I$11)+$B$11</f>
        <v>-615602.03210549429</v>
      </c>
    </row>
    <row r="30" spans="2:5" x14ac:dyDescent="0.25">
      <c r="B30" s="5">
        <v>0.12</v>
      </c>
      <c r="C30" s="6">
        <f>NPV(B30,$C$5,$D$5,$E$5)+$B$5</f>
        <v>-9214650.1457725912</v>
      </c>
      <c r="D30" s="5">
        <v>0.12</v>
      </c>
      <c r="E30" s="6">
        <f>NPV(D30,$C$11,$D$11,$E$11,$F$11,$G$11,$H$11,$I$11)+$B$11</f>
        <v>-666769.86926883459</v>
      </c>
    </row>
    <row r="31" spans="2:5" x14ac:dyDescent="0.25">
      <c r="B31" s="5">
        <v>0.13</v>
      </c>
      <c r="C31" s="6">
        <f>NPV(B31,$C$5,$D$5,$E$5)+$B$5</f>
        <v>-8889220.7829110473</v>
      </c>
      <c r="D31" s="5">
        <v>0.13</v>
      </c>
      <c r="E31" s="6">
        <f>NPV(D31,$C$11,$D$11,$E$11,$F$11,$G$11,$H$11,$I$11)+$B$11</f>
        <v>-707234.82735121809</v>
      </c>
    </row>
    <row r="32" spans="2:5" x14ac:dyDescent="0.25">
      <c r="B32" s="5">
        <v>0.14000000000000001</v>
      </c>
      <c r="C32" s="6">
        <f>NPV(B32,$C$5,$D$5,$E$5)+$B$5</f>
        <v>-8573056.2170276381</v>
      </c>
      <c r="D32" s="5">
        <v>0.14000000000000001</v>
      </c>
      <c r="E32" s="6">
        <f>NPV(D32,$C$11,$D$11,$E$11,$F$11,$G$11,$H$11,$I$11)+$B$11</f>
        <v>-737878.76995736919</v>
      </c>
    </row>
    <row r="33" spans="2:5" x14ac:dyDescent="0.25">
      <c r="B33" s="5">
        <v>0.15</v>
      </c>
      <c r="C33" s="6">
        <f>NPV(B33,$C$5,$D$5,$E$5)+$B$5</f>
        <v>-8265800.9369606338</v>
      </c>
      <c r="D33" s="5">
        <v>0.15</v>
      </c>
      <c r="E33" s="6">
        <f>NPV(D33,$C$11,$D$11,$E$11,$F$11,$G$11,$H$11,$I$11)+$B$11</f>
        <v>-759513.05294623598</v>
      </c>
    </row>
    <row r="34" spans="2:5" x14ac:dyDescent="0.25">
      <c r="B34" s="5">
        <v>0.16</v>
      </c>
      <c r="C34" s="6">
        <f>NPV(B34,$C$5,$D$5,$E$5)+$B$5</f>
        <v>-7967116.3229324706</v>
      </c>
      <c r="D34" s="5">
        <v>0.16</v>
      </c>
      <c r="E34" s="6">
        <f>NPV(D34,$C$11,$D$11,$E$11,$F$11,$G$11,$H$11,$I$11)+$B$11</f>
        <v>-772884.4831220042</v>
      </c>
    </row>
    <row r="35" spans="2:5" x14ac:dyDescent="0.25">
      <c r="B35" s="5">
        <v>0.17</v>
      </c>
      <c r="C35" s="6">
        <f>NPV(B35,$C$5,$D$5,$E$5)+$B$5</f>
        <v>-7676679.6972801797</v>
      </c>
      <c r="D35" s="5">
        <v>0.17</v>
      </c>
      <c r="E35" s="6">
        <f>NPV(D35,$C$11,$D$11,$E$11,$F$11,$G$11,$H$11,$I$11)+$B$11</f>
        <v>-778680.73573321663</v>
      </c>
    </row>
    <row r="36" spans="2:5" x14ac:dyDescent="0.25">
      <c r="B36" s="5">
        <v>0.18</v>
      </c>
      <c r="C36" s="6">
        <f>NPV(B36,$C$5,$D$5,$E$5)+$B$5</f>
        <v>-7394183.436475981</v>
      </c>
      <c r="D36" s="5">
        <v>0.18</v>
      </c>
      <c r="E36" s="6">
        <f>NPV(D36,$C$11,$D$11,$E$11,$F$11,$G$11,$H$11,$I$11)+$B$11</f>
        <v>-777535.28367220797</v>
      </c>
    </row>
    <row r="37" spans="2:5" x14ac:dyDescent="0.25">
      <c r="B37" s="5">
        <v>0.19</v>
      </c>
      <c r="C37" s="6">
        <f>NPV(B37,$C$5,$D$5,$E$5)+$B$5</f>
        <v>-7119334.1399832331</v>
      </c>
      <c r="D37" s="5">
        <v>0.19</v>
      </c>
      <c r="E37" s="6">
        <f>NPV(D37,$C$11,$D$11,$E$11,$F$11,$G$11,$H$11,$I$11)+$B$11</f>
        <v>-770031.8857214544</v>
      </c>
    </row>
    <row r="38" spans="2:5" x14ac:dyDescent="0.25">
      <c r="B38" s="5">
        <v>0.2</v>
      </c>
      <c r="C38" s="6">
        <f>NPV(B38,$C$5,$D$5,$E$5)+$B$5</f>
        <v>-6851851.8518518545</v>
      </c>
      <c r="D38" s="5">
        <v>0.2</v>
      </c>
      <c r="E38" s="6">
        <f>NPV(D38,$C$11,$D$11,$E$11,$F$11,$G$11,$H$11,$I$11)+$B$11</f>
        <v>-756708.67626886442</v>
      </c>
    </row>
    <row r="39" spans="2:5" x14ac:dyDescent="0.25">
      <c r="B39" s="5">
        <v>0.21</v>
      </c>
      <c r="C39" s="6">
        <f>NPV(B39,$C$5,$D$5,$E$5)+$B$5</f>
        <v>-6591469.3312846683</v>
      </c>
      <c r="D39" s="5">
        <v>0.21</v>
      </c>
      <c r="E39" s="6">
        <f>NPV(D39,$C$11,$D$11,$E$11,$F$11,$G$11,$H$11,$I$11)+$B$11</f>
        <v>-738061.89453655668</v>
      </c>
    </row>
    <row r="40" spans="2:5" x14ac:dyDescent="0.25">
      <c r="B40" s="5">
        <v>0.22</v>
      </c>
      <c r="C40" s="6">
        <f>NPV(B40,$C$5,$D$5,$E$5)+$B$5</f>
        <v>-6337931.3687048703</v>
      </c>
      <c r="D40" s="5">
        <v>0.22</v>
      </c>
      <c r="E40" s="6">
        <f>NPV(D40,$C$11,$D$11,$E$11,$F$11,$G$11,$H$11,$I$11)+$B$11</f>
        <v>-714549.28747310303</v>
      </c>
    </row>
    <row r="41" spans="2:5" x14ac:dyDescent="0.25">
      <c r="B41" s="5">
        <v>0.23</v>
      </c>
      <c r="C41" s="6">
        <f>NPV(B41,$C$5,$D$5,$E$5)+$B$5</f>
        <v>-6090994.1441274416</v>
      </c>
      <c r="D41" s="5">
        <v>0.23</v>
      </c>
      <c r="E41" s="6">
        <f>NPV(D41,$C$11,$D$11,$E$11,$F$11,$G$11,$H$11,$I$11)+$B$11</f>
        <v>-686593.21698990464</v>
      </c>
    </row>
    <row r="42" spans="2:5" x14ac:dyDescent="0.25">
      <c r="B42" s="5">
        <v>0.24</v>
      </c>
      <c r="C42" s="6">
        <f>NPV(B42,$C$5,$D$5,$E$5)+$B$5</f>
        <v>-5850424.6248867102</v>
      </c>
      <c r="D42" s="5">
        <v>0.24</v>
      </c>
      <c r="E42" s="6">
        <f>NPV(D42,$C$11,$D$11,$E$11,$F$11,$G$11,$H$11,$I$11)+$B$11</f>
        <v>-654583.49913029745</v>
      </c>
    </row>
    <row r="43" spans="2:5" x14ac:dyDescent="0.25">
      <c r="B43" s="5">
        <v>0.25</v>
      </c>
      <c r="C43" s="6">
        <f>NPV(B43,$C$5,$D$5,$E$5)+$B$5</f>
        <v>-5616000</v>
      </c>
      <c r="D43" s="5">
        <v>0.25</v>
      </c>
      <c r="E43" s="6">
        <f>NPV(D43,$C$11,$D$11,$E$11,$F$11,$G$11,$H$11,$I$11)+$B$11</f>
        <v>-618880</v>
      </c>
    </row>
    <row r="44" spans="2:5" x14ac:dyDescent="0.25">
      <c r="B44" s="5">
        <v>0.26</v>
      </c>
      <c r="C44" s="6">
        <f>NPV(B44,$C$5,$D$5,$E$5)+$B$5</f>
        <v>-5387507.1486560535</v>
      </c>
      <c r="D44" s="5">
        <v>0.26</v>
      </c>
      <c r="E44" s="6">
        <f>NPV(D44,$C$11,$D$11,$E$11,$F$11,$G$11,$H$11,$I$11)+$B$11</f>
        <v>-579815.01082295179</v>
      </c>
    </row>
    <row r="45" spans="2:5" x14ac:dyDescent="0.25">
      <c r="B45" s="5">
        <v>0.27</v>
      </c>
      <c r="C45" s="6">
        <f>NPV(B45,$C$5,$D$5,$E$5)+$B$5</f>
        <v>-5164742.140507903</v>
      </c>
      <c r="D45" s="5">
        <v>0.27</v>
      </c>
      <c r="E45" s="6">
        <f>NPV(D45,$C$11,$D$11,$E$11,$F$11,$G$11,$H$11,$I$11)+$B$11</f>
        <v>-537695.42228311673</v>
      </c>
    </row>
    <row r="46" spans="2:5" x14ac:dyDescent="0.25">
      <c r="B46" s="5">
        <v>0.28000000000000003</v>
      </c>
      <c r="C46" s="6">
        <f>NPV(B46,$C$5,$D$5,$E$5)+$B$5</f>
        <v>-4947509.765625</v>
      </c>
      <c r="D46" s="5">
        <v>0.28000000000000003</v>
      </c>
      <c r="E46" s="6">
        <f>NPV(D46,$C$11,$D$11,$E$11,$F$11,$G$11,$H$11,$I$11)+$B$11</f>
        <v>-492804.71634119749</v>
      </c>
    </row>
    <row r="47" spans="2:5" x14ac:dyDescent="0.25">
      <c r="B47" s="5">
        <v>0.28999999999999998</v>
      </c>
      <c r="C47" s="6">
        <f>NPV(B47,$C$5,$D$5,$E$5)+$B$5</f>
        <v>-4735623.0921200011</v>
      </c>
      <c r="D47" s="5">
        <v>0.28999999999999998</v>
      </c>
      <c r="E47" s="6">
        <f>NPV(D47,$C$11,$D$11,$E$11,$F$11,$G$11,$H$11,$I$11)+$B$11</f>
        <v>-445404.79194936529</v>
      </c>
    </row>
    <row r="48" spans="2:5" x14ac:dyDescent="0.25">
      <c r="B48" s="5">
        <v>0.3</v>
      </c>
      <c r="C48" s="6">
        <f>NPV(B48,$C$5,$D$5,$E$5)+$B$5</f>
        <v>-4528903.0496131089</v>
      </c>
      <c r="D48" s="5">
        <v>0.3</v>
      </c>
      <c r="E48" s="6">
        <f>NPV(D48,$C$11,$D$11,$E$11,$F$11,$G$11,$H$11,$I$11)+$B$11</f>
        <v>-395737.63950469159</v>
      </c>
    </row>
    <row r="49" spans="2:5" x14ac:dyDescent="0.25">
      <c r="B49" s="5">
        <v>0.31</v>
      </c>
      <c r="C49" s="6">
        <f>NPV(B49,$C$5,$D$5,$E$5)+$B$5</f>
        <v>-4327178.036832137</v>
      </c>
      <c r="D49" s="5">
        <v>0.31</v>
      </c>
      <c r="E49" s="6">
        <f>NPV(D49,$C$11,$D$11,$E$11,$F$11,$G$11,$H$11,$I$11)+$B$11</f>
        <v>-344026.87746177241</v>
      </c>
    </row>
    <row r="50" spans="2:5" x14ac:dyDescent="0.25">
      <c r="B50" s="5">
        <v>0.32</v>
      </c>
      <c r="C50" s="6">
        <f>NPV(B50,$C$5,$D$5,$E$5)+$B$5</f>
        <v>-4130283.5517711528</v>
      </c>
      <c r="D50" s="5">
        <v>0.32</v>
      </c>
      <c r="E50" s="6">
        <f>NPV(D50,$C$11,$D$11,$E$11,$F$11,$G$11,$H$11,$I$11)+$B$11</f>
        <v>-290479.16325054318</v>
      </c>
    </row>
    <row r="51" spans="2:5" x14ac:dyDescent="0.25">
      <c r="B51" s="5">
        <v>0.33</v>
      </c>
      <c r="C51" s="6">
        <f>NPV(B51,$C$5,$D$5,$E$5)+$B$5</f>
        <v>-3938061.8429447431</v>
      </c>
      <c r="D51" s="5">
        <v>0.33</v>
      </c>
      <c r="E51" s="6">
        <f>NPV(D51,$C$11,$D$11,$E$11,$F$11,$G$11,$H$11,$I$11)+$B$11</f>
        <v>-235285.48949945532</v>
      </c>
    </row>
    <row r="52" spans="2:5" x14ac:dyDescent="0.25">
      <c r="B52" s="5">
        <v>0.34</v>
      </c>
      <c r="C52" s="6">
        <f>NPV(B52,$C$5,$D$5,$E$5)+$B$5</f>
        <v>-3750361.5803805627</v>
      </c>
      <c r="D52" s="5">
        <v>0.34</v>
      </c>
      <c r="E52" s="6">
        <f>NPV(D52,$C$11,$D$11,$E$11,$F$11,$G$11,$H$11,$I$11)+$B$11</f>
        <v>-178622.37553411908</v>
      </c>
    </row>
    <row r="53" spans="2:5" x14ac:dyDescent="0.25">
      <c r="B53" s="5">
        <v>0.35</v>
      </c>
      <c r="C53" s="6">
        <f>NPV(B53,$C$5,$D$5,$E$5)+$B$5</f>
        <v>-3567037.5450896714</v>
      </c>
      <c r="D53" s="5">
        <v>0.35</v>
      </c>
      <c r="E53" s="6">
        <f>NPV(D53,$C$11,$D$11,$E$11,$F$11,$G$11,$H$11,$I$11)+$B$11</f>
        <v>-120652.96319421008</v>
      </c>
    </row>
    <row r="54" spans="2:5" x14ac:dyDescent="0.25">
      <c r="B54" s="5">
        <v>0.36</v>
      </c>
      <c r="C54" s="6">
        <f>NPV(B54,$C$5,$D$5,$E$5)+$B$5</f>
        <v>-3387950.3358436823</v>
      </c>
      <c r="D54" s="5">
        <v>0.36</v>
      </c>
      <c r="E54" s="6">
        <f>NPV(D54,$C$11,$D$11,$E$11,$F$11,$G$11,$H$11,$I$11)+$B$11</f>
        <v>-61528.025176232681</v>
      </c>
    </row>
    <row r="55" spans="2:5" x14ac:dyDescent="0.25">
      <c r="B55" s="5">
        <v>0.37</v>
      </c>
      <c r="C55" s="6">
        <f>NPV(B55,$C$5,$D$5,$E$5)+$B$5</f>
        <v>-3212966.092170151</v>
      </c>
      <c r="D55" s="36">
        <v>0.37</v>
      </c>
      <c r="E55" s="6">
        <f>NPV(D55,$C$11,$D$11,$E$11,$F$11,$G$11,$H$11,$I$11)+$B$11</f>
        <v>-1386.8933567870408</v>
      </c>
    </row>
    <row r="56" spans="2:5" x14ac:dyDescent="0.25">
      <c r="B56" s="5">
        <v>0.38</v>
      </c>
      <c r="C56" s="6">
        <f>NPV(B56,$C$5,$D$5,$E$5)+$B$5</f>
        <v>-3041956.232553754</v>
      </c>
      <c r="D56" s="36">
        <v>0.38</v>
      </c>
      <c r="E56" s="6">
        <f>NPV(D56,$C$11,$D$11,$E$11,$F$11,$G$11,$H$11,$I$11)+$B$11</f>
        <v>59641.686128113419</v>
      </c>
    </row>
    <row r="57" spans="2:5" x14ac:dyDescent="0.25">
      <c r="B57" s="5">
        <v>0.39</v>
      </c>
      <c r="C57" s="6">
        <f>NPV(B57,$C$5,$D$5,$E$5)+$B$5</f>
        <v>-2874797.2069009002</v>
      </c>
      <c r="D57" s="5">
        <v>0.39</v>
      </c>
      <c r="E57" s="6">
        <f>NPV(D57,$C$11,$D$11,$E$11,$F$11,$G$11,$H$11,$I$11)+$B$11</f>
        <v>121438.76488551497</v>
      </c>
    </row>
    <row r="58" spans="2:5" x14ac:dyDescent="0.25">
      <c r="B58" s="5">
        <v>0.4</v>
      </c>
      <c r="C58" s="6">
        <f>NPV(B58,$C$5,$D$5,$E$5)+$B$5</f>
        <v>-2711370.2623906713</v>
      </c>
      <c r="D58" s="5">
        <v>0.4</v>
      </c>
      <c r="E58" s="6">
        <f>NPV(D58,$C$11,$D$11,$E$11,$F$11,$G$11,$H$11,$I$11)+$B$11</f>
        <v>183894.46574131586</v>
      </c>
    </row>
    <row r="59" spans="2:5" x14ac:dyDescent="0.25">
      <c r="B59" s="5">
        <v>0.41</v>
      </c>
      <c r="C59" s="6">
        <f>NPV(B59,$C$5,$D$5,$E$5)+$B$5</f>
        <v>-2551561.2218943872</v>
      </c>
      <c r="D59" s="5">
        <v>0.41</v>
      </c>
      <c r="E59" s="6">
        <f>NPV(D59,$C$11,$D$11,$E$11,$F$11,$G$11,$H$11,$I$11)+$B$11</f>
        <v>246907.31258220039</v>
      </c>
    </row>
    <row r="60" spans="2:5" x14ac:dyDescent="0.25">
      <c r="B60" s="5">
        <v>0.42</v>
      </c>
      <c r="C60" s="6">
        <f>NPV(B60,$C$5,$D$5,$E$5)+$B$5</f>
        <v>-2395260.2742022462</v>
      </c>
      <c r="D60" s="5">
        <v>0.42</v>
      </c>
      <c r="E60" s="6">
        <f>NPV(D60,$C$11,$D$11,$E$11,$F$11,$G$11,$H$11,$I$11)+$B$11</f>
        <v>310383.61190924793</v>
      </c>
    </row>
    <row r="61" spans="2:5" x14ac:dyDescent="0.25">
      <c r="B61" s="5">
        <v>0.43</v>
      </c>
      <c r="C61" s="6">
        <f>NPV(B61,$C$5,$D$5,$E$5)+$B$5</f>
        <v>-2242361.7753462754</v>
      </c>
      <c r="D61" s="5">
        <v>0.43</v>
      </c>
      <c r="E61" s="6">
        <f>NPV(D61,$C$11,$D$11,$E$11,$F$11,$G$11,$H$11,$I$11)+$B$11</f>
        <v>374236.88185939565</v>
      </c>
    </row>
    <row r="62" spans="2:5" x14ac:dyDescent="0.25">
      <c r="B62" s="5">
        <v>0.44</v>
      </c>
      <c r="C62" s="6">
        <f>NPV(B62,$C$5,$D$5,$E$5)+$B$5</f>
        <v>-2092764.0603566542</v>
      </c>
      <c r="D62" s="5">
        <v>0.44</v>
      </c>
      <c r="E62" s="6">
        <f>NPV(D62,$C$11,$D$11,$E$11,$F$11,$G$11,$H$11,$I$11)+$B$11</f>
        <v>438387.3248225376</v>
      </c>
    </row>
    <row r="63" spans="2:5" x14ac:dyDescent="0.25">
      <c r="B63" s="5">
        <v>0.45</v>
      </c>
      <c r="C63" s="6">
        <f>NPV(B63,$C$5,$D$5,$E$5)+$B$5</f>
        <v>-1946369.264832506</v>
      </c>
      <c r="D63" s="5">
        <v>0.45</v>
      </c>
      <c r="E63" s="6">
        <f>NPV(D63,$C$11,$D$11,$E$11,$F$11,$G$11,$H$11,$I$11)+$B$11</f>
        <v>502761.34011900797</v>
      </c>
    </row>
    <row r="64" spans="2:5" x14ac:dyDescent="0.25">
      <c r="B64" s="5">
        <v>0.46</v>
      </c>
      <c r="C64" s="6">
        <f>NPV(B64,$C$5,$D$5,$E$5)+$B$5</f>
        <v>-1803083.1557489783</v>
      </c>
      <c r="D64" s="5">
        <v>0.46</v>
      </c>
      <c r="E64" s="6">
        <f>NPV(D64,$C$11,$D$11,$E$11,$F$11,$G$11,$H$11,$I$11)+$B$11</f>
        <v>567291.07350807078</v>
      </c>
    </row>
    <row r="65" spans="2:10" x14ac:dyDescent="0.25">
      <c r="B65" s="5">
        <v>0.47</v>
      </c>
      <c r="C65" s="6">
        <f>NPV(B65,$C$5,$D$5,$E$5)+$B$5</f>
        <v>-1662814.970960388</v>
      </c>
      <c r="D65" s="5">
        <v>0.47</v>
      </c>
      <c r="E65" s="6">
        <f>NPV(D65,$C$11,$D$11,$E$11,$F$11,$G$11,$H$11,$I$11)+$B$11</f>
        <v>631914.00057554618</v>
      </c>
    </row>
    <row r="66" spans="2:10" x14ac:dyDescent="0.25">
      <c r="B66" s="5">
        <v>0.48</v>
      </c>
      <c r="C66" s="6">
        <f>NPV(B66,$C$5,$D$5,$E$5)+$B$5</f>
        <v>-1525477.266894361</v>
      </c>
      <c r="D66" s="5">
        <v>0.48</v>
      </c>
      <c r="E66" s="6">
        <f>NPV(D66,$C$11,$D$11,$E$11,$F$11,$G$11,$H$11,$I$11)+$B$11</f>
        <v>696572.54130091146</v>
      </c>
    </row>
    <row r="67" spans="2:10" x14ac:dyDescent="0.25">
      <c r="B67" s="5">
        <v>0.49</v>
      </c>
      <c r="C67" s="6">
        <f>NPV(B67,$C$5,$D$5,$E$5)+$B$5</f>
        <v>-1390985.7739644721</v>
      </c>
      <c r="D67" s="5">
        <v>0.49</v>
      </c>
      <c r="E67" s="6">
        <f>NPV(D67,$C$11,$D$11,$E$11,$F$11,$G$11,$H$11,$I$11)+$B$11</f>
        <v>761213.70333333313</v>
      </c>
    </row>
    <row r="68" spans="2:10" x14ac:dyDescent="0.25">
      <c r="B68" s="5">
        <v>0.5</v>
      </c>
      <c r="C68" s="6">
        <f>NPV(B68,$C$5,$D$5,$E$5)+$B$5</f>
        <v>-1259259.2592592593</v>
      </c>
      <c r="D68" s="5">
        <v>0.5</v>
      </c>
      <c r="E68" s="6">
        <f>NPV(D68,$C$11,$D$11,$E$11,$F$11,$G$11,$H$11,$I$11)+$B$11</f>
        <v>825788.75171467848</v>
      </c>
    </row>
    <row r="69" spans="2:10" x14ac:dyDescent="0.25">
      <c r="B69" s="5">
        <v>0.51</v>
      </c>
      <c r="C69" s="6">
        <f>NPV(B69,$C$5,$D$5,$E$5)+$B$5</f>
        <v>-1130219.3960936405</v>
      </c>
      <c r="D69" s="5">
        <v>0.51</v>
      </c>
      <c r="E69" s="6">
        <f>NPV(D69,$C$11,$D$11,$E$11,$F$11,$G$11,$H$11,$I$11)+$B$11</f>
        <v>890252.90297728032</v>
      </c>
    </row>
    <row r="70" spans="2:10" x14ac:dyDescent="0.25">
      <c r="B70" s="5">
        <v>0.52</v>
      </c>
      <c r="C70" s="6">
        <f>NPV(B70,$C$5,$D$5,$E$5)+$B$5</f>
        <v>-1003790.6400349904</v>
      </c>
      <c r="D70" s="5">
        <v>0.52</v>
      </c>
      <c r="E70" s="6">
        <f>NPV(D70,$C$11,$D$11,$E$11,$F$11,$G$11,$H$11,$I$11)+$B$11</f>
        <v>954565.04171693698</v>
      </c>
    </row>
    <row r="71" spans="2:10" x14ac:dyDescent="0.25">
      <c r="B71" s="5">
        <v>0.53</v>
      </c>
      <c r="C71" s="6">
        <f>NPV(B71,$C$5,$D$5,$E$5)+$B$5</f>
        <v>-879900.11104047298</v>
      </c>
      <c r="D71" s="5">
        <v>0.53</v>
      </c>
      <c r="E71" s="6">
        <f>NPV(D71,$C$11,$D$11,$E$11,$F$11,$G$11,$H$11,$I$11)+$B$11</f>
        <v>1018687.4578992128</v>
      </c>
    </row>
    <row r="72" spans="2:10" x14ac:dyDescent="0.25">
      <c r="B72" s="5">
        <v>0.54</v>
      </c>
      <c r="C72" s="6">
        <f>NPV(B72,$C$5,$D$5,$E$5)+$B$5</f>
        <v>-758477.4813649822</v>
      </c>
      <c r="D72" s="5">
        <v>0.54</v>
      </c>
      <c r="E72" s="6">
        <f>NPV(D72,$C$11,$D$11,$E$11,$F$11,$G$11,$H$11,$I$11)+$B$11</f>
        <v>1082585.6033006161</v>
      </c>
    </row>
    <row r="73" spans="2:10" x14ac:dyDescent="0.25">
      <c r="B73" s="5">
        <v>0.55000000000000004</v>
      </c>
      <c r="C73" s="6">
        <f>NPV(B73,$C$5,$D$5,$E$5)+$B$5</f>
        <v>-639454.86892014183</v>
      </c>
      <c r="D73" s="5">
        <v>0.55000000000000004</v>
      </c>
      <c r="E73" s="6">
        <f>NPV(D73,$C$11,$D$11,$E$11,$F$11,$G$11,$H$11,$I$11)+$B$11</f>
        <v>1146227.8656171579</v>
      </c>
    </row>
    <row r="74" spans="2:10" x14ac:dyDescent="0.25">
      <c r="B74" s="5">
        <v>0.56000000000000005</v>
      </c>
      <c r="C74" s="6">
        <f>NPV(B74,$C$5,$D$5,$E$5)+$B$5</f>
        <v>-522766.7357844878</v>
      </c>
      <c r="D74" s="5">
        <v>0.56000000000000005</v>
      </c>
      <c r="E74" s="6">
        <f>NPV(D74,$C$11,$D$11,$E$11,$F$11,$G$11,$H$11,$I$11)+$B$11</f>
        <v>1209585.3588925209</v>
      </c>
      <c r="J74" s="5"/>
    </row>
    <row r="75" spans="2:10" x14ac:dyDescent="0.25">
      <c r="B75" s="5">
        <v>0.56999999999999995</v>
      </c>
      <c r="C75" s="6">
        <f>NPV(B75,$C$5,$D$5,$E$5)+$B$5</f>
        <v>-408349.79158338718</v>
      </c>
      <c r="D75" s="5">
        <v>0.56999999999999995</v>
      </c>
      <c r="E75" s="6">
        <f>NPV(D75,$C$11,$D$11,$E$11,$F$11,$G$11,$H$11,$I$11)+$B$11</f>
        <v>1272631.7290270329</v>
      </c>
      <c r="J75" s="5"/>
    </row>
    <row r="76" spans="2:10" x14ac:dyDescent="0.25">
      <c r="B76" s="5">
        <v>0.57999999999999996</v>
      </c>
      <c r="C76" s="6">
        <f>NPV(B76,$C$5,$D$5,$E$5)+$B$5</f>
        <v>-296142.90147432499</v>
      </c>
      <c r="D76" s="5">
        <v>0.57999999999999996</v>
      </c>
      <c r="E76" s="6">
        <f>NPV(D76,$C$11,$D$11,$E$11,$F$11,$G$11,$H$11,$I$11)+$B$11</f>
        <v>1335342.973228652</v>
      </c>
      <c r="J76" s="5"/>
    </row>
    <row r="77" spans="2:10" x14ac:dyDescent="0.25">
      <c r="B77" s="5">
        <v>0.59</v>
      </c>
      <c r="C77" s="6">
        <f>NPV(B77,$C$5,$D$5,$E$5)+$B$5</f>
        <v>-186086.99848918431</v>
      </c>
      <c r="D77" s="5">
        <v>0.59</v>
      </c>
      <c r="E77" s="6">
        <f>NPV(D77,$C$11,$D$11,$E$11,$F$11,$G$11,$H$11,$I$11)+$B$11</f>
        <v>1397697.2723582499</v>
      </c>
      <c r="J77" s="5"/>
    </row>
    <row r="78" spans="2:10" x14ac:dyDescent="0.25">
      <c r="B78" s="36">
        <v>0.6</v>
      </c>
      <c r="C78" s="6">
        <f>NPV(B78,$C$5,$D$5,$E$5)+$B$5</f>
        <v>-78125</v>
      </c>
      <c r="D78" s="5">
        <v>0.6</v>
      </c>
      <c r="E78" s="6">
        <f>NPV(D78,$C$11,$D$11,$E$11,$F$11,$G$11,$H$11,$I$11)+$B$11</f>
        <v>1459674.8352050781</v>
      </c>
      <c r="J78" s="5"/>
    </row>
    <row r="79" spans="2:10" x14ac:dyDescent="0.25">
      <c r="B79" s="36">
        <v>0.61</v>
      </c>
      <c r="C79" s="6">
        <f>NPV(B79,$C$5,$D$5,$E$5)+$B$5</f>
        <v>27798.271911237389</v>
      </c>
      <c r="D79" s="5">
        <v>0.61</v>
      </c>
      <c r="E79" s="6">
        <f>NPV(D79,$C$11,$D$11,$E$11,$F$11,$G$11,$H$11,$I$11)+$B$11</f>
        <v>1521257.7538046148</v>
      </c>
      <c r="J79" s="5"/>
    </row>
    <row r="80" spans="2:10" x14ac:dyDescent="0.25">
      <c r="B80" s="5">
        <v>0.62</v>
      </c>
      <c r="C80" s="6">
        <f>NPV(B80,$C$5,$D$5,$E$5)+$B$5</f>
        <v>131736.16638535634</v>
      </c>
      <c r="D80" s="5">
        <v>0.62</v>
      </c>
      <c r="E80" s="6">
        <f>NPV(D80,$C$11,$D$11,$E$11,$F$11,$G$11,$H$11,$I$11)+$B$11</f>
        <v>1582429.8689810243</v>
      </c>
      <c r="J80" s="5"/>
    </row>
    <row r="81" spans="1:10" x14ac:dyDescent="0.25">
      <c r="J81" s="5"/>
    </row>
    <row r="82" spans="1:10" x14ac:dyDescent="0.25">
      <c r="J82" s="5"/>
    </row>
    <row r="83" spans="1:10" x14ac:dyDescent="0.25">
      <c r="B83" t="s">
        <v>246</v>
      </c>
      <c r="C83" s="28">
        <f>IRR(B5:E5)</f>
        <v>0.60735719639171193</v>
      </c>
      <c r="E83" s="60">
        <f>IRR(B11:H11)</f>
        <v>4.8413520057646098E-2</v>
      </c>
      <c r="J83" s="5"/>
    </row>
    <row r="84" spans="1:10" x14ac:dyDescent="0.25">
      <c r="J84" s="5"/>
    </row>
    <row r="85" spans="1:10" x14ac:dyDescent="0.25">
      <c r="J85" s="5"/>
    </row>
    <row r="86" spans="1:10" x14ac:dyDescent="0.25">
      <c r="J86" s="5"/>
    </row>
    <row r="87" spans="1:10" x14ac:dyDescent="0.25">
      <c r="J87" s="5"/>
    </row>
    <row r="88" spans="1:10" x14ac:dyDescent="0.25">
      <c r="A88" t="s">
        <v>148</v>
      </c>
      <c r="B88">
        <v>0</v>
      </c>
      <c r="C88">
        <v>1</v>
      </c>
      <c r="D88">
        <v>2</v>
      </c>
      <c r="E88">
        <v>3</v>
      </c>
      <c r="F88">
        <v>4</v>
      </c>
      <c r="G88">
        <v>5</v>
      </c>
      <c r="H88">
        <v>6</v>
      </c>
      <c r="I88">
        <v>7</v>
      </c>
      <c r="J88" s="5"/>
    </row>
    <row r="89" spans="1:10" x14ac:dyDescent="0.25">
      <c r="B89" s="59">
        <v>10000000</v>
      </c>
      <c r="C89" s="59">
        <v>-8000000</v>
      </c>
      <c r="D89" s="59">
        <v>-8000000</v>
      </c>
      <c r="E89" s="59">
        <v>-8000000</v>
      </c>
      <c r="F89" s="59">
        <v>5000000</v>
      </c>
      <c r="G89" s="59">
        <v>5000000</v>
      </c>
      <c r="H89" s="59">
        <v>5000000</v>
      </c>
      <c r="I89" s="59">
        <v>5000000</v>
      </c>
    </row>
    <row r="91" spans="1:10" x14ac:dyDescent="0.25">
      <c r="B91" s="15" t="s">
        <v>247</v>
      </c>
      <c r="C91" s="44">
        <f>NPV(C2,C89,D89,E89,F89,G89,H89,I89)+B89</f>
        <v>2013018.2056697672</v>
      </c>
    </row>
    <row r="93" spans="1:10" x14ac:dyDescent="0.25">
      <c r="B93" t="s">
        <v>246</v>
      </c>
      <c r="C93" s="5" t="e">
        <f>IRR(B89:I89)</f>
        <v>#NUM!</v>
      </c>
    </row>
    <row r="95" spans="1:10" x14ac:dyDescent="0.25">
      <c r="B95" s="5">
        <v>0.01</v>
      </c>
      <c r="C95" s="6">
        <f>NPV(B95,$C$89,$D$89,$E$89,$F$89,$G$89,$H$89,$I$89)+$B$89</f>
        <v>5408164.9523700913</v>
      </c>
    </row>
    <row r="96" spans="1:10" x14ac:dyDescent="0.25">
      <c r="B96" s="5">
        <v>0.02</v>
      </c>
      <c r="C96" s="6">
        <f>NPV(B96,$C$89,$D$89,$E$89,$F$89,$G$89,$H$89,$I$89)+$B$89</f>
        <v>4869472.8021004796</v>
      </c>
    </row>
    <row r="97" spans="2:3" x14ac:dyDescent="0.25">
      <c r="B97" s="5">
        <v>0.03</v>
      </c>
      <c r="C97" s="6">
        <f>NPV(B97,$C$89,$D$89,$E$89,$F$89,$G$89,$H$89,$I$89)+$B$89</f>
        <v>4379467.1624768563</v>
      </c>
    </row>
    <row r="98" spans="2:3" x14ac:dyDescent="0.25">
      <c r="B98" s="5">
        <v>0.04</v>
      </c>
      <c r="C98" s="6">
        <f>NPV(B98,$C$89,$D$89,$E$89,$F$89,$G$89,$H$89,$I$89)+$B$89</f>
        <v>3934089.9177894108</v>
      </c>
    </row>
    <row r="99" spans="2:3" x14ac:dyDescent="0.25">
      <c r="B99" s="5">
        <v>0.05</v>
      </c>
      <c r="C99" s="6">
        <f>NPV(B99,$C$89,$D$89,$E$89,$F$89,$G$89,$H$89,$I$89)+$B$89</f>
        <v>3529642.6051716218</v>
      </c>
    </row>
    <row r="100" spans="2:3" x14ac:dyDescent="0.25">
      <c r="B100" s="5">
        <v>0.06</v>
      </c>
      <c r="C100" s="6">
        <f>NPV(B100,$C$89,$D$89,$E$89,$F$89,$G$89,$H$89,$I$89)+$B$89</f>
        <v>3162751.8551373603</v>
      </c>
    </row>
    <row r="101" spans="2:3" x14ac:dyDescent="0.25">
      <c r="B101" s="5">
        <v>7.0000000000000007E-2</v>
      </c>
      <c r="C101" s="6">
        <f>NPV(B101,$C$89,$D$89,$E$89,$F$89,$G$89,$H$89,$I$89)+$B$89</f>
        <v>2830338.4308302859</v>
      </c>
    </row>
    <row r="102" spans="2:3" x14ac:dyDescent="0.25">
      <c r="B102" s="5">
        <v>0.08</v>
      </c>
      <c r="C102" s="6">
        <f>NPV(B102,$C$89,$D$89,$E$89,$F$89,$G$89,$H$89,$I$89)+$B$89</f>
        <v>2529589.4618941946</v>
      </c>
    </row>
    <row r="103" spans="2:3" x14ac:dyDescent="0.25">
      <c r="B103" s="5">
        <v>0.09</v>
      </c>
      <c r="C103" s="6">
        <f>NPV(B103,$C$89,$D$89,$E$89,$F$89,$G$89,$H$89,$I$89)+$B$89</f>
        <v>2257933.5175249763</v>
      </c>
    </row>
    <row r="104" spans="2:3" x14ac:dyDescent="0.25">
      <c r="B104" s="5">
        <v>0.1</v>
      </c>
      <c r="C104" s="6">
        <f>NPV(B104,$C$89,$D$89,$E$89,$F$89,$G$89,$H$89,$I$89)+$B$89</f>
        <v>2013018.2056697672</v>
      </c>
    </row>
    <row r="105" spans="2:3" x14ac:dyDescent="0.25">
      <c r="B105" s="5">
        <v>0.11</v>
      </c>
      <c r="C105" s="6">
        <f>NPV(B105,$C$89,$D$89,$E$89,$F$89,$G$89,$H$89,$I$89)+$B$89</f>
        <v>1792690.0223485213</v>
      </c>
    </row>
    <row r="106" spans="2:3" x14ac:dyDescent="0.25">
      <c r="B106" s="5">
        <v>0.12</v>
      </c>
      <c r="C106" s="6">
        <f>NPV(B106,$C$89,$D$89,$E$89,$F$89,$G$89,$H$89,$I$89)+$B$89</f>
        <v>1594976.2074156329</v>
      </c>
    </row>
    <row r="107" spans="2:3" x14ac:dyDescent="0.25">
      <c r="B107" s="5">
        <v>0.13</v>
      </c>
      <c r="C107" s="6">
        <f>NPV(B107,$C$89,$D$89,$E$89,$F$89,$G$89,$H$89,$I$89)+$B$89</f>
        <v>1418068.3913794924</v>
      </c>
    </row>
    <row r="108" spans="2:3" x14ac:dyDescent="0.25">
      <c r="B108" s="5">
        <v>0.14000000000000001</v>
      </c>
      <c r="C108" s="6">
        <f>NPV(B108,$C$89,$D$89,$E$89,$F$89,$G$89,$H$89,$I$89)+$B$89</f>
        <v>1260307.8426919654</v>
      </c>
    </row>
    <row r="109" spans="2:3" x14ac:dyDescent="0.25">
      <c r="B109" s="5">
        <v>0.15</v>
      </c>
      <c r="C109" s="6">
        <f>NPV(B109,$C$89,$D$89,$E$89,$F$89,$G$89,$H$89,$I$89)+$B$89</f>
        <v>1120172.1466692276</v>
      </c>
    </row>
    <row r="110" spans="2:3" x14ac:dyDescent="0.25">
      <c r="B110" s="5">
        <v>0.16</v>
      </c>
      <c r="C110" s="6">
        <f>NPV(B110,$C$89,$D$89,$E$89,$F$89,$G$89,$H$89,$I$89)+$B$89</f>
        <v>996263.16630651243</v>
      </c>
    </row>
    <row r="111" spans="2:3" x14ac:dyDescent="0.25">
      <c r="B111" s="5">
        <v>0.17</v>
      </c>
      <c r="C111" s="6">
        <f>NPV(B111,$C$89,$D$89,$E$89,$F$89,$G$89,$H$89,$I$89)+$B$89</f>
        <v>887296.15204541571</v>
      </c>
    </row>
    <row r="112" spans="2:3" x14ac:dyDescent="0.25">
      <c r="B112" s="5">
        <v>0.18</v>
      </c>
      <c r="C112" s="6">
        <f>NPV(B112,$C$89,$D$89,$E$89,$F$89,$G$89,$H$89,$I$89)+$B$89</f>
        <v>792089.88233776949</v>
      </c>
    </row>
    <row r="113" spans="2:3" x14ac:dyDescent="0.25">
      <c r="B113" s="5">
        <v>0.19</v>
      </c>
      <c r="C113" s="6">
        <f>NPV(B113,$C$89,$D$89,$E$89,$F$89,$G$89,$H$89,$I$89)+$B$89</f>
        <v>709557.72988128103</v>
      </c>
    </row>
    <row r="114" spans="2:3" x14ac:dyDescent="0.25">
      <c r="B114" s="5">
        <v>0.2</v>
      </c>
      <c r="C114" s="6">
        <f>NPV(B114,$C$89,$D$89,$E$89,$F$89,$G$89,$H$89,$I$89)+$B$89</f>
        <v>638699.55989940278</v>
      </c>
    </row>
    <row r="115" spans="2:3" x14ac:dyDescent="0.25">
      <c r="B115" s="5">
        <v>0.21</v>
      </c>
      <c r="C115" s="6">
        <f>NPV(B115,$C$89,$D$89,$E$89,$F$89,$G$89,$H$89,$I$89)+$B$89</f>
        <v>578594.37699384242</v>
      </c>
    </row>
    <row r="116" spans="2:3" x14ac:dyDescent="0.25">
      <c r="B116" s="5">
        <v>0.22</v>
      </c>
      <c r="C116" s="6">
        <f>NPV(B116,$C$89,$D$89,$E$89,$F$89,$G$89,$H$89,$I$89)+$B$89</f>
        <v>528393.64607779309</v>
      </c>
    </row>
    <row r="117" spans="2:3" x14ac:dyDescent="0.25">
      <c r="B117" s="5">
        <v>0.23</v>
      </c>
      <c r="C117" s="6">
        <f>NPV(B117,$C$89,$D$89,$E$89,$F$89,$G$89,$H$89,$I$89)+$B$89</f>
        <v>487315.22084753215</v>
      </c>
    </row>
    <row r="118" spans="2:3" x14ac:dyDescent="0.25">
      <c r="B118" s="5">
        <v>0.24</v>
      </c>
      <c r="C118" s="6">
        <f>NPV(B118,$C$89,$D$89,$E$89,$F$89,$G$89,$H$89,$I$89)+$B$89</f>
        <v>454637.82029345632</v>
      </c>
    </row>
    <row r="119" spans="2:3" x14ac:dyDescent="0.25">
      <c r="B119" s="5">
        <v>0.25</v>
      </c>
      <c r="C119" s="6">
        <f>NPV(B119,$C$89,$D$89,$E$89,$F$89,$G$89,$H$89,$I$89)+$B$89</f>
        <v>429696</v>
      </c>
    </row>
    <row r="120" spans="2:3" x14ac:dyDescent="0.25">
      <c r="B120" s="5">
        <v>0.26</v>
      </c>
      <c r="C120" s="6">
        <f>NPV(B120,$C$89,$D$89,$E$89,$F$89,$G$89,$H$89,$I$89)+$B$89</f>
        <v>411875.57053163834</v>
      </c>
    </row>
    <row r="121" spans="2:3" x14ac:dyDescent="0.25">
      <c r="B121" s="5">
        <v>0.27</v>
      </c>
      <c r="C121" s="6">
        <f>NPV(B121,$C$89,$D$89,$E$89,$F$89,$G$89,$H$89,$I$89)+$B$89</f>
        <v>400609.42013310269</v>
      </c>
    </row>
    <row r="122" spans="2:3" x14ac:dyDescent="0.25">
      <c r="B122" s="5">
        <v>0.28000000000000003</v>
      </c>
      <c r="C122" s="6">
        <f>NPV(B122,$C$89,$D$89,$E$89,$F$89,$G$89,$H$89,$I$89)+$B$89</f>
        <v>395373.70335892774</v>
      </c>
    </row>
    <row r="123" spans="2:3" x14ac:dyDescent="0.25">
      <c r="B123" s="5">
        <v>0.28999999999999998</v>
      </c>
      <c r="C123" s="6">
        <f>NPV(B123,$C$89,$D$89,$E$89,$F$89,$G$89,$H$89,$I$89)+$B$89</f>
        <v>395684.36115432717</v>
      </c>
    </row>
    <row r="124" spans="2:3" x14ac:dyDescent="0.25">
      <c r="B124" s="5">
        <v>0.3</v>
      </c>
      <c r="C124" s="6">
        <f>NPV(B124,$C$89,$D$89,$E$89,$F$89,$G$89,$H$89,$I$89)+$B$89</f>
        <v>401093.9413914755</v>
      </c>
    </row>
    <row r="125" spans="2:3" x14ac:dyDescent="0.25">
      <c r="B125" s="5">
        <v>0.31</v>
      </c>
      <c r="C125" s="6">
        <f>NPV(B125,$C$89,$D$89,$E$89,$F$89,$G$89,$H$89,$I$89)+$B$89</f>
        <v>411188.69197254814</v>
      </c>
    </row>
    <row r="126" spans="2:3" x14ac:dyDescent="0.25">
      <c r="B126" s="5">
        <v>0.32</v>
      </c>
      <c r="C126" s="6">
        <f>NPV(B126,$C$89,$D$89,$E$89,$F$89,$G$89,$H$89,$I$89)+$B$89</f>
        <v>425585.90138519369</v>
      </c>
    </row>
    <row r="127" spans="2:3" x14ac:dyDescent="0.25">
      <c r="B127" s="5">
        <v>0.33</v>
      </c>
      <c r="C127" s="6">
        <f>NPV(B127,$C$89,$D$89,$E$89,$F$89,$G$89,$H$89,$I$89)+$B$89</f>
        <v>443931.4640762601</v>
      </c>
    </row>
    <row r="128" spans="2:3" x14ac:dyDescent="0.25">
      <c r="B128" s="5">
        <v>0.34</v>
      </c>
      <c r="C128" s="6">
        <f>NPV(B128,$C$89,$D$89,$E$89,$F$89,$G$89,$H$89,$I$89)+$B$89</f>
        <v>465897.65022807382</v>
      </c>
    </row>
    <row r="129" spans="2:3" x14ac:dyDescent="0.25">
      <c r="B129" s="5">
        <v>0.35</v>
      </c>
      <c r="C129" s="6">
        <f>NPV(B129,$C$89,$D$89,$E$89,$F$89,$G$89,$H$89,$I$89)+$B$89</f>
        <v>491181.06150817685</v>
      </c>
    </row>
    <row r="130" spans="2:3" x14ac:dyDescent="0.25">
      <c r="B130" s="5">
        <v>0.36</v>
      </c>
      <c r="C130" s="6">
        <f>NPV(B130,$C$89,$D$89,$E$89,$F$89,$G$89,$H$89,$I$89)+$B$89</f>
        <v>519500.75614354014</v>
      </c>
    </row>
    <row r="131" spans="2:3" x14ac:dyDescent="0.25">
      <c r="B131" s="5">
        <v>0.37</v>
      </c>
      <c r="C131" s="6">
        <f>NPV(B131,$C$89,$D$89,$E$89,$F$89,$G$89,$H$89,$I$89)+$B$89</f>
        <v>550596.52826708555</v>
      </c>
    </row>
    <row r="132" spans="2:3" x14ac:dyDescent="0.25">
      <c r="B132" s="5">
        <v>0.38</v>
      </c>
      <c r="C132" s="6">
        <f>NPV(B132,$C$89,$D$89,$E$89,$F$89,$G$89,$H$89,$I$89)+$B$89</f>
        <v>584227.32791751623</v>
      </c>
    </row>
    <row r="133" spans="2:3" x14ac:dyDescent="0.25">
      <c r="B133" s="5">
        <v>0.39</v>
      </c>
      <c r="C133" s="6">
        <f>NPV(B133,$C$89,$D$89,$E$89,$F$89,$G$89,$H$89,$I$89)+$B$89</f>
        <v>620169.80936119892</v>
      </c>
    </row>
    <row r="134" spans="2:3" x14ac:dyDescent="0.25">
      <c r="B134" s="5">
        <v>0.4</v>
      </c>
      <c r="C134" s="6">
        <f>NPV(B134,$C$89,$D$89,$E$89,$F$89,$G$89,$H$89,$I$89)+$B$89</f>
        <v>658216.99656241573</v>
      </c>
    </row>
    <row r="135" spans="2:3" x14ac:dyDescent="0.25">
      <c r="B135" s="5">
        <v>0.41</v>
      </c>
      <c r="C135" s="6">
        <f>NPV(B135,$C$89,$D$89,$E$89,$F$89,$G$89,$H$89,$I$89)+$B$89</f>
        <v>698177.05567025952</v>
      </c>
    </row>
    <row r="136" spans="2:3" x14ac:dyDescent="0.25">
      <c r="B136" s="5">
        <v>0.42</v>
      </c>
      <c r="C136" s="6">
        <f>NPV(B136,$C$89,$D$89,$E$89,$F$89,$G$89,$H$89,$I$89)+$B$89</f>
        <v>739872.16532832012</v>
      </c>
    </row>
    <row r="137" spans="2:3" x14ac:dyDescent="0.25">
      <c r="B137" s="5">
        <v>0.43</v>
      </c>
      <c r="C137" s="6">
        <f>NPV(B137,$C$89,$D$89,$E$89,$F$89,$G$89,$H$89,$I$89)+$B$89</f>
        <v>783137.47645887174</v>
      </c>
    </row>
    <row r="138" spans="2:3" x14ac:dyDescent="0.25">
      <c r="B138" s="5">
        <v>0.44</v>
      </c>
      <c r="C138" s="6">
        <f>NPV(B138,$C$89,$D$89,$E$89,$F$89,$G$89,$H$89,$I$89)+$B$89</f>
        <v>827820.15393578447</v>
      </c>
    </row>
    <row r="139" spans="2:3" x14ac:dyDescent="0.25">
      <c r="B139" s="5">
        <v>0.45</v>
      </c>
      <c r="C139" s="6">
        <f>NPV(B139,$C$89,$D$89,$E$89,$F$89,$G$89,$H$89,$I$89)+$B$89</f>
        <v>873778.49324844033</v>
      </c>
    </row>
    <row r="140" spans="2:3" x14ac:dyDescent="0.25">
      <c r="B140" s="5">
        <v>0.46</v>
      </c>
      <c r="C140" s="6">
        <f>NPV(B140,$C$89,$D$89,$E$89,$F$89,$G$89,$H$89,$I$89)+$B$89</f>
        <v>920881.10588062368</v>
      </c>
    </row>
    <row r="141" spans="2:3" x14ac:dyDescent="0.25">
      <c r="B141" s="5">
        <v>0.47</v>
      </c>
      <c r="C141" s="6">
        <f>NPV(B141,$C$89,$D$89,$E$89,$F$89,$G$89,$H$89,$I$89)+$B$89</f>
        <v>969006.16769017093</v>
      </c>
    </row>
    <row r="142" spans="2:3" x14ac:dyDescent="0.25">
      <c r="B142" s="5">
        <v>0.48</v>
      </c>
      <c r="C142" s="6">
        <f>NPV(B142,$C$89,$D$89,$E$89,$F$89,$G$89,$H$89,$I$89)+$B$89</f>
        <v>1018040.7250833176</v>
      </c>
    </row>
    <row r="143" spans="2:3" x14ac:dyDescent="0.25">
      <c r="B143" s="5">
        <v>0.49</v>
      </c>
      <c r="C143" s="6">
        <f>NPV(B143,$C$89,$D$89,$E$89,$F$89,$G$89,$H$89,$I$89)+$B$89</f>
        <v>1067880.0542376656</v>
      </c>
    </row>
    <row r="144" spans="2:3" x14ac:dyDescent="0.25">
      <c r="B144" s="5">
        <v>0.5</v>
      </c>
      <c r="C144" s="6">
        <f>NPV(B144,$C$89,$D$89,$E$89,$F$89,$G$89,$H$89,$I$89)+$B$89</f>
        <v>1118427.0690443534</v>
      </c>
    </row>
    <row r="145" spans="2:3" x14ac:dyDescent="0.25">
      <c r="B145" s="5">
        <v>0.51</v>
      </c>
      <c r="C145" s="6">
        <f>NPV(B145,$C$89,$D$89,$E$89,$F$89,$G$89,$H$89,$I$89)+$B$89</f>
        <v>1169591.7738176659</v>
      </c>
    </row>
    <row r="146" spans="2:3" x14ac:dyDescent="0.25">
      <c r="B146" s="5">
        <v>0.52</v>
      </c>
      <c r="C146" s="6">
        <f>NPV(B146,$C$89,$D$89,$E$89,$F$89,$G$89,$H$89,$I$89)+$B$89</f>
        <v>1221290.7571627423</v>
      </c>
    </row>
    <row r="147" spans="2:3" x14ac:dyDescent="0.25">
      <c r="B147" s="5">
        <v>0.53</v>
      </c>
      <c r="C147" s="6">
        <f>NPV(B147,$C$89,$D$89,$E$89,$F$89,$G$89,$H$89,$I$89)+$B$89</f>
        <v>1273446.72370301</v>
      </c>
    </row>
    <row r="148" spans="2:3" x14ac:dyDescent="0.25">
      <c r="B148" s="5">
        <v>0.54</v>
      </c>
      <c r="C148" s="6">
        <f>NPV(B148,$C$89,$D$89,$E$89,$F$89,$G$89,$H$89,$I$89)+$B$89</f>
        <v>1325988.0606511962</v>
      </c>
    </row>
    <row r="149" spans="2:3" x14ac:dyDescent="0.25">
      <c r="B149" s="5">
        <v>0.55000000000000004</v>
      </c>
      <c r="C149" s="6">
        <f>NPV(B149,$C$89,$D$89,$E$89,$F$89,$G$89,$H$89,$I$89)+$B$89</f>
        <v>1378848.4364643749</v>
      </c>
    </row>
    <row r="150" spans="2:3" x14ac:dyDescent="0.25">
      <c r="B150" s="5">
        <v>0.56000000000000005</v>
      </c>
      <c r="C150" s="6">
        <f>NPV(B150,$C$89,$D$89,$E$89,$F$89,$G$89,$H$89,$I$89)+$B$89</f>
        <v>1431966.4290568177</v>
      </c>
    </row>
    <row r="151" spans="2:3" x14ac:dyDescent="0.25">
      <c r="B151" s="5">
        <v>0.56999999999999995</v>
      </c>
      <c r="C151" s="6">
        <f>NPV(B151,$C$89,$D$89,$E$89,$F$89,$G$89,$H$89,$I$89)+$B$89</f>
        <v>1485285.1812566388</v>
      </c>
    </row>
    <row r="152" spans="2:3" x14ac:dyDescent="0.25">
      <c r="B152" s="5">
        <v>0.57999999999999996</v>
      </c>
      <c r="C152" s="6">
        <f>NPV(B152,$C$89,$D$89,$E$89,$F$89,$G$89,$H$89,$I$89)+$B$89</f>
        <v>1538752.0813855082</v>
      </c>
    </row>
    <row r="153" spans="2:3" x14ac:dyDescent="0.25">
      <c r="B153" s="5">
        <v>0.59</v>
      </c>
      <c r="C153" s="6">
        <f>NPV(B153,$C$89,$D$89,$E$89,$F$89,$G$89,$H$89,$I$89)+$B$89</f>
        <v>1592318.4670168199</v>
      </c>
    </row>
    <row r="154" spans="2:3" x14ac:dyDescent="0.25">
      <c r="B154" s="5">
        <v>0.6</v>
      </c>
      <c r="C154" s="6">
        <f>NPV(B154,$C$89,$D$89,$E$89,$F$89,$G$89,$H$89,$I$89)+$B$89</f>
        <v>1645939.3501281738</v>
      </c>
    </row>
    <row r="155" spans="2:3" x14ac:dyDescent="0.25">
      <c r="B155" s="5">
        <v>0.61</v>
      </c>
      <c r="C155" s="6">
        <f>NPV(B155,$C$89,$D$89,$E$89,$F$89,$G$89,$H$89,$I$89)+$B$89</f>
        <v>1699573.1620103288</v>
      </c>
    </row>
    <row r="156" spans="2:3" x14ac:dyDescent="0.25">
      <c r="B156" s="5">
        <v>0.62</v>
      </c>
      <c r="C156" s="6">
        <f>NPV(B156,$C$89,$D$89,$E$89,$F$89,$G$89,$H$89,$I$89)+$B$89</f>
        <v>1753181.5164285628</v>
      </c>
    </row>
    <row r="157" spans="2:3" x14ac:dyDescent="0.25">
      <c r="B157" s="5"/>
      <c r="C157" s="6"/>
    </row>
    <row r="158" spans="2:3" x14ac:dyDescent="0.25">
      <c r="B158" s="5"/>
      <c r="C158" s="6"/>
    </row>
    <row r="159" spans="2:3" x14ac:dyDescent="0.25">
      <c r="B159" s="5"/>
      <c r="C159" s="6"/>
    </row>
    <row r="160" spans="2:3" x14ac:dyDescent="0.25">
      <c r="B160" s="5"/>
      <c r="C160" s="6"/>
    </row>
    <row r="161" spans="2:3" x14ac:dyDescent="0.25">
      <c r="B161" s="5"/>
      <c r="C161" s="6"/>
    </row>
    <row r="162" spans="2:3" x14ac:dyDescent="0.25">
      <c r="B162" s="5"/>
      <c r="C162" s="6"/>
    </row>
    <row r="163" spans="2:3" x14ac:dyDescent="0.25">
      <c r="B163" s="5"/>
      <c r="C163" s="6"/>
    </row>
    <row r="164" spans="2:3" x14ac:dyDescent="0.25">
      <c r="B164" s="5"/>
      <c r="C164" s="6"/>
    </row>
    <row r="165" spans="2:3" x14ac:dyDescent="0.25">
      <c r="B165" s="5"/>
      <c r="C165" s="6"/>
    </row>
    <row r="166" spans="2:3" x14ac:dyDescent="0.25">
      <c r="B166" s="5"/>
      <c r="C166" s="6"/>
    </row>
    <row r="167" spans="2:3" x14ac:dyDescent="0.25">
      <c r="B167" s="5"/>
      <c r="C167" s="6"/>
    </row>
    <row r="168" spans="2:3" x14ac:dyDescent="0.25">
      <c r="B168" s="5"/>
      <c r="C168" s="6"/>
    </row>
    <row r="169" spans="2:3" x14ac:dyDescent="0.25">
      <c r="B169" s="5"/>
      <c r="C169" s="6"/>
    </row>
    <row r="170" spans="2:3" x14ac:dyDescent="0.25">
      <c r="B170" s="5"/>
      <c r="C170" s="6"/>
    </row>
    <row r="171" spans="2:3" x14ac:dyDescent="0.25">
      <c r="B171" s="5"/>
      <c r="C171" s="6"/>
    </row>
    <row r="172" spans="2:3" x14ac:dyDescent="0.25">
      <c r="B172" s="5"/>
      <c r="C172" s="6"/>
    </row>
    <row r="173" spans="2:3" x14ac:dyDescent="0.25">
      <c r="B173" s="5"/>
      <c r="C173" s="6"/>
    </row>
    <row r="174" spans="2:3" x14ac:dyDescent="0.25">
      <c r="B174" s="5"/>
      <c r="C174" s="6"/>
    </row>
    <row r="175" spans="2:3" x14ac:dyDescent="0.25">
      <c r="B175" s="5"/>
      <c r="C175" s="6"/>
    </row>
    <row r="176" spans="2:3" x14ac:dyDescent="0.25">
      <c r="B176" s="5"/>
      <c r="C176" s="6"/>
    </row>
    <row r="177" spans="2:3" x14ac:dyDescent="0.25">
      <c r="B177" s="5"/>
      <c r="C177" s="6"/>
    </row>
    <row r="178" spans="2:3" x14ac:dyDescent="0.25">
      <c r="B178" s="5"/>
      <c r="C178" s="6"/>
    </row>
    <row r="179" spans="2:3" x14ac:dyDescent="0.25">
      <c r="B179" s="5"/>
      <c r="C179" s="6"/>
    </row>
    <row r="180" spans="2:3" x14ac:dyDescent="0.25">
      <c r="B180" s="5"/>
      <c r="C180" s="6"/>
    </row>
    <row r="181" spans="2:3" x14ac:dyDescent="0.25">
      <c r="B181" s="5"/>
      <c r="C181" s="6"/>
    </row>
    <row r="182" spans="2:3" x14ac:dyDescent="0.25">
      <c r="B182" s="5"/>
      <c r="C182" s="6"/>
    </row>
    <row r="183" spans="2:3" x14ac:dyDescent="0.25">
      <c r="B183" s="5"/>
      <c r="C183" s="6"/>
    </row>
    <row r="184" spans="2:3" x14ac:dyDescent="0.25">
      <c r="B184" s="5"/>
      <c r="C184" s="6"/>
    </row>
    <row r="185" spans="2:3" x14ac:dyDescent="0.25">
      <c r="B185" s="5"/>
      <c r="C185" s="6"/>
    </row>
    <row r="186" spans="2:3" x14ac:dyDescent="0.25">
      <c r="B186" s="5"/>
      <c r="C186" s="6"/>
    </row>
    <row r="187" spans="2:3" x14ac:dyDescent="0.25">
      <c r="B187" s="5"/>
      <c r="C187" s="6"/>
    </row>
    <row r="188" spans="2:3" x14ac:dyDescent="0.25">
      <c r="B188" s="5"/>
      <c r="C188" s="6"/>
    </row>
    <row r="189" spans="2:3" x14ac:dyDescent="0.25">
      <c r="B189" s="5"/>
      <c r="C189" s="6"/>
    </row>
    <row r="190" spans="2:3" x14ac:dyDescent="0.25">
      <c r="B190" s="5"/>
      <c r="C190" s="6"/>
    </row>
    <row r="191" spans="2:3" x14ac:dyDescent="0.25">
      <c r="B191" s="5"/>
      <c r="C191" s="6"/>
    </row>
    <row r="192" spans="2:3" x14ac:dyDescent="0.25">
      <c r="B192" s="5"/>
      <c r="C192" s="6"/>
    </row>
    <row r="193" spans="2:3" x14ac:dyDescent="0.25">
      <c r="B193" s="5"/>
      <c r="C193" s="6"/>
    </row>
    <row r="194" spans="2:3" x14ac:dyDescent="0.25">
      <c r="B194" s="5"/>
      <c r="C194" s="6"/>
    </row>
  </sheetData>
  <pageMargins left="0.7" right="0.7" top="0.78740157499999996" bottom="0.78740157499999996"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F076C-B8F2-4756-8243-EFFC89219600}">
  <dimension ref="A1:P18"/>
  <sheetViews>
    <sheetView workbookViewId="0">
      <selection activeCell="D44" sqref="D44"/>
    </sheetView>
  </sheetViews>
  <sheetFormatPr baseColWidth="10" defaultRowHeight="15" x14ac:dyDescent="0.25"/>
  <cols>
    <col min="13" max="13" width="23.28515625" bestFit="1" customWidth="1"/>
    <col min="16" max="16" width="21" bestFit="1" customWidth="1"/>
  </cols>
  <sheetData>
    <row r="1" spans="1:16" x14ac:dyDescent="0.25">
      <c r="A1" t="s">
        <v>1</v>
      </c>
    </row>
    <row r="2" spans="1:16" ht="45" x14ac:dyDescent="0.25">
      <c r="A2" s="15" t="s">
        <v>0</v>
      </c>
      <c r="B2" s="15" t="s">
        <v>14</v>
      </c>
      <c r="C2" s="15" t="s">
        <v>17</v>
      </c>
      <c r="D2" s="66" t="s">
        <v>262</v>
      </c>
      <c r="E2" s="66"/>
      <c r="F2" s="15" t="s">
        <v>15</v>
      </c>
      <c r="G2" s="15" t="s">
        <v>17</v>
      </c>
      <c r="H2" s="66" t="s">
        <v>262</v>
      </c>
      <c r="M2" t="s">
        <v>261</v>
      </c>
    </row>
    <row r="3" spans="1:16" x14ac:dyDescent="0.25">
      <c r="A3" s="15">
        <v>0</v>
      </c>
      <c r="B3" s="11">
        <v>-300</v>
      </c>
      <c r="C3" s="11">
        <v>-300</v>
      </c>
      <c r="D3" s="65">
        <v>-300</v>
      </c>
      <c r="F3" s="11">
        <v>-230</v>
      </c>
      <c r="G3" s="11">
        <v>-230</v>
      </c>
      <c r="H3" s="65">
        <v>-230</v>
      </c>
    </row>
    <row r="4" spans="1:16" x14ac:dyDescent="0.25">
      <c r="A4" s="15">
        <v>1</v>
      </c>
      <c r="B4" s="11">
        <v>85</v>
      </c>
      <c r="C4" s="11">
        <f>B4/(1+$C$11)^$A4</f>
        <v>77.272727272727266</v>
      </c>
      <c r="D4" s="3">
        <f>C4+D3</f>
        <v>-222.72727272727275</v>
      </c>
      <c r="E4" s="1"/>
      <c r="F4" s="11">
        <v>95</v>
      </c>
      <c r="G4" s="11">
        <f>F4/(1+$C$11)^$A4</f>
        <v>86.36363636363636</v>
      </c>
      <c r="H4" s="3">
        <f>G4+H3</f>
        <v>-143.63636363636363</v>
      </c>
      <c r="K4" s="15" t="s">
        <v>0</v>
      </c>
      <c r="L4" s="15" t="s">
        <v>260</v>
      </c>
      <c r="M4" s="15" t="s">
        <v>259</v>
      </c>
      <c r="N4" s="15"/>
      <c r="O4" s="15" t="s">
        <v>258</v>
      </c>
      <c r="P4" s="15" t="s">
        <v>257</v>
      </c>
    </row>
    <row r="5" spans="1:16" x14ac:dyDescent="0.25">
      <c r="A5" s="15">
        <v>2</v>
      </c>
      <c r="B5" s="11">
        <v>90</v>
      </c>
      <c r="C5" s="11">
        <f>B5/(1+$C$11)^$A5</f>
        <v>74.380165289256183</v>
      </c>
      <c r="D5" s="3">
        <f>C5+D4</f>
        <v>-148.34710743801656</v>
      </c>
      <c r="E5" s="1"/>
      <c r="F5" s="11">
        <v>95</v>
      </c>
      <c r="G5" s="11">
        <f>F5/(1+$C$11)^$A5</f>
        <v>78.512396694214857</v>
      </c>
      <c r="H5" s="3">
        <f>G5+H4</f>
        <v>-65.123966942148769</v>
      </c>
      <c r="K5" s="15">
        <v>0</v>
      </c>
      <c r="L5">
        <v>-300</v>
      </c>
      <c r="M5" s="1"/>
      <c r="O5" s="20">
        <v>-230</v>
      </c>
      <c r="P5" s="20"/>
    </row>
    <row r="6" spans="1:16" x14ac:dyDescent="0.25">
      <c r="A6" s="15">
        <v>3</v>
      </c>
      <c r="B6" s="11">
        <v>80</v>
      </c>
      <c r="C6" s="11">
        <f>B6/(1+$C$11)^$A6</f>
        <v>60.1051840721262</v>
      </c>
      <c r="D6" s="3">
        <f>C6+D5</f>
        <v>-88.241923365890358</v>
      </c>
      <c r="E6" s="1"/>
      <c r="F6" s="11">
        <v>95</v>
      </c>
      <c r="G6" s="11">
        <f>F6/(1+$C$11)^$A6</f>
        <v>71.374906085649869</v>
      </c>
      <c r="H6" s="63">
        <f>G6+H5</f>
        <v>6.2509391435010997</v>
      </c>
      <c r="K6" s="15">
        <v>1</v>
      </c>
      <c r="L6" s="20">
        <f>B4*1.1^-A4</f>
        <v>77.272727272727266</v>
      </c>
      <c r="M6" s="1">
        <f>L6</f>
        <v>77.272727272727266</v>
      </c>
      <c r="O6" s="20">
        <f>F4*1.1^-A4</f>
        <v>86.36363636363636</v>
      </c>
      <c r="P6" s="20">
        <f>O6</f>
        <v>86.36363636363636</v>
      </c>
    </row>
    <row r="7" spans="1:16" x14ac:dyDescent="0.25">
      <c r="A7" s="15">
        <v>4</v>
      </c>
      <c r="B7" s="11">
        <v>80</v>
      </c>
      <c r="C7" s="11">
        <f>B7/(1+$C$11)^$A7</f>
        <v>54.64107642920564</v>
      </c>
      <c r="D7" s="3">
        <f>C7+D6</f>
        <v>-33.600846936684718</v>
      </c>
      <c r="E7" s="1"/>
      <c r="H7" t="s">
        <v>256</v>
      </c>
      <c r="K7" s="15">
        <v>2</v>
      </c>
      <c r="L7" s="20">
        <f>B5*1.1^-A5</f>
        <v>74.380165289256183</v>
      </c>
      <c r="M7" s="1">
        <f>M6+L7</f>
        <v>151.65289256198344</v>
      </c>
      <c r="O7" s="20">
        <f>F5*1.1^-A5</f>
        <v>78.512396694214871</v>
      </c>
      <c r="P7" s="20">
        <f>P6+O7</f>
        <v>164.87603305785123</v>
      </c>
    </row>
    <row r="8" spans="1:16" x14ac:dyDescent="0.25">
      <c r="A8" s="15">
        <v>5</v>
      </c>
      <c r="B8" s="11">
        <v>70</v>
      </c>
      <c r="C8" s="11">
        <f>B8/(1+$C$11)^$A8</f>
        <v>43.464492614140845</v>
      </c>
      <c r="D8" s="63">
        <f>C8+D7</f>
        <v>9.8636456774561267</v>
      </c>
      <c r="E8" s="64"/>
      <c r="K8" s="15">
        <v>3</v>
      </c>
      <c r="L8" s="20">
        <f>B6*1.1^-A6</f>
        <v>60.105184072126207</v>
      </c>
      <c r="M8" s="1">
        <f>M7+L8</f>
        <v>211.75807663410964</v>
      </c>
      <c r="O8" s="20">
        <f>F6*1.1^-A6</f>
        <v>71.374906085649869</v>
      </c>
      <c r="P8" s="51">
        <f>P7+O8</f>
        <v>236.25093914350111</v>
      </c>
    </row>
    <row r="9" spans="1:16" x14ac:dyDescent="0.25">
      <c r="D9" t="s">
        <v>255</v>
      </c>
      <c r="K9" s="15">
        <v>4</v>
      </c>
      <c r="L9" s="20">
        <f>B7*1.1^-A7</f>
        <v>54.64107642920564</v>
      </c>
      <c r="M9" s="1">
        <f>M8+L9</f>
        <v>266.39915306331528</v>
      </c>
      <c r="O9" s="20"/>
      <c r="P9" s="20" t="s">
        <v>254</v>
      </c>
    </row>
    <row r="10" spans="1:16" x14ac:dyDescent="0.25">
      <c r="K10" s="15">
        <v>5</v>
      </c>
      <c r="L10" s="20">
        <f>B8*1.1^-A8</f>
        <v>43.464492614140845</v>
      </c>
      <c r="M10" s="63">
        <f>M9+L10</f>
        <v>309.86364567745613</v>
      </c>
      <c r="O10" s="20"/>
      <c r="P10" s="20"/>
    </row>
    <row r="11" spans="1:16" x14ac:dyDescent="0.25">
      <c r="B11" t="s">
        <v>253</v>
      </c>
      <c r="C11" s="5">
        <v>0.1</v>
      </c>
      <c r="M11" t="s">
        <v>252</v>
      </c>
    </row>
    <row r="16" spans="1:16" x14ac:dyDescent="0.25">
      <c r="C16" s="20"/>
      <c r="H16" s="1"/>
    </row>
    <row r="18" spans="3:8" x14ac:dyDescent="0.25">
      <c r="C18" s="32"/>
      <c r="H18" s="62"/>
    </row>
  </sheetData>
  <pageMargins left="0.7" right="0.7" top="0.78740157499999996" bottom="0.78740157499999996" header="0.3" footer="0.3"/>
  <pageSetup paperSize="9" orientation="portrait" horizontalDpi="0" verticalDpi="0"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8B4A2-DC2B-4EDF-B36C-52505982B678}">
  <dimension ref="A1:F35"/>
  <sheetViews>
    <sheetView workbookViewId="0">
      <selection activeCell="D44" sqref="D44"/>
    </sheetView>
  </sheetViews>
  <sheetFormatPr baseColWidth="10" defaultRowHeight="15" x14ac:dyDescent="0.25"/>
  <cols>
    <col min="3" max="4" width="12" bestFit="1" customWidth="1"/>
    <col min="5" max="5" width="18" bestFit="1" customWidth="1"/>
    <col min="6" max="6" width="49" bestFit="1" customWidth="1"/>
  </cols>
  <sheetData>
    <row r="1" spans="1:6" x14ac:dyDescent="0.25">
      <c r="A1" t="s">
        <v>1</v>
      </c>
    </row>
    <row r="2" spans="1:6" x14ac:dyDescent="0.25">
      <c r="A2">
        <v>0.05</v>
      </c>
      <c r="B2" s="15" t="s">
        <v>0</v>
      </c>
      <c r="C2" s="15" t="s">
        <v>264</v>
      </c>
      <c r="D2" s="15" t="s">
        <v>17</v>
      </c>
      <c r="E2" s="15" t="s">
        <v>263</v>
      </c>
      <c r="F2" s="15" t="s">
        <v>268</v>
      </c>
    </row>
    <row r="3" spans="1:6" x14ac:dyDescent="0.25">
      <c r="B3" s="15">
        <v>1</v>
      </c>
      <c r="C3" s="11">
        <v>15000</v>
      </c>
      <c r="D3" s="11">
        <f>C3*(1+$A$2)^-B3</f>
        <v>14285.714285714284</v>
      </c>
      <c r="E3" s="11">
        <f>D3</f>
        <v>14285.714285714284</v>
      </c>
      <c r="F3" s="11">
        <f>-90000+E3</f>
        <v>-75714.28571428571</v>
      </c>
    </row>
    <row r="4" spans="1:6" x14ac:dyDescent="0.25">
      <c r="B4" s="15">
        <v>2</v>
      </c>
      <c r="C4" s="11">
        <v>15000</v>
      </c>
      <c r="D4" s="11">
        <f>C4*(1+$A$2)^-B4</f>
        <v>13605.442176870747</v>
      </c>
      <c r="E4" s="11">
        <f>E3+D4</f>
        <v>27891.15646258503</v>
      </c>
      <c r="F4" s="11">
        <f>-90000+E4</f>
        <v>-62108.84353741497</v>
      </c>
    </row>
    <row r="5" spans="1:6" x14ac:dyDescent="0.25">
      <c r="B5" s="15">
        <v>3</v>
      </c>
      <c r="C5" s="11">
        <v>15000</v>
      </c>
      <c r="D5" s="11">
        <f>C5*(1+$A$2)^-B5</f>
        <v>12957.56397797214</v>
      </c>
      <c r="E5" s="11">
        <f>E4+D5</f>
        <v>40848.720440557168</v>
      </c>
      <c r="F5" s="11">
        <f>-90000+E5</f>
        <v>-49151.279559442832</v>
      </c>
    </row>
    <row r="6" spans="1:6" x14ac:dyDescent="0.25">
      <c r="B6" s="15">
        <v>4</v>
      </c>
      <c r="C6" s="11">
        <v>15000</v>
      </c>
      <c r="D6" s="11">
        <f>C6*(1+$A$2)^-B6</f>
        <v>12340.537121878229</v>
      </c>
      <c r="E6" s="11">
        <f>E5+D6</f>
        <v>53189.257562435399</v>
      </c>
      <c r="F6" s="11">
        <f>-90000+E6</f>
        <v>-36810.742437564601</v>
      </c>
    </row>
    <row r="7" spans="1:6" x14ac:dyDescent="0.25">
      <c r="B7" s="15">
        <v>5</v>
      </c>
      <c r="C7" s="11">
        <v>15000</v>
      </c>
      <c r="D7" s="11">
        <f>C7*(1+$A$2)^-B7</f>
        <v>11752.892497026884</v>
      </c>
      <c r="E7" s="11">
        <f>E6+D7</f>
        <v>64942.150059462285</v>
      </c>
      <c r="F7" s="11">
        <f>-90000+E7</f>
        <v>-25057.849940537715</v>
      </c>
    </row>
    <row r="8" spans="1:6" x14ac:dyDescent="0.25">
      <c r="B8" s="15">
        <v>6</v>
      </c>
      <c r="C8" s="11">
        <v>15000</v>
      </c>
      <c r="D8" s="11">
        <f>C8*(1+$A$2)^-B8</f>
        <v>11193.230949549414</v>
      </c>
      <c r="E8" s="11">
        <f>E7+D8</f>
        <v>76135.381009011704</v>
      </c>
      <c r="F8" s="11">
        <f>-90000+E8</f>
        <v>-13864.618990988296</v>
      </c>
    </row>
    <row r="9" spans="1:6" x14ac:dyDescent="0.25">
      <c r="B9" s="15">
        <v>7</v>
      </c>
      <c r="C9" s="11">
        <v>15000</v>
      </c>
      <c r="D9" s="11">
        <f>C9*(1+$A$2)^-B9</f>
        <v>10660.219951951822</v>
      </c>
      <c r="E9" s="11">
        <f>E8+D9</f>
        <v>86795.600960963522</v>
      </c>
      <c r="F9" s="11">
        <f>-90000+E9</f>
        <v>-3204.3990390364779</v>
      </c>
    </row>
    <row r="10" spans="1:6" x14ac:dyDescent="0.25">
      <c r="B10" s="15">
        <v>8</v>
      </c>
      <c r="C10" s="11">
        <v>15000</v>
      </c>
      <c r="D10" s="11">
        <f>C10*(1+$A$2)^-B10</f>
        <v>10152.590430430308</v>
      </c>
      <c r="E10" s="68">
        <f>E9+D10</f>
        <v>96948.191391393833</v>
      </c>
      <c r="F10" s="11">
        <f>-90000+E10</f>
        <v>6948.1913913938333</v>
      </c>
    </row>
    <row r="13" spans="1:6" x14ac:dyDescent="0.25">
      <c r="B13" s="15" t="s">
        <v>267</v>
      </c>
    </row>
    <row r="16" spans="1:6" x14ac:dyDescent="0.25">
      <c r="A16" t="s">
        <v>10</v>
      </c>
    </row>
    <row r="17" spans="2:5" x14ac:dyDescent="0.25">
      <c r="B17" t="s">
        <v>266</v>
      </c>
      <c r="C17" s="44">
        <f>PMT(A2,B7,-90000)</f>
        <v>20787.73183154413</v>
      </c>
    </row>
    <row r="25" spans="2:5" x14ac:dyDescent="0.25">
      <c r="B25" t="s">
        <v>265</v>
      </c>
    </row>
    <row r="27" spans="2:5" x14ac:dyDescent="0.25">
      <c r="B27" s="15" t="s">
        <v>0</v>
      </c>
      <c r="C27" s="15" t="s">
        <v>264</v>
      </c>
      <c r="D27" s="15" t="s">
        <v>17</v>
      </c>
      <c r="E27" s="15" t="s">
        <v>263</v>
      </c>
    </row>
    <row r="28" spans="2:5" x14ac:dyDescent="0.25">
      <c r="B28" s="15">
        <v>1</v>
      </c>
      <c r="C28" s="11">
        <v>20787.73</v>
      </c>
      <c r="D28" s="11">
        <f>C28*(1+$A$2)^-B28</f>
        <v>19797.838095238094</v>
      </c>
      <c r="E28" s="11">
        <f>D28</f>
        <v>19797.838095238094</v>
      </c>
    </row>
    <row r="29" spans="2:5" x14ac:dyDescent="0.25">
      <c r="B29" s="15">
        <v>2</v>
      </c>
      <c r="C29" s="11">
        <v>20787.73</v>
      </c>
      <c r="D29" s="11">
        <f>C29*(1+$A$2)^-B29</f>
        <v>18855.083900226757</v>
      </c>
      <c r="E29" s="11">
        <f>E28+D29</f>
        <v>38652.921995464851</v>
      </c>
    </row>
    <row r="30" spans="2:5" x14ac:dyDescent="0.25">
      <c r="B30" s="15">
        <v>3</v>
      </c>
      <c r="C30" s="11">
        <v>20787.73</v>
      </c>
      <c r="D30" s="11">
        <f>C30*(1+$A$2)^-B30</f>
        <v>17957.22276212072</v>
      </c>
      <c r="E30" s="11">
        <f>E29+D30</f>
        <v>56610.144757585571</v>
      </c>
    </row>
    <row r="31" spans="2:5" x14ac:dyDescent="0.25">
      <c r="B31" s="15">
        <v>4</v>
      </c>
      <c r="C31" s="11">
        <v>20787.73</v>
      </c>
      <c r="D31" s="11">
        <f>C31*(1+$A$2)^-B31</f>
        <v>17102.116916305447</v>
      </c>
      <c r="E31" s="11">
        <f>E30+D31</f>
        <v>73712.261673891015</v>
      </c>
    </row>
    <row r="32" spans="2:5" x14ac:dyDescent="0.25">
      <c r="B32" s="15">
        <v>5</v>
      </c>
      <c r="C32" s="11">
        <v>20787.73</v>
      </c>
      <c r="D32" s="11">
        <f>C32*(1+$A$2)^-B32</f>
        <v>16287.730396481378</v>
      </c>
      <c r="E32" s="68">
        <f>E31+D32</f>
        <v>89999.992070372391</v>
      </c>
    </row>
    <row r="33" spans="2:5" x14ac:dyDescent="0.25">
      <c r="B33" s="15">
        <v>6</v>
      </c>
      <c r="C33" s="11">
        <v>20787.73</v>
      </c>
      <c r="D33" s="11">
        <f>C33*(1+$A$2)^-B33</f>
        <v>15512.124187125122</v>
      </c>
      <c r="E33" s="11">
        <f>E32+D33</f>
        <v>105512.11625749752</v>
      </c>
    </row>
    <row r="34" spans="2:5" x14ac:dyDescent="0.25">
      <c r="B34" s="15">
        <v>7</v>
      </c>
      <c r="C34" s="11">
        <v>20787.73</v>
      </c>
      <c r="D34" s="11">
        <f>C34*(1+$A$2)^-B34</f>
        <v>14773.451606785829</v>
      </c>
      <c r="E34" s="11">
        <f>E33+D34</f>
        <v>120285.56786428335</v>
      </c>
    </row>
    <row r="35" spans="2:5" x14ac:dyDescent="0.25">
      <c r="B35" s="15">
        <v>8</v>
      </c>
      <c r="C35" s="11">
        <v>20787.73</v>
      </c>
      <c r="D35" s="11">
        <f>C35*(1+$A$2)^-B35</f>
        <v>14069.953911224602</v>
      </c>
      <c r="E35" s="67">
        <f>E34+D35</f>
        <v>134355.52177550795</v>
      </c>
    </row>
  </sheetData>
  <pageMargins left="0.7" right="0.7" top="0.78740157499999996" bottom="0.78740157499999996"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2CFA-2A1B-4516-A967-BF12264C15E8}">
  <dimension ref="A3:D20"/>
  <sheetViews>
    <sheetView workbookViewId="0">
      <selection activeCell="D20" sqref="D20"/>
    </sheetView>
  </sheetViews>
  <sheetFormatPr baseColWidth="10" defaultRowHeight="15" x14ac:dyDescent="0.25"/>
  <cols>
    <col min="3" max="4" width="13" bestFit="1" customWidth="1"/>
  </cols>
  <sheetData>
    <row r="3" spans="1:4" x14ac:dyDescent="0.25">
      <c r="A3" t="s">
        <v>1</v>
      </c>
      <c r="B3" t="s">
        <v>274</v>
      </c>
      <c r="D3" s="5">
        <v>0.06</v>
      </c>
    </row>
    <row r="4" spans="1:4" x14ac:dyDescent="0.25">
      <c r="B4" t="s">
        <v>64</v>
      </c>
      <c r="D4" s="5">
        <v>0.12</v>
      </c>
    </row>
    <row r="5" spans="1:4" x14ac:dyDescent="0.25">
      <c r="B5" t="s">
        <v>273</v>
      </c>
      <c r="C5" t="s">
        <v>272</v>
      </c>
      <c r="D5">
        <v>0.75</v>
      </c>
    </row>
    <row r="7" spans="1:4" ht="18" x14ac:dyDescent="0.35">
      <c r="B7" s="15" t="s">
        <v>271</v>
      </c>
      <c r="D7" s="37">
        <f>D3+D5*(D4-D3)</f>
        <v>0.105</v>
      </c>
    </row>
    <row r="11" spans="1:4" x14ac:dyDescent="0.25">
      <c r="A11" t="s">
        <v>10</v>
      </c>
      <c r="B11" s="15" t="s">
        <v>55</v>
      </c>
      <c r="C11" s="15" t="s">
        <v>270</v>
      </c>
      <c r="D11" s="15" t="s">
        <v>178</v>
      </c>
    </row>
    <row r="12" spans="1:4" x14ac:dyDescent="0.25">
      <c r="B12" s="15">
        <v>0</v>
      </c>
      <c r="C12" s="11">
        <v>-300000</v>
      </c>
      <c r="D12" s="11">
        <v>-300000</v>
      </c>
    </row>
    <row r="13" spans="1:4" x14ac:dyDescent="0.25">
      <c r="B13" s="15">
        <v>1</v>
      </c>
      <c r="C13" s="11">
        <v>100000</v>
      </c>
      <c r="D13" s="11">
        <f>C13*(1+$D$7)^-B13</f>
        <v>90497.737556561086</v>
      </c>
    </row>
    <row r="14" spans="1:4" x14ac:dyDescent="0.25">
      <c r="B14" s="15">
        <v>2</v>
      </c>
      <c r="C14" s="11">
        <v>125000</v>
      </c>
      <c r="D14" s="11">
        <f>C14*(1+$D$7)^-B14</f>
        <v>102373.00628570259</v>
      </c>
    </row>
    <row r="15" spans="1:4" x14ac:dyDescent="0.25">
      <c r="B15" s="15">
        <v>3</v>
      </c>
      <c r="C15" s="11">
        <v>150000</v>
      </c>
      <c r="D15" s="11">
        <f>C15*(1+$D$7)^-B15</f>
        <v>111174.30546863629</v>
      </c>
    </row>
    <row r="17" spans="2:4" x14ac:dyDescent="0.25">
      <c r="B17" t="s">
        <v>45</v>
      </c>
      <c r="D17" s="13">
        <f>SUM(D12:D16)</f>
        <v>4045.0493108999508</v>
      </c>
    </row>
    <row r="20" spans="2:4" x14ac:dyDescent="0.25">
      <c r="B20" t="s">
        <v>269</v>
      </c>
      <c r="D20" s="44">
        <f>NPV(D7,C13,C14,C15)+C12</f>
        <v>4045.0493108999799</v>
      </c>
    </row>
  </sheetData>
  <pageMargins left="0.7" right="0.7" top="0.78740157499999996" bottom="0.78740157499999996"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CC120-7059-46D4-A0D3-06CEE22D6300}">
  <dimension ref="A1:L38"/>
  <sheetViews>
    <sheetView topLeftCell="A4" workbookViewId="0">
      <selection activeCell="D20" sqref="D20"/>
    </sheetView>
  </sheetViews>
  <sheetFormatPr baseColWidth="10" defaultRowHeight="15" x14ac:dyDescent="0.25"/>
  <cols>
    <col min="1" max="1" width="13.5703125" bestFit="1" customWidth="1"/>
    <col min="2" max="2" width="15.28515625" bestFit="1" customWidth="1"/>
    <col min="3" max="8" width="14.5703125" bestFit="1" customWidth="1"/>
    <col min="11" max="11" width="15.7109375" bestFit="1" customWidth="1"/>
  </cols>
  <sheetData>
    <row r="1" spans="1:12" x14ac:dyDescent="0.25">
      <c r="I1" s="5">
        <v>0.09</v>
      </c>
    </row>
    <row r="2" spans="1:12" x14ac:dyDescent="0.25">
      <c r="B2" s="15" t="s">
        <v>211</v>
      </c>
      <c r="C2" s="15">
        <v>0</v>
      </c>
      <c r="D2" s="15">
        <v>1</v>
      </c>
      <c r="E2" s="15">
        <v>2</v>
      </c>
      <c r="F2" s="15">
        <v>3</v>
      </c>
      <c r="G2" s="15">
        <v>4</v>
      </c>
    </row>
    <row r="3" spans="1:12" x14ac:dyDescent="0.25">
      <c r="A3" s="15" t="s">
        <v>287</v>
      </c>
      <c r="B3" t="s">
        <v>54</v>
      </c>
      <c r="C3" s="11"/>
      <c r="D3" s="11">
        <v>1950000</v>
      </c>
      <c r="E3" s="11">
        <v>2450000</v>
      </c>
      <c r="F3" s="11">
        <v>2500000</v>
      </c>
      <c r="G3" s="11">
        <v>2375000</v>
      </c>
      <c r="K3" t="s">
        <v>286</v>
      </c>
      <c r="L3" s="5">
        <v>0.01</v>
      </c>
    </row>
    <row r="4" spans="1:12" x14ac:dyDescent="0.25">
      <c r="C4" s="11"/>
      <c r="D4" s="11"/>
      <c r="E4" s="11"/>
      <c r="F4" s="11"/>
      <c r="G4" s="11"/>
      <c r="K4" t="s">
        <v>64</v>
      </c>
      <c r="L4" s="5">
        <v>0.08</v>
      </c>
    </row>
    <row r="5" spans="1:12" x14ac:dyDescent="0.25">
      <c r="B5" t="s">
        <v>53</v>
      </c>
      <c r="C5" s="11">
        <v>-3000000</v>
      </c>
      <c r="D5" s="11">
        <v>-800000</v>
      </c>
      <c r="E5" s="11">
        <v>-1100000</v>
      </c>
      <c r="F5" s="11">
        <v>-1000000</v>
      </c>
      <c r="G5" s="11">
        <v>-1000000</v>
      </c>
      <c r="K5" t="s">
        <v>285</v>
      </c>
      <c r="L5">
        <v>0.7</v>
      </c>
    </row>
    <row r="6" spans="1:12" x14ac:dyDescent="0.25">
      <c r="K6" t="s">
        <v>284</v>
      </c>
      <c r="L6">
        <v>1.4</v>
      </c>
    </row>
    <row r="7" spans="1:12" x14ac:dyDescent="0.25">
      <c r="B7" t="s">
        <v>280</v>
      </c>
      <c r="C7" s="1">
        <f>SUM(C5:C6)</f>
        <v>-3000000</v>
      </c>
      <c r="D7" s="1">
        <f>SUM(D3:D6)</f>
        <v>1150000</v>
      </c>
      <c r="E7" s="1">
        <f>SUM(E3:E6)</f>
        <v>1350000</v>
      </c>
      <c r="F7" s="1">
        <f>SUM(F3:F6)</f>
        <v>1500000</v>
      </c>
      <c r="G7" s="1">
        <f>SUM(G3:G6)</f>
        <v>1375000</v>
      </c>
    </row>
    <row r="8" spans="1:12" x14ac:dyDescent="0.25">
      <c r="D8" s="1"/>
      <c r="E8" s="1"/>
      <c r="F8" s="1"/>
      <c r="G8" s="1"/>
      <c r="H8" s="1"/>
    </row>
    <row r="9" spans="1:12" x14ac:dyDescent="0.25">
      <c r="K9" t="s">
        <v>283</v>
      </c>
      <c r="L9" s="5">
        <v>0.05</v>
      </c>
    </row>
    <row r="10" spans="1:12" x14ac:dyDescent="0.25">
      <c r="K10" t="s">
        <v>282</v>
      </c>
      <c r="L10" s="5">
        <v>0.3</v>
      </c>
    </row>
    <row r="11" spans="1:12" x14ac:dyDescent="0.25">
      <c r="A11" s="15" t="s">
        <v>281</v>
      </c>
      <c r="B11" s="15" t="s">
        <v>211</v>
      </c>
      <c r="C11" s="15">
        <v>0</v>
      </c>
      <c r="D11" s="15">
        <v>1</v>
      </c>
      <c r="E11" s="15">
        <v>2</v>
      </c>
      <c r="F11" s="15">
        <v>3</v>
      </c>
      <c r="G11" s="15">
        <v>4</v>
      </c>
      <c r="H11" s="15">
        <v>5</v>
      </c>
    </row>
    <row r="12" spans="1:12" x14ac:dyDescent="0.25">
      <c r="B12" t="s">
        <v>54</v>
      </c>
      <c r="C12" s="11"/>
      <c r="D12" s="11">
        <v>2928000</v>
      </c>
      <c r="E12" s="11">
        <v>3125000</v>
      </c>
      <c r="F12" s="11">
        <v>3520000</v>
      </c>
      <c r="G12" s="11">
        <v>3125000</v>
      </c>
      <c r="H12" s="11">
        <v>3250000</v>
      </c>
    </row>
    <row r="13" spans="1:12" x14ac:dyDescent="0.25">
      <c r="C13" s="11"/>
      <c r="D13" s="11"/>
      <c r="E13" s="11"/>
      <c r="F13" s="11"/>
      <c r="G13" s="11"/>
    </row>
    <row r="14" spans="1:12" x14ac:dyDescent="0.25">
      <c r="B14" t="s">
        <v>53</v>
      </c>
      <c r="C14" s="11">
        <v>-4000000</v>
      </c>
      <c r="D14" s="11">
        <v>-900000</v>
      </c>
      <c r="E14" s="11">
        <v>-2120000</v>
      </c>
      <c r="F14" s="11">
        <v>-2350000</v>
      </c>
      <c r="G14" s="11">
        <v>-1550000</v>
      </c>
      <c r="H14" s="11">
        <v>-1785000</v>
      </c>
    </row>
    <row r="15" spans="1:12" x14ac:dyDescent="0.25">
      <c r="L15" s="5"/>
    </row>
    <row r="16" spans="1:12" x14ac:dyDescent="0.25">
      <c r="B16" t="s">
        <v>280</v>
      </c>
      <c r="C16" s="1">
        <f>SUM(C12:C15)</f>
        <v>-4000000</v>
      </c>
      <c r="D16" s="1">
        <f>SUM(D12:D15)</f>
        <v>2028000</v>
      </c>
      <c r="E16" s="1">
        <f>SUM(E12:E15)</f>
        <v>1005000</v>
      </c>
      <c r="F16" s="1">
        <f>SUM(F12:F15)</f>
        <v>1170000</v>
      </c>
      <c r="G16" s="1">
        <f>SUM(G12:G15)</f>
        <v>1575000</v>
      </c>
      <c r="H16" s="1">
        <f>SUM(H12:H15)</f>
        <v>1465000</v>
      </c>
    </row>
    <row r="17" spans="1:9" x14ac:dyDescent="0.25">
      <c r="D17" s="20"/>
      <c r="E17" s="20"/>
      <c r="F17" s="20"/>
      <c r="G17" s="20"/>
      <c r="H17" s="20"/>
      <c r="I17" s="20"/>
    </row>
    <row r="19" spans="1:9" x14ac:dyDescent="0.25">
      <c r="A19" t="s">
        <v>1</v>
      </c>
    </row>
    <row r="20" spans="1:9" x14ac:dyDescent="0.25">
      <c r="A20" s="15" t="s">
        <v>275</v>
      </c>
      <c r="B20" s="6">
        <f>NPV(I1,D7,E7,F7,G7)+C7</f>
        <v>1323673.7477757307</v>
      </c>
    </row>
    <row r="21" spans="1:9" x14ac:dyDescent="0.25">
      <c r="D21" s="37"/>
    </row>
    <row r="23" spans="1:9" x14ac:dyDescent="0.25">
      <c r="A23" s="15" t="s">
        <v>218</v>
      </c>
      <c r="B23" s="44">
        <f>NPV(I1,D16,E16,F16,G16,H16)+C16</f>
        <v>1677812.7119746944</v>
      </c>
      <c r="D23" s="2"/>
    </row>
    <row r="25" spans="1:9" x14ac:dyDescent="0.25">
      <c r="A25" t="s">
        <v>10</v>
      </c>
    </row>
    <row r="26" spans="1:9" ht="18" x14ac:dyDescent="0.35">
      <c r="A26" t="s">
        <v>279</v>
      </c>
      <c r="B26" s="2">
        <f>L3+L5*(L4-L3)</f>
        <v>5.9000000000000004E-2</v>
      </c>
    </row>
    <row r="28" spans="1:9" ht="18" x14ac:dyDescent="0.35">
      <c r="A28" t="s">
        <v>278</v>
      </c>
      <c r="B28" s="2">
        <f>L3+L6*(L4-L3)</f>
        <v>0.108</v>
      </c>
    </row>
    <row r="30" spans="1:9" ht="18" x14ac:dyDescent="0.35">
      <c r="A30" t="s">
        <v>277</v>
      </c>
      <c r="B30" s="2">
        <f>B26*40%+L9*(1-L10)*60%</f>
        <v>4.4600000000000001E-2</v>
      </c>
    </row>
    <row r="32" spans="1:9" ht="18" x14ac:dyDescent="0.35">
      <c r="A32" t="s">
        <v>276</v>
      </c>
      <c r="B32" s="2">
        <f>B28*40%+L9*(1-L10)*60%</f>
        <v>6.4200000000000007E-2</v>
      </c>
    </row>
    <row r="36" spans="1:2" x14ac:dyDescent="0.25">
      <c r="A36" s="15" t="s">
        <v>275</v>
      </c>
      <c r="B36" s="6">
        <f>NPV(B30,D7,E7,F7,G7)+C7</f>
        <v>1808826.6473211637</v>
      </c>
    </row>
    <row r="38" spans="1:2" x14ac:dyDescent="0.25">
      <c r="A38" s="15" t="s">
        <v>218</v>
      </c>
      <c r="B38" s="44">
        <f>NPV(B32,D16,E16,F16,G16,H16)+C16</f>
        <v>2065096.4730728604</v>
      </c>
    </row>
  </sheetData>
  <pageMargins left="0.7" right="0.7" top="0.78740157499999996" bottom="0.78740157499999996" header="0.3" footer="0.3"/>
  <pageSetup paperSize="9"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32BE5-51EE-4C6D-BBF8-026A41B6B2FE}">
  <dimension ref="A1:G38"/>
  <sheetViews>
    <sheetView tabSelected="1" workbookViewId="0">
      <selection activeCell="D20" sqref="D20"/>
    </sheetView>
  </sheetViews>
  <sheetFormatPr baseColWidth="10" defaultRowHeight="15" x14ac:dyDescent="0.25"/>
  <cols>
    <col min="2" max="2" width="24.85546875" bestFit="1" customWidth="1"/>
    <col min="3" max="3" width="15.5703125" bestFit="1" customWidth="1"/>
    <col min="4" max="4" width="14.5703125" bestFit="1" customWidth="1"/>
    <col min="5" max="5" width="15.5703125" bestFit="1" customWidth="1"/>
    <col min="6" max="7" width="14.5703125" bestFit="1" customWidth="1"/>
  </cols>
  <sheetData>
    <row r="1" spans="1:3" x14ac:dyDescent="0.25">
      <c r="A1" t="s">
        <v>1</v>
      </c>
    </row>
    <row r="2" spans="1:3" x14ac:dyDescent="0.25">
      <c r="A2" t="s">
        <v>300</v>
      </c>
    </row>
    <row r="3" spans="1:3" x14ac:dyDescent="0.25">
      <c r="B3" t="s">
        <v>274</v>
      </c>
      <c r="C3" s="5">
        <v>0.05</v>
      </c>
    </row>
    <row r="4" spans="1:3" x14ac:dyDescent="0.25">
      <c r="B4" t="s">
        <v>64</v>
      </c>
      <c r="C4" s="5">
        <v>0.11</v>
      </c>
    </row>
    <row r="5" spans="1:3" x14ac:dyDescent="0.25">
      <c r="B5" t="s">
        <v>273</v>
      </c>
      <c r="C5">
        <v>1.3</v>
      </c>
    </row>
    <row r="7" spans="1:3" ht="18" x14ac:dyDescent="0.35">
      <c r="B7" s="15" t="s">
        <v>271</v>
      </c>
      <c r="C7" s="71">
        <f>C3+C5*(C4-C3)</f>
        <v>0.128</v>
      </c>
    </row>
    <row r="10" spans="1:3" x14ac:dyDescent="0.25">
      <c r="A10" t="s">
        <v>299</v>
      </c>
      <c r="B10" t="s">
        <v>283</v>
      </c>
      <c r="C10" s="5">
        <v>0.08</v>
      </c>
    </row>
    <row r="11" spans="1:3" x14ac:dyDescent="0.25">
      <c r="B11" t="s">
        <v>298</v>
      </c>
      <c r="C11" s="5">
        <v>0.3</v>
      </c>
    </row>
    <row r="13" spans="1:3" ht="18" x14ac:dyDescent="0.35">
      <c r="B13" t="s">
        <v>297</v>
      </c>
      <c r="C13" s="71">
        <f>C7*45%+C10*(1-C11)*55%</f>
        <v>8.8400000000000006E-2</v>
      </c>
    </row>
    <row r="15" spans="1:3" x14ac:dyDescent="0.25">
      <c r="A15" t="s">
        <v>296</v>
      </c>
      <c r="C15" s="15">
        <f>(1-30%)*C13</f>
        <v>6.1879999999999998E-2</v>
      </c>
    </row>
    <row r="16" spans="1:3" x14ac:dyDescent="0.25">
      <c r="A16" t="s">
        <v>10</v>
      </c>
    </row>
    <row r="17" spans="2:7" x14ac:dyDescent="0.25">
      <c r="B17" s="25" t="s">
        <v>55</v>
      </c>
      <c r="C17" s="25">
        <v>1</v>
      </c>
      <c r="D17" s="25">
        <v>2</v>
      </c>
      <c r="E17" s="25">
        <v>3</v>
      </c>
      <c r="F17" s="25">
        <v>4</v>
      </c>
      <c r="G17" s="25">
        <v>5</v>
      </c>
    </row>
    <row r="18" spans="2:7" x14ac:dyDescent="0.25">
      <c r="B18" s="70" t="s">
        <v>295</v>
      </c>
      <c r="C18" s="69">
        <v>3000000</v>
      </c>
      <c r="D18" s="69">
        <v>2500000</v>
      </c>
      <c r="E18" s="69">
        <v>2000000</v>
      </c>
      <c r="F18" s="69">
        <v>1500000</v>
      </c>
      <c r="G18" s="69">
        <v>1000000</v>
      </c>
    </row>
    <row r="19" spans="2:7" x14ac:dyDescent="0.25">
      <c r="B19" s="17" t="s">
        <v>294</v>
      </c>
      <c r="C19" s="11">
        <v>0.3</v>
      </c>
      <c r="D19" s="11">
        <v>0.3</v>
      </c>
      <c r="E19" s="11">
        <v>0.3</v>
      </c>
      <c r="F19" s="11">
        <v>0.3</v>
      </c>
      <c r="G19" s="11">
        <v>0.3</v>
      </c>
    </row>
    <row r="20" spans="2:7" x14ac:dyDescent="0.25">
      <c r="B20" s="17" t="s">
        <v>293</v>
      </c>
      <c r="C20" s="11">
        <v>0.22</v>
      </c>
      <c r="D20" s="11">
        <v>0.22</v>
      </c>
      <c r="E20" s="11">
        <v>0.22</v>
      </c>
      <c r="F20" s="11">
        <v>0.22</v>
      </c>
      <c r="G20" s="11">
        <v>0.22</v>
      </c>
    </row>
    <row r="21" spans="2:7" x14ac:dyDescent="0.25">
      <c r="B21" s="17" t="s">
        <v>292</v>
      </c>
      <c r="C21" s="20">
        <f>C18*C19</f>
        <v>900000</v>
      </c>
      <c r="D21" s="20">
        <f>D18*D19</f>
        <v>750000</v>
      </c>
      <c r="E21" s="20">
        <f>E18*E19</f>
        <v>600000</v>
      </c>
      <c r="F21" s="20">
        <f>F18*F19</f>
        <v>450000</v>
      </c>
      <c r="G21" s="20">
        <f>G18*G19</f>
        <v>300000</v>
      </c>
    </row>
    <row r="22" spans="2:7" x14ac:dyDescent="0.25">
      <c r="B22" s="17" t="s">
        <v>291</v>
      </c>
      <c r="C22" s="11">
        <f>C18*C20</f>
        <v>660000</v>
      </c>
      <c r="D22" s="11">
        <f>D18*D20</f>
        <v>550000</v>
      </c>
      <c r="E22" s="11">
        <f>E18*E20</f>
        <v>440000</v>
      </c>
      <c r="F22" s="11">
        <f>F18*F20</f>
        <v>330000</v>
      </c>
      <c r="G22" s="11">
        <f>G18*G20</f>
        <v>220000</v>
      </c>
    </row>
    <row r="23" spans="2:7" x14ac:dyDescent="0.25">
      <c r="B23" s="17" t="s">
        <v>290</v>
      </c>
      <c r="C23" s="19">
        <f>C21-C22</f>
        <v>240000</v>
      </c>
      <c r="D23" s="19">
        <f>D21-D22</f>
        <v>200000</v>
      </c>
      <c r="E23" s="19">
        <f>E21-E22</f>
        <v>160000</v>
      </c>
      <c r="F23" s="19">
        <f>F21-F22</f>
        <v>120000</v>
      </c>
      <c r="G23" s="19">
        <f>G21-G22</f>
        <v>80000</v>
      </c>
    </row>
    <row r="24" spans="2:7" x14ac:dyDescent="0.25">
      <c r="B24" s="18"/>
    </row>
    <row r="25" spans="2:7" x14ac:dyDescent="0.25">
      <c r="B25" s="17" t="s">
        <v>52</v>
      </c>
      <c r="C25" s="21">
        <f>-350000/5</f>
        <v>-70000</v>
      </c>
      <c r="D25" s="21">
        <f>-350000/5</f>
        <v>-70000</v>
      </c>
      <c r="E25" s="21">
        <f>-350000/5</f>
        <v>-70000</v>
      </c>
      <c r="F25" s="21">
        <f>-350000/5</f>
        <v>-70000</v>
      </c>
      <c r="G25" s="21">
        <f>-350000/5</f>
        <v>-70000</v>
      </c>
    </row>
    <row r="26" spans="2:7" x14ac:dyDescent="0.25">
      <c r="B26" s="17" t="s">
        <v>51</v>
      </c>
      <c r="C26" s="20">
        <f>SUM(C23:C25)</f>
        <v>170000</v>
      </c>
      <c r="D26" s="20">
        <f>SUM(D23:D25)</f>
        <v>130000</v>
      </c>
      <c r="E26" s="20">
        <f>SUM(E23:E25)</f>
        <v>90000</v>
      </c>
      <c r="F26" s="20">
        <f>SUM(F23:F25)</f>
        <v>50000</v>
      </c>
      <c r="G26" s="20">
        <f>SUM(G23:G25)</f>
        <v>10000</v>
      </c>
    </row>
    <row r="27" spans="2:7" x14ac:dyDescent="0.25">
      <c r="B27" s="17" t="s">
        <v>50</v>
      </c>
      <c r="C27" s="20">
        <f>C26*30%</f>
        <v>51000</v>
      </c>
      <c r="D27" s="20">
        <f>D26*30%</f>
        <v>39000</v>
      </c>
      <c r="E27" s="20">
        <f>E26*30%</f>
        <v>27000</v>
      </c>
      <c r="F27" s="20">
        <f>F26*30%</f>
        <v>15000</v>
      </c>
      <c r="G27" s="20">
        <f>G26*30%</f>
        <v>3000</v>
      </c>
    </row>
    <row r="28" spans="2:7" x14ac:dyDescent="0.25">
      <c r="B28" s="17"/>
      <c r="C28" s="20"/>
      <c r="D28" s="20"/>
      <c r="E28" s="20"/>
      <c r="F28" s="20"/>
      <c r="G28" s="20"/>
    </row>
    <row r="29" spans="2:7" x14ac:dyDescent="0.25">
      <c r="B29" s="17" t="s">
        <v>49</v>
      </c>
      <c r="C29" s="19">
        <f>C23-C27</f>
        <v>189000</v>
      </c>
      <c r="D29" s="19">
        <f>D23-D27</f>
        <v>161000</v>
      </c>
      <c r="E29" s="19">
        <f>E23-E27</f>
        <v>133000</v>
      </c>
      <c r="F29" s="19">
        <f>F23-F27</f>
        <v>105000</v>
      </c>
      <c r="G29" s="19">
        <f>G23-G27</f>
        <v>77000</v>
      </c>
    </row>
    <row r="30" spans="2:7" x14ac:dyDescent="0.25">
      <c r="B30" s="17" t="s">
        <v>289</v>
      </c>
      <c r="C30" s="11">
        <f>C29*(1+$C$15)^-C17</f>
        <v>177986.2131314273</v>
      </c>
      <c r="D30" s="11">
        <f>D29*(1+$C$15)^-D17</f>
        <v>142782.50391767875</v>
      </c>
      <c r="E30" s="11">
        <f>E29*(1+$C$15)^-E17</f>
        <v>111077.3007363436</v>
      </c>
      <c r="F30" s="11">
        <f>F29*(1+$C$15)^-F17</f>
        <v>82582.406528498308</v>
      </c>
      <c r="G30" s="11">
        <f>G29*(1+$C$15)^-G17</f>
        <v>57031.33259335527</v>
      </c>
    </row>
    <row r="31" spans="2:7" x14ac:dyDescent="0.25">
      <c r="B31" s="18"/>
    </row>
    <row r="32" spans="2:7" x14ac:dyDescent="0.25">
      <c r="B32" s="17" t="s">
        <v>47</v>
      </c>
      <c r="C32" s="1">
        <f>SUM(C30:G30)</f>
        <v>571459.75690730312</v>
      </c>
    </row>
    <row r="33" spans="1:3" x14ac:dyDescent="0.25">
      <c r="B33" s="17" t="s">
        <v>46</v>
      </c>
      <c r="C33" s="11">
        <v>-350000</v>
      </c>
    </row>
    <row r="34" spans="1:3" x14ac:dyDescent="0.25">
      <c r="B34" s="18"/>
    </row>
    <row r="35" spans="1:3" x14ac:dyDescent="0.25">
      <c r="B35" s="17" t="s">
        <v>45</v>
      </c>
      <c r="C35" s="13">
        <f>SUM(C32:C34)</f>
        <v>221459.75690730312</v>
      </c>
    </row>
    <row r="38" spans="1:3" x14ac:dyDescent="0.25">
      <c r="A38" s="15" t="s">
        <v>288</v>
      </c>
      <c r="B38" s="15" t="s">
        <v>269</v>
      </c>
      <c r="C38" s="44">
        <f>NPV(C15,C29,D29,E29,F29,G29)-350000</f>
        <v>221459.75690730324</v>
      </c>
    </row>
  </sheetData>
  <pageMargins left="0.7" right="0.7" top="0.78740157499999996" bottom="0.78740157499999996"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105AA718844F1D4B8FE0BADE4277D373" ma:contentTypeVersion="7" ma:contentTypeDescription="Ein neues Dokument erstellen." ma:contentTypeScope="" ma:versionID="08816d4c06b7ce79f88c4156dbbccd87">
  <xsd:schema xmlns:xsd="http://www.w3.org/2001/XMLSchema" xmlns:xs="http://www.w3.org/2001/XMLSchema" xmlns:p="http://schemas.microsoft.com/office/2006/metadata/properties" xmlns:ns3="a97f3a18-bdde-4e5e-b12e-356573241e17" xmlns:ns4="3ebf2880-c011-4965-b01f-90ba0c37694e" targetNamespace="http://schemas.microsoft.com/office/2006/metadata/properties" ma:root="true" ma:fieldsID="288c0bef6ec84bea9401b037a3911dbf" ns3:_="" ns4:_="">
    <xsd:import namespace="a97f3a18-bdde-4e5e-b12e-356573241e17"/>
    <xsd:import namespace="3ebf2880-c011-4965-b01f-90ba0c37694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7f3a18-bdde-4e5e-b12e-356573241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bf2880-c011-4965-b01f-90ba0c37694e"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SharingHintHash" ma:index="12"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4E40D7-6CAD-423A-9FF4-FA325A2F6E47}">
  <ds:schemaRefs>
    <ds:schemaRef ds:uri="http://www.w3.org/XML/1998/namespace"/>
    <ds:schemaRef ds:uri="http://purl.org/dc/dcmitype/"/>
    <ds:schemaRef ds:uri="http://schemas.microsoft.com/office/2006/metadata/properties"/>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3ebf2880-c011-4965-b01f-90ba0c37694e"/>
    <ds:schemaRef ds:uri="a97f3a18-bdde-4e5e-b12e-356573241e17"/>
  </ds:schemaRefs>
</ds:datastoreItem>
</file>

<file path=customXml/itemProps2.xml><?xml version="1.0" encoding="utf-8"?>
<ds:datastoreItem xmlns:ds="http://schemas.openxmlformats.org/officeDocument/2006/customXml" ds:itemID="{3CBD175C-1D43-4F42-8495-6E62AA99E30F}">
  <ds:schemaRefs>
    <ds:schemaRef ds:uri="http://schemas.microsoft.com/sharepoint/v3/contenttype/forms"/>
  </ds:schemaRefs>
</ds:datastoreItem>
</file>

<file path=customXml/itemProps3.xml><?xml version="1.0" encoding="utf-8"?>
<ds:datastoreItem xmlns:ds="http://schemas.openxmlformats.org/officeDocument/2006/customXml" ds:itemID="{D53211FD-101E-40BB-A59D-5A8C849ADF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7f3a18-bdde-4e5e-b12e-356573241e17"/>
    <ds:schemaRef ds:uri="3ebf2880-c011-4965-b01f-90ba0c376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55</vt:i4>
      </vt:variant>
    </vt:vector>
  </HeadingPairs>
  <TitlesOfParts>
    <vt:vector size="55" baseType="lpstr">
      <vt:lpstr>1</vt:lpstr>
      <vt:lpstr>2</vt:lpstr>
      <vt:lpstr>3</vt:lpstr>
      <vt:lpstr>6</vt:lpstr>
      <vt:lpstr>5</vt:lpstr>
      <vt:lpstr>7</vt:lpstr>
      <vt:lpstr>8</vt:lpstr>
      <vt:lpstr>9</vt:lpstr>
      <vt:lpstr>10</vt:lpstr>
      <vt:lpstr>Aufgabe 1</vt:lpstr>
      <vt:lpstr>Aufgabe 2</vt:lpstr>
      <vt:lpstr>Aufgabe 3</vt:lpstr>
      <vt:lpstr>Aufgabe 4</vt:lpstr>
      <vt:lpstr>Aufgabe 5</vt:lpstr>
      <vt:lpstr>Aufgabe 6</vt:lpstr>
      <vt:lpstr>Aufgabe 7</vt:lpstr>
      <vt:lpstr>Aufgabe 8</vt:lpstr>
      <vt:lpstr>Übung 1</vt:lpstr>
      <vt:lpstr>Übung 2</vt:lpstr>
      <vt:lpstr>Übung 3</vt:lpstr>
      <vt:lpstr>Übung 4</vt:lpstr>
      <vt:lpstr>Übung 1 (2)</vt:lpstr>
      <vt:lpstr>Übung 2 (2)</vt:lpstr>
      <vt:lpstr>Übung 3 (2)</vt:lpstr>
      <vt:lpstr>Übung 4 (2)</vt:lpstr>
      <vt:lpstr>Übung 5 (2)</vt:lpstr>
      <vt:lpstr>Übung 1 (3)</vt:lpstr>
      <vt:lpstr>Übung 2 (3)</vt:lpstr>
      <vt:lpstr>Übung 3 (3)</vt:lpstr>
      <vt:lpstr>Übung 4 (3)</vt:lpstr>
      <vt:lpstr>Übung 5 (3)</vt:lpstr>
      <vt:lpstr>Aufgabe 1 (2)</vt:lpstr>
      <vt:lpstr>Aufgabe 2 (2)</vt:lpstr>
      <vt:lpstr>Aufgabe 3 (2)</vt:lpstr>
      <vt:lpstr>Aufgabe 4 (2)</vt:lpstr>
      <vt:lpstr>Aufgabe 1 (3)</vt:lpstr>
      <vt:lpstr>Aufgabe 2 (3)</vt:lpstr>
      <vt:lpstr>Aufgabe 1 (4)</vt:lpstr>
      <vt:lpstr>Aufgabe 2 (4)</vt:lpstr>
      <vt:lpstr>Aufgabe 3 (3)</vt:lpstr>
      <vt:lpstr>Aufgabe 1 (5)</vt:lpstr>
      <vt:lpstr>Aufgabe 2 (5)</vt:lpstr>
      <vt:lpstr>Übung 1 (4)</vt:lpstr>
      <vt:lpstr>Übung 2 (4)</vt:lpstr>
      <vt:lpstr>Übung 3 (4)</vt:lpstr>
      <vt:lpstr>Übung 4 (4)</vt:lpstr>
      <vt:lpstr>Übung 5</vt:lpstr>
      <vt:lpstr>Aufgabe 1 (6)</vt:lpstr>
      <vt:lpstr>Aufgabe 2 (6)</vt:lpstr>
      <vt:lpstr>Aufgabe 3 (4)</vt:lpstr>
      <vt:lpstr>Aufgabe 1 (7)</vt:lpstr>
      <vt:lpstr>Aufgabe 2 (7)</vt:lpstr>
      <vt:lpstr>Aufgabe 1 (8)</vt:lpstr>
      <vt:lpstr>Aufgabe 2 (8)</vt:lpstr>
      <vt:lpstr>Aufgabe 3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Doğan ailesi</dc:creator>
  <cp:lastModifiedBy>Erika Schmidt</cp:lastModifiedBy>
  <cp:lastPrinted>2022-11-25T10:31:27Z</cp:lastPrinted>
  <dcterms:created xsi:type="dcterms:W3CDTF">2022-11-25T10:22:27Z</dcterms:created>
  <dcterms:modified xsi:type="dcterms:W3CDTF">2023-12-03T20:17:34Z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0x010100105AA718844F1D4B8FE0BADE4277D373</vt:lpwstr>
  </property>
</Properties>
</file>