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Z:\6 sem\цветков\!   МИКРООБРАБОТКА\Travlenie\"/>
    </mc:Choice>
  </mc:AlternateContent>
  <xr:revisionPtr revIDLastSave="0" documentId="13_ncr:1_{5FDDD9C9-9700-42C8-A7A6-180A013FCB01}" xr6:coauthVersionLast="45" xr6:coauthVersionMax="45" xr10:uidLastSave="{00000000-0000-0000-0000-000000000000}"/>
  <bookViews>
    <workbookView xWindow="-108" yWindow="-108" windowWidth="23256" windowHeight="12576" tabRatio="561" xr2:uid="{00000000-000D-0000-FFFF-FFFF00000000}"/>
  </bookViews>
  <sheets>
    <sheet name="Погрешности 10%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F53" i="1" l="1"/>
  <c r="BF52" i="1"/>
  <c r="BF51" i="1"/>
  <c r="BF50" i="1"/>
  <c r="BF49" i="1"/>
  <c r="BF48" i="1"/>
  <c r="BF47" i="1"/>
  <c r="BF46" i="1"/>
  <c r="BF45" i="1"/>
  <c r="AM53" i="1"/>
  <c r="AM52" i="1"/>
  <c r="AM51" i="1"/>
  <c r="AM50" i="1"/>
  <c r="AM49" i="1"/>
  <c r="AM48" i="1"/>
  <c r="AM47" i="1"/>
  <c r="AM46" i="1"/>
  <c r="AM45" i="1"/>
  <c r="R46" i="1"/>
  <c r="R47" i="1"/>
  <c r="R48" i="1"/>
  <c r="R49" i="1"/>
  <c r="R50" i="1"/>
  <c r="R51" i="1"/>
  <c r="R52" i="1"/>
  <c r="R53" i="1"/>
  <c r="R45" i="1"/>
  <c r="BE35" i="1"/>
  <c r="AT61" i="1" s="1"/>
  <c r="AL35" i="1"/>
  <c r="AL48" i="1" s="1"/>
  <c r="Q35" i="1"/>
  <c r="Q48" i="1" s="1"/>
  <c r="AZ30" i="1"/>
  <c r="AY30" i="1"/>
  <c r="AX30" i="1"/>
  <c r="AW30" i="1"/>
  <c r="AV30" i="1"/>
  <c r="AU30" i="1"/>
  <c r="AT30" i="1"/>
  <c r="AS30" i="1"/>
  <c r="AR30" i="1"/>
  <c r="AQ30" i="1"/>
  <c r="AZ29" i="1"/>
  <c r="AY29" i="1"/>
  <c r="AX29" i="1"/>
  <c r="AW29" i="1"/>
  <c r="AV29" i="1"/>
  <c r="AU29" i="1"/>
  <c r="AT29" i="1"/>
  <c r="AS29" i="1"/>
  <c r="AR29" i="1"/>
  <c r="AQ29" i="1"/>
  <c r="AZ28" i="1"/>
  <c r="AY28" i="1"/>
  <c r="AX28" i="1"/>
  <c r="AW28" i="1"/>
  <c r="AV28" i="1"/>
  <c r="AU28" i="1"/>
  <c r="AT28" i="1"/>
  <c r="AS28" i="1"/>
  <c r="AR28" i="1"/>
  <c r="AQ28" i="1"/>
  <c r="AZ27" i="1"/>
  <c r="AY27" i="1"/>
  <c r="AX27" i="1"/>
  <c r="AW27" i="1"/>
  <c r="AV27" i="1"/>
  <c r="AU27" i="1"/>
  <c r="AT27" i="1"/>
  <c r="AS27" i="1"/>
  <c r="AR27" i="1"/>
  <c r="AQ27" i="1"/>
  <c r="AZ26" i="1"/>
  <c r="AY26" i="1"/>
  <c r="AX26" i="1"/>
  <c r="AW26" i="1"/>
  <c r="AV26" i="1"/>
  <c r="AU26" i="1"/>
  <c r="AT26" i="1"/>
  <c r="AS26" i="1"/>
  <c r="AR26" i="1"/>
  <c r="AQ26" i="1"/>
  <c r="AZ25" i="1"/>
  <c r="AY25" i="1"/>
  <c r="AX25" i="1"/>
  <c r="AW25" i="1"/>
  <c r="AV25" i="1"/>
  <c r="AU25" i="1"/>
  <c r="AT25" i="1"/>
  <c r="AS25" i="1"/>
  <c r="AR25" i="1"/>
  <c r="AQ25" i="1"/>
  <c r="AZ24" i="1"/>
  <c r="AY24" i="1"/>
  <c r="AX24" i="1"/>
  <c r="AW24" i="1"/>
  <c r="AV24" i="1"/>
  <c r="AU24" i="1"/>
  <c r="AT24" i="1"/>
  <c r="AS24" i="1"/>
  <c r="AR24" i="1"/>
  <c r="AQ24" i="1"/>
  <c r="AZ23" i="1"/>
  <c r="AY23" i="1"/>
  <c r="AX23" i="1"/>
  <c r="AW23" i="1"/>
  <c r="AV23" i="1"/>
  <c r="AU23" i="1"/>
  <c r="AT23" i="1"/>
  <c r="AS23" i="1"/>
  <c r="AR23" i="1"/>
  <c r="AQ23" i="1"/>
  <c r="AO23" i="1"/>
  <c r="AO24" i="1" s="1"/>
  <c r="AZ22" i="1"/>
  <c r="AY22" i="1"/>
  <c r="AX22" i="1"/>
  <c r="AW22" i="1"/>
  <c r="AV22" i="1"/>
  <c r="AU22" i="1"/>
  <c r="AT22" i="1"/>
  <c r="AS22" i="1"/>
  <c r="AR22" i="1"/>
  <c r="AQ22" i="1"/>
  <c r="AO22" i="1"/>
  <c r="BC22" i="1" s="1"/>
  <c r="X23" i="1"/>
  <c r="Y23" i="1"/>
  <c r="Z23" i="1"/>
  <c r="AA23" i="1"/>
  <c r="AB23" i="1"/>
  <c r="AC23" i="1"/>
  <c r="AD23" i="1"/>
  <c r="AE23" i="1"/>
  <c r="AF23" i="1"/>
  <c r="AG23" i="1"/>
  <c r="X24" i="1"/>
  <c r="Y24" i="1"/>
  <c r="Z24" i="1"/>
  <c r="AA24" i="1"/>
  <c r="AB24" i="1"/>
  <c r="AC24" i="1"/>
  <c r="AD24" i="1"/>
  <c r="AE24" i="1"/>
  <c r="AF24" i="1"/>
  <c r="AG24" i="1"/>
  <c r="X25" i="1"/>
  <c r="Y25" i="1"/>
  <c r="Z25" i="1"/>
  <c r="AA25" i="1"/>
  <c r="AB25" i="1"/>
  <c r="AC25" i="1"/>
  <c r="AD25" i="1"/>
  <c r="AE25" i="1"/>
  <c r="AF25" i="1"/>
  <c r="AG25" i="1"/>
  <c r="X26" i="1"/>
  <c r="Y26" i="1"/>
  <c r="Z26" i="1"/>
  <c r="AA26" i="1"/>
  <c r="AB26" i="1"/>
  <c r="AC26" i="1"/>
  <c r="AD26" i="1"/>
  <c r="AE26" i="1"/>
  <c r="AF26" i="1"/>
  <c r="AG26" i="1"/>
  <c r="X27" i="1"/>
  <c r="Y27" i="1"/>
  <c r="Z27" i="1"/>
  <c r="AA27" i="1"/>
  <c r="AB27" i="1"/>
  <c r="AC27" i="1"/>
  <c r="AD27" i="1"/>
  <c r="AE27" i="1"/>
  <c r="AF27" i="1"/>
  <c r="AG27" i="1"/>
  <c r="X28" i="1"/>
  <c r="Y28" i="1"/>
  <c r="Z28" i="1"/>
  <c r="AA28" i="1"/>
  <c r="AB28" i="1"/>
  <c r="AC28" i="1"/>
  <c r="AD28" i="1"/>
  <c r="AE28" i="1"/>
  <c r="AF28" i="1"/>
  <c r="AG28" i="1"/>
  <c r="X29" i="1"/>
  <c r="Y29" i="1"/>
  <c r="Z29" i="1"/>
  <c r="AA29" i="1"/>
  <c r="AB29" i="1"/>
  <c r="AC29" i="1"/>
  <c r="AD29" i="1"/>
  <c r="AE29" i="1"/>
  <c r="AF29" i="1"/>
  <c r="AG29" i="1"/>
  <c r="X30" i="1"/>
  <c r="Y30" i="1"/>
  <c r="Z30" i="1"/>
  <c r="AA30" i="1"/>
  <c r="AB30" i="1"/>
  <c r="AC30" i="1"/>
  <c r="AD30" i="1"/>
  <c r="AE30" i="1"/>
  <c r="AF30" i="1"/>
  <c r="AG30" i="1"/>
  <c r="Y22" i="1"/>
  <c r="Z22" i="1"/>
  <c r="AA22" i="1"/>
  <c r="AB22" i="1"/>
  <c r="AC22" i="1"/>
  <c r="AD22" i="1"/>
  <c r="AE22" i="1"/>
  <c r="AF22" i="1"/>
  <c r="AG22" i="1"/>
  <c r="X22" i="1"/>
  <c r="V22" i="1"/>
  <c r="AJ22" i="1" s="1"/>
  <c r="C23" i="1"/>
  <c r="D23" i="1"/>
  <c r="E23" i="1"/>
  <c r="F23" i="1"/>
  <c r="G23" i="1"/>
  <c r="H23" i="1"/>
  <c r="I23" i="1"/>
  <c r="J23" i="1"/>
  <c r="K23" i="1"/>
  <c r="L23" i="1"/>
  <c r="C24" i="1"/>
  <c r="D24" i="1"/>
  <c r="E24" i="1"/>
  <c r="F24" i="1"/>
  <c r="G24" i="1"/>
  <c r="H24" i="1"/>
  <c r="I24" i="1"/>
  <c r="J24" i="1"/>
  <c r="K24" i="1"/>
  <c r="L24" i="1"/>
  <c r="C25" i="1"/>
  <c r="D25" i="1"/>
  <c r="E25" i="1"/>
  <c r="F25" i="1"/>
  <c r="G25" i="1"/>
  <c r="H25" i="1"/>
  <c r="I25" i="1"/>
  <c r="J25" i="1"/>
  <c r="K25" i="1"/>
  <c r="L25" i="1"/>
  <c r="C26" i="1"/>
  <c r="D26" i="1"/>
  <c r="E26" i="1"/>
  <c r="F26" i="1"/>
  <c r="G26" i="1"/>
  <c r="H26" i="1"/>
  <c r="I26" i="1"/>
  <c r="J26" i="1"/>
  <c r="K26" i="1"/>
  <c r="L26" i="1"/>
  <c r="C27" i="1"/>
  <c r="D27" i="1"/>
  <c r="E27" i="1"/>
  <c r="F27" i="1"/>
  <c r="G27" i="1"/>
  <c r="H27" i="1"/>
  <c r="I27" i="1"/>
  <c r="J27" i="1"/>
  <c r="K27" i="1"/>
  <c r="L27" i="1"/>
  <c r="C28" i="1"/>
  <c r="D28" i="1"/>
  <c r="E28" i="1"/>
  <c r="F28" i="1"/>
  <c r="G28" i="1"/>
  <c r="H28" i="1"/>
  <c r="I28" i="1"/>
  <c r="J28" i="1"/>
  <c r="K28" i="1"/>
  <c r="L28" i="1"/>
  <c r="C29" i="1"/>
  <c r="D29" i="1"/>
  <c r="E29" i="1"/>
  <c r="F29" i="1"/>
  <c r="G29" i="1"/>
  <c r="H29" i="1"/>
  <c r="I29" i="1"/>
  <c r="J29" i="1"/>
  <c r="K29" i="1"/>
  <c r="L29" i="1"/>
  <c r="C30" i="1"/>
  <c r="D30" i="1"/>
  <c r="E30" i="1"/>
  <c r="F30" i="1"/>
  <c r="G30" i="1"/>
  <c r="H30" i="1"/>
  <c r="I30" i="1"/>
  <c r="J30" i="1"/>
  <c r="K30" i="1"/>
  <c r="L30" i="1"/>
  <c r="D22" i="1"/>
  <c r="E22" i="1"/>
  <c r="F22" i="1"/>
  <c r="G22" i="1"/>
  <c r="H22" i="1"/>
  <c r="I22" i="1"/>
  <c r="J22" i="1"/>
  <c r="K22" i="1"/>
  <c r="L22" i="1"/>
  <c r="C22" i="1"/>
  <c r="A22" i="1"/>
  <c r="A23" i="1" s="1"/>
  <c r="F61" i="1" l="1"/>
  <c r="BE48" i="1"/>
  <c r="O22" i="1"/>
  <c r="A24" i="1"/>
  <c r="B61" i="1"/>
  <c r="C61" i="1" s="1"/>
  <c r="O23" i="1"/>
  <c r="V23" i="1"/>
  <c r="AJ23" i="1" s="1"/>
  <c r="AA61" i="1"/>
  <c r="AP61" i="1"/>
  <c r="AQ61" i="1" s="1"/>
  <c r="BB23" i="1"/>
  <c r="BB26" i="1"/>
  <c r="BA27" i="1"/>
  <c r="BD27" i="1" s="1"/>
  <c r="BB24" i="1"/>
  <c r="BB28" i="1"/>
  <c r="AI23" i="1"/>
  <c r="BB29" i="1"/>
  <c r="AI27" i="1"/>
  <c r="BA22" i="1"/>
  <c r="BD22" i="1" s="1"/>
  <c r="BA25" i="1"/>
  <c r="BD25" i="1" s="1"/>
  <c r="BB27" i="1"/>
  <c r="BB30" i="1"/>
  <c r="AO25" i="1"/>
  <c r="BC24" i="1"/>
  <c r="BA26" i="1"/>
  <c r="BD26" i="1" s="1"/>
  <c r="BB25" i="1"/>
  <c r="BA23" i="1"/>
  <c r="AI29" i="1"/>
  <c r="BA30" i="1"/>
  <c r="BD30" i="1" s="1"/>
  <c r="BB22" i="1"/>
  <c r="BC23" i="1"/>
  <c r="BA29" i="1"/>
  <c r="AI30" i="1"/>
  <c r="AI26" i="1"/>
  <c r="AI28" i="1"/>
  <c r="AI24" i="1"/>
  <c r="BA28" i="1"/>
  <c r="BD28" i="1" s="1"/>
  <c r="BA24" i="1"/>
  <c r="BD24" i="1" s="1"/>
  <c r="AI25" i="1"/>
  <c r="AI22" i="1"/>
  <c r="AH26" i="1"/>
  <c r="AK26" i="1" s="1"/>
  <c r="AH28" i="1"/>
  <c r="AK28" i="1" s="1"/>
  <c r="AH29" i="1"/>
  <c r="AH27" i="1"/>
  <c r="AK27" i="1" s="1"/>
  <c r="AH25" i="1"/>
  <c r="AK25" i="1" s="1"/>
  <c r="AH24" i="1"/>
  <c r="AK24" i="1" s="1"/>
  <c r="AH23" i="1"/>
  <c r="AH30" i="1"/>
  <c r="AK30" i="1" s="1"/>
  <c r="AH22" i="1"/>
  <c r="AK22" i="1" s="1"/>
  <c r="M22" i="1"/>
  <c r="M25" i="1"/>
  <c r="M23" i="1"/>
  <c r="M26" i="1"/>
  <c r="M30" i="1"/>
  <c r="M29" i="1"/>
  <c r="M28" i="1"/>
  <c r="M27" i="1"/>
  <c r="M24" i="1"/>
  <c r="P22" i="1" l="1"/>
  <c r="P28" i="1"/>
  <c r="P30" i="1"/>
  <c r="P25" i="1"/>
  <c r="P27" i="1"/>
  <c r="P26" i="1"/>
  <c r="P24" i="1"/>
  <c r="A25" i="1"/>
  <c r="O24" i="1"/>
  <c r="V24" i="1"/>
  <c r="W61" i="1"/>
  <c r="X61" i="1" s="1"/>
  <c r="BD29" i="1"/>
  <c r="AP64" i="1"/>
  <c r="BD23" i="1"/>
  <c r="AP63" i="1"/>
  <c r="AK23" i="1"/>
  <c r="W63" i="1"/>
  <c r="AK29" i="1"/>
  <c r="W64" i="1"/>
  <c r="P29" i="1"/>
  <c r="B64" i="1"/>
  <c r="P23" i="1"/>
  <c r="B63" i="1"/>
  <c r="N30" i="1"/>
  <c r="N23" i="1"/>
  <c r="N26" i="1"/>
  <c r="N27" i="1"/>
  <c r="BC25" i="1"/>
  <c r="AO26" i="1"/>
  <c r="N22" i="1"/>
  <c r="N25" i="1"/>
  <c r="N29" i="1"/>
  <c r="N28" i="1"/>
  <c r="N24" i="1"/>
  <c r="AJ24" i="1" l="1"/>
  <c r="V25" i="1"/>
  <c r="O25" i="1"/>
  <c r="A26" i="1"/>
  <c r="AO27" i="1"/>
  <c r="BC26" i="1"/>
  <c r="O26" i="1" l="1"/>
  <c r="A27" i="1"/>
  <c r="V26" i="1"/>
  <c r="AJ25" i="1"/>
  <c r="AO28" i="1"/>
  <c r="BC27" i="1"/>
  <c r="O27" i="1" l="1"/>
  <c r="A28" i="1"/>
  <c r="AJ26" i="1"/>
  <c r="V27" i="1"/>
  <c r="AO29" i="1"/>
  <c r="AP62" i="1" s="1"/>
  <c r="AQ62" i="1" s="1"/>
  <c r="AQ66" i="1" s="1"/>
  <c r="BC28" i="1"/>
  <c r="O28" i="1" l="1"/>
  <c r="A29" i="1"/>
  <c r="V28" i="1"/>
  <c r="AJ27" i="1"/>
  <c r="AQ68" i="1"/>
  <c r="AR75" i="1" s="1"/>
  <c r="O84" i="1" s="1"/>
  <c r="AR74" i="1"/>
  <c r="N84" i="1" s="1"/>
  <c r="BC29" i="1"/>
  <c r="AO30" i="1"/>
  <c r="BC30" i="1" s="1"/>
  <c r="BE39" i="1" s="1" a="1"/>
  <c r="BE39" i="1" s="1"/>
  <c r="BE41" i="1" s="1"/>
  <c r="M84" i="1" s="1"/>
  <c r="BE46" i="1" l="1"/>
  <c r="BE33" i="1"/>
  <c r="BE52" i="1" a="1"/>
  <c r="BE52" i="1" s="1"/>
  <c r="BE54" i="1" s="1"/>
  <c r="AT75" i="1" s="1"/>
  <c r="B62" i="1"/>
  <c r="C62" i="1" s="1"/>
  <c r="C66" i="1" s="1"/>
  <c r="N82" i="1" s="1"/>
  <c r="A30" i="1"/>
  <c r="O30" i="1" s="1"/>
  <c r="O29" i="1"/>
  <c r="Q39" i="1" s="1" a="1"/>
  <c r="Q39" i="1" s="1"/>
  <c r="AP75" i="1"/>
  <c r="AJ28" i="1"/>
  <c r="V29" i="1"/>
  <c r="BF30" i="1" l="1"/>
  <c r="BF28" i="1"/>
  <c r="BF25" i="1"/>
  <c r="BF22" i="1"/>
  <c r="BF29" i="1"/>
  <c r="BF23" i="1"/>
  <c r="BF27" i="1"/>
  <c r="BF26" i="1"/>
  <c r="BF24" i="1"/>
  <c r="R30" i="1"/>
  <c r="AM28" i="1"/>
  <c r="AM22" i="1"/>
  <c r="AM27" i="1"/>
  <c r="AM26" i="1"/>
  <c r="AM24" i="1"/>
  <c r="AM30" i="1"/>
  <c r="AM25" i="1"/>
  <c r="AM23" i="1"/>
  <c r="R29" i="1"/>
  <c r="R22" i="1"/>
  <c r="R23" i="1"/>
  <c r="R25" i="1"/>
  <c r="R26" i="1"/>
  <c r="R27" i="1"/>
  <c r="R28" i="1"/>
  <c r="R24" i="1"/>
  <c r="Q41" i="1"/>
  <c r="M82" i="1" s="1"/>
  <c r="W62" i="1"/>
  <c r="X62" i="1" s="1"/>
  <c r="X66" i="1" s="1"/>
  <c r="V30" i="1"/>
  <c r="AJ30" i="1" s="1"/>
  <c r="AJ29" i="1"/>
  <c r="AM29" i="1" s="1"/>
  <c r="BE37" i="1"/>
  <c r="L84" i="1" s="1"/>
  <c r="BE56" i="1"/>
  <c r="Q46" i="1"/>
  <c r="Q33" i="1"/>
  <c r="Q37" i="1" s="1"/>
  <c r="Q52" i="1" a="1"/>
  <c r="Q52" i="1" s="1"/>
  <c r="Q54" i="1" s="1"/>
  <c r="F75" i="1" s="1"/>
  <c r="Q82" i="1" s="1"/>
  <c r="BE57" i="1"/>
  <c r="BE50" i="1"/>
  <c r="AT74" i="1" s="1"/>
  <c r="D74" i="1"/>
  <c r="C68" i="1"/>
  <c r="D75" i="1" l="1"/>
  <c r="O82" i="1"/>
  <c r="B74" i="1"/>
  <c r="L82" i="1"/>
  <c r="AP74" i="1"/>
  <c r="BE29" i="1"/>
  <c r="BE28" i="1"/>
  <c r="BE27" i="1"/>
  <c r="BE25" i="1"/>
  <c r="BE26" i="1"/>
  <c r="BE23" i="1"/>
  <c r="BE22" i="1"/>
  <c r="BE30" i="1"/>
  <c r="BE24" i="1"/>
  <c r="AL46" i="1"/>
  <c r="AL33" i="1"/>
  <c r="AL37" i="1" s="1"/>
  <c r="AL52" i="1" a="1"/>
  <c r="AL52" i="1" s="1"/>
  <c r="AL54" i="1" s="1"/>
  <c r="AA75" i="1" s="1"/>
  <c r="AL39" i="1" a="1"/>
  <c r="AL39" i="1" s="1"/>
  <c r="Y74" i="1"/>
  <c r="N83" i="1" s="1"/>
  <c r="X68" i="1"/>
  <c r="Y75" i="1" s="1"/>
  <c r="O83" i="1" s="1"/>
  <c r="Q57" i="1"/>
  <c r="Q50" i="1"/>
  <c r="F74" i="1" s="1"/>
  <c r="P82" i="1" s="1"/>
  <c r="B75" i="1"/>
  <c r="Q22" i="1"/>
  <c r="Q26" i="1"/>
  <c r="Q23" i="1"/>
  <c r="Q28" i="1"/>
  <c r="Q24" i="1"/>
  <c r="Q29" i="1"/>
  <c r="Q25" i="1"/>
  <c r="Q30" i="1"/>
  <c r="Q27" i="1"/>
  <c r="Q56" i="1"/>
  <c r="W74" i="1" l="1"/>
  <c r="L83" i="1"/>
  <c r="AL57" i="1"/>
  <c r="AL50" i="1"/>
  <c r="AA74" i="1" s="1"/>
  <c r="AL56" i="1"/>
  <c r="AL41" i="1"/>
  <c r="M83" i="1" s="1"/>
  <c r="W75" i="1" l="1"/>
  <c r="AL23" i="1"/>
  <c r="AL30" i="1"/>
  <c r="AL22" i="1"/>
  <c r="AL25" i="1"/>
  <c r="AL26" i="1"/>
  <c r="AL24" i="1"/>
  <c r="AL29" i="1"/>
  <c r="AL27" i="1"/>
  <c r="AL2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<sst xmlns="http://schemas.openxmlformats.org/spreadsheetml/2006/main" count="174" uniqueCount="51">
  <si>
    <t>Исходная таблица</t>
  </si>
  <si>
    <t>T,ºС</t>
  </si>
  <si>
    <t>KOH,%</t>
  </si>
  <si>
    <t>T</t>
  </si>
  <si>
    <t>V_0</t>
  </si>
  <si>
    <t>V ср</t>
  </si>
  <si>
    <t>σ</t>
  </si>
  <si>
    <t>1/T</t>
  </si>
  <si>
    <t>ln R</t>
  </si>
  <si>
    <t>отклонения 10%</t>
  </si>
  <si>
    <t>отклонения 20%</t>
  </si>
  <si>
    <t>tan</t>
  </si>
  <si>
    <t>kb</t>
  </si>
  <si>
    <t>E</t>
  </si>
  <si>
    <t>b</t>
  </si>
  <si>
    <t>A</t>
  </si>
  <si>
    <t>мкм/час</t>
  </si>
  <si>
    <t>2 способ</t>
  </si>
  <si>
    <t>1 способ</t>
  </si>
  <si>
    <t>T1</t>
  </si>
  <si>
    <t>T2</t>
  </si>
  <si>
    <t>R1</t>
  </si>
  <si>
    <t>R2</t>
  </si>
  <si>
    <t>Ea</t>
  </si>
  <si>
    <t>Сравнение способов</t>
  </si>
  <si>
    <t>Исходные значения</t>
  </si>
  <si>
    <t>Исх</t>
  </si>
  <si>
    <t>lnR исх</t>
  </si>
  <si>
    <t xml:space="preserve">НАЖМИТЕ F9 </t>
  </si>
  <si>
    <t>для получения новых данных</t>
  </si>
  <si>
    <t>возьмем вторую и предпоследнюю точки</t>
  </si>
  <si>
    <t>Формула</t>
  </si>
  <si>
    <t>V_1</t>
  </si>
  <si>
    <t>V_2</t>
  </si>
  <si>
    <t>V_3</t>
  </si>
  <si>
    <t>V_4</t>
  </si>
  <si>
    <t>V_5</t>
  </si>
  <si>
    <t>V_6</t>
  </si>
  <si>
    <t>V_7</t>
  </si>
  <si>
    <t>V_8</t>
  </si>
  <si>
    <t>V_9</t>
  </si>
  <si>
    <t>V_10</t>
  </si>
  <si>
    <t>R расч 1</t>
  </si>
  <si>
    <t>R расч 2</t>
  </si>
  <si>
    <t>ИТОГОВАЯ ТАБЛИЦА</t>
  </si>
  <si>
    <t>Погрешность</t>
  </si>
  <si>
    <t>Способ 1</t>
  </si>
  <si>
    <t>Способ 2</t>
  </si>
  <si>
    <t>Исходное</t>
  </si>
  <si>
    <t>чем темнее, тем дальше от "идеального значения" в +</t>
  </si>
  <si>
    <t>чем светлее, тем дальше от "идеального значения" в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</si>
</sst>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000000"/>
    <numFmt numFmtId="165" formatCode="0.000"/>
    <numFmt numFmtId="166" formatCode="0.0"/>
    <numFmt numFmtId="167" formatCode="0.0000000"/>
    <numFmt numFmtId="168" formatCode="0.00000000000"/>
  </numFmts>
  <fonts count="7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</font>
    <font>
      <sz val="8"/>
      <name val="Calibri"/>
      <family val="2"/>
      <scheme val="minor"/>
    </font>
    <font>
      <sz val="14"/>
      <color theme="1"/>
      <name val="Calibri"/>
      <family val="2"/>
    </font>
    <font>
      <sz val="48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 diagonalDown="1">
      <left style="medium">
        <color rgb="FF000000"/>
      </left>
      <right style="medium">
        <color rgb="FF000000"/>
      </right>
      <top style="medium">
        <color rgb="FF000000"/>
      </top>
      <bottom/>
      <diagonal style="thin">
        <color indexed="64"/>
      </diagonal>
    </border>
    <border diagonalDown="1">
      <left style="medium">
        <color rgb="FF000000"/>
      </left>
      <right style="medium">
        <color rgb="FF000000"/>
      </right>
      <top/>
      <bottom style="medium">
        <color rgb="FF000000"/>
      </bottom>
      <diagonal style="thin">
        <color indexed="64"/>
      </diagonal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 diagonalDown="1">
      <left style="medium">
        <color rgb="FF000000"/>
      </left>
      <right style="medium">
        <color rgb="FF000000"/>
      </right>
      <top/>
      <bottom/>
      <diagonal style="thin">
        <color indexed="64"/>
      </diagonal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4" fillId="0" borderId="0" xfId="0" applyFont="1"/>
    <xf numFmtId="165" fontId="1" fillId="0" borderId="0" xfId="0" applyNumberFormat="1" applyFont="1"/>
    <xf numFmtId="164" fontId="1" fillId="0" borderId="0" xfId="0" applyNumberFormat="1" applyFont="1"/>
    <xf numFmtId="166" fontId="1" fillId="0" borderId="0" xfId="0" applyNumberFormat="1" applyFont="1"/>
    <xf numFmtId="0" fontId="1" fillId="3" borderId="0" xfId="0" applyFont="1" applyFill="1"/>
    <xf numFmtId="0" fontId="5" fillId="0" borderId="0" xfId="0" applyFont="1"/>
    <xf numFmtId="0" fontId="5" fillId="0" borderId="0" xfId="0" applyFont="1" applyAlignment="1"/>
    <xf numFmtId="0" fontId="1" fillId="4" borderId="0" xfId="0" applyFont="1" applyFill="1"/>
    <xf numFmtId="167" fontId="1" fillId="0" borderId="0" xfId="0" applyNumberFormat="1" applyFont="1"/>
    <xf numFmtId="168" fontId="1" fillId="0" borderId="0" xfId="0" applyNumberFormat="1" applyFont="1"/>
    <xf numFmtId="165" fontId="1" fillId="5" borderId="0" xfId="0" applyNumberFormat="1" applyFont="1" applyFill="1"/>
    <xf numFmtId="0" fontId="6" fillId="0" borderId="0" xfId="0" applyFont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9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6" borderId="8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DCBFF"/>
      <color rgb="FFFF0D0D"/>
      <color rgb="FFB9FFBB"/>
      <color rgb="FFF8696B"/>
      <color rgb="FF63BE7B"/>
      <color rgb="FFFFEB84"/>
      <color rgb="FFFFB9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R(1/T)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'Погрешности 10%'!$O$22:$O$30</c:f>
              <c:numCache>
                <c:formatCode>General</c:formatCode>
                <c:ptCount val="9"/>
                <c:pt idx="0">
                  <c:v>3.4112229234180458E-3</c:v>
                </c:pt>
                <c:pt idx="1">
                  <c:v>3.298697014679202E-3</c:v>
                </c:pt>
                <c:pt idx="2">
                  <c:v>3.1933578157432542E-3</c:v>
                </c:pt>
                <c:pt idx="3">
                  <c:v>3.0945381401825778E-3</c:v>
                </c:pt>
                <c:pt idx="4">
                  <c:v>3.0016509079993999E-3</c:v>
                </c:pt>
                <c:pt idx="5">
                  <c:v>2.9141774734081308E-3</c:v>
                </c:pt>
                <c:pt idx="6">
                  <c:v>2.831657935721365E-3</c:v>
                </c:pt>
                <c:pt idx="7">
                  <c:v>2.7536830510808208E-3</c:v>
                </c:pt>
                <c:pt idx="8">
                  <c:v>2.6798874447273215E-3</c:v>
                </c:pt>
              </c:numCache>
            </c:numRef>
          </c:xVal>
          <c:yVal>
            <c:numRef>
              <c:f>'Погрешности 10%'!$P$22:$P$30</c:f>
              <c:numCache>
                <c:formatCode>General</c:formatCode>
                <c:ptCount val="9"/>
                <c:pt idx="0">
                  <c:v>0.37140803604284245</c:v>
                </c:pt>
                <c:pt idx="1">
                  <c:v>1.1700610384580146</c:v>
                </c:pt>
                <c:pt idx="2">
                  <c:v>1.9182332997230629</c:v>
                </c:pt>
                <c:pt idx="3">
                  <c:v>2.620213521677687</c:v>
                </c:pt>
                <c:pt idx="4">
                  <c:v>3.218465408085224</c:v>
                </c:pt>
                <c:pt idx="5">
                  <c:v>3.8648674372502638</c:v>
                </c:pt>
                <c:pt idx="6">
                  <c:v>4.3865081000990127</c:v>
                </c:pt>
                <c:pt idx="7">
                  <c:v>4.9718404176151125</c:v>
                </c:pt>
                <c:pt idx="8">
                  <c:v>5.4559072939456579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D8D-4AE2-9FDE-0143ADF3C4CB}"/>
            </c:ext>
          </c:extLst>
        </c:ser>
        <c:ser>
          <c:idx val="1"/>
          <c:order val="1"/>
          <c:tx>
            <c:v>Исходные значения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'Погрешности 10%'!$O$22:$O$30</c:f>
              <c:numCache>
                <c:formatCode>General</c:formatCode>
                <c:ptCount val="9"/>
                <c:pt idx="0">
                  <c:v>3.4112229234180458E-3</c:v>
                </c:pt>
                <c:pt idx="1">
                  <c:v>3.298697014679202E-3</c:v>
                </c:pt>
                <c:pt idx="2">
                  <c:v>3.1933578157432542E-3</c:v>
                </c:pt>
                <c:pt idx="3">
                  <c:v>3.0945381401825778E-3</c:v>
                </c:pt>
                <c:pt idx="4">
                  <c:v>3.0016509079993999E-3</c:v>
                </c:pt>
                <c:pt idx="5">
                  <c:v>2.9141774734081308E-3</c:v>
                </c:pt>
                <c:pt idx="6">
                  <c:v>2.831657935721365E-3</c:v>
                </c:pt>
                <c:pt idx="7">
                  <c:v>2.7536830510808208E-3</c:v>
                </c:pt>
                <c:pt idx="8">
                  <c:v>2.6798874447273215E-3</c:v>
                </c:pt>
              </c:numCache>
            </c:numRef>
          </c:xVal>
          <c:yVal>
            <c:numRef>
              <c:f>'Погрешности 10%'!$R$45:$R$53</c:f>
              <c:numCache>
                <c:formatCode>General</c:formatCode>
                <c:ptCount val="9"/>
                <c:pt idx="0">
                  <c:v>0.39877611995736778</c:v>
                </c:pt>
                <c:pt idx="1">
                  <c:v>1.1631508098056809</c:v>
                </c:pt>
                <c:pt idx="2">
                  <c:v>1.9021075263969205</c:v>
                </c:pt>
                <c:pt idx="3">
                  <c:v>2.5877640352277083</c:v>
                </c:pt>
                <c:pt idx="4">
                  <c:v>3.2386784521643803</c:v>
                </c:pt>
                <c:pt idx="5">
                  <c:v>3.8286413964890951</c:v>
                </c:pt>
                <c:pt idx="6">
                  <c:v>4.4067192472642533</c:v>
                </c:pt>
                <c:pt idx="7">
                  <c:v>4.9416424226093039</c:v>
                </c:pt>
                <c:pt idx="8">
                  <c:v>5.4510384535657002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D8D-4AE2-9FDE-0143ADF3C4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0850735"/>
        <c:axId val="1338390575"/>
      </c:scatterChart>
      <c:valAx>
        <c:axId val="1670850735"/>
        <c:scaling>
          <c:orientation val="minMax"/>
          <c:min val="2.5000000000000005E-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1/T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8390575"/>
        <c:crosses val="autoZero"/>
        <c:crossBetween val="midCat"/>
      </c:valAx>
      <c:valAx>
        <c:axId val="1338390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ln(R)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085073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R(1/T)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'Погрешности 10%'!$AJ$22:$AJ$30</c:f>
              <c:numCache>
                <c:formatCode>0.0000000</c:formatCode>
                <c:ptCount val="9"/>
                <c:pt idx="0">
                  <c:v>3.4112229234180458E-3</c:v>
                </c:pt>
                <c:pt idx="1">
                  <c:v>3.298697014679202E-3</c:v>
                </c:pt>
                <c:pt idx="2">
                  <c:v>3.1933578157432542E-3</c:v>
                </c:pt>
                <c:pt idx="3">
                  <c:v>3.0945381401825778E-3</c:v>
                </c:pt>
                <c:pt idx="4">
                  <c:v>3.0016509079993999E-3</c:v>
                </c:pt>
                <c:pt idx="5">
                  <c:v>2.9141774734081308E-3</c:v>
                </c:pt>
                <c:pt idx="6">
                  <c:v>2.831657935721365E-3</c:v>
                </c:pt>
                <c:pt idx="7">
                  <c:v>2.7536830510808208E-3</c:v>
                </c:pt>
                <c:pt idx="8">
                  <c:v>2.6798874447273215E-3</c:v>
                </c:pt>
              </c:numCache>
            </c:numRef>
          </c:xVal>
          <c:yVal>
            <c:numRef>
              <c:f>'Погрешности 10%'!$AK$22:$AK$30</c:f>
              <c:numCache>
                <c:formatCode>0.0000000</c:formatCode>
                <c:ptCount val="9"/>
                <c:pt idx="0">
                  <c:v>0.42790123589385737</c:v>
                </c:pt>
                <c:pt idx="1">
                  <c:v>1.0844412635312983</c:v>
                </c:pt>
                <c:pt idx="2">
                  <c:v>1.9369090585886171</c:v>
                </c:pt>
                <c:pt idx="3">
                  <c:v>2.5398450570088786</c:v>
                </c:pt>
                <c:pt idx="4">
                  <c:v>3.2255180576554987</c:v>
                </c:pt>
                <c:pt idx="5">
                  <c:v>3.8525639682615509</c:v>
                </c:pt>
                <c:pt idx="6">
                  <c:v>4.2309931861077557</c:v>
                </c:pt>
                <c:pt idx="7">
                  <c:v>4.9529591203066872</c:v>
                </c:pt>
                <c:pt idx="8">
                  <c:v>5.5573866485519856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78F-4CC9-ADFF-39536EC96FC6}"/>
            </c:ext>
          </c:extLst>
        </c:ser>
        <c:ser>
          <c:idx val="1"/>
          <c:order val="1"/>
          <c:tx>
            <c:v>Исходные значения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'Погрешности 10%'!$AJ$22:$AJ$30</c:f>
              <c:numCache>
                <c:formatCode>0.0000000</c:formatCode>
                <c:ptCount val="9"/>
                <c:pt idx="0">
                  <c:v>3.4112229234180458E-3</c:v>
                </c:pt>
                <c:pt idx="1">
                  <c:v>3.298697014679202E-3</c:v>
                </c:pt>
                <c:pt idx="2">
                  <c:v>3.1933578157432542E-3</c:v>
                </c:pt>
                <c:pt idx="3">
                  <c:v>3.0945381401825778E-3</c:v>
                </c:pt>
                <c:pt idx="4">
                  <c:v>3.0016509079993999E-3</c:v>
                </c:pt>
                <c:pt idx="5">
                  <c:v>2.9141774734081308E-3</c:v>
                </c:pt>
                <c:pt idx="6">
                  <c:v>2.831657935721365E-3</c:v>
                </c:pt>
                <c:pt idx="7">
                  <c:v>2.7536830510808208E-3</c:v>
                </c:pt>
                <c:pt idx="8">
                  <c:v>2.6798874447273215E-3</c:v>
                </c:pt>
              </c:numCache>
            </c:numRef>
          </c:xVal>
          <c:yVal>
            <c:numRef>
              <c:f>'Погрешности 10%'!$AM$45:$AM$53</c:f>
              <c:numCache>
                <c:formatCode>General</c:formatCode>
                <c:ptCount val="9"/>
                <c:pt idx="0">
                  <c:v>0.39877611995736778</c:v>
                </c:pt>
                <c:pt idx="1">
                  <c:v>1.1631508098056809</c:v>
                </c:pt>
                <c:pt idx="2">
                  <c:v>1.9021075263969205</c:v>
                </c:pt>
                <c:pt idx="3">
                  <c:v>2.5877640352277083</c:v>
                </c:pt>
                <c:pt idx="4">
                  <c:v>3.2386784521643803</c:v>
                </c:pt>
                <c:pt idx="5">
                  <c:v>3.8286413964890951</c:v>
                </c:pt>
                <c:pt idx="6">
                  <c:v>4.4067192472642533</c:v>
                </c:pt>
                <c:pt idx="7">
                  <c:v>4.9416424226093039</c:v>
                </c:pt>
                <c:pt idx="8">
                  <c:v>5.4510384535657002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78F-4CC9-ADFF-39536EC96F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0850735"/>
        <c:axId val="1338390575"/>
      </c:scatterChart>
      <c:valAx>
        <c:axId val="1670850735"/>
        <c:scaling>
          <c:orientation val="minMax"/>
          <c:min val="2.5000000000000005E-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1/T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8390575"/>
        <c:crosses val="autoZero"/>
        <c:crossBetween val="midCat"/>
      </c:valAx>
      <c:valAx>
        <c:axId val="1338390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ln(R)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085073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R(1/T)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'Погрешности 10%'!$BC$22:$BC$30</c:f>
              <c:numCache>
                <c:formatCode>0.00000000000</c:formatCode>
                <c:ptCount val="9"/>
                <c:pt idx="0">
                  <c:v>3.4112229234180458E-3</c:v>
                </c:pt>
                <c:pt idx="1">
                  <c:v>3.298697014679202E-3</c:v>
                </c:pt>
                <c:pt idx="2">
                  <c:v>3.1933578157432542E-3</c:v>
                </c:pt>
                <c:pt idx="3">
                  <c:v>3.0945381401825778E-3</c:v>
                </c:pt>
                <c:pt idx="4">
                  <c:v>3.0016509079993999E-3</c:v>
                </c:pt>
                <c:pt idx="5">
                  <c:v>2.9141774734081308E-3</c:v>
                </c:pt>
                <c:pt idx="6">
                  <c:v>2.831657935721365E-3</c:v>
                </c:pt>
                <c:pt idx="7">
                  <c:v>2.7536830510808208E-3</c:v>
                </c:pt>
                <c:pt idx="8">
                  <c:v>2.6798874447273215E-3</c:v>
                </c:pt>
              </c:numCache>
            </c:numRef>
          </c:xVal>
          <c:yVal>
            <c:numRef>
              <c:f>'Погрешности 10%'!$BD$22:$BD$30</c:f>
              <c:numCache>
                <c:formatCode>0.00000000000</c:formatCode>
                <c:ptCount val="9"/>
                <c:pt idx="0">
                  <c:v>0.33408695705360492</c:v>
                </c:pt>
                <c:pt idx="1">
                  <c:v>1.1406492750396242</c:v>
                </c:pt>
                <c:pt idx="2">
                  <c:v>1.9545923398087932</c:v>
                </c:pt>
                <c:pt idx="3">
                  <c:v>2.6585356086534713</c:v>
                </c:pt>
                <c:pt idx="4">
                  <c:v>3.2780880296934827</c:v>
                </c:pt>
                <c:pt idx="5">
                  <c:v>3.7738710257951404</c:v>
                </c:pt>
                <c:pt idx="6">
                  <c:v>4.4694061168824222</c:v>
                </c:pt>
                <c:pt idx="7">
                  <c:v>4.9865532889932469</c:v>
                </c:pt>
                <c:pt idx="8">
                  <c:v>5.4515285146186958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D65-4047-A847-F17E4B8A46F7}"/>
            </c:ext>
          </c:extLst>
        </c:ser>
        <c:ser>
          <c:idx val="1"/>
          <c:order val="1"/>
          <c:tx>
            <c:v>Исходные значения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'Погрешности 10%'!$BC$22:$BC$30</c:f>
              <c:numCache>
                <c:formatCode>0.00000000000</c:formatCode>
                <c:ptCount val="9"/>
                <c:pt idx="0">
                  <c:v>3.4112229234180458E-3</c:v>
                </c:pt>
                <c:pt idx="1">
                  <c:v>3.298697014679202E-3</c:v>
                </c:pt>
                <c:pt idx="2">
                  <c:v>3.1933578157432542E-3</c:v>
                </c:pt>
                <c:pt idx="3">
                  <c:v>3.0945381401825778E-3</c:v>
                </c:pt>
                <c:pt idx="4">
                  <c:v>3.0016509079993999E-3</c:v>
                </c:pt>
                <c:pt idx="5">
                  <c:v>2.9141774734081308E-3</c:v>
                </c:pt>
                <c:pt idx="6">
                  <c:v>2.831657935721365E-3</c:v>
                </c:pt>
                <c:pt idx="7">
                  <c:v>2.7536830510808208E-3</c:v>
                </c:pt>
                <c:pt idx="8">
                  <c:v>2.6798874447273215E-3</c:v>
                </c:pt>
              </c:numCache>
            </c:numRef>
          </c:xVal>
          <c:yVal>
            <c:numRef>
              <c:f>'Погрешности 10%'!$BF$45:$BF$53</c:f>
              <c:numCache>
                <c:formatCode>General</c:formatCode>
                <c:ptCount val="9"/>
                <c:pt idx="0">
                  <c:v>0.39877611995736778</c:v>
                </c:pt>
                <c:pt idx="1">
                  <c:v>1.1631508098056809</c:v>
                </c:pt>
                <c:pt idx="2">
                  <c:v>1.9021075263969205</c:v>
                </c:pt>
                <c:pt idx="3">
                  <c:v>2.5877640352277083</c:v>
                </c:pt>
                <c:pt idx="4">
                  <c:v>3.2386784521643803</c:v>
                </c:pt>
                <c:pt idx="5">
                  <c:v>3.8286413964890951</c:v>
                </c:pt>
                <c:pt idx="6">
                  <c:v>4.4067192472642533</c:v>
                </c:pt>
                <c:pt idx="7">
                  <c:v>4.9416424226093039</c:v>
                </c:pt>
                <c:pt idx="8">
                  <c:v>5.4510384535657002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D65-4047-A847-F17E4B8A46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0850735"/>
        <c:axId val="1338390575"/>
      </c:scatterChart>
      <c:valAx>
        <c:axId val="1670850735"/>
        <c:scaling>
          <c:orientation val="minMax"/>
          <c:min val="2.5000000000000005E-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1/T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8390575"/>
        <c:crosses val="autoZero"/>
        <c:crossBetween val="midCat"/>
      </c:valAx>
      <c:valAx>
        <c:axId val="1338390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ln(R)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085073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134982</xdr:colOff>
      <xdr:row>32</xdr:row>
      <xdr:rowOff>118110</xdr:rowOff>
    </xdr:from>
    <xdr:to>
      <xdr:col>14</xdr:col>
      <xdr:colOff>576942</xdr:colOff>
      <xdr:row>55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C95FA10-404F-4A8C-983D-C5B12B114D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1102722</xdr:colOff>
      <xdr:row>33</xdr:row>
      <xdr:rowOff>0</xdr:rowOff>
    </xdr:from>
    <xdr:to>
      <xdr:col>35</xdr:col>
      <xdr:colOff>402772</xdr:colOff>
      <xdr:row>51</xdr:row>
      <xdr:rowOff>76199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8129D12-0C61-47D9-95F2-7C726EAAC9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44</xdr:col>
      <xdr:colOff>272143</xdr:colOff>
      <xdr:row>32</xdr:row>
      <xdr:rowOff>108858</xdr:rowOff>
    </xdr:from>
    <xdr:to>
      <xdr:col>53</xdr:col>
      <xdr:colOff>718457</xdr:colOff>
      <xdr:row>55</xdr:row>
      <xdr:rowOff>87086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646FBBE-52B5-4E15-A554-DFC6BDC129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F87"/>
  <sheetViews>
    <sheetView tabSelected="1" topLeftCell="E13" zoomScale="85" zoomScaleNormal="85" workbookViewId="0">
      <selection activeCell="R22" sqref="R22"/>
    </sheetView>
  </sheetViews>
  <sheetFormatPr defaultRowHeight="18" x14ac:dyDescent="0.35"/>
  <cols>
    <col min="1" max="1" width="11.21875" style="1" customWidth="1"/>
    <col min="2" max="4" width="15.77734375" style="1" bestFit="1" customWidth="1"/>
    <col min="5" max="5" width="12.33203125" style="1" bestFit="1" customWidth="1"/>
    <col min="6" max="6" width="15.77734375" style="1" bestFit="1" customWidth="1"/>
    <col min="7" max="10" width="12.33203125" style="1" bestFit="1" customWidth="1"/>
    <col min="11" max="11" width="17.5546875" style="1" customWidth="1"/>
    <col min="12" max="12" width="15.6640625" style="1" bestFit="1" customWidth="1"/>
    <col min="13" max="13" width="15.77734375" style="1" bestFit="1" customWidth="1"/>
    <col min="14" max="14" width="15.6640625" style="1" bestFit="1" customWidth="1"/>
    <col min="15" max="15" width="15.77734375" style="1" bestFit="1" customWidth="1"/>
    <col min="16" max="16" width="15.6640625" style="1" bestFit="1" customWidth="1"/>
    <col min="17" max="17" width="16.44140625" style="1" bestFit="1" customWidth="1"/>
    <col min="18" max="18" width="16.109375" style="1" customWidth="1"/>
    <col min="19" max="20" width="16.109375" style="1" bestFit="1" customWidth="1"/>
    <col min="21" max="22" width="17.44140625" style="1" bestFit="1" customWidth="1"/>
    <col min="23" max="23" width="12.6640625" style="1" customWidth="1"/>
    <col min="24" max="24" width="16.109375" style="1" customWidth="1"/>
    <col min="25" max="25" width="16.88671875" style="1" customWidth="1"/>
    <col min="26" max="26" width="11.77734375" style="1" bestFit="1" customWidth="1"/>
    <col min="27" max="27" width="18" style="1" customWidth="1"/>
    <col min="28" max="32" width="11.77734375" style="1" bestFit="1" customWidth="1"/>
    <col min="33" max="33" width="13.88671875" style="1" bestFit="1" customWidth="1"/>
    <col min="34" max="34" width="16.44140625" style="1" bestFit="1" customWidth="1"/>
    <col min="35" max="35" width="17.33203125" style="1" bestFit="1" customWidth="1"/>
    <col min="36" max="36" width="13.33203125" style="1" customWidth="1"/>
    <col min="37" max="37" width="15.109375" style="1" bestFit="1" customWidth="1"/>
    <col min="38" max="38" width="17.77734375" style="1" customWidth="1"/>
    <col min="39" max="39" width="20.5546875" style="1" bestFit="1" customWidth="1"/>
    <col min="40" max="42" width="19.21875" style="1" bestFit="1" customWidth="1"/>
    <col min="43" max="53" width="25" style="1" bestFit="1" customWidth="1"/>
    <col min="54" max="54" width="18.88671875" style="1" customWidth="1"/>
    <col min="55" max="55" width="20.88671875" style="1" customWidth="1"/>
    <col min="56" max="56" width="22.109375" style="1" bestFit="1" customWidth="1"/>
    <col min="57" max="57" width="19.5546875" style="1" customWidth="1"/>
    <col min="58" max="58" width="17" style="1" customWidth="1"/>
    <col min="59" max="16384" width="8.88671875" style="1"/>
  </cols>
  <sheetData>
    <row r="1" spans="1:12" x14ac:dyDescent="0.35">
      <c r="A1" s="1" t="s">
        <v>0</v>
      </c>
    </row>
    <row r="2" spans="1:12" ht="61.2" x14ac:dyDescent="1.1000000000000001">
      <c r="L2" s="15" t="s">
        <v>28</v>
      </c>
    </row>
    <row r="3" spans="1:12" ht="61.8" thickBot="1" x14ac:dyDescent="1.1499999999999999">
      <c r="L3" s="14" t="s">
        <v>29</v>
      </c>
    </row>
    <row r="4" spans="1:12" ht="14.4" customHeight="1" x14ac:dyDescent="0.35">
      <c r="A4" s="2" t="s">
        <v>1</v>
      </c>
      <c r="B4" s="31">
        <v>20</v>
      </c>
      <c r="C4" s="31">
        <v>30</v>
      </c>
      <c r="D4" s="31">
        <v>40</v>
      </c>
      <c r="E4" s="31">
        <v>50</v>
      </c>
      <c r="F4" s="31">
        <v>60</v>
      </c>
      <c r="G4" s="31">
        <v>70</v>
      </c>
      <c r="H4" s="31">
        <v>80</v>
      </c>
      <c r="I4" s="31">
        <v>90</v>
      </c>
      <c r="J4" s="31">
        <v>100</v>
      </c>
    </row>
    <row r="5" spans="1:12" ht="15" customHeight="1" x14ac:dyDescent="0.35">
      <c r="A5" s="3"/>
      <c r="B5" s="32"/>
      <c r="C5" s="32"/>
      <c r="D5" s="32"/>
      <c r="E5" s="32"/>
      <c r="F5" s="32"/>
      <c r="G5" s="32"/>
      <c r="H5" s="32"/>
      <c r="I5" s="32"/>
      <c r="J5" s="32"/>
    </row>
    <row r="6" spans="1:12" ht="18.600000000000001" thickBot="1" x14ac:dyDescent="0.4">
      <c r="A6" s="4" t="s">
        <v>2</v>
      </c>
      <c r="B6" s="33"/>
      <c r="C6" s="33"/>
      <c r="D6" s="33"/>
      <c r="E6" s="33"/>
      <c r="F6" s="33"/>
      <c r="G6" s="33"/>
      <c r="H6" s="33"/>
      <c r="I6" s="33"/>
      <c r="J6" s="33"/>
    </row>
    <row r="7" spans="1:12" ht="18.600000000000001" thickBot="1" x14ac:dyDescent="0.4">
      <c r="A7" s="5">
        <v>10</v>
      </c>
      <c r="B7" s="6">
        <v>1.49</v>
      </c>
      <c r="C7" s="6">
        <v>3.2</v>
      </c>
      <c r="D7" s="6">
        <v>6.7</v>
      </c>
      <c r="E7" s="6">
        <v>13.3</v>
      </c>
      <c r="F7" s="6">
        <v>25.5</v>
      </c>
      <c r="G7" s="6">
        <v>46</v>
      </c>
      <c r="H7" s="6">
        <v>82</v>
      </c>
      <c r="I7" s="6">
        <v>140</v>
      </c>
      <c r="J7" s="6">
        <v>233</v>
      </c>
    </row>
    <row r="8" spans="1:12" ht="18.600000000000001" thickBot="1" x14ac:dyDescent="0.4">
      <c r="A8" s="7">
        <v>15</v>
      </c>
      <c r="B8" s="8">
        <v>1.56</v>
      </c>
      <c r="C8" s="8">
        <v>3.4</v>
      </c>
      <c r="D8" s="8">
        <v>7</v>
      </c>
      <c r="E8" s="8">
        <v>14</v>
      </c>
      <c r="F8" s="8">
        <v>26.5</v>
      </c>
      <c r="G8" s="8">
        <v>49</v>
      </c>
      <c r="H8" s="8">
        <v>86</v>
      </c>
      <c r="I8" s="8">
        <v>147</v>
      </c>
      <c r="J8" s="8">
        <v>245</v>
      </c>
    </row>
    <row r="9" spans="1:12" ht="18.600000000000001" thickBot="1" x14ac:dyDescent="0.4">
      <c r="A9" s="7">
        <v>20</v>
      </c>
      <c r="B9" s="8">
        <v>1.57</v>
      </c>
      <c r="C9" s="8">
        <v>3.4</v>
      </c>
      <c r="D9" s="8">
        <v>7.1</v>
      </c>
      <c r="E9" s="8">
        <v>14</v>
      </c>
      <c r="F9" s="8">
        <v>26.7</v>
      </c>
      <c r="G9" s="8">
        <v>49</v>
      </c>
      <c r="H9" s="8">
        <v>86</v>
      </c>
      <c r="I9" s="8">
        <v>148</v>
      </c>
      <c r="J9" s="8">
        <v>246</v>
      </c>
    </row>
    <row r="10" spans="1:12" ht="18.600000000000001" thickBot="1" x14ac:dyDescent="0.4">
      <c r="A10" s="7">
        <v>25</v>
      </c>
      <c r="B10" s="8">
        <v>1.53</v>
      </c>
      <c r="C10" s="8">
        <v>3.3</v>
      </c>
      <c r="D10" s="8">
        <v>6.9</v>
      </c>
      <c r="E10" s="8">
        <v>13.6</v>
      </c>
      <c r="F10" s="8">
        <v>25.9</v>
      </c>
      <c r="G10" s="8">
        <v>47</v>
      </c>
      <c r="H10" s="8">
        <v>84</v>
      </c>
      <c r="I10" s="8">
        <v>144</v>
      </c>
      <c r="J10" s="8">
        <v>239</v>
      </c>
    </row>
    <row r="11" spans="1:12" ht="18.600000000000001" thickBot="1" x14ac:dyDescent="0.4">
      <c r="A11" s="7">
        <v>30</v>
      </c>
      <c r="B11" s="8">
        <v>1.44</v>
      </c>
      <c r="C11" s="8">
        <v>3.1</v>
      </c>
      <c r="D11" s="8">
        <v>6.5</v>
      </c>
      <c r="E11" s="8">
        <v>12.8</v>
      </c>
      <c r="F11" s="8">
        <v>24.4</v>
      </c>
      <c r="G11" s="8">
        <v>45</v>
      </c>
      <c r="H11" s="8">
        <v>79</v>
      </c>
      <c r="I11" s="8">
        <v>135</v>
      </c>
      <c r="J11" s="8">
        <v>225</v>
      </c>
    </row>
    <row r="12" spans="1:12" ht="18.600000000000001" thickBot="1" x14ac:dyDescent="0.4">
      <c r="A12" s="7">
        <v>35</v>
      </c>
      <c r="B12" s="8">
        <v>1.32</v>
      </c>
      <c r="C12" s="8">
        <v>2.9</v>
      </c>
      <c r="D12" s="8">
        <v>5.9</v>
      </c>
      <c r="E12" s="8">
        <v>11.8</v>
      </c>
      <c r="F12" s="8">
        <v>22.3</v>
      </c>
      <c r="G12" s="8">
        <v>41</v>
      </c>
      <c r="H12" s="8">
        <v>72</v>
      </c>
      <c r="I12" s="8">
        <v>124</v>
      </c>
      <c r="J12" s="8">
        <v>206</v>
      </c>
    </row>
    <row r="13" spans="1:12" ht="18.600000000000001" thickBot="1" x14ac:dyDescent="0.4">
      <c r="A13" s="7">
        <v>40</v>
      </c>
      <c r="B13" s="8">
        <v>1.17</v>
      </c>
      <c r="C13" s="8">
        <v>2.5</v>
      </c>
      <c r="D13" s="8">
        <v>5.2</v>
      </c>
      <c r="E13" s="8">
        <v>10.5</v>
      </c>
      <c r="F13" s="8">
        <v>19.899999999999999</v>
      </c>
      <c r="G13" s="8">
        <v>36</v>
      </c>
      <c r="H13" s="8">
        <v>64</v>
      </c>
      <c r="I13" s="8">
        <v>110</v>
      </c>
      <c r="J13" s="8">
        <v>184</v>
      </c>
    </row>
    <row r="14" spans="1:12" ht="18.600000000000001" thickBot="1" x14ac:dyDescent="0.4">
      <c r="A14" s="7">
        <v>45</v>
      </c>
      <c r="B14" s="8">
        <v>1.01</v>
      </c>
      <c r="C14" s="8">
        <v>2.2000000000000002</v>
      </c>
      <c r="D14" s="8">
        <v>4.5999999999999996</v>
      </c>
      <c r="E14" s="8">
        <v>9</v>
      </c>
      <c r="F14" s="8">
        <v>17.100000000000001</v>
      </c>
      <c r="G14" s="8">
        <v>31</v>
      </c>
      <c r="H14" s="8">
        <v>55</v>
      </c>
      <c r="I14" s="8">
        <v>95</v>
      </c>
      <c r="J14" s="8">
        <v>158</v>
      </c>
    </row>
    <row r="15" spans="1:12" ht="18.600000000000001" thickBot="1" x14ac:dyDescent="0.4">
      <c r="A15" s="7">
        <v>50</v>
      </c>
      <c r="B15" s="8">
        <v>0.84</v>
      </c>
      <c r="C15" s="8">
        <v>1.8</v>
      </c>
      <c r="D15" s="8">
        <v>3.8</v>
      </c>
      <c r="E15" s="8">
        <v>7.5</v>
      </c>
      <c r="F15" s="8">
        <v>14.2</v>
      </c>
      <c r="G15" s="8">
        <v>26</v>
      </c>
      <c r="H15" s="8">
        <v>46</v>
      </c>
      <c r="I15" s="8">
        <v>79</v>
      </c>
      <c r="J15" s="8">
        <v>131</v>
      </c>
    </row>
    <row r="16" spans="1:12" ht="18.600000000000001" thickBot="1" x14ac:dyDescent="0.4">
      <c r="A16" s="7">
        <v>55</v>
      </c>
      <c r="B16" s="8">
        <v>0.55000000000000004</v>
      </c>
      <c r="C16" s="8">
        <v>1.4</v>
      </c>
      <c r="D16" s="8">
        <v>3</v>
      </c>
      <c r="E16" s="8">
        <v>5.9</v>
      </c>
      <c r="F16" s="8">
        <v>11.2</v>
      </c>
      <c r="G16" s="8">
        <v>21</v>
      </c>
      <c r="H16" s="8">
        <v>36</v>
      </c>
      <c r="I16" s="8">
        <v>62</v>
      </c>
      <c r="J16" s="8">
        <v>104</v>
      </c>
    </row>
    <row r="17" spans="1:58" ht="18.600000000000001" thickBot="1" x14ac:dyDescent="0.4">
      <c r="A17" s="7">
        <v>60</v>
      </c>
      <c r="B17" s="8">
        <v>0.5</v>
      </c>
      <c r="C17" s="8">
        <v>1.1000000000000001</v>
      </c>
      <c r="D17" s="8">
        <v>2.2000000000000002</v>
      </c>
      <c r="E17" s="8">
        <v>4.4000000000000004</v>
      </c>
      <c r="F17" s="8">
        <v>8.4</v>
      </c>
      <c r="G17" s="8">
        <v>15</v>
      </c>
      <c r="H17" s="8">
        <v>27</v>
      </c>
      <c r="I17" s="8">
        <v>47</v>
      </c>
      <c r="J17" s="8">
        <v>78</v>
      </c>
    </row>
    <row r="19" spans="1:58" x14ac:dyDescent="0.35">
      <c r="A19" s="1" t="s">
        <v>9</v>
      </c>
      <c r="V19" s="1" t="s">
        <v>10</v>
      </c>
      <c r="AO19" s="1" t="s">
        <v>10</v>
      </c>
    </row>
    <row r="21" spans="1:58" x14ac:dyDescent="0.35">
      <c r="A21" s="1" t="s">
        <v>3</v>
      </c>
      <c r="B21" s="1" t="s">
        <v>4</v>
      </c>
      <c r="C21" s="1" t="s">
        <v>32</v>
      </c>
      <c r="D21" s="1" t="s">
        <v>33</v>
      </c>
      <c r="E21" s="1" t="s">
        <v>34</v>
      </c>
      <c r="F21" s="1" t="s">
        <v>35</v>
      </c>
      <c r="G21" s="1" t="s">
        <v>36</v>
      </c>
      <c r="H21" s="1" t="s">
        <v>37</v>
      </c>
      <c r="I21" s="1" t="s">
        <v>38</v>
      </c>
      <c r="J21" s="1" t="s">
        <v>39</v>
      </c>
      <c r="K21" s="1" t="s">
        <v>40</v>
      </c>
      <c r="L21" s="1" t="s">
        <v>41</v>
      </c>
      <c r="M21" s="1" t="s">
        <v>5</v>
      </c>
      <c r="N21" s="9" t="s">
        <v>6</v>
      </c>
      <c r="O21" s="1" t="s">
        <v>7</v>
      </c>
      <c r="P21" s="1" t="s">
        <v>8</v>
      </c>
      <c r="Q21" s="1" t="s">
        <v>42</v>
      </c>
      <c r="R21" s="1" t="s">
        <v>43</v>
      </c>
      <c r="V21" s="1" t="s">
        <v>3</v>
      </c>
      <c r="W21" s="1" t="s">
        <v>4</v>
      </c>
      <c r="X21" s="1" t="s">
        <v>32</v>
      </c>
      <c r="Y21" s="1" t="s">
        <v>33</v>
      </c>
      <c r="Z21" s="1" t="s">
        <v>34</v>
      </c>
      <c r="AA21" s="1" t="s">
        <v>35</v>
      </c>
      <c r="AB21" s="1" t="s">
        <v>36</v>
      </c>
      <c r="AC21" s="1" t="s">
        <v>37</v>
      </c>
      <c r="AD21" s="1" t="s">
        <v>38</v>
      </c>
      <c r="AE21" s="1" t="s">
        <v>39</v>
      </c>
      <c r="AF21" s="1" t="s">
        <v>40</v>
      </c>
      <c r="AG21" s="1" t="s">
        <v>41</v>
      </c>
      <c r="AH21" s="1" t="s">
        <v>5</v>
      </c>
      <c r="AI21" s="9" t="s">
        <v>6</v>
      </c>
      <c r="AJ21" s="1" t="s">
        <v>7</v>
      </c>
      <c r="AK21" s="1" t="s">
        <v>8</v>
      </c>
      <c r="AL21" s="1" t="s">
        <v>42</v>
      </c>
      <c r="AM21" s="1" t="s">
        <v>43</v>
      </c>
      <c r="AO21" s="1" t="s">
        <v>3</v>
      </c>
      <c r="AP21" s="1" t="s">
        <v>4</v>
      </c>
      <c r="AQ21" s="1" t="s">
        <v>32</v>
      </c>
      <c r="AR21" s="1" t="s">
        <v>33</v>
      </c>
      <c r="AS21" s="1" t="s">
        <v>34</v>
      </c>
      <c r="AT21" s="1" t="s">
        <v>35</v>
      </c>
      <c r="AU21" s="1" t="s">
        <v>36</v>
      </c>
      <c r="AV21" s="1" t="s">
        <v>37</v>
      </c>
      <c r="AW21" s="1" t="s">
        <v>38</v>
      </c>
      <c r="AX21" s="1" t="s">
        <v>39</v>
      </c>
      <c r="AY21" s="1" t="s">
        <v>40</v>
      </c>
      <c r="AZ21" s="1" t="s">
        <v>41</v>
      </c>
      <c r="BA21" s="1" t="s">
        <v>5</v>
      </c>
      <c r="BB21" s="9" t="s">
        <v>6</v>
      </c>
      <c r="BC21" s="1" t="s">
        <v>7</v>
      </c>
      <c r="BD21" s="1" t="s">
        <v>8</v>
      </c>
      <c r="BE21" s="1" t="s">
        <v>42</v>
      </c>
      <c r="BF21" s="1" t="s">
        <v>43</v>
      </c>
    </row>
    <row r="22" spans="1:58" x14ac:dyDescent="0.35">
      <c r="A22" s="1">
        <f>293.15</f>
        <v>293.14999999999998</v>
      </c>
      <c r="B22" s="10">
        <v>1.49</v>
      </c>
      <c r="C22" s="10">
        <f ca="1">_xlfn.NORM.INV(RAND(),$B22,0.1*$B22)</f>
        <v>1.7378229137802648</v>
      </c>
      <c r="D22" s="10">
        <f t="shared" ref="D22:L30" ca="1" si="0">_xlfn.NORM.INV(RAND(),$B22,0.1*$B22)</f>
        <v>1.4195578589640241</v>
      </c>
      <c r="E22" s="10">
        <f t="shared" ca="1" si="0"/>
        <v>1.2809896531549207</v>
      </c>
      <c r="F22" s="10">
        <f t="shared" ca="1" si="0"/>
        <v>1.5770676071450473</v>
      </c>
      <c r="G22" s="10">
        <f t="shared" ca="1" si="0"/>
        <v>1.6956348715374907</v>
      </c>
      <c r="H22" s="10">
        <f t="shared" ca="1" si="0"/>
        <v>1.3818212180737377</v>
      </c>
      <c r="I22" s="10">
        <f t="shared" ca="1" si="0"/>
        <v>1.3215642083151915</v>
      </c>
      <c r="J22" s="10">
        <f t="shared" ca="1" si="0"/>
        <v>1.2109722079466652</v>
      </c>
      <c r="K22" s="10">
        <f t="shared" ca="1" si="0"/>
        <v>1.4297141470573753</v>
      </c>
      <c r="L22" s="10">
        <f t="shared" ca="1" si="0"/>
        <v>1.4426004437191935</v>
      </c>
      <c r="M22" s="19">
        <f ca="1">AVERAGE(C22:L22)</f>
        <v>1.4497745129693911</v>
      </c>
      <c r="N22" s="10">
        <f ca="1">_xlfn.STDEV.P(C22:M22)</f>
        <v>0.15596038627939973</v>
      </c>
      <c r="O22" s="1">
        <f>1/A22</f>
        <v>3.4112229234180458E-3</v>
      </c>
      <c r="P22" s="1">
        <f ca="1">LN(M22)</f>
        <v>0.37140803604284245</v>
      </c>
      <c r="Q22" s="19">
        <f ca="1">Q$41*EXP(-Q$37*O22/Q$35)</f>
        <v>1.4331882347974554</v>
      </c>
      <c r="R22" s="19">
        <f t="shared" ref="R22:R28" ca="1" si="1">$M$23*EXP($C$66/$F$61*($O$23-O22))</f>
        <v>1.4698045664694495</v>
      </c>
      <c r="V22" s="1">
        <f>293.15</f>
        <v>293.14999999999998</v>
      </c>
      <c r="W22" s="10">
        <v>1.49</v>
      </c>
      <c r="X22" s="10">
        <f t="shared" ref="X22:AG30" ca="1" si="2">_xlfn.NORM.INV(RAND(),$W22,0.2*$W22)</f>
        <v>1.5914930023204374</v>
      </c>
      <c r="Y22" s="10">
        <f t="shared" ca="1" si="2"/>
        <v>1.5118489089642821</v>
      </c>
      <c r="Z22" s="10">
        <f t="shared" ca="1" si="2"/>
        <v>1.2550926829658919</v>
      </c>
      <c r="AA22" s="10">
        <f t="shared" ca="1" si="2"/>
        <v>2.0021218940912955</v>
      </c>
      <c r="AB22" s="10">
        <f t="shared" ca="1" si="2"/>
        <v>1.5057175426093521</v>
      </c>
      <c r="AC22" s="10">
        <f t="shared" ca="1" si="2"/>
        <v>1.2993847873052504</v>
      </c>
      <c r="AD22" s="10">
        <f t="shared" ca="1" si="2"/>
        <v>1.3597829118335789</v>
      </c>
      <c r="AE22" s="10">
        <f t="shared" ca="1" si="2"/>
        <v>1.7531647646582815</v>
      </c>
      <c r="AF22" s="10">
        <f t="shared" ca="1" si="2"/>
        <v>1.5890160246208214</v>
      </c>
      <c r="AG22" s="10">
        <f t="shared" ca="1" si="2"/>
        <v>1.4727231399596408</v>
      </c>
      <c r="AH22" s="19">
        <f ca="1">AVERAGE(X22:AG22)</f>
        <v>1.5340345659328831</v>
      </c>
      <c r="AI22" s="10">
        <f ca="1">_xlfn.STDEV.P(X22:AG22)</f>
        <v>0.21017471381374356</v>
      </c>
      <c r="AJ22" s="17">
        <f>1/V22</f>
        <v>3.4112229234180458E-3</v>
      </c>
      <c r="AK22" s="17">
        <f ca="1">LN(AH22)</f>
        <v>0.42790123589385737</v>
      </c>
      <c r="AL22" s="19">
        <f t="shared" ref="AL22:AL30" ca="1" si="3">AL$41*EXP(-AL$37*AJ22/AL$35)</f>
        <v>1.1650744346466357</v>
      </c>
      <c r="AM22" s="19">
        <f t="shared" ref="AM22:AM28" ca="1" si="4">$M$23*EXP($C$66/$F$61*($O$23-AJ22))</f>
        <v>1.4698045664694495</v>
      </c>
      <c r="AO22" s="1">
        <f>293.15</f>
        <v>293.14999999999998</v>
      </c>
      <c r="AP22" s="12">
        <v>1.49</v>
      </c>
      <c r="AQ22" s="10">
        <f t="shared" ref="AQ22:AZ30" ca="1" si="5">_xlfn.NORM.INV(RAND(),$W22,0.2*$W22)</f>
        <v>1.4311152566290437</v>
      </c>
      <c r="AR22" s="10">
        <f t="shared" ca="1" si="5"/>
        <v>1.7024721344159732</v>
      </c>
      <c r="AS22" s="10">
        <f t="shared" ca="1" si="5"/>
        <v>1.032353379620965</v>
      </c>
      <c r="AT22" s="10">
        <f t="shared" ca="1" si="5"/>
        <v>0.98038407925606386</v>
      </c>
      <c r="AU22" s="10">
        <f t="shared" ca="1" si="5"/>
        <v>1.379572187058246</v>
      </c>
      <c r="AV22" s="10">
        <f t="shared" ca="1" si="5"/>
        <v>1.48943292136909</v>
      </c>
      <c r="AW22" s="10">
        <f t="shared" ca="1" si="5"/>
        <v>1.5802066263826504</v>
      </c>
      <c r="AX22" s="10">
        <f t="shared" ca="1" si="5"/>
        <v>1.3300993034580706</v>
      </c>
      <c r="AY22" s="10">
        <f t="shared" ca="1" si="5"/>
        <v>1.4788771549322168</v>
      </c>
      <c r="AZ22" s="10">
        <f t="shared" ca="1" si="5"/>
        <v>1.5621328381942474</v>
      </c>
      <c r="BA22" s="19">
        <f ca="1">AVERAGE(AQ22:AZ22)</f>
        <v>1.3966645881316566</v>
      </c>
      <c r="BB22" s="11">
        <f ca="1">_xlfn.STDEV.P(AQ22:AZ22)</f>
        <v>0.21951596782795194</v>
      </c>
      <c r="BC22" s="18">
        <f>1/AO22</f>
        <v>3.4112229234180458E-3</v>
      </c>
      <c r="BD22" s="18">
        <f ca="1">LN(BA22)</f>
        <v>0.33408695705360492</v>
      </c>
      <c r="BE22" s="19">
        <f t="shared" ref="BE22:BE30" ca="1" si="6">BE$41*EXP(-BE$37*BC22/BE$35)</f>
        <v>1.4244061933058418</v>
      </c>
      <c r="BF22" s="19">
        <f t="shared" ref="BF22:BF28" ca="1" si="7">$M$23*EXP($C$66/$F$61*($O$23-BC22))</f>
        <v>1.4698045664694495</v>
      </c>
    </row>
    <row r="23" spans="1:58" x14ac:dyDescent="0.35">
      <c r="A23" s="1">
        <f>A22+10</f>
        <v>303.14999999999998</v>
      </c>
      <c r="B23" s="10">
        <v>3.2</v>
      </c>
      <c r="C23" s="10">
        <f t="shared" ref="C23:C30" ca="1" si="8">_xlfn.NORM.INV(RAND(),$B23,0.1*$B23)</f>
        <v>3.0904887483594368</v>
      </c>
      <c r="D23" s="10">
        <f t="shared" ca="1" si="0"/>
        <v>3.3161791569896164</v>
      </c>
      <c r="E23" s="10">
        <f t="shared" ca="1" si="0"/>
        <v>3.1424783791021738</v>
      </c>
      <c r="F23" s="10">
        <f t="shared" ca="1" si="0"/>
        <v>3.2950285885110193</v>
      </c>
      <c r="G23" s="10">
        <f t="shared" ca="1" si="0"/>
        <v>3.3673764136445694</v>
      </c>
      <c r="H23" s="10">
        <f t="shared" ca="1" si="0"/>
        <v>3.1302125956697817</v>
      </c>
      <c r="I23" s="10">
        <f t="shared" ca="1" si="0"/>
        <v>3.5264509753920938</v>
      </c>
      <c r="J23" s="10">
        <f t="shared" ca="1" si="0"/>
        <v>3.1152154824291181</v>
      </c>
      <c r="K23" s="10">
        <f t="shared" ca="1" si="0"/>
        <v>3.3380517241469225</v>
      </c>
      <c r="L23" s="10">
        <f t="shared" ca="1" si="0"/>
        <v>2.9004110356861688</v>
      </c>
      <c r="M23" s="19">
        <f t="shared" ref="M23:M30" ca="1" si="9">AVERAGE(C23:L23)</f>
        <v>3.2221893099930901</v>
      </c>
      <c r="N23" s="10">
        <f t="shared" ref="N23:N30" ca="1" si="10">_xlfn.STDEV.P(C23:M23)</f>
        <v>0.16190947273105541</v>
      </c>
      <c r="O23" s="1">
        <f t="shared" ref="O23:O30" si="11">1/A23</f>
        <v>3.298697014679202E-3</v>
      </c>
      <c r="P23" s="1">
        <f t="shared" ref="P23:P30" ca="1" si="12">LN(M23)</f>
        <v>1.1700610384580146</v>
      </c>
      <c r="Q23" s="19">
        <f t="shared" ref="Q23:Q30" ca="1" si="13">Q$41*EXP(-Q$37*O23/Q$35)</f>
        <v>3.1337201705893833</v>
      </c>
      <c r="R23" s="19">
        <f t="shared" ca="1" si="1"/>
        <v>3.2221893099930901</v>
      </c>
      <c r="V23" s="1">
        <f>V22+10</f>
        <v>303.14999999999998</v>
      </c>
      <c r="W23" s="10">
        <v>3.2</v>
      </c>
      <c r="X23" s="10">
        <f t="shared" ca="1" si="2"/>
        <v>2.8259043934371486</v>
      </c>
      <c r="Y23" s="10">
        <f t="shared" ca="1" si="2"/>
        <v>3.1640046968607454</v>
      </c>
      <c r="Z23" s="10">
        <f t="shared" ca="1" si="2"/>
        <v>2.1622120531342928</v>
      </c>
      <c r="AA23" s="10">
        <f t="shared" ca="1" si="2"/>
        <v>2.0206075658015585</v>
      </c>
      <c r="AB23" s="10">
        <f t="shared" ca="1" si="2"/>
        <v>4.2367475420791392</v>
      </c>
      <c r="AC23" s="10">
        <f t="shared" ca="1" si="2"/>
        <v>3.3026669697300126</v>
      </c>
      <c r="AD23" s="10">
        <f t="shared" ca="1" si="2"/>
        <v>3.1768541681103213</v>
      </c>
      <c r="AE23" s="10">
        <f t="shared" ca="1" si="2"/>
        <v>2.2107645673877698</v>
      </c>
      <c r="AF23" s="10">
        <f t="shared" ca="1" si="2"/>
        <v>2.4387352085457987</v>
      </c>
      <c r="AG23" s="10">
        <f t="shared" ca="1" si="2"/>
        <v>4.0393701713962429</v>
      </c>
      <c r="AH23" s="19">
        <f t="shared" ref="AH23:AH30" ca="1" si="14">AVERAGE(X23:AG23)</f>
        <v>2.957786733648303</v>
      </c>
      <c r="AI23" s="10">
        <f t="shared" ref="AI23:AI30" ca="1" si="15">_xlfn.STDEV.P(X23:AG23)</f>
        <v>0.73287895780422196</v>
      </c>
      <c r="AJ23" s="17">
        <f t="shared" ref="AJ23:AJ30" si="16">1/V23</f>
        <v>3.298697014679202E-3</v>
      </c>
      <c r="AK23" s="17">
        <f t="shared" ref="AK23:AK30" ca="1" si="17">LN(AH23)</f>
        <v>1.0844412635312983</v>
      </c>
      <c r="AL23" s="19">
        <f t="shared" ca="1" si="3"/>
        <v>2.5651733607175777</v>
      </c>
      <c r="AM23" s="19">
        <f t="shared" ca="1" si="4"/>
        <v>3.2221893099930901</v>
      </c>
      <c r="AO23" s="1">
        <f>AO22+10</f>
        <v>303.14999999999998</v>
      </c>
      <c r="AP23" s="12">
        <v>3.2</v>
      </c>
      <c r="AQ23" s="10">
        <f t="shared" ca="1" si="5"/>
        <v>2.7736829071577436</v>
      </c>
      <c r="AR23" s="10">
        <f t="shared" ca="1" si="5"/>
        <v>3.1327027521559994</v>
      </c>
      <c r="AS23" s="10">
        <f t="shared" ca="1" si="5"/>
        <v>3.6752387561909288</v>
      </c>
      <c r="AT23" s="10">
        <f t="shared" ca="1" si="5"/>
        <v>3.5199326655883336</v>
      </c>
      <c r="AU23" s="10">
        <f t="shared" ca="1" si="5"/>
        <v>2.7860017747330086</v>
      </c>
      <c r="AV23" s="10">
        <f t="shared" ca="1" si="5"/>
        <v>2.7659910201061897</v>
      </c>
      <c r="AW23" s="10">
        <f t="shared" ca="1" si="5"/>
        <v>3.2704555473391728</v>
      </c>
      <c r="AX23" s="10">
        <f t="shared" ca="1" si="5"/>
        <v>3.1054594711823902</v>
      </c>
      <c r="AY23" s="10">
        <f t="shared" ca="1" si="5"/>
        <v>2.8753277627080682</v>
      </c>
      <c r="AZ23" s="10">
        <f t="shared" ca="1" si="5"/>
        <v>3.3831989132406388</v>
      </c>
      <c r="BA23" s="19">
        <f t="shared" ref="BA23:BA30" ca="1" si="18">AVERAGE(AQ23:AZ23)</f>
        <v>3.1287991570402469</v>
      </c>
      <c r="BB23" s="11">
        <f t="shared" ref="BB23:BB30" ca="1" si="19">_xlfn.STDEV.P(AQ23:AZ23)</f>
        <v>0.31247759809381115</v>
      </c>
      <c r="BC23" s="18">
        <f t="shared" ref="BC23:BC30" si="20">1/AO23</f>
        <v>3.298697014679202E-3</v>
      </c>
      <c r="BD23" s="18">
        <f t="shared" ref="BD23:BD30" ca="1" si="21">LN(BA23)</f>
        <v>1.1406492750396242</v>
      </c>
      <c r="BE23" s="19">
        <f t="shared" ca="1" si="6"/>
        <v>3.1303442906617933</v>
      </c>
      <c r="BF23" s="19">
        <f t="shared" ca="1" si="7"/>
        <v>3.2221893099930901</v>
      </c>
    </row>
    <row r="24" spans="1:58" x14ac:dyDescent="0.35">
      <c r="A24" s="1">
        <f t="shared" ref="A24:A30" si="22">A23+10</f>
        <v>313.14999999999998</v>
      </c>
      <c r="B24" s="10">
        <v>6.7</v>
      </c>
      <c r="C24" s="10">
        <f t="shared" ca="1" si="8"/>
        <v>6.324562242430682</v>
      </c>
      <c r="D24" s="10">
        <f t="shared" ca="1" si="0"/>
        <v>6.5518503311364187</v>
      </c>
      <c r="E24" s="10">
        <f t="shared" ca="1" si="0"/>
        <v>7.1912819286686611</v>
      </c>
      <c r="F24" s="10">
        <f t="shared" ca="1" si="0"/>
        <v>6.2886602678165744</v>
      </c>
      <c r="G24" s="10">
        <f t="shared" ca="1" si="0"/>
        <v>7.962904891381041</v>
      </c>
      <c r="H24" s="10">
        <f t="shared" ca="1" si="0"/>
        <v>6.994348960506489</v>
      </c>
      <c r="I24" s="10">
        <f t="shared" ca="1" si="0"/>
        <v>7.9338532940902002</v>
      </c>
      <c r="J24" s="10">
        <f t="shared" ca="1" si="0"/>
        <v>6.6566594615726107</v>
      </c>
      <c r="K24" s="10">
        <f t="shared" ca="1" si="0"/>
        <v>5.9550424668071003</v>
      </c>
      <c r="L24" s="10">
        <f t="shared" ca="1" si="0"/>
        <v>6.2300213425674436</v>
      </c>
      <c r="M24" s="19">
        <f t="shared" ca="1" si="9"/>
        <v>6.8089185186977215</v>
      </c>
      <c r="N24" s="10">
        <f t="shared" ca="1" si="10"/>
        <v>0.63507421178988066</v>
      </c>
      <c r="O24" s="1">
        <f t="shared" si="11"/>
        <v>3.1933578157432542E-3</v>
      </c>
      <c r="P24" s="1">
        <f t="shared" ca="1" si="12"/>
        <v>1.9182332997230629</v>
      </c>
      <c r="Q24" s="19">
        <f t="shared" ca="1" si="13"/>
        <v>6.5180528813761969</v>
      </c>
      <c r="R24" s="19">
        <f t="shared" ca="1" si="1"/>
        <v>6.7184756036181161</v>
      </c>
      <c r="V24" s="1">
        <f t="shared" ref="V24:V30" si="23">V23+10</f>
        <v>313.14999999999998</v>
      </c>
      <c r="W24" s="10">
        <v>6.7</v>
      </c>
      <c r="X24" s="10">
        <f t="shared" ca="1" si="2"/>
        <v>7.3967289998808905</v>
      </c>
      <c r="Y24" s="10">
        <f t="shared" ca="1" si="2"/>
        <v>8.0651182368152803</v>
      </c>
      <c r="Z24" s="10">
        <f t="shared" ca="1" si="2"/>
        <v>5.2231146469599263</v>
      </c>
      <c r="AA24" s="10">
        <f t="shared" ca="1" si="2"/>
        <v>8.1229658156568565</v>
      </c>
      <c r="AB24" s="10">
        <f t="shared" ca="1" si="2"/>
        <v>7.2251168243246937</v>
      </c>
      <c r="AC24" s="10">
        <f t="shared" ca="1" si="2"/>
        <v>4.8547310004738353</v>
      </c>
      <c r="AD24" s="10">
        <f t="shared" ca="1" si="2"/>
        <v>8.4817851174508156</v>
      </c>
      <c r="AE24" s="10">
        <f t="shared" ca="1" si="2"/>
        <v>5.7918742403248356</v>
      </c>
      <c r="AF24" s="10">
        <f t="shared" ca="1" si="2"/>
        <v>7.9872162514269984</v>
      </c>
      <c r="AG24" s="10">
        <f t="shared" ca="1" si="2"/>
        <v>6.2240997320720268</v>
      </c>
      <c r="AH24" s="19">
        <f t="shared" ca="1" si="14"/>
        <v>6.9372750865386168</v>
      </c>
      <c r="AI24" s="10">
        <f t="shared" ca="1" si="15"/>
        <v>1.247222081038557</v>
      </c>
      <c r="AJ24" s="17">
        <f t="shared" si="16"/>
        <v>3.1933578157432542E-3</v>
      </c>
      <c r="AK24" s="17">
        <f t="shared" ca="1" si="17"/>
        <v>1.9369090585886171</v>
      </c>
      <c r="AL24" s="19">
        <f t="shared" ca="1" si="3"/>
        <v>5.370175371059478</v>
      </c>
      <c r="AM24" s="19">
        <f t="shared" ca="1" si="4"/>
        <v>6.7184756036181161</v>
      </c>
      <c r="AO24" s="1">
        <f t="shared" ref="AO24:AO30" si="24">AO23+10</f>
        <v>313.14999999999998</v>
      </c>
      <c r="AP24" s="12">
        <v>6.7</v>
      </c>
      <c r="AQ24" s="10">
        <f t="shared" ca="1" si="5"/>
        <v>6.2926289696868949</v>
      </c>
      <c r="AR24" s="10">
        <f t="shared" ca="1" si="5"/>
        <v>8.0587919623641096</v>
      </c>
      <c r="AS24" s="10">
        <f t="shared" ca="1" si="5"/>
        <v>6.1134173885108121</v>
      </c>
      <c r="AT24" s="10">
        <f t="shared" ca="1" si="5"/>
        <v>7.4854011816589017</v>
      </c>
      <c r="AU24" s="10">
        <f t="shared" ca="1" si="5"/>
        <v>6.2217575316506322</v>
      </c>
      <c r="AV24" s="10">
        <f t="shared" ca="1" si="5"/>
        <v>7.7190799892072519</v>
      </c>
      <c r="AW24" s="10">
        <f t="shared" ca="1" si="5"/>
        <v>7.3357654691067768</v>
      </c>
      <c r="AX24" s="10">
        <f t="shared" ca="1" si="5"/>
        <v>7.3633153357189762</v>
      </c>
      <c r="AY24" s="10">
        <f t="shared" ca="1" si="5"/>
        <v>6.3219988004575063</v>
      </c>
      <c r="AZ24" s="10">
        <f t="shared" ca="1" si="5"/>
        <v>7.6982426917056168</v>
      </c>
      <c r="BA24" s="19">
        <f t="shared" ca="1" si="18"/>
        <v>7.0610399320067474</v>
      </c>
      <c r="BB24" s="11">
        <f t="shared" ca="1" si="19"/>
        <v>0.701462816704157</v>
      </c>
      <c r="BC24" s="18">
        <f t="shared" si="20"/>
        <v>3.1933578157432542E-3</v>
      </c>
      <c r="BD24" s="18">
        <f t="shared" ca="1" si="21"/>
        <v>1.9545923398087932</v>
      </c>
      <c r="BE24" s="19">
        <f t="shared" ca="1" si="6"/>
        <v>6.5419987610388208</v>
      </c>
      <c r="BF24" s="19">
        <f t="shared" ca="1" si="7"/>
        <v>6.7184756036181161</v>
      </c>
    </row>
    <row r="25" spans="1:58" x14ac:dyDescent="0.35">
      <c r="A25" s="1">
        <f t="shared" si="22"/>
        <v>323.14999999999998</v>
      </c>
      <c r="B25" s="10">
        <v>13.3</v>
      </c>
      <c r="C25" s="10">
        <f t="shared" ca="1" si="8"/>
        <v>17.351474071620732</v>
      </c>
      <c r="D25" s="10">
        <f t="shared" ca="1" si="0"/>
        <v>15.095044720751623</v>
      </c>
      <c r="E25" s="10">
        <f t="shared" ca="1" si="0"/>
        <v>11.270149745072544</v>
      </c>
      <c r="F25" s="10">
        <f t="shared" ca="1" si="0"/>
        <v>11.415186381451843</v>
      </c>
      <c r="G25" s="10">
        <f t="shared" ca="1" si="0"/>
        <v>14.276790421082369</v>
      </c>
      <c r="H25" s="10">
        <f t="shared" ca="1" si="0"/>
        <v>14.296605501870252</v>
      </c>
      <c r="I25" s="10">
        <f t="shared" ca="1" si="0"/>
        <v>12.466223828231913</v>
      </c>
      <c r="J25" s="10">
        <f t="shared" ca="1" si="0"/>
        <v>13.044894543934573</v>
      </c>
      <c r="K25" s="10">
        <f t="shared" ca="1" si="0"/>
        <v>13.943267609430661</v>
      </c>
      <c r="L25" s="10">
        <f t="shared" ca="1" si="0"/>
        <v>14.226930906158584</v>
      </c>
      <c r="M25" s="19">
        <f t="shared" ca="1" si="9"/>
        <v>13.73865677296051</v>
      </c>
      <c r="N25" s="10">
        <f t="shared" ca="1" si="10"/>
        <v>1.6338977982252592</v>
      </c>
      <c r="O25" s="1">
        <f t="shared" si="11"/>
        <v>3.0945381401825778E-3</v>
      </c>
      <c r="P25" s="1">
        <f t="shared" ca="1" si="12"/>
        <v>2.620213521677687</v>
      </c>
      <c r="Q25" s="19">
        <f t="shared" ca="1" si="13"/>
        <v>12.956589954844501</v>
      </c>
      <c r="R25" s="19">
        <f t="shared" ca="1" si="1"/>
        <v>13.385662641668617</v>
      </c>
      <c r="V25" s="1">
        <f t="shared" si="23"/>
        <v>323.14999999999998</v>
      </c>
      <c r="W25" s="10">
        <v>13.3</v>
      </c>
      <c r="X25" s="10">
        <f t="shared" ca="1" si="2"/>
        <v>15.129917398292093</v>
      </c>
      <c r="Y25" s="10">
        <f t="shared" ca="1" si="2"/>
        <v>13.939382240506987</v>
      </c>
      <c r="Z25" s="10">
        <f t="shared" ca="1" si="2"/>
        <v>17.87019209226813</v>
      </c>
      <c r="AA25" s="10">
        <f t="shared" ca="1" si="2"/>
        <v>13.823487320162158</v>
      </c>
      <c r="AB25" s="10">
        <f t="shared" ca="1" si="2"/>
        <v>13.114251362033201</v>
      </c>
      <c r="AC25" s="10">
        <f t="shared" ca="1" si="2"/>
        <v>10.909701728681105</v>
      </c>
      <c r="AD25" s="10">
        <f t="shared" ca="1" si="2"/>
        <v>6.9073843983533232</v>
      </c>
      <c r="AE25" s="10">
        <f t="shared" ca="1" si="2"/>
        <v>10.747795198421043</v>
      </c>
      <c r="AF25" s="10">
        <f t="shared" ca="1" si="2"/>
        <v>12.910845696030556</v>
      </c>
      <c r="AG25" s="10">
        <f t="shared" ca="1" si="2"/>
        <v>11.424107534070252</v>
      </c>
      <c r="AH25" s="19">
        <f t="shared" ca="1" si="14"/>
        <v>12.677706496881886</v>
      </c>
      <c r="AI25" s="10">
        <f t="shared" ca="1" si="15"/>
        <v>2.7900418564323446</v>
      </c>
      <c r="AJ25" s="17">
        <f t="shared" si="16"/>
        <v>3.0945381401825778E-3</v>
      </c>
      <c r="AK25" s="17">
        <f t="shared" ca="1" si="17"/>
        <v>2.5398450570088786</v>
      </c>
      <c r="AL25" s="19">
        <f t="shared" ca="1" si="3"/>
        <v>10.739924258690131</v>
      </c>
      <c r="AM25" s="19">
        <f t="shared" ca="1" si="4"/>
        <v>13.385662641668617</v>
      </c>
      <c r="AO25" s="1">
        <f t="shared" si="24"/>
        <v>323.14999999999998</v>
      </c>
      <c r="AP25" s="12">
        <v>13.3</v>
      </c>
      <c r="AQ25" s="10">
        <f t="shared" ca="1" si="5"/>
        <v>12.548934124512405</v>
      </c>
      <c r="AR25" s="10">
        <f t="shared" ca="1" si="5"/>
        <v>10.806998634591011</v>
      </c>
      <c r="AS25" s="10">
        <f t="shared" ca="1" si="5"/>
        <v>14.793913786538351</v>
      </c>
      <c r="AT25" s="10">
        <f t="shared" ca="1" si="5"/>
        <v>9.9937078259190546</v>
      </c>
      <c r="AU25" s="10">
        <f t="shared" ca="1" si="5"/>
        <v>12.995896738750858</v>
      </c>
      <c r="AV25" s="10">
        <f t="shared" ca="1" si="5"/>
        <v>13.45895787984125</v>
      </c>
      <c r="AW25" s="10">
        <f t="shared" ca="1" si="5"/>
        <v>17.24787296714344</v>
      </c>
      <c r="AX25" s="10">
        <f t="shared" ca="1" si="5"/>
        <v>17.071605702573763</v>
      </c>
      <c r="AY25" s="10">
        <f t="shared" ca="1" si="5"/>
        <v>12.961115086458484</v>
      </c>
      <c r="AZ25" s="10">
        <f t="shared" ca="1" si="5"/>
        <v>20.874687833029647</v>
      </c>
      <c r="BA25" s="19">
        <f t="shared" ca="1" si="18"/>
        <v>14.275369057935825</v>
      </c>
      <c r="BB25" s="11">
        <f t="shared" ca="1" si="19"/>
        <v>3.1280704883585</v>
      </c>
      <c r="BC25" s="18">
        <f t="shared" si="20"/>
        <v>3.0945381401825778E-3</v>
      </c>
      <c r="BD25" s="18">
        <f t="shared" ca="1" si="21"/>
        <v>2.6585356086534713</v>
      </c>
      <c r="BE25" s="19">
        <f t="shared" ca="1" si="6"/>
        <v>13.062203338122252</v>
      </c>
      <c r="BF25" s="19">
        <f t="shared" ca="1" si="7"/>
        <v>13.385662641668617</v>
      </c>
    </row>
    <row r="26" spans="1:58" x14ac:dyDescent="0.35">
      <c r="A26" s="1">
        <f t="shared" si="22"/>
        <v>333.15</v>
      </c>
      <c r="B26" s="10">
        <v>25.5</v>
      </c>
      <c r="C26" s="10">
        <f t="shared" ca="1" si="8"/>
        <v>26.086472684803031</v>
      </c>
      <c r="D26" s="10">
        <f t="shared" ca="1" si="0"/>
        <v>27.542482707458458</v>
      </c>
      <c r="E26" s="10">
        <f t="shared" ca="1" si="0"/>
        <v>22.338100183453754</v>
      </c>
      <c r="F26" s="10">
        <f t="shared" ca="1" si="0"/>
        <v>23.006568656871647</v>
      </c>
      <c r="G26" s="10">
        <f t="shared" ca="1" si="0"/>
        <v>25.310536671418497</v>
      </c>
      <c r="H26" s="10">
        <f t="shared" ca="1" si="0"/>
        <v>23.817268661176463</v>
      </c>
      <c r="I26" s="10">
        <f t="shared" ca="1" si="0"/>
        <v>26.475614295636007</v>
      </c>
      <c r="J26" s="10">
        <f t="shared" ca="1" si="0"/>
        <v>27.815887495992804</v>
      </c>
      <c r="K26" s="10">
        <f t="shared" ca="1" si="0"/>
        <v>25.369303592348256</v>
      </c>
      <c r="L26" s="10">
        <f t="shared" ca="1" si="0"/>
        <v>22.135181907458694</v>
      </c>
      <c r="M26" s="19">
        <f t="shared" ca="1" si="9"/>
        <v>24.989741685661762</v>
      </c>
      <c r="N26" s="10">
        <f t="shared" ca="1" si="10"/>
        <v>1.8744352426043989</v>
      </c>
      <c r="O26" s="1">
        <f t="shared" si="11"/>
        <v>3.0016509079993999E-3</v>
      </c>
      <c r="P26" s="1">
        <f t="shared" ca="1" si="12"/>
        <v>3.218465408085224</v>
      </c>
      <c r="Q26" s="19">
        <f t="shared" ca="1" si="13"/>
        <v>24.714471496311869</v>
      </c>
      <c r="R26" s="19">
        <f t="shared" ca="1" si="1"/>
        <v>25.588037213437868</v>
      </c>
      <c r="V26" s="1">
        <f t="shared" si="23"/>
        <v>333.15</v>
      </c>
      <c r="W26" s="10">
        <v>25.5</v>
      </c>
      <c r="X26" s="10">
        <f t="shared" ca="1" si="2"/>
        <v>15.563387257145273</v>
      </c>
      <c r="Y26" s="10">
        <f t="shared" ca="1" si="2"/>
        <v>31.211602761807452</v>
      </c>
      <c r="Z26" s="10">
        <f t="shared" ca="1" si="2"/>
        <v>29.730399674238711</v>
      </c>
      <c r="AA26" s="10">
        <f t="shared" ca="1" si="2"/>
        <v>20.188651925789053</v>
      </c>
      <c r="AB26" s="10">
        <f t="shared" ca="1" si="2"/>
        <v>28.123119338326102</v>
      </c>
      <c r="AC26" s="10">
        <f t="shared" ca="1" si="2"/>
        <v>31.570133172895083</v>
      </c>
      <c r="AD26" s="10">
        <f t="shared" ca="1" si="2"/>
        <v>18.613799746927103</v>
      </c>
      <c r="AE26" s="10">
        <f t="shared" ca="1" si="2"/>
        <v>27.253649340941497</v>
      </c>
      <c r="AF26" s="10">
        <f t="shared" ca="1" si="2"/>
        <v>25.54728918627708</v>
      </c>
      <c r="AG26" s="10">
        <f t="shared" ca="1" si="2"/>
        <v>23.864052930262439</v>
      </c>
      <c r="AH26" s="19">
        <f t="shared" ca="1" si="14"/>
        <v>25.16660853346098</v>
      </c>
      <c r="AI26" s="10">
        <f t="shared" ca="1" si="15"/>
        <v>5.2273774571774583</v>
      </c>
      <c r="AJ26" s="17">
        <f t="shared" si="16"/>
        <v>3.0016509079993999E-3</v>
      </c>
      <c r="AK26" s="17">
        <f t="shared" ca="1" si="17"/>
        <v>3.2255180576554987</v>
      </c>
      <c r="AL26" s="19">
        <f t="shared" ca="1" si="3"/>
        <v>20.603607351920537</v>
      </c>
      <c r="AM26" s="19">
        <f t="shared" ca="1" si="4"/>
        <v>25.588037213437868</v>
      </c>
      <c r="AO26" s="1">
        <f t="shared" si="24"/>
        <v>333.15</v>
      </c>
      <c r="AP26" s="12">
        <v>25.5</v>
      </c>
      <c r="AQ26" s="10">
        <f t="shared" ca="1" si="5"/>
        <v>19.644060015792832</v>
      </c>
      <c r="AR26" s="10">
        <f t="shared" ca="1" si="5"/>
        <v>24.017367805838774</v>
      </c>
      <c r="AS26" s="10">
        <f t="shared" ca="1" si="5"/>
        <v>18.804085468385814</v>
      </c>
      <c r="AT26" s="10">
        <f t="shared" ca="1" si="5"/>
        <v>34.765087670932765</v>
      </c>
      <c r="AU26" s="10">
        <f t="shared" ca="1" si="5"/>
        <v>30.336963610879007</v>
      </c>
      <c r="AV26" s="10">
        <f t="shared" ca="1" si="5"/>
        <v>31.761936285240964</v>
      </c>
      <c r="AW26" s="10">
        <f t="shared" ca="1" si="5"/>
        <v>17.937445026038645</v>
      </c>
      <c r="AX26" s="10">
        <f t="shared" ca="1" si="5"/>
        <v>34.781611916888572</v>
      </c>
      <c r="AY26" s="10">
        <f t="shared" ca="1" si="5"/>
        <v>27.890874828157081</v>
      </c>
      <c r="AZ26" s="10">
        <f t="shared" ca="1" si="5"/>
        <v>25.310658934420193</v>
      </c>
      <c r="BA26" s="19">
        <f t="shared" ca="1" si="18"/>
        <v>26.525009156257465</v>
      </c>
      <c r="BB26" s="11">
        <f t="shared" ca="1" si="19"/>
        <v>6.0692805800091865</v>
      </c>
      <c r="BC26" s="18">
        <f t="shared" si="20"/>
        <v>3.0016509079993999E-3</v>
      </c>
      <c r="BD26" s="18">
        <f t="shared" ca="1" si="21"/>
        <v>3.2780880296934827</v>
      </c>
      <c r="BE26" s="19">
        <f t="shared" ca="1" si="6"/>
        <v>25.020394221330044</v>
      </c>
      <c r="BF26" s="19">
        <f t="shared" ca="1" si="7"/>
        <v>25.588037213437868</v>
      </c>
    </row>
    <row r="27" spans="1:58" x14ac:dyDescent="0.35">
      <c r="A27" s="1">
        <f t="shared" si="22"/>
        <v>343.15</v>
      </c>
      <c r="B27" s="10">
        <v>46</v>
      </c>
      <c r="C27" s="10">
        <f t="shared" ca="1" si="8"/>
        <v>51.750587086281712</v>
      </c>
      <c r="D27" s="10">
        <f t="shared" ca="1" si="0"/>
        <v>42.8777731742302</v>
      </c>
      <c r="E27" s="10">
        <f t="shared" ca="1" si="0"/>
        <v>50.977416392008251</v>
      </c>
      <c r="F27" s="10">
        <f t="shared" ca="1" si="0"/>
        <v>49.705143854615336</v>
      </c>
      <c r="G27" s="10">
        <f t="shared" ca="1" si="0"/>
        <v>46.392824239773361</v>
      </c>
      <c r="H27" s="10">
        <f t="shared" ca="1" si="0"/>
        <v>52.723980265351848</v>
      </c>
      <c r="I27" s="10">
        <f t="shared" ca="1" si="0"/>
        <v>43.646818994860013</v>
      </c>
      <c r="J27" s="10">
        <f t="shared" ca="1" si="0"/>
        <v>47.746534555150888</v>
      </c>
      <c r="K27" s="10">
        <f t="shared" ca="1" si="0"/>
        <v>46.695864885561015</v>
      </c>
      <c r="L27" s="10">
        <f t="shared" ca="1" si="0"/>
        <v>44.452548300638412</v>
      </c>
      <c r="M27" s="19">
        <f t="shared" ca="1" si="9"/>
        <v>47.696949174847106</v>
      </c>
      <c r="N27" s="10">
        <f t="shared" ca="1" si="10"/>
        <v>3.153019506318095</v>
      </c>
      <c r="O27" s="1">
        <f t="shared" si="11"/>
        <v>2.9141774734081308E-3</v>
      </c>
      <c r="P27" s="1">
        <f t="shared" ca="1" si="12"/>
        <v>3.8648674372502638</v>
      </c>
      <c r="Q27" s="19">
        <f t="shared" ca="1" si="13"/>
        <v>45.401029503438409</v>
      </c>
      <c r="R27" s="19">
        <f t="shared" ca="1" si="1"/>
        <v>47.101338658255969</v>
      </c>
      <c r="V27" s="1">
        <f t="shared" si="23"/>
        <v>343.15</v>
      </c>
      <c r="W27" s="10">
        <v>46</v>
      </c>
      <c r="X27" s="10">
        <f t="shared" ca="1" si="2"/>
        <v>49.030691859937278</v>
      </c>
      <c r="Y27" s="10">
        <f t="shared" ca="1" si="2"/>
        <v>62.128967080998216</v>
      </c>
      <c r="Z27" s="10">
        <f t="shared" ca="1" si="2"/>
        <v>46.522576593438536</v>
      </c>
      <c r="AA27" s="10">
        <f t="shared" ca="1" si="2"/>
        <v>48.260243403829691</v>
      </c>
      <c r="AB27" s="10">
        <f t="shared" ca="1" si="2"/>
        <v>36.934254197548825</v>
      </c>
      <c r="AC27" s="10">
        <f t="shared" ca="1" si="2"/>
        <v>45.525128430535517</v>
      </c>
      <c r="AD27" s="10">
        <f t="shared" ca="1" si="2"/>
        <v>43.158164188427378</v>
      </c>
      <c r="AE27" s="10">
        <f t="shared" ca="1" si="2"/>
        <v>40.616634766158718</v>
      </c>
      <c r="AF27" s="10">
        <f t="shared" ca="1" si="2"/>
        <v>49.168663958382524</v>
      </c>
      <c r="AG27" s="10">
        <f t="shared" ca="1" si="2"/>
        <v>49.791741030215888</v>
      </c>
      <c r="AH27" s="19">
        <f t="shared" ca="1" si="14"/>
        <v>47.113706550947256</v>
      </c>
      <c r="AI27" s="10">
        <f t="shared" ca="1" si="15"/>
        <v>6.3733403273208493</v>
      </c>
      <c r="AJ27" s="17">
        <f t="shared" si="16"/>
        <v>2.9141774734081308E-3</v>
      </c>
      <c r="AK27" s="17">
        <f t="shared" ca="1" si="17"/>
        <v>3.8525639682615509</v>
      </c>
      <c r="AL27" s="19">
        <f t="shared" ca="1" si="3"/>
        <v>38.053485700449691</v>
      </c>
      <c r="AM27" s="19">
        <f t="shared" ca="1" si="4"/>
        <v>47.101338658255969</v>
      </c>
      <c r="AO27" s="1">
        <f t="shared" si="24"/>
        <v>343.15</v>
      </c>
      <c r="AP27" s="12">
        <v>46</v>
      </c>
      <c r="AQ27" s="10">
        <f t="shared" ca="1" si="5"/>
        <v>56.039120303800082</v>
      </c>
      <c r="AR27" s="10">
        <f t="shared" ca="1" si="5"/>
        <v>45.499058869577773</v>
      </c>
      <c r="AS27" s="10">
        <f t="shared" ca="1" si="5"/>
        <v>62.481351475137586</v>
      </c>
      <c r="AT27" s="10">
        <f t="shared" ca="1" si="5"/>
        <v>45.886546207994165</v>
      </c>
      <c r="AU27" s="10">
        <f t="shared" ca="1" si="5"/>
        <v>54.270376501090553</v>
      </c>
      <c r="AV27" s="10">
        <f t="shared" ca="1" si="5"/>
        <v>34.663379747461221</v>
      </c>
      <c r="AW27" s="10">
        <f t="shared" ca="1" si="5"/>
        <v>32.790594263395029</v>
      </c>
      <c r="AX27" s="10">
        <f t="shared" ca="1" si="5"/>
        <v>39.419373939911651</v>
      </c>
      <c r="AY27" s="10">
        <f t="shared" ca="1" si="5"/>
        <v>28.91284013590435</v>
      </c>
      <c r="AZ27" s="10">
        <f t="shared" ca="1" si="5"/>
        <v>35.520514828748105</v>
      </c>
      <c r="BA27" s="19">
        <f t="shared" ca="1" si="18"/>
        <v>43.548315627302046</v>
      </c>
      <c r="BB27" s="11">
        <f t="shared" ca="1" si="19"/>
        <v>10.62580303421643</v>
      </c>
      <c r="BC27" s="18">
        <f t="shared" si="20"/>
        <v>2.9141774734081308E-3</v>
      </c>
      <c r="BD27" s="18">
        <f t="shared" ca="1" si="21"/>
        <v>3.7738710257951404</v>
      </c>
      <c r="BE27" s="19">
        <f t="shared" ca="1" si="6"/>
        <v>46.144475021383364</v>
      </c>
      <c r="BF27" s="19">
        <f t="shared" ca="1" si="7"/>
        <v>47.101338658255969</v>
      </c>
    </row>
    <row r="28" spans="1:58" x14ac:dyDescent="0.35">
      <c r="A28" s="1">
        <f t="shared" si="22"/>
        <v>353.15</v>
      </c>
      <c r="B28" s="10">
        <v>82</v>
      </c>
      <c r="C28" s="10">
        <f t="shared" ca="1" si="8"/>
        <v>79.576179650057512</v>
      </c>
      <c r="D28" s="10">
        <f t="shared" ca="1" si="0"/>
        <v>81.841741561623522</v>
      </c>
      <c r="E28" s="10">
        <f t="shared" ca="1" si="0"/>
        <v>96.81278069761828</v>
      </c>
      <c r="F28" s="10">
        <f t="shared" ca="1" si="0"/>
        <v>74.58422220605452</v>
      </c>
      <c r="G28" s="10">
        <f t="shared" ca="1" si="0"/>
        <v>86.353540205476293</v>
      </c>
      <c r="H28" s="10">
        <f t="shared" ca="1" si="0"/>
        <v>87.767903971616249</v>
      </c>
      <c r="I28" s="10">
        <f t="shared" ca="1" si="0"/>
        <v>78.046543150540145</v>
      </c>
      <c r="J28" s="10">
        <f t="shared" ca="1" si="0"/>
        <v>77.024260127777509</v>
      </c>
      <c r="K28" s="10">
        <f t="shared" ca="1" si="0"/>
        <v>72.69086932716219</v>
      </c>
      <c r="L28" s="10">
        <f t="shared" ca="1" si="0"/>
        <v>68.89517686906585</v>
      </c>
      <c r="M28" s="19">
        <f t="shared" ca="1" si="9"/>
        <v>80.359321776699204</v>
      </c>
      <c r="N28" s="10">
        <f t="shared" ca="1" si="10"/>
        <v>7.4125205677652595</v>
      </c>
      <c r="O28" s="1">
        <f t="shared" si="11"/>
        <v>2.831657935721365E-3</v>
      </c>
      <c r="P28" s="1">
        <f t="shared" ca="1" si="12"/>
        <v>4.3865081000990127</v>
      </c>
      <c r="Q28" s="19">
        <f t="shared" ca="1" si="13"/>
        <v>80.579105657740527</v>
      </c>
      <c r="R28" s="19">
        <f t="shared" ca="1" si="1"/>
        <v>83.757161485948615</v>
      </c>
      <c r="V28" s="1">
        <f t="shared" si="23"/>
        <v>353.15</v>
      </c>
      <c r="W28" s="10">
        <v>82</v>
      </c>
      <c r="X28" s="10">
        <f t="shared" ca="1" si="2"/>
        <v>84.086343072592541</v>
      </c>
      <c r="Y28" s="10">
        <f t="shared" ca="1" si="2"/>
        <v>45.366832396277545</v>
      </c>
      <c r="Z28" s="10">
        <f t="shared" ca="1" si="2"/>
        <v>64.104252419748207</v>
      </c>
      <c r="AA28" s="10">
        <f t="shared" ca="1" si="2"/>
        <v>70.406113746584822</v>
      </c>
      <c r="AB28" s="10">
        <f t="shared" ca="1" si="2"/>
        <v>81.397146113165718</v>
      </c>
      <c r="AC28" s="10">
        <f t="shared" ca="1" si="2"/>
        <v>71.489164940452596</v>
      </c>
      <c r="AD28" s="10">
        <f t="shared" ca="1" si="2"/>
        <v>73.90590883680639</v>
      </c>
      <c r="AE28" s="10">
        <f t="shared" ca="1" si="2"/>
        <v>60.769052320992373</v>
      </c>
      <c r="AF28" s="10">
        <f t="shared" ca="1" si="2"/>
        <v>76.353106410261063</v>
      </c>
      <c r="AG28" s="10">
        <f t="shared" ca="1" si="2"/>
        <v>59.977230517194428</v>
      </c>
      <c r="AH28" s="19">
        <f t="shared" ca="1" si="14"/>
        <v>68.785515077407567</v>
      </c>
      <c r="AI28" s="10">
        <f t="shared" ca="1" si="15"/>
        <v>10.948926791194246</v>
      </c>
      <c r="AJ28" s="17">
        <f t="shared" si="16"/>
        <v>2.831657935721365E-3</v>
      </c>
      <c r="AK28" s="17">
        <f t="shared" ca="1" si="17"/>
        <v>4.2309931861077557</v>
      </c>
      <c r="AL28" s="19">
        <f t="shared" ca="1" si="3"/>
        <v>67.882159814985926</v>
      </c>
      <c r="AM28" s="19">
        <f t="shared" ca="1" si="4"/>
        <v>83.757161485948615</v>
      </c>
      <c r="AO28" s="1">
        <f t="shared" si="24"/>
        <v>353.15</v>
      </c>
      <c r="AP28" s="12">
        <v>82</v>
      </c>
      <c r="AQ28" s="10">
        <f t="shared" ca="1" si="5"/>
        <v>96.993023414812001</v>
      </c>
      <c r="AR28" s="10">
        <f t="shared" ca="1" si="5"/>
        <v>42.100778612555807</v>
      </c>
      <c r="AS28" s="10">
        <f t="shared" ca="1" si="5"/>
        <v>102.50000415658226</v>
      </c>
      <c r="AT28" s="10">
        <f t="shared" ca="1" si="5"/>
        <v>58.912065570695631</v>
      </c>
      <c r="AU28" s="10">
        <f t="shared" ca="1" si="5"/>
        <v>112.9717544712976</v>
      </c>
      <c r="AV28" s="10">
        <f t="shared" ca="1" si="5"/>
        <v>65.647908930533646</v>
      </c>
      <c r="AW28" s="10">
        <f t="shared" ca="1" si="5"/>
        <v>98.547661896258859</v>
      </c>
      <c r="AX28" s="10">
        <f t="shared" ca="1" si="5"/>
        <v>96.024713776724454</v>
      </c>
      <c r="AY28" s="10">
        <f t="shared" ca="1" si="5"/>
        <v>122.8444592209519</v>
      </c>
      <c r="AZ28" s="10">
        <f t="shared" ca="1" si="5"/>
        <v>76.506217275799216</v>
      </c>
      <c r="BA28" s="19">
        <f t="shared" ca="1" si="18"/>
        <v>87.304858732621128</v>
      </c>
      <c r="BB28" s="11">
        <f t="shared" ca="1" si="19"/>
        <v>24.257444030939475</v>
      </c>
      <c r="BC28" s="18">
        <f t="shared" si="20"/>
        <v>2.831657935721365E-3</v>
      </c>
      <c r="BD28" s="18">
        <f t="shared" ca="1" si="21"/>
        <v>4.4694061168824222</v>
      </c>
      <c r="BE28" s="19">
        <f t="shared" ca="1" si="6"/>
        <v>82.203579599420081</v>
      </c>
      <c r="BF28" s="19">
        <f t="shared" ca="1" si="7"/>
        <v>83.757161485948615</v>
      </c>
    </row>
    <row r="29" spans="1:58" x14ac:dyDescent="0.35">
      <c r="A29" s="1">
        <f t="shared" si="22"/>
        <v>363.15</v>
      </c>
      <c r="B29" s="10">
        <v>140</v>
      </c>
      <c r="C29" s="10">
        <f t="shared" ca="1" si="8"/>
        <v>138.59894070458498</v>
      </c>
      <c r="D29" s="10">
        <f t="shared" ca="1" si="0"/>
        <v>110.81950519981741</v>
      </c>
      <c r="E29" s="10">
        <f t="shared" ca="1" si="0"/>
        <v>131.56322490212324</v>
      </c>
      <c r="F29" s="10">
        <f t="shared" ca="1" si="0"/>
        <v>132.14680258939737</v>
      </c>
      <c r="G29" s="10">
        <f t="shared" ca="1" si="0"/>
        <v>142.25875078813763</v>
      </c>
      <c r="H29" s="10">
        <f t="shared" ca="1" si="0"/>
        <v>181.43921318102377</v>
      </c>
      <c r="I29" s="10">
        <f t="shared" ca="1" si="0"/>
        <v>151.65447604621048</v>
      </c>
      <c r="J29" s="10">
        <f t="shared" ca="1" si="0"/>
        <v>135.44636528221855</v>
      </c>
      <c r="K29" s="10">
        <f t="shared" ca="1" si="0"/>
        <v>149.98417890552059</v>
      </c>
      <c r="L29" s="10">
        <f t="shared" ca="1" si="0"/>
        <v>169.01055300689606</v>
      </c>
      <c r="M29" s="19">
        <f t="shared" ca="1" si="9"/>
        <v>144.29220106059302</v>
      </c>
      <c r="N29" s="10">
        <f t="shared" ca="1" si="10"/>
        <v>18.146512280807638</v>
      </c>
      <c r="O29" s="1">
        <f t="shared" si="11"/>
        <v>2.7536830510808208E-3</v>
      </c>
      <c r="P29" s="1">
        <f t="shared" ca="1" si="12"/>
        <v>4.9718404176151125</v>
      </c>
      <c r="Q29" s="19">
        <f t="shared" ca="1" si="13"/>
        <v>138.5661692762769</v>
      </c>
      <c r="R29" s="19">
        <f ca="1">$M$23*EXP($C$66/$F$61*($O$23-O29))</f>
        <v>144.29220106059296</v>
      </c>
      <c r="V29" s="1">
        <f t="shared" si="23"/>
        <v>363.15</v>
      </c>
      <c r="W29" s="10">
        <v>140</v>
      </c>
      <c r="X29" s="10">
        <f t="shared" ca="1" si="2"/>
        <v>173.89777099958854</v>
      </c>
      <c r="Y29" s="10">
        <f t="shared" ca="1" si="2"/>
        <v>152.91700723911805</v>
      </c>
      <c r="Z29" s="10">
        <f t="shared" ca="1" si="2"/>
        <v>95.110377537790953</v>
      </c>
      <c r="AA29" s="10">
        <f t="shared" ca="1" si="2"/>
        <v>131.82299117762437</v>
      </c>
      <c r="AB29" s="10">
        <f t="shared" ca="1" si="2"/>
        <v>173.30884862473107</v>
      </c>
      <c r="AC29" s="10">
        <f t="shared" ca="1" si="2"/>
        <v>153.82360831872165</v>
      </c>
      <c r="AD29" s="10">
        <f t="shared" ca="1" si="2"/>
        <v>123.45431875310526</v>
      </c>
      <c r="AE29" s="10">
        <f t="shared" ca="1" si="2"/>
        <v>157.72362181895278</v>
      </c>
      <c r="AF29" s="10">
        <f t="shared" ca="1" si="2"/>
        <v>131.24666222638118</v>
      </c>
      <c r="AG29" s="10">
        <f t="shared" ca="1" si="2"/>
        <v>122.62815656264095</v>
      </c>
      <c r="AH29" s="19">
        <f t="shared" ca="1" si="14"/>
        <v>141.59333632586547</v>
      </c>
      <c r="AI29" s="10">
        <f t="shared" ca="1" si="15"/>
        <v>23.747257051951543</v>
      </c>
      <c r="AJ29" s="17">
        <f t="shared" si="16"/>
        <v>2.7536830510808208E-3</v>
      </c>
      <c r="AK29" s="17">
        <f t="shared" ca="1" si="17"/>
        <v>4.9529591203066872</v>
      </c>
      <c r="AL29" s="19">
        <f t="shared" ca="1" si="3"/>
        <v>117.29337354744156</v>
      </c>
      <c r="AM29" s="19">
        <f ca="1">$M$23*EXP($C$66/$F$61*($O$23-AJ29))</f>
        <v>144.29220106059296</v>
      </c>
      <c r="AO29" s="1">
        <f t="shared" si="24"/>
        <v>363.15</v>
      </c>
      <c r="AP29" s="12">
        <v>140</v>
      </c>
      <c r="AQ29" s="10">
        <f t="shared" ca="1" si="5"/>
        <v>198.17519135958239</v>
      </c>
      <c r="AR29" s="10">
        <f t="shared" ca="1" si="5"/>
        <v>154.2673929174579</v>
      </c>
      <c r="AS29" s="10">
        <f t="shared" ca="1" si="5"/>
        <v>125.90191967159403</v>
      </c>
      <c r="AT29" s="10">
        <f t="shared" ca="1" si="5"/>
        <v>166.74918537906845</v>
      </c>
      <c r="AU29" s="10">
        <f t="shared" ca="1" si="5"/>
        <v>162.92270397301496</v>
      </c>
      <c r="AV29" s="10">
        <f t="shared" ca="1" si="5"/>
        <v>105.89212116834747</v>
      </c>
      <c r="AW29" s="10">
        <f t="shared" ca="1" si="5"/>
        <v>127.05988477860589</v>
      </c>
      <c r="AX29" s="10">
        <f t="shared" ca="1" si="5"/>
        <v>116.68771473772895</v>
      </c>
      <c r="AY29" s="10">
        <f t="shared" ca="1" si="5"/>
        <v>152.61063129257639</v>
      </c>
      <c r="AZ29" s="10">
        <f t="shared" ca="1" si="5"/>
        <v>154.04173366748205</v>
      </c>
      <c r="BA29" s="19">
        <f t="shared" ca="1" si="18"/>
        <v>146.43084789454585</v>
      </c>
      <c r="BB29" s="11">
        <f t="shared" ca="1" si="19"/>
        <v>26.162059206520233</v>
      </c>
      <c r="BC29" s="18">
        <f t="shared" si="20"/>
        <v>2.7536830510808208E-3</v>
      </c>
      <c r="BD29" s="18">
        <f t="shared" ca="1" si="21"/>
        <v>4.9865532889932469</v>
      </c>
      <c r="BE29" s="19">
        <f t="shared" ca="1" si="6"/>
        <v>141.85703277875044</v>
      </c>
      <c r="BF29" s="19">
        <f ca="1">$M$23*EXP($C$66/$F$61*($O$23-BC29))</f>
        <v>144.29220106059296</v>
      </c>
    </row>
    <row r="30" spans="1:58" x14ac:dyDescent="0.35">
      <c r="A30" s="1">
        <f t="shared" si="22"/>
        <v>373.15</v>
      </c>
      <c r="B30" s="10">
        <v>233</v>
      </c>
      <c r="C30" s="10">
        <f t="shared" ca="1" si="8"/>
        <v>217.11193825086997</v>
      </c>
      <c r="D30" s="10">
        <f t="shared" ca="1" si="0"/>
        <v>231.53379633507899</v>
      </c>
      <c r="E30" s="10">
        <f t="shared" ca="1" si="0"/>
        <v>212.33110557768214</v>
      </c>
      <c r="F30" s="10">
        <f t="shared" ca="1" si="0"/>
        <v>234.85337695274475</v>
      </c>
      <c r="G30" s="10">
        <f t="shared" ca="1" si="0"/>
        <v>222.86369079203413</v>
      </c>
      <c r="H30" s="10">
        <f t="shared" ca="1" si="0"/>
        <v>249.67137327877009</v>
      </c>
      <c r="I30" s="10">
        <f t="shared" ca="1" si="0"/>
        <v>246.86021835963311</v>
      </c>
      <c r="J30" s="10">
        <f t="shared" ca="1" si="0"/>
        <v>204.99234443801785</v>
      </c>
      <c r="K30" s="10">
        <f t="shared" ca="1" si="0"/>
        <v>282.92171679576268</v>
      </c>
      <c r="L30" s="10">
        <f t="shared" ca="1" si="0"/>
        <v>238.23249921203208</v>
      </c>
      <c r="M30" s="19">
        <f t="shared" ca="1" si="9"/>
        <v>234.13720599926256</v>
      </c>
      <c r="N30" s="10">
        <f t="shared" ca="1" si="10"/>
        <v>20.335944034480313</v>
      </c>
      <c r="O30" s="1">
        <f t="shared" si="11"/>
        <v>2.6798874447273215E-3</v>
      </c>
      <c r="P30" s="1">
        <f t="shared" ca="1" si="12"/>
        <v>5.4559072939456579</v>
      </c>
      <c r="Q30" s="19">
        <f t="shared" ca="1" si="13"/>
        <v>231.45853783785975</v>
      </c>
      <c r="R30" s="19">
        <f ca="1">$M$23*EXP($C$66/$F$61*($O$23-O30))</f>
        <v>241.43646119650384</v>
      </c>
      <c r="V30" s="1">
        <f t="shared" si="23"/>
        <v>373.15</v>
      </c>
      <c r="W30" s="10">
        <v>233</v>
      </c>
      <c r="X30" s="10">
        <f t="shared" ca="1" si="2"/>
        <v>266.78036974965124</v>
      </c>
      <c r="Y30" s="10">
        <f t="shared" ca="1" si="2"/>
        <v>194.15308943528333</v>
      </c>
      <c r="Z30" s="10">
        <f t="shared" ca="1" si="2"/>
        <v>266.6846710509389</v>
      </c>
      <c r="AA30" s="10">
        <f t="shared" ca="1" si="2"/>
        <v>290.96282032073361</v>
      </c>
      <c r="AB30" s="10">
        <f t="shared" ca="1" si="2"/>
        <v>312.73470876228782</v>
      </c>
      <c r="AC30" s="10">
        <f t="shared" ca="1" si="2"/>
        <v>313.2719310895389</v>
      </c>
      <c r="AD30" s="10">
        <f t="shared" ca="1" si="2"/>
        <v>232.90399598055649</v>
      </c>
      <c r="AE30" s="10">
        <f t="shared" ca="1" si="2"/>
        <v>199.45134261912116</v>
      </c>
      <c r="AF30" s="10">
        <f t="shared" ca="1" si="2"/>
        <v>273.67954618918964</v>
      </c>
      <c r="AG30" s="10">
        <f t="shared" ca="1" si="2"/>
        <v>240.82466889074107</v>
      </c>
      <c r="AH30" s="19">
        <f t="shared" ca="1" si="14"/>
        <v>259.14471440880419</v>
      </c>
      <c r="AI30" s="10">
        <f t="shared" ca="1" si="15"/>
        <v>39.939779395360581</v>
      </c>
      <c r="AJ30" s="17">
        <f t="shared" si="16"/>
        <v>2.6798874447273215E-3</v>
      </c>
      <c r="AK30" s="17">
        <f t="shared" ca="1" si="17"/>
        <v>5.5573866485519856</v>
      </c>
      <c r="AL30" s="19">
        <f t="shared" ca="1" si="3"/>
        <v>196.81621805431394</v>
      </c>
      <c r="AM30" s="19">
        <f ca="1">$M$23*EXP($C$66/$F$61*($O$23-AJ30))</f>
        <v>241.43646119650384</v>
      </c>
      <c r="AO30" s="1">
        <f t="shared" si="24"/>
        <v>373.15</v>
      </c>
      <c r="AP30" s="12">
        <v>233</v>
      </c>
      <c r="AQ30" s="10">
        <f t="shared" ca="1" si="5"/>
        <v>214.97320982953084</v>
      </c>
      <c r="AR30" s="10">
        <f t="shared" ca="1" si="5"/>
        <v>183.82114966734943</v>
      </c>
      <c r="AS30" s="10">
        <f t="shared" ca="1" si="5"/>
        <v>226.59106218994384</v>
      </c>
      <c r="AT30" s="10">
        <f t="shared" ca="1" si="5"/>
        <v>192.88891270358044</v>
      </c>
      <c r="AU30" s="10">
        <f t="shared" ca="1" si="5"/>
        <v>318.54014897291705</v>
      </c>
      <c r="AV30" s="10">
        <f t="shared" ca="1" si="5"/>
        <v>196.62836131796803</v>
      </c>
      <c r="AW30" s="10">
        <f t="shared" ca="1" si="5"/>
        <v>298.77308287184405</v>
      </c>
      <c r="AX30" s="10">
        <f t="shared" ca="1" si="5"/>
        <v>251.07966228173063</v>
      </c>
      <c r="AY30" s="10">
        <f t="shared" ca="1" si="5"/>
        <v>199.49035301248273</v>
      </c>
      <c r="AZ30" s="10">
        <f t="shared" ca="1" si="5"/>
        <v>248.35617923805111</v>
      </c>
      <c r="BA30" s="19">
        <f t="shared" ca="1" si="18"/>
        <v>233.11421220853981</v>
      </c>
      <c r="BB30" s="11">
        <f t="shared" ca="1" si="19"/>
        <v>43.640648866615265</v>
      </c>
      <c r="BC30" s="18">
        <f t="shared" si="20"/>
        <v>2.6798874447273215E-3</v>
      </c>
      <c r="BD30" s="18">
        <f t="shared" ca="1" si="21"/>
        <v>5.4515285146186958</v>
      </c>
      <c r="BE30" s="19">
        <f t="shared" ca="1" si="6"/>
        <v>237.74450246615362</v>
      </c>
      <c r="BF30" s="19">
        <f ca="1">$M$23*EXP($C$66/$F$61*($O$23-BC30))</f>
        <v>241.43646119650384</v>
      </c>
    </row>
    <row r="31" spans="1:58" x14ac:dyDescent="0.35">
      <c r="BE31" s="10"/>
      <c r="BF31" s="10"/>
    </row>
    <row r="32" spans="1:58" x14ac:dyDescent="0.35">
      <c r="A32" s="13" t="s">
        <v>18</v>
      </c>
      <c r="V32" s="13" t="s">
        <v>18</v>
      </c>
      <c r="AO32" s="13" t="s">
        <v>18</v>
      </c>
    </row>
    <row r="33" spans="16:58" x14ac:dyDescent="0.35">
      <c r="P33" s="1" t="s">
        <v>11</v>
      </c>
      <c r="Q33" s="1">
        <f ca="1">(P30-P22)/(O30-O22)</f>
        <v>-6952.3486909254789</v>
      </c>
      <c r="V33"/>
      <c r="AK33" s="1" t="s">
        <v>11</v>
      </c>
      <c r="AL33" s="10">
        <f ca="1">(AK30-AK22)/(AJ30-AJ22)</f>
        <v>-7013.861028376753</v>
      </c>
      <c r="BD33" s="1" t="s">
        <v>11</v>
      </c>
      <c r="BE33" s="10">
        <f ca="1">(BD30-BD22)/(BC30-BC22)</f>
        <v>-6997.3927242345835</v>
      </c>
    </row>
    <row r="35" spans="16:58" x14ac:dyDescent="0.35">
      <c r="P35" s="1" t="s">
        <v>12</v>
      </c>
      <c r="Q35" s="1">
        <f>1.38*10^(-23)</f>
        <v>1.3800000000000001E-23</v>
      </c>
      <c r="AK35" s="1" t="s">
        <v>12</v>
      </c>
      <c r="AL35" s="1">
        <f>1.38*10^(-23)</f>
        <v>1.3800000000000001E-23</v>
      </c>
      <c r="BD35" s="1" t="s">
        <v>12</v>
      </c>
      <c r="BE35" s="1">
        <f>1.38*10^(-23)</f>
        <v>1.3800000000000001E-23</v>
      </c>
    </row>
    <row r="37" spans="16:58" x14ac:dyDescent="0.35">
      <c r="P37" s="1" t="s">
        <v>13</v>
      </c>
      <c r="Q37" s="1">
        <f ca="1">-Q33*Q35</f>
        <v>9.5942411934771613E-20</v>
      </c>
      <c r="AK37" s="1" t="s">
        <v>13</v>
      </c>
      <c r="AL37" s="1">
        <f ca="1">-AL33*AL35</f>
        <v>9.6791282191599194E-20</v>
      </c>
      <c r="BD37" s="1" t="s">
        <v>13</v>
      </c>
      <c r="BE37" s="1">
        <f ca="1">-BE33*BE35</f>
        <v>9.656401959443726E-20</v>
      </c>
    </row>
    <row r="39" spans="16:58" x14ac:dyDescent="0.35">
      <c r="P39" s="1" t="s">
        <v>14</v>
      </c>
      <c r="Q39" s="1" cm="1">
        <f t="array" aca="1" ref="Q39" ca="1">TREND(P22:P30,O22:O30,0,TRUE)</f>
        <v>24.075912723450926</v>
      </c>
      <c r="AK39" s="1" t="s">
        <v>14</v>
      </c>
      <c r="AL39" s="1" cm="1">
        <f t="array" aca="1" ref="AL39" ca="1">TREND(AK22:AK30,AJ22:AJ30,0,TRUE)</f>
        <v>24.078628499044424</v>
      </c>
      <c r="BD39" s="1" t="s">
        <v>14</v>
      </c>
      <c r="BE39" s="1" cm="1">
        <f t="array" aca="1" ref="BE39" ca="1">TREND(BD22:BD30,BC22:BC30,0,TRUE)</f>
        <v>24.223421485489972</v>
      </c>
    </row>
    <row r="41" spans="16:58" x14ac:dyDescent="0.35">
      <c r="P41" s="1" t="s">
        <v>15</v>
      </c>
      <c r="Q41" s="1">
        <f ca="1">EXP(Q39)</f>
        <v>28578277078.134403</v>
      </c>
      <c r="R41" s="1" t="s">
        <v>16</v>
      </c>
      <c r="AK41" s="1" t="s">
        <v>15</v>
      </c>
      <c r="AL41" s="1">
        <f ca="1">EXP(AL39)</f>
        <v>28655994749.638321</v>
      </c>
      <c r="AM41" s="1" t="s">
        <v>16</v>
      </c>
      <c r="BD41" s="1" t="s">
        <v>15</v>
      </c>
      <c r="BE41" s="1">
        <f ca="1">EXP(BE39)</f>
        <v>33120606731.715088</v>
      </c>
      <c r="BF41" s="1" t="s">
        <v>16</v>
      </c>
    </row>
    <row r="44" spans="16:58" x14ac:dyDescent="0.35">
      <c r="P44" s="1" t="s">
        <v>25</v>
      </c>
      <c r="R44" s="1" t="s">
        <v>27</v>
      </c>
      <c r="AK44" s="1" t="s">
        <v>25</v>
      </c>
      <c r="AM44" s="1" t="s">
        <v>27</v>
      </c>
      <c r="BD44" s="1" t="s">
        <v>25</v>
      </c>
      <c r="BF44" s="1" t="s">
        <v>27</v>
      </c>
    </row>
    <row r="45" spans="16:58" x14ac:dyDescent="0.35">
      <c r="R45" s="1">
        <f>LN(B22)</f>
        <v>0.39877611995736778</v>
      </c>
      <c r="AM45" s="1">
        <f>LN(W22)</f>
        <v>0.39877611995736778</v>
      </c>
      <c r="BF45" s="1">
        <f>LN(AP22)</f>
        <v>0.39877611995736778</v>
      </c>
    </row>
    <row r="46" spans="16:58" x14ac:dyDescent="0.35">
      <c r="P46" s="1" t="s">
        <v>11</v>
      </c>
      <c r="Q46" s="1">
        <f>(LN(B30)-LN(B22))/(O30-O22)</f>
        <v>-6908.2691607593852</v>
      </c>
      <c r="R46" s="1">
        <f t="shared" ref="R46:R53" si="25">LN(B23)</f>
        <v>1.1631508098056809</v>
      </c>
      <c r="AK46" s="1" t="s">
        <v>11</v>
      </c>
      <c r="AL46" s="1">
        <f>(LN(W30)-LN(W22))/(AJ30-AJ22)</f>
        <v>-6908.2691607593852</v>
      </c>
      <c r="AM46" s="1">
        <f t="shared" ref="AM46:AM53" si="26">LN(W23)</f>
        <v>1.1631508098056809</v>
      </c>
      <c r="BD46" s="1" t="s">
        <v>11</v>
      </c>
      <c r="BE46" s="1">
        <f>(LN(AP30)-LN(AP22))/(BC30-BC22)</f>
        <v>-6908.2691607593852</v>
      </c>
      <c r="BF46" s="1">
        <f t="shared" ref="BF46:BF53" si="27">LN(AP23)</f>
        <v>1.1631508098056809</v>
      </c>
    </row>
    <row r="47" spans="16:58" x14ac:dyDescent="0.35">
      <c r="R47" s="1">
        <f t="shared" si="25"/>
        <v>1.9021075263969205</v>
      </c>
      <c r="AM47" s="1">
        <f t="shared" si="26"/>
        <v>1.9021075263969205</v>
      </c>
      <c r="BF47" s="1">
        <f t="shared" si="27"/>
        <v>1.9021075263969205</v>
      </c>
    </row>
    <row r="48" spans="16:58" x14ac:dyDescent="0.35">
      <c r="P48" s="1" t="s">
        <v>12</v>
      </c>
      <c r="Q48" s="1">
        <f>Q35</f>
        <v>1.3800000000000001E-23</v>
      </c>
      <c r="R48" s="1">
        <f t="shared" si="25"/>
        <v>2.5877640352277083</v>
      </c>
      <c r="AK48" s="1" t="s">
        <v>12</v>
      </c>
      <c r="AL48" s="1">
        <f>AL35</f>
        <v>1.3800000000000001E-23</v>
      </c>
      <c r="AM48" s="1">
        <f t="shared" si="26"/>
        <v>2.5877640352277083</v>
      </c>
      <c r="BD48" s="1" t="s">
        <v>12</v>
      </c>
      <c r="BE48" s="1">
        <f>BE35</f>
        <v>1.3800000000000001E-23</v>
      </c>
      <c r="BF48" s="1">
        <f t="shared" si="27"/>
        <v>2.5877640352277083</v>
      </c>
    </row>
    <row r="49" spans="1:58" x14ac:dyDescent="0.35">
      <c r="R49" s="1">
        <f t="shared" si="25"/>
        <v>3.2386784521643803</v>
      </c>
      <c r="AM49" s="1">
        <f t="shared" si="26"/>
        <v>3.2386784521643803</v>
      </c>
      <c r="BF49" s="1">
        <f t="shared" si="27"/>
        <v>3.2386784521643803</v>
      </c>
    </row>
    <row r="50" spans="1:58" x14ac:dyDescent="0.35">
      <c r="P50" s="1" t="s">
        <v>13</v>
      </c>
      <c r="Q50" s="1">
        <f>-Q46*Q48</f>
        <v>9.5334114418479515E-20</v>
      </c>
      <c r="R50" s="1">
        <f t="shared" si="25"/>
        <v>3.8286413964890951</v>
      </c>
      <c r="AK50" s="1" t="s">
        <v>13</v>
      </c>
      <c r="AL50" s="1">
        <f>-AL46*AL48</f>
        <v>9.5334114418479515E-20</v>
      </c>
      <c r="AM50" s="1">
        <f t="shared" si="26"/>
        <v>3.8286413964890951</v>
      </c>
      <c r="BD50" s="1" t="s">
        <v>13</v>
      </c>
      <c r="BE50" s="1">
        <f>-BE46*BE48</f>
        <v>9.5334114418479515E-20</v>
      </c>
      <c r="BF50" s="1">
        <f t="shared" si="27"/>
        <v>3.8286413964890951</v>
      </c>
    </row>
    <row r="51" spans="1:58" x14ac:dyDescent="0.35">
      <c r="R51" s="1">
        <f t="shared" si="25"/>
        <v>4.4067192472642533</v>
      </c>
      <c r="AM51" s="1">
        <f t="shared" si="26"/>
        <v>4.4067192472642533</v>
      </c>
      <c r="BF51" s="1">
        <f t="shared" si="27"/>
        <v>4.4067192472642533</v>
      </c>
    </row>
    <row r="52" spans="1:58" x14ac:dyDescent="0.35">
      <c r="P52" s="1" t="s">
        <v>14</v>
      </c>
      <c r="Q52" s="1" cm="1">
        <f t="array" ref="Q52">TREND(LN(B22:B30),O22:O30,0,TRUE)</f>
        <v>23.991354396440535</v>
      </c>
      <c r="R52" s="1">
        <f t="shared" si="25"/>
        <v>4.9416424226093039</v>
      </c>
      <c r="AK52" s="1" t="s">
        <v>14</v>
      </c>
      <c r="AL52" s="1" cm="1">
        <f t="array" ref="AL52">TREND(LN(W22:W30),AJ22:AJ30,0,TRUE)</f>
        <v>23.991354396440535</v>
      </c>
      <c r="AM52" s="1">
        <f t="shared" si="26"/>
        <v>4.9416424226093039</v>
      </c>
      <c r="BD52" s="1" t="s">
        <v>14</v>
      </c>
      <c r="BE52" s="1" cm="1">
        <f t="array" ref="BE52">TREND(LN(AP22:AP30),BC22:BC30,0,TRUE)</f>
        <v>23.991354396440535</v>
      </c>
      <c r="BF52" s="1">
        <f t="shared" si="27"/>
        <v>4.9416424226093039</v>
      </c>
    </row>
    <row r="53" spans="1:58" x14ac:dyDescent="0.35">
      <c r="R53" s="1">
        <f t="shared" si="25"/>
        <v>5.4510384535657002</v>
      </c>
      <c r="AM53" s="1">
        <f t="shared" si="26"/>
        <v>5.4510384535657002</v>
      </c>
      <c r="BF53" s="1">
        <f t="shared" si="27"/>
        <v>5.4510384535657002</v>
      </c>
    </row>
    <row r="54" spans="1:58" x14ac:dyDescent="0.35">
      <c r="P54" s="1" t="s">
        <v>15</v>
      </c>
      <c r="Q54" s="1">
        <f>EXP(Q52)</f>
        <v>26261094818.489048</v>
      </c>
      <c r="AK54" s="1" t="s">
        <v>15</v>
      </c>
      <c r="AL54" s="1">
        <f>EXP(AL52)</f>
        <v>26261094818.489048</v>
      </c>
      <c r="BD54" s="1" t="s">
        <v>15</v>
      </c>
      <c r="BE54" s="1">
        <f>EXP(BE52)</f>
        <v>26261094818.489048</v>
      </c>
    </row>
    <row r="56" spans="1:58" x14ac:dyDescent="0.35">
      <c r="P56" s="16" t="s">
        <v>31</v>
      </c>
      <c r="Q56" s="16" t="str">
        <f ca="1">CONCATENATE("y = ",ROUND(Q33,3),"*x","+",ROUND(Q39,3), " (с погрешностями)")</f>
        <v>y = -6952.349*x+24.076 (с погрешностями)</v>
      </c>
      <c r="AK56" s="16" t="s">
        <v>31</v>
      </c>
      <c r="AL56" s="16" t="str">
        <f ca="1">CONCATENATE("y = ",ROUND(AL33,3),"*x","+",ROUND(AL39,3), " (с погрешностями)")</f>
        <v>y = -7013.861*x+24.079 (с погрешностями)</v>
      </c>
      <c r="BD56" s="16" t="s">
        <v>31</v>
      </c>
      <c r="BE56" s="16" t="str">
        <f ca="1">CONCATENATE("y = ",ROUND(BE33,3),"*x","+",ROUND(BE39,3), " (с погрешностями)")</f>
        <v>y = -6997.393*x+24.223 (с погрешностями)</v>
      </c>
    </row>
    <row r="57" spans="1:58" x14ac:dyDescent="0.3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 s="16" t="s">
        <v>31</v>
      </c>
      <c r="Q57" s="16" t="str">
        <f>CONCATENATE("y = ",ROUND(Q46,3),"*x","+",ROUND(Q52,3), " (идеальный результат)")</f>
        <v>y = -6908.269*x+23.991 (идеальный результат)</v>
      </c>
      <c r="R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 s="16" t="s">
        <v>31</v>
      </c>
      <c r="AL57" s="16" t="str">
        <f>CONCATENATE("y = ",ROUND(AL46,3),"*x","+",ROUND(AL52,3), " (идеальный результат)")</f>
        <v>y = -6908.269*x+23.991 (идеальный результат)</v>
      </c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D57" s="16" t="s">
        <v>31</v>
      </c>
      <c r="BE57" s="16" t="str">
        <f>CONCATENATE("y = ",ROUND(BE46,3),"*x","+",ROUND(BE52,3), " (идеальный результат)")</f>
        <v>y = -6908.269*x+23.991 (идеальный результат)</v>
      </c>
    </row>
    <row r="59" spans="1:58" x14ac:dyDescent="0.35">
      <c r="A59" s="13" t="s">
        <v>17</v>
      </c>
      <c r="C59" s="1" t="s">
        <v>30</v>
      </c>
      <c r="V59" s="13" t="s">
        <v>17</v>
      </c>
      <c r="X59" s="1" t="s">
        <v>30</v>
      </c>
      <c r="AO59" s="13" t="s">
        <v>17</v>
      </c>
      <c r="AQ59" s="1" t="s">
        <v>30</v>
      </c>
    </row>
    <row r="61" spans="1:58" x14ac:dyDescent="0.35">
      <c r="A61" s="1" t="s">
        <v>19</v>
      </c>
      <c r="B61" s="1">
        <f>A23</f>
        <v>303.14999999999998</v>
      </c>
      <c r="C61" s="1">
        <f>1/B61</f>
        <v>3.298697014679202E-3</v>
      </c>
      <c r="E61" s="1" t="s">
        <v>12</v>
      </c>
      <c r="F61" s="1">
        <f>Q35</f>
        <v>1.3800000000000001E-23</v>
      </c>
      <c r="V61" s="1" t="s">
        <v>19</v>
      </c>
      <c r="W61" s="1">
        <f>V23</f>
        <v>303.14999999999998</v>
      </c>
      <c r="X61" s="1">
        <f>1/W61</f>
        <v>3.298697014679202E-3</v>
      </c>
      <c r="Z61" s="1" t="s">
        <v>12</v>
      </c>
      <c r="AA61" s="1">
        <f>AL35</f>
        <v>1.3800000000000001E-23</v>
      </c>
      <c r="AO61" s="1" t="s">
        <v>19</v>
      </c>
      <c r="AP61" s="1">
        <f>AO23</f>
        <v>303.14999999999998</v>
      </c>
      <c r="AQ61" s="1">
        <f>1/AP61</f>
        <v>3.298697014679202E-3</v>
      </c>
      <c r="AS61" s="1" t="s">
        <v>12</v>
      </c>
      <c r="AT61" s="1">
        <f>BE35</f>
        <v>1.3800000000000001E-23</v>
      </c>
    </row>
    <row r="62" spans="1:58" x14ac:dyDescent="0.35">
      <c r="A62" s="1" t="s">
        <v>20</v>
      </c>
      <c r="B62" s="1">
        <f>A29</f>
        <v>363.15</v>
      </c>
      <c r="C62" s="1">
        <f>1/B62</f>
        <v>2.7536830510808208E-3</v>
      </c>
      <c r="V62" s="1" t="s">
        <v>20</v>
      </c>
      <c r="W62" s="1">
        <f>V29</f>
        <v>363.15</v>
      </c>
      <c r="X62" s="1">
        <f>1/W62</f>
        <v>2.7536830510808208E-3</v>
      </c>
      <c r="AO62" s="1" t="s">
        <v>20</v>
      </c>
      <c r="AP62" s="1">
        <f>AO29</f>
        <v>363.15</v>
      </c>
      <c r="AQ62" s="1">
        <f>1/AP62</f>
        <v>2.7536830510808208E-3</v>
      </c>
    </row>
    <row r="63" spans="1:58" x14ac:dyDescent="0.35">
      <c r="A63" s="1" t="s">
        <v>21</v>
      </c>
      <c r="B63" s="10">
        <f ca="1">M23</f>
        <v>3.2221893099930901</v>
      </c>
      <c r="V63" s="1" t="s">
        <v>21</v>
      </c>
      <c r="W63" s="10">
        <f ca="1">AH23</f>
        <v>2.957786733648303</v>
      </c>
      <c r="AO63" s="1" t="s">
        <v>21</v>
      </c>
      <c r="AP63" s="10">
        <f ca="1">BA23</f>
        <v>3.1287991570402469</v>
      </c>
    </row>
    <row r="64" spans="1:58" x14ac:dyDescent="0.35">
      <c r="A64" s="1" t="s">
        <v>22</v>
      </c>
      <c r="B64" s="10">
        <f ca="1">M29</f>
        <v>144.29220106059302</v>
      </c>
      <c r="V64" s="1" t="s">
        <v>22</v>
      </c>
      <c r="W64" s="10">
        <f ca="1">AH29</f>
        <v>141.59333632586547</v>
      </c>
      <c r="AO64" s="1" t="s">
        <v>22</v>
      </c>
      <c r="AP64" s="10">
        <f ca="1">BA29</f>
        <v>146.43084789454585</v>
      </c>
    </row>
    <row r="66" spans="1:46" x14ac:dyDescent="0.35">
      <c r="B66" s="1" t="s">
        <v>23</v>
      </c>
      <c r="C66" s="1">
        <f ca="1">(LN(B64)-LN(B63))*F61/(C61-C62)</f>
        <v>9.6262772949848476E-20</v>
      </c>
      <c r="W66" s="1" t="s">
        <v>23</v>
      </c>
      <c r="X66" s="1">
        <f ca="1">(LN(W64)-LN(W63))*AA61/(X61-X62)</f>
        <v>9.7952621380614729E-20</v>
      </c>
      <c r="AP66" s="1" t="s">
        <v>23</v>
      </c>
      <c r="AQ66" s="1">
        <f ca="1">(LN(AP64)-LN(AP63))*AT61/(AQ61-AQ62)</f>
        <v>9.7380028654953225E-20</v>
      </c>
    </row>
    <row r="68" spans="1:46" x14ac:dyDescent="0.35">
      <c r="B68" s="1" t="s">
        <v>15</v>
      </c>
      <c r="C68" s="1">
        <f ca="1">EXP(LN(B63)+C66*C61/F61)</f>
        <v>31723727226.764084</v>
      </c>
      <c r="W68" s="1" t="s">
        <v>15</v>
      </c>
      <c r="X68" s="1">
        <f ca="1">EXP(LN(W63)+X66*X61/AA61)</f>
        <v>43614067819.272064</v>
      </c>
      <c r="AP68" s="1" t="s">
        <v>15</v>
      </c>
      <c r="AQ68" s="1">
        <f ca="1">EXP(LN(AP63)+AQ66*AQ61/AT61)</f>
        <v>40234204117.301514</v>
      </c>
    </row>
    <row r="71" spans="1:46" x14ac:dyDescent="0.35">
      <c r="A71" s="13" t="s">
        <v>24</v>
      </c>
      <c r="V71" s="13" t="s">
        <v>24</v>
      </c>
      <c r="AO71" s="13" t="s">
        <v>24</v>
      </c>
    </row>
    <row r="73" spans="1:46" x14ac:dyDescent="0.35">
      <c r="A73" s="1">
        <v>1</v>
      </c>
      <c r="C73" s="1">
        <v>2</v>
      </c>
      <c r="E73" s="1" t="s">
        <v>26</v>
      </c>
      <c r="V73" s="1">
        <v>1</v>
      </c>
      <c r="X73" s="1">
        <v>2</v>
      </c>
      <c r="Z73" s="1" t="s">
        <v>26</v>
      </c>
      <c r="AO73" s="1">
        <v>1</v>
      </c>
      <c r="AQ73" s="1">
        <v>2</v>
      </c>
      <c r="AS73" s="1" t="s">
        <v>26</v>
      </c>
    </row>
    <row r="74" spans="1:46" x14ac:dyDescent="0.35">
      <c r="A74" s="1" t="s">
        <v>23</v>
      </c>
      <c r="B74" s="1">
        <f ca="1">Q37</f>
        <v>9.5942411934771613E-20</v>
      </c>
      <c r="C74" s="1" t="s">
        <v>23</v>
      </c>
      <c r="D74" s="1">
        <f ca="1">C66</f>
        <v>9.6262772949848476E-20</v>
      </c>
      <c r="E74" s="1" t="s">
        <v>23</v>
      </c>
      <c r="F74" s="1">
        <f>Q50</f>
        <v>9.5334114418479515E-20</v>
      </c>
      <c r="V74" s="1" t="s">
        <v>23</v>
      </c>
      <c r="W74" s="1">
        <f ca="1">AL37</f>
        <v>9.6791282191599194E-20</v>
      </c>
      <c r="X74" s="1" t="s">
        <v>23</v>
      </c>
      <c r="Y74" s="1">
        <f ca="1">X66</f>
        <v>9.7952621380614729E-20</v>
      </c>
      <c r="Z74" s="1" t="s">
        <v>23</v>
      </c>
      <c r="AA74" s="1">
        <f>AL50</f>
        <v>9.5334114418479515E-20</v>
      </c>
      <c r="AO74" s="1" t="s">
        <v>23</v>
      </c>
      <c r="AP74" s="1">
        <f ca="1">BE37</f>
        <v>9.656401959443726E-20</v>
      </c>
      <c r="AQ74" s="1" t="s">
        <v>23</v>
      </c>
      <c r="AR74" s="1">
        <f ca="1">AQ66</f>
        <v>9.7380028654953225E-20</v>
      </c>
      <c r="AS74" s="1" t="s">
        <v>23</v>
      </c>
      <c r="AT74" s="1">
        <f>BE50</f>
        <v>9.5334114418479515E-20</v>
      </c>
    </row>
    <row r="75" spans="1:46" x14ac:dyDescent="0.35">
      <c r="A75" s="1" t="s">
        <v>15</v>
      </c>
      <c r="B75" s="1">
        <f ca="1">Q41</f>
        <v>28578277078.134403</v>
      </c>
      <c r="C75" s="1" t="s">
        <v>15</v>
      </c>
      <c r="D75" s="1">
        <f ca="1">C68</f>
        <v>31723727226.764084</v>
      </c>
      <c r="E75" s="1" t="s">
        <v>15</v>
      </c>
      <c r="F75" s="1">
        <f>Q54</f>
        <v>26261094818.489048</v>
      </c>
      <c r="V75" s="1" t="s">
        <v>15</v>
      </c>
      <c r="W75" s="1">
        <f ca="1">AL41</f>
        <v>28655994749.638321</v>
      </c>
      <c r="X75" s="1" t="s">
        <v>15</v>
      </c>
      <c r="Y75" s="1">
        <f ca="1">X68</f>
        <v>43614067819.272064</v>
      </c>
      <c r="Z75" s="1" t="s">
        <v>15</v>
      </c>
      <c r="AA75" s="1">
        <f>AL54</f>
        <v>26261094818.489048</v>
      </c>
      <c r="AO75" s="1" t="s">
        <v>15</v>
      </c>
      <c r="AP75" s="1">
        <f ca="1">BE41</f>
        <v>33120606731.715088</v>
      </c>
      <c r="AQ75" s="1" t="s">
        <v>15</v>
      </c>
      <c r="AR75" s="1">
        <f ca="1">AQ68</f>
        <v>40234204117.301514</v>
      </c>
      <c r="AS75" s="1" t="s">
        <v>15</v>
      </c>
      <c r="AT75" s="1">
        <f>BE54</f>
        <v>26261094818.489048</v>
      </c>
    </row>
    <row r="78" spans="1:46" ht="46.2" x14ac:dyDescent="0.85">
      <c r="M78" s="20" t="s">
        <v>44</v>
      </c>
    </row>
    <row r="79" spans="1:46" x14ac:dyDescent="0.35">
      <c r="K79" s="24"/>
      <c r="L79" s="27" t="s">
        <v>46</v>
      </c>
      <c r="M79" s="28"/>
      <c r="N79" s="28" t="s">
        <v>47</v>
      </c>
      <c r="O79" s="28"/>
      <c r="P79" s="28" t="s">
        <v>48</v>
      </c>
      <c r="Q79" s="28"/>
    </row>
    <row r="80" spans="1:46" x14ac:dyDescent="0.35">
      <c r="K80" s="23"/>
      <c r="L80" s="22" t="s">
        <v>23</v>
      </c>
      <c r="M80" s="21" t="s">
        <v>15</v>
      </c>
      <c r="N80" s="21" t="s">
        <v>23</v>
      </c>
      <c r="O80" s="21" t="s">
        <v>15</v>
      </c>
      <c r="P80" s="21" t="s">
        <v>23</v>
      </c>
      <c r="Q80" s="21" t="s">
        <v>15</v>
      </c>
    </row>
    <row r="81" spans="11:17" x14ac:dyDescent="0.35">
      <c r="K81" s="23" t="s">
        <v>45</v>
      </c>
      <c r="L81" s="25"/>
      <c r="M81" s="26"/>
      <c r="N81" s="26"/>
      <c r="O81" s="26"/>
      <c r="P81" s="26"/>
      <c r="Q81" s="22"/>
    </row>
    <row r="82" spans="11:17" x14ac:dyDescent="0.35">
      <c r="K82" s="21">
        <v>10</v>
      </c>
      <c r="L82" s="21">
        <f ca="1">Q37</f>
        <v>9.5942411934771613E-20</v>
      </c>
      <c r="M82" s="21">
        <f ca="1">Q41</f>
        <v>28578277078.134403</v>
      </c>
      <c r="N82" s="21">
        <f ca="1">C66</f>
        <v>9.6262772949848476E-20</v>
      </c>
      <c r="O82" s="21">
        <f ca="1">C68</f>
        <v>31723727226.764084</v>
      </c>
      <c r="P82" s="29">
        <f>F74</f>
        <v>9.5334114418479515E-20</v>
      </c>
      <c r="Q82" s="30">
        <f>F75</f>
        <v>26261094818.489048</v>
      </c>
    </row>
    <row r="83" spans="11:17" x14ac:dyDescent="0.35">
      <c r="K83" s="21">
        <v>20</v>
      </c>
      <c r="L83" s="21">
        <f ca="1">AL37</f>
        <v>9.6791282191599194E-20</v>
      </c>
      <c r="M83" s="21">
        <f ca="1">AL41</f>
        <v>28655994749.638321</v>
      </c>
      <c r="N83" s="21">
        <f ca="1">Y74</f>
        <v>9.7952621380614729E-20</v>
      </c>
      <c r="O83" s="21">
        <f ca="1">Y75</f>
        <v>43614067819.272064</v>
      </c>
      <c r="P83" s="29"/>
      <c r="Q83" s="30"/>
    </row>
    <row r="84" spans="11:17" x14ac:dyDescent="0.35">
      <c r="K84" s="21">
        <v>30</v>
      </c>
      <c r="L84" s="21">
        <f ca="1">BE37</f>
        <v>9.656401959443726E-20</v>
      </c>
      <c r="M84" s="21">
        <f ca="1">BE41</f>
        <v>33120606731.715088</v>
      </c>
      <c r="N84" s="21">
        <f ca="1">AR74</f>
        <v>9.7380028654953225E-20</v>
      </c>
      <c r="O84" s="21">
        <f ca="1">AR75</f>
        <v>40234204117.301514</v>
      </c>
      <c r="P84" s="29"/>
      <c r="Q84" s="30"/>
    </row>
    <row r="86" spans="11:17" x14ac:dyDescent="0.35">
      <c r="L86" s="1" t="s">
        <v>50</v>
      </c>
    </row>
    <row r="87" spans="11:17" x14ac:dyDescent="0.35">
      <c r="L87" s="1" t="s">
        <v>49</v>
      </c>
    </row>
  </sheetData>
  <mergeCells count="14">
    <mergeCell ref="H4:H6"/>
    <mergeCell ref="I4:I6"/>
    <mergeCell ref="J4:J6"/>
    <mergeCell ref="B4:B6"/>
    <mergeCell ref="C4:C6"/>
    <mergeCell ref="D4:D6"/>
    <mergeCell ref="E4:E6"/>
    <mergeCell ref="F4:F6"/>
    <mergeCell ref="G4:G6"/>
    <mergeCell ref="L79:M79"/>
    <mergeCell ref="N79:O79"/>
    <mergeCell ref="P79:Q79"/>
    <mergeCell ref="P82:P84"/>
    <mergeCell ref="Q82:Q84"/>
  </mergeCells>
  <phoneticPr fontId="3" type="noConversion"/>
  <conditionalFormatting sqref="L82:L84 N82:N84">
    <cfRule type="colorScale" priority="2">
      <colorScale>
        <cfvo type="min"/>
        <cfvo type="formula" val="$P$82"/>
        <cfvo type="max"/>
        <color theme="7" tint="0.79998168889431442"/>
        <color theme="7" tint="0.39997558519241921"/>
        <color theme="7" tint="-0.499984740745262"/>
      </colorScale>
    </cfRule>
  </conditionalFormatting>
  <conditionalFormatting sqref="M82:M84 O82:O84">
    <cfRule type="colorScale" priority="1">
      <colorScale>
        <cfvo type="min"/>
        <cfvo type="formula" val="$Q$82"/>
        <cfvo type="max"/>
        <color theme="9" tint="0.79998168889431442"/>
        <color theme="9" tint="0.39997558519241921"/>
        <color theme="9" tint="-0.249977111117893"/>
      </colorScale>
    </cfRule>
  </conditionalFormatting>
  <pageMargins left="0.7" right="0.7" top="0.75" bottom="0.75" header="0.3" footer="0.3"/>
  <pageSetup paperSize="5" scale="1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Погрешности 10%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cp:lastPrinted>2021-03-13T15:48:18Z</cp:lastPrinted>
  <dcterms:created xsi:type="dcterms:W3CDTF">2015-06-05T18:17:20Z</dcterms:created>
  <dcterms:modified xsi:type="dcterms:W3CDTF">2021-03-14T06:05:57Z</dcterms:modified>
</cp:coreProperties>
</file>